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RU\Web Site Material\"/>
    </mc:Choice>
  </mc:AlternateContent>
  <xr:revisionPtr revIDLastSave="0" documentId="8_{7469DB3F-4F22-42D3-A828-73C275130836}" xr6:coauthVersionLast="47" xr6:coauthVersionMax="47" xr10:uidLastSave="{00000000-0000-0000-0000-000000000000}"/>
  <bookViews>
    <workbookView xWindow="2295" yWindow="2295" windowWidth="38700" windowHeight="15285" firstSheet="3" activeTab="3" xr2:uid="{00000000-000D-0000-FFFF-FFFF00000000}"/>
  </bookViews>
  <sheets>
    <sheet name="1st CD DEM Primary" sheetId="3" state="hidden" r:id="rId1"/>
    <sheet name="10th CD DEM Primary" sheetId="279" state="hidden" r:id="rId2"/>
    <sheet name="14th CD DEM Primary" sheetId="283" state="hidden" r:id="rId3"/>
    <sheet name="16th CD DEM Primary" sheetId="285" r:id="rId4"/>
    <sheet name="17th CD WOR Primary" sheetId="286" r:id="rId5"/>
    <sheet name="22nd CD DEM Primary" sheetId="291" r:id="rId6"/>
    <sheet name="24th CD REP Primary" sheetId="293" r:id="rId7"/>
    <sheet name="6th SD DEM Primary" sheetId="296" state="hidden" r:id="rId8"/>
    <sheet name="7th SD DEM Primary" sheetId="297" state="hidden" r:id="rId9"/>
    <sheet name="38th SD WOR Primary" sheetId="298" state="hidden" r:id="rId10"/>
    <sheet name="42nd SD CON Primary" sheetId="376" state="hidden" r:id="rId11"/>
    <sheet name="48th SD REP Primary" sheetId="299" r:id="rId12"/>
    <sheet name="50th SD DEM Primary" sheetId="300" r:id="rId13"/>
    <sheet name="59th SD DEM Primary" sheetId="301" state="hidden" r:id="rId14"/>
    <sheet name="4th AD DEM Primary" sheetId="325" state="hidden" r:id="rId15"/>
    <sheet name="18th AD DEM Primary" sheetId="326" state="hidden" r:id="rId16"/>
    <sheet name="21st AD DEM Primary" sheetId="327" state="hidden" r:id="rId17"/>
    <sheet name="25th AD REP Primary" sheetId="373" state="hidden" r:id="rId18"/>
    <sheet name="34th AD DEM Primary" sheetId="315" state="hidden" r:id="rId19"/>
    <sheet name="35th AD DEM Primary" sheetId="316" state="hidden" r:id="rId20"/>
    <sheet name="37th AD DEM Primary" sheetId="302" state="hidden" r:id="rId21"/>
    <sheet name="40th AD DEM Primary" sheetId="317" state="hidden" r:id="rId22"/>
    <sheet name="41st AD DEM Primary" sheetId="311" state="hidden" r:id="rId23"/>
    <sheet name="50th AD DEM Primary" sheetId="312" state="hidden" r:id="rId24"/>
    <sheet name="52nd AD DEM Primary" sheetId="313" state="hidden" r:id="rId25"/>
    <sheet name="56th AD DEM Primary" sheetId="314" state="hidden" r:id="rId26"/>
    <sheet name="68th AD DEM Primary" sheetId="303" state="hidden" r:id="rId27"/>
    <sheet name="69th AD DEM Primary" sheetId="304" state="hidden" r:id="rId28"/>
    <sheet name="70th AD DEM Primary" sheetId="305" state="hidden" r:id="rId29"/>
    <sheet name="71st AD DEM Primary" sheetId="306" state="hidden" r:id="rId30"/>
    <sheet name="72nd AD DEM Primary" sheetId="307" state="hidden" r:id="rId31"/>
    <sheet name="77th AD DEM Primary" sheetId="308" state="hidden" r:id="rId32"/>
    <sheet name="82nd AD DEM Primary" sheetId="309" state="hidden" r:id="rId33"/>
    <sheet name="84th AD DEM Primary" sheetId="310" state="hidden" r:id="rId34"/>
    <sheet name="92nd AD DEM Primary" sheetId="328" state="hidden" r:id="rId35"/>
    <sheet name="97th AD DEM Primary" sheetId="330" state="hidden" r:id="rId36"/>
    <sheet name="97th AD CON Primary" sheetId="329" r:id="rId37"/>
    <sheet name="100th AD REP Primary" sheetId="319" r:id="rId38"/>
    <sheet name="102nd AD DEM Primary" sheetId="320" r:id="rId39"/>
    <sheet name="103rd AD DEM Primary" sheetId="321" r:id="rId40"/>
    <sheet name="106th AD DEM Primary" sheetId="322" r:id="rId41"/>
    <sheet name="107th AD DEM Primary" sheetId="323" r:id="rId42"/>
    <sheet name="109th AD DEM Primary" sheetId="332" state="hidden" r:id="rId43"/>
    <sheet name="137th AD DEM Primary" sheetId="331" state="hidden" r:id="rId44"/>
    <sheet name="147th AD REP Primary" sheetId="324" r:id="rId45"/>
    <sheet name="SC 94th AD M DEM" sheetId="377" state="hidden" r:id="rId46"/>
    <sheet name="1st JD 68th AD DEL DEM" sheetId="337" state="hidden" r:id="rId47"/>
    <sheet name="1st JD 68th AD ALT DEM" sheetId="338" state="hidden" r:id="rId48"/>
    <sheet name="1st JD 69th AD DEL DEM" sheetId="340" state="hidden" r:id="rId49"/>
    <sheet name="1st JD 70th AD DEL DEM" sheetId="341" state="hidden" r:id="rId50"/>
    <sheet name="1st JD 71st AD DEL DEM" sheetId="343" state="hidden" r:id="rId51"/>
    <sheet name="1st JD 71st AD ALT DEM" sheetId="344" state="hidden" r:id="rId52"/>
    <sheet name="1st JD 72nd AD DEL DEM" sheetId="345" state="hidden" r:id="rId53"/>
    <sheet name="1st JD 72nd AD ALT DEM" sheetId="346" state="hidden" r:id="rId54"/>
    <sheet name="2nd JD 43rd AD DEL DEM" sheetId="359" state="hidden" r:id="rId55"/>
    <sheet name="2nd JD 43rd AD ALT DEM" sheetId="363" state="hidden" r:id="rId56"/>
    <sheet name="2nd JD 46th AD DEL DEM" sheetId="360" state="hidden" r:id="rId57"/>
    <sheet name="2nd JD 46th AD ALT DEM" sheetId="364" state="hidden" r:id="rId58"/>
    <sheet name="2nd JD 49th AD DEL DEM" sheetId="361" state="hidden" r:id="rId59"/>
    <sheet name="2nd JD 49th AD ALT DEM" sheetId="365" state="hidden" r:id="rId60"/>
    <sheet name="2nd JD 58th AD DEL DEM" sheetId="362" state="hidden" r:id="rId61"/>
    <sheet name="2nd JD 58th AD ALT DEM" sheetId="366" state="hidden" r:id="rId62"/>
    <sheet name="11th JD 28th AD DEL DEM" sheetId="371" state="hidden" r:id="rId63"/>
    <sheet name="11th JD 28th AD ALT DEM" sheetId="372" state="hidden" r:id="rId64"/>
    <sheet name="12th JD 81st AD DEL DEM" sheetId="350" state="hidden" r:id="rId65"/>
    <sheet name="12th JD 81st AD ALT DEM" sheetId="351" state="hidden" r:id="rId66"/>
    <sheet name="SC 28th AD DEM" sheetId="367" state="hidden" r:id="rId67"/>
    <sheet name="SC 34th AD DEM" sheetId="368" state="hidden" r:id="rId68"/>
    <sheet name="SC 35th AD DEM" sheetId="369" state="hidden" r:id="rId69"/>
    <sheet name="SC 36th AD DEM" sheetId="370" state="hidden" r:id="rId70"/>
    <sheet name="SC 43rd AD DEM" sheetId="352" state="hidden" r:id="rId71"/>
    <sheet name="SC 46th AD DEM" sheetId="353" state="hidden" r:id="rId72"/>
    <sheet name="SC 50th AD DEM" sheetId="354" state="hidden" r:id="rId73"/>
    <sheet name="SC 52nd AD DEM" sheetId="355" state="hidden" r:id="rId74"/>
    <sheet name="SC 55th AD DEM" sheetId="356" state="hidden" r:id="rId75"/>
    <sheet name="SC 59th AD DEM" sheetId="358" state="hidden" r:id="rId76"/>
    <sheet name="SC 68th AD DEM" sheetId="333" state="hidden" r:id="rId77"/>
    <sheet name="SC 70th AD DEM" sheetId="335" state="hidden" r:id="rId78"/>
    <sheet name="SC 72nd AD DEM" sheetId="336" state="hidden" r:id="rId79"/>
    <sheet name="SC 77th AD DEM" sheetId="347" state="hidden" r:id="rId80"/>
    <sheet name="SC 81st AD DEM" sheetId="348" state="hidden" r:id="rId81"/>
    <sheet name="SC 84th AD DEM" sheetId="349" state="hidden" r:id="rId82"/>
    <sheet name="SC 137th AD F DEM" sheetId="374" state="hidden" r:id="rId83"/>
    <sheet name="SC 137th AD M DEM" sheetId="375" state="hidden" r:id="rId84"/>
  </sheets>
  <definedNames>
    <definedName name="_xlnm.Print_Area" localSheetId="0">'1st CD DEM Primary'!$A$1:$E$8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377" l="1"/>
  <c r="C7" i="377"/>
  <c r="C8" i="377" s="1"/>
  <c r="C6" i="377"/>
  <c r="C5" i="377"/>
  <c r="C4" i="377"/>
  <c r="D4" i="377" s="1"/>
  <c r="C3" i="377"/>
  <c r="D3" i="377" s="1"/>
  <c r="D4" i="331"/>
  <c r="D4" i="306"/>
  <c r="D3" i="306"/>
  <c r="D4" i="315"/>
  <c r="D4" i="373"/>
  <c r="D3" i="373"/>
  <c r="D4" i="328"/>
  <c r="D3" i="328"/>
  <c r="D3" i="302"/>
  <c r="D4" i="302"/>
  <c r="D5" i="302"/>
  <c r="D6" i="302"/>
  <c r="D7" i="302"/>
  <c r="D8" i="302"/>
  <c r="C9" i="302"/>
  <c r="D4" i="375"/>
  <c r="D3" i="375"/>
  <c r="D3" i="331"/>
  <c r="G3" i="291"/>
  <c r="G4" i="291"/>
  <c r="G5" i="291"/>
  <c r="G6" i="291"/>
  <c r="G7" i="291"/>
  <c r="D8" i="291"/>
  <c r="F4" i="286"/>
  <c r="F5" i="286"/>
  <c r="F6" i="286"/>
  <c r="F7" i="286"/>
  <c r="F3" i="286"/>
  <c r="B8" i="286"/>
  <c r="C8" i="286"/>
  <c r="J8" i="293"/>
  <c r="K8" i="293"/>
  <c r="L8" i="293"/>
  <c r="P4" i="293"/>
  <c r="P5" i="293"/>
  <c r="P6" i="293"/>
  <c r="P7" i="293"/>
  <c r="P3" i="293"/>
  <c r="D13" i="364"/>
  <c r="C13" i="364"/>
  <c r="C13" i="343"/>
  <c r="D13" i="343"/>
  <c r="C5" i="343"/>
  <c r="D5" i="343" s="1"/>
  <c r="B8" i="376"/>
  <c r="C7" i="376"/>
  <c r="C6" i="376"/>
  <c r="C5" i="376"/>
  <c r="C4" i="376"/>
  <c r="D4" i="376" s="1"/>
  <c r="C3" i="376"/>
  <c r="D3" i="376" s="1"/>
  <c r="C8" i="376" l="1"/>
  <c r="B8" i="375" l="1"/>
  <c r="C7" i="375"/>
  <c r="C6" i="375"/>
  <c r="C5" i="375"/>
  <c r="C4" i="375"/>
  <c r="C3" i="375"/>
  <c r="B8" i="374"/>
  <c r="C7" i="374"/>
  <c r="C6" i="374"/>
  <c r="C5" i="374"/>
  <c r="C4" i="374"/>
  <c r="D4" i="374" s="1"/>
  <c r="C3" i="374"/>
  <c r="C6" i="332"/>
  <c r="D6" i="332" s="1"/>
  <c r="B8" i="373"/>
  <c r="C7" i="373"/>
  <c r="C6" i="373"/>
  <c r="C5" i="373"/>
  <c r="C4" i="373"/>
  <c r="C3" i="373"/>
  <c r="B18" i="372"/>
  <c r="C17" i="372"/>
  <c r="C16" i="372"/>
  <c r="C15" i="372"/>
  <c r="C14" i="372"/>
  <c r="D14" i="372" s="1"/>
  <c r="C13" i="372"/>
  <c r="D13" i="372" s="1"/>
  <c r="C12" i="372"/>
  <c r="D12" i="372" s="1"/>
  <c r="C11" i="372"/>
  <c r="D11" i="372" s="1"/>
  <c r="C10" i="372"/>
  <c r="D10" i="372" s="1"/>
  <c r="C9" i="372"/>
  <c r="D9" i="372" s="1"/>
  <c r="C8" i="372"/>
  <c r="D8" i="372" s="1"/>
  <c r="C7" i="372"/>
  <c r="D7" i="372" s="1"/>
  <c r="C6" i="372"/>
  <c r="D6" i="372" s="1"/>
  <c r="C5" i="372"/>
  <c r="D5" i="372" s="1"/>
  <c r="C4" i="372"/>
  <c r="D4" i="372" s="1"/>
  <c r="C3" i="372"/>
  <c r="D6" i="371"/>
  <c r="D14" i="371"/>
  <c r="D15" i="371"/>
  <c r="C4" i="371"/>
  <c r="D4" i="371" s="1"/>
  <c r="C5" i="371"/>
  <c r="D5" i="371" s="1"/>
  <c r="C6" i="371"/>
  <c r="C7" i="371"/>
  <c r="D7" i="371" s="1"/>
  <c r="C8" i="371"/>
  <c r="D8" i="371" s="1"/>
  <c r="C9" i="371"/>
  <c r="D9" i="371" s="1"/>
  <c r="C10" i="371"/>
  <c r="D10" i="371" s="1"/>
  <c r="C11" i="371"/>
  <c r="D11" i="371" s="1"/>
  <c r="C12" i="371"/>
  <c r="D12" i="371" s="1"/>
  <c r="C13" i="371"/>
  <c r="D13" i="371" s="1"/>
  <c r="C14" i="371"/>
  <c r="C15" i="371"/>
  <c r="C16" i="371"/>
  <c r="D16" i="371" s="1"/>
  <c r="C17" i="371"/>
  <c r="D17" i="371" s="1"/>
  <c r="C18" i="371"/>
  <c r="D18" i="371" s="1"/>
  <c r="B22" i="371"/>
  <c r="C21" i="371"/>
  <c r="C20" i="371"/>
  <c r="C19" i="371"/>
  <c r="C3" i="371"/>
  <c r="C4" i="370"/>
  <c r="D4" i="370" s="1"/>
  <c r="C5" i="370"/>
  <c r="D5" i="370" s="1"/>
  <c r="B9" i="370"/>
  <c r="C8" i="370"/>
  <c r="C7" i="370"/>
  <c r="C6" i="370"/>
  <c r="C3" i="370"/>
  <c r="D4" i="369"/>
  <c r="B9" i="369"/>
  <c r="C8" i="369"/>
  <c r="C7" i="369"/>
  <c r="C6" i="369"/>
  <c r="C5" i="369"/>
  <c r="D5" i="369" s="1"/>
  <c r="C4" i="369"/>
  <c r="C3" i="369"/>
  <c r="D3" i="369" s="1"/>
  <c r="D3" i="368"/>
  <c r="D4" i="368"/>
  <c r="D5" i="368"/>
  <c r="D6" i="368"/>
  <c r="B10" i="368"/>
  <c r="C9" i="368"/>
  <c r="C8" i="368"/>
  <c r="C7" i="368"/>
  <c r="C6" i="368"/>
  <c r="C5" i="368"/>
  <c r="C4" i="368"/>
  <c r="C3" i="368"/>
  <c r="D5" i="367"/>
  <c r="C5" i="367"/>
  <c r="B9" i="367"/>
  <c r="C8" i="367"/>
  <c r="C7" i="367"/>
  <c r="C6" i="367"/>
  <c r="C4" i="367"/>
  <c r="D4" i="367" s="1"/>
  <c r="C3" i="367"/>
  <c r="D3" i="367" s="1"/>
  <c r="C5" i="317"/>
  <c r="D5" i="317" s="1"/>
  <c r="B26" i="366"/>
  <c r="C25" i="366"/>
  <c r="C24" i="366"/>
  <c r="C23" i="366"/>
  <c r="C22" i="366"/>
  <c r="D22" i="366" s="1"/>
  <c r="C21" i="366"/>
  <c r="D21" i="366" s="1"/>
  <c r="C20" i="366"/>
  <c r="D20" i="366" s="1"/>
  <c r="C19" i="366"/>
  <c r="D19" i="366" s="1"/>
  <c r="C18" i="366"/>
  <c r="D18" i="366" s="1"/>
  <c r="D17" i="366"/>
  <c r="C17" i="366"/>
  <c r="C16" i="366"/>
  <c r="D16" i="366" s="1"/>
  <c r="C15" i="366"/>
  <c r="D15" i="366" s="1"/>
  <c r="C14" i="366"/>
  <c r="D14" i="366" s="1"/>
  <c r="C13" i="366"/>
  <c r="D13" i="366" s="1"/>
  <c r="C12" i="366"/>
  <c r="D12" i="366" s="1"/>
  <c r="D11" i="366"/>
  <c r="C11" i="366"/>
  <c r="C10" i="366"/>
  <c r="D10" i="366" s="1"/>
  <c r="C9" i="366"/>
  <c r="D9" i="366" s="1"/>
  <c r="C8" i="366"/>
  <c r="D8" i="366" s="1"/>
  <c r="C7" i="366"/>
  <c r="D7" i="366" s="1"/>
  <c r="C6" i="366"/>
  <c r="D6" i="366" s="1"/>
  <c r="D5" i="366"/>
  <c r="C5" i="366"/>
  <c r="C4" i="366"/>
  <c r="D4" i="366" s="1"/>
  <c r="C3" i="366"/>
  <c r="D3" i="366" s="1"/>
  <c r="B14" i="365"/>
  <c r="C13" i="365"/>
  <c r="C12" i="365"/>
  <c r="C11" i="365"/>
  <c r="C10" i="365"/>
  <c r="D10" i="365" s="1"/>
  <c r="C9" i="365"/>
  <c r="D9" i="365" s="1"/>
  <c r="C8" i="365"/>
  <c r="D8" i="365" s="1"/>
  <c r="C7" i="365"/>
  <c r="D7" i="365" s="1"/>
  <c r="C6" i="365"/>
  <c r="D6" i="365" s="1"/>
  <c r="C5" i="365"/>
  <c r="D5" i="365" s="1"/>
  <c r="C4" i="365"/>
  <c r="D4" i="365" s="1"/>
  <c r="C3" i="365"/>
  <c r="B17" i="364"/>
  <c r="C16" i="364"/>
  <c r="C15" i="364"/>
  <c r="C14" i="364"/>
  <c r="C12" i="364"/>
  <c r="D12" i="364" s="1"/>
  <c r="C11" i="364"/>
  <c r="D11" i="364" s="1"/>
  <c r="C10" i="364"/>
  <c r="D10" i="364" s="1"/>
  <c r="C9" i="364"/>
  <c r="D9" i="364" s="1"/>
  <c r="C8" i="364"/>
  <c r="D8" i="364" s="1"/>
  <c r="C7" i="364"/>
  <c r="D7" i="364" s="1"/>
  <c r="C6" i="364"/>
  <c r="D6" i="364" s="1"/>
  <c r="C5" i="364"/>
  <c r="D5" i="364" s="1"/>
  <c r="C4" i="364"/>
  <c r="D4" i="364" s="1"/>
  <c r="C3" i="364"/>
  <c r="D4" i="360"/>
  <c r="D5" i="360"/>
  <c r="D6" i="360"/>
  <c r="D7" i="360"/>
  <c r="D8" i="360"/>
  <c r="D9" i="360"/>
  <c r="D10" i="360"/>
  <c r="D11" i="360"/>
  <c r="D12" i="360"/>
  <c r="D13" i="360"/>
  <c r="D14" i="360"/>
  <c r="B18" i="363"/>
  <c r="C17" i="363"/>
  <c r="C16" i="363"/>
  <c r="C15" i="363"/>
  <c r="C14" i="363"/>
  <c r="D14" i="363" s="1"/>
  <c r="C13" i="363"/>
  <c r="D13" i="363" s="1"/>
  <c r="C12" i="363"/>
  <c r="D12" i="363" s="1"/>
  <c r="C11" i="363"/>
  <c r="D11" i="363" s="1"/>
  <c r="C10" i="363"/>
  <c r="D10" i="363" s="1"/>
  <c r="C9" i="363"/>
  <c r="D9" i="363" s="1"/>
  <c r="D8" i="363"/>
  <c r="C8" i="363"/>
  <c r="C7" i="363"/>
  <c r="D7" i="363" s="1"/>
  <c r="C6" i="363"/>
  <c r="D6" i="363" s="1"/>
  <c r="C5" i="363"/>
  <c r="D5" i="363" s="1"/>
  <c r="C4" i="363"/>
  <c r="D4" i="363" s="1"/>
  <c r="C3" i="363"/>
  <c r="D3" i="363" s="1"/>
  <c r="C20" i="362"/>
  <c r="D20" i="362" s="1"/>
  <c r="D8" i="362"/>
  <c r="D11" i="362"/>
  <c r="D12" i="362"/>
  <c r="D13" i="362"/>
  <c r="D22" i="362"/>
  <c r="D3" i="362"/>
  <c r="C4" i="362"/>
  <c r="D4" i="362" s="1"/>
  <c r="C5" i="362"/>
  <c r="D5" i="362" s="1"/>
  <c r="C6" i="362"/>
  <c r="D6" i="362" s="1"/>
  <c r="C7" i="362"/>
  <c r="D7" i="362" s="1"/>
  <c r="C8" i="362"/>
  <c r="C9" i="362"/>
  <c r="D9" i="362" s="1"/>
  <c r="C10" i="362"/>
  <c r="D10" i="362" s="1"/>
  <c r="C11" i="362"/>
  <c r="C12" i="362"/>
  <c r="C13" i="362"/>
  <c r="C14" i="362"/>
  <c r="D14" i="362" s="1"/>
  <c r="C15" i="362"/>
  <c r="D15" i="362" s="1"/>
  <c r="C16" i="362"/>
  <c r="D16" i="362" s="1"/>
  <c r="C17" i="362"/>
  <c r="D17" i="362" s="1"/>
  <c r="C18" i="362"/>
  <c r="D18" i="362" s="1"/>
  <c r="C19" i="362"/>
  <c r="D19" i="362" s="1"/>
  <c r="C22" i="362"/>
  <c r="B26" i="362"/>
  <c r="C25" i="362"/>
  <c r="C24" i="362"/>
  <c r="C23" i="362"/>
  <c r="C21" i="362"/>
  <c r="D21" i="362" s="1"/>
  <c r="C3" i="362"/>
  <c r="D4" i="361"/>
  <c r="D5" i="361"/>
  <c r="D6" i="361"/>
  <c r="D7" i="361"/>
  <c r="D8" i="361"/>
  <c r="D9" i="361"/>
  <c r="D10" i="361"/>
  <c r="D3" i="361"/>
  <c r="C7" i="361"/>
  <c r="C8" i="361"/>
  <c r="C9" i="361"/>
  <c r="C4" i="361"/>
  <c r="C5" i="361"/>
  <c r="C10" i="361"/>
  <c r="C4" i="360"/>
  <c r="C5" i="360"/>
  <c r="C6" i="360"/>
  <c r="C7" i="360"/>
  <c r="C8" i="360"/>
  <c r="C9" i="360"/>
  <c r="C10" i="360"/>
  <c r="C11" i="360"/>
  <c r="C12" i="360"/>
  <c r="B14" i="361"/>
  <c r="C13" i="361"/>
  <c r="C12" i="361"/>
  <c r="C11" i="361"/>
  <c r="C6" i="361"/>
  <c r="C3" i="361"/>
  <c r="B18" i="360"/>
  <c r="C17" i="360"/>
  <c r="C16" i="360"/>
  <c r="C15" i="360"/>
  <c r="C14" i="360"/>
  <c r="C13" i="360"/>
  <c r="C3" i="360"/>
  <c r="D9" i="359"/>
  <c r="D10" i="359"/>
  <c r="D11" i="359"/>
  <c r="D12" i="359"/>
  <c r="D14" i="359"/>
  <c r="D15" i="359"/>
  <c r="D23" i="359"/>
  <c r="D24" i="359"/>
  <c r="C4" i="359"/>
  <c r="D4" i="359" s="1"/>
  <c r="C5" i="359"/>
  <c r="D5" i="359" s="1"/>
  <c r="C6" i="359"/>
  <c r="D6" i="359" s="1"/>
  <c r="C7" i="359"/>
  <c r="D7" i="359" s="1"/>
  <c r="C8" i="359"/>
  <c r="D8" i="359" s="1"/>
  <c r="C9" i="359"/>
  <c r="C10" i="359"/>
  <c r="C11" i="359"/>
  <c r="C12" i="359"/>
  <c r="C13" i="359"/>
  <c r="D13" i="359" s="1"/>
  <c r="C14" i="359"/>
  <c r="C15" i="359"/>
  <c r="C16" i="359"/>
  <c r="D16" i="359" s="1"/>
  <c r="C17" i="359"/>
  <c r="D17" i="359" s="1"/>
  <c r="C18" i="359"/>
  <c r="D18" i="359" s="1"/>
  <c r="C19" i="359"/>
  <c r="D19" i="359" s="1"/>
  <c r="C20" i="359"/>
  <c r="D20" i="359" s="1"/>
  <c r="C21" i="359"/>
  <c r="D21" i="359" s="1"/>
  <c r="C22" i="359"/>
  <c r="D22" i="359" s="1"/>
  <c r="C23" i="359"/>
  <c r="C24" i="359"/>
  <c r="B28" i="359"/>
  <c r="C27" i="359"/>
  <c r="C26" i="359"/>
  <c r="C25" i="359"/>
  <c r="C3" i="359"/>
  <c r="D4" i="358"/>
  <c r="C5" i="358"/>
  <c r="D5" i="358" s="1"/>
  <c r="C4" i="358"/>
  <c r="B9" i="358"/>
  <c r="C8" i="358"/>
  <c r="C7" i="358"/>
  <c r="C6" i="358"/>
  <c r="C3" i="358"/>
  <c r="C5" i="356"/>
  <c r="D5" i="356" s="1"/>
  <c r="C6" i="356"/>
  <c r="D6" i="356" s="1"/>
  <c r="D3" i="355"/>
  <c r="D4" i="355"/>
  <c r="D5" i="355"/>
  <c r="D6" i="355"/>
  <c r="D7" i="355"/>
  <c r="D8" i="355"/>
  <c r="C5" i="355"/>
  <c r="C5" i="354"/>
  <c r="D5" i="354" s="1"/>
  <c r="C4" i="354"/>
  <c r="D4" i="354" s="1"/>
  <c r="C6" i="354"/>
  <c r="D6" i="354" s="1"/>
  <c r="B10" i="356"/>
  <c r="C9" i="356"/>
  <c r="C8" i="356"/>
  <c r="C7" i="356"/>
  <c r="C4" i="356"/>
  <c r="D4" i="356" s="1"/>
  <c r="C3" i="356"/>
  <c r="B9" i="355"/>
  <c r="C8" i="355"/>
  <c r="C7" i="355"/>
  <c r="C6" i="355"/>
  <c r="C4" i="355"/>
  <c r="C3" i="355"/>
  <c r="B10" i="354"/>
  <c r="C9" i="354"/>
  <c r="C8" i="354"/>
  <c r="C7" i="354"/>
  <c r="C3" i="354"/>
  <c r="C5" i="353"/>
  <c r="D5" i="353" s="1"/>
  <c r="B10" i="353"/>
  <c r="C9" i="353"/>
  <c r="C8" i="353"/>
  <c r="C7" i="353"/>
  <c r="C6" i="353"/>
  <c r="D6" i="353" s="1"/>
  <c r="C4" i="353"/>
  <c r="D4" i="353" s="1"/>
  <c r="C3" i="353"/>
  <c r="C5" i="352"/>
  <c r="D5" i="352" s="1"/>
  <c r="B9" i="352"/>
  <c r="C8" i="352"/>
  <c r="C7" i="352"/>
  <c r="C6" i="352"/>
  <c r="C4" i="352"/>
  <c r="D4" i="352" s="1"/>
  <c r="C3" i="352"/>
  <c r="D3" i="352" s="1"/>
  <c r="D4" i="314"/>
  <c r="C4" i="314"/>
  <c r="C4" i="312"/>
  <c r="D4" i="312" s="1"/>
  <c r="C5" i="312"/>
  <c r="D5" i="312"/>
  <c r="B24" i="351"/>
  <c r="C23" i="351"/>
  <c r="C22" i="351"/>
  <c r="C21" i="351"/>
  <c r="C20" i="351"/>
  <c r="D20" i="351" s="1"/>
  <c r="C19" i="351"/>
  <c r="D19" i="351" s="1"/>
  <c r="C18" i="351"/>
  <c r="D18" i="351" s="1"/>
  <c r="C17" i="351"/>
  <c r="D17" i="351" s="1"/>
  <c r="C16" i="351"/>
  <c r="D16" i="351" s="1"/>
  <c r="C15" i="351"/>
  <c r="D15" i="351" s="1"/>
  <c r="C14" i="351"/>
  <c r="D14" i="351" s="1"/>
  <c r="C13" i="351"/>
  <c r="D13" i="351" s="1"/>
  <c r="C12" i="351"/>
  <c r="D12" i="351" s="1"/>
  <c r="C11" i="351"/>
  <c r="D11" i="351" s="1"/>
  <c r="C10" i="351"/>
  <c r="D10" i="351" s="1"/>
  <c r="C9" i="351"/>
  <c r="D9" i="351" s="1"/>
  <c r="C8" i="351"/>
  <c r="D8" i="351" s="1"/>
  <c r="C7" i="351"/>
  <c r="D7" i="351" s="1"/>
  <c r="C6" i="351"/>
  <c r="D6" i="351" s="1"/>
  <c r="C5" i="351"/>
  <c r="D5" i="351" s="1"/>
  <c r="C4" i="351"/>
  <c r="C3" i="351"/>
  <c r="D3" i="351" s="1"/>
  <c r="D3" i="350"/>
  <c r="D4" i="350"/>
  <c r="D5" i="350"/>
  <c r="D9" i="350"/>
  <c r="D11" i="350"/>
  <c r="D14" i="350"/>
  <c r="C3" i="350"/>
  <c r="C4" i="350"/>
  <c r="C5" i="350"/>
  <c r="C6" i="350"/>
  <c r="D6" i="350" s="1"/>
  <c r="C7" i="350"/>
  <c r="D7" i="350" s="1"/>
  <c r="C8" i="350"/>
  <c r="D8" i="350" s="1"/>
  <c r="C9" i="350"/>
  <c r="C10" i="350"/>
  <c r="D10" i="350" s="1"/>
  <c r="C11" i="350"/>
  <c r="C12" i="350"/>
  <c r="D12" i="350" s="1"/>
  <c r="C13" i="350"/>
  <c r="D13" i="350" s="1"/>
  <c r="C14" i="350"/>
  <c r="C15" i="350"/>
  <c r="D15" i="350" s="1"/>
  <c r="C16" i="350"/>
  <c r="D16" i="350" s="1"/>
  <c r="C17" i="350"/>
  <c r="D17" i="350" s="1"/>
  <c r="B24" i="350"/>
  <c r="C23" i="350"/>
  <c r="C22" i="350"/>
  <c r="C21" i="350"/>
  <c r="C20" i="350"/>
  <c r="C19" i="350"/>
  <c r="D19" i="350" s="1"/>
  <c r="C18" i="350"/>
  <c r="D18" i="350" s="1"/>
  <c r="D3" i="349"/>
  <c r="B9" i="349"/>
  <c r="C8" i="349"/>
  <c r="C7" i="349"/>
  <c r="C6" i="349"/>
  <c r="C5" i="349"/>
  <c r="D5" i="349" s="1"/>
  <c r="C4" i="349"/>
  <c r="D4" i="349" s="1"/>
  <c r="C3" i="349"/>
  <c r="B9" i="348"/>
  <c r="C8" i="348"/>
  <c r="C7" i="348"/>
  <c r="C6" i="348"/>
  <c r="C5" i="348"/>
  <c r="D5" i="348" s="1"/>
  <c r="C4" i="348"/>
  <c r="D4" i="348" s="1"/>
  <c r="C3" i="348"/>
  <c r="D4" i="347"/>
  <c r="C4" i="347"/>
  <c r="B10" i="347"/>
  <c r="C9" i="347"/>
  <c r="C8" i="347"/>
  <c r="C7" i="347"/>
  <c r="C6" i="347"/>
  <c r="D6" i="347" s="1"/>
  <c r="C5" i="347"/>
  <c r="D5" i="347" s="1"/>
  <c r="C3" i="347"/>
  <c r="B22" i="346"/>
  <c r="C21" i="346"/>
  <c r="C20" i="346"/>
  <c r="C19" i="346"/>
  <c r="C18" i="346"/>
  <c r="D18" i="346" s="1"/>
  <c r="C17" i="346"/>
  <c r="D17" i="346" s="1"/>
  <c r="C16" i="346"/>
  <c r="D16" i="346" s="1"/>
  <c r="D15" i="346"/>
  <c r="C15" i="346"/>
  <c r="C14" i="346"/>
  <c r="D14" i="346" s="1"/>
  <c r="D13" i="346"/>
  <c r="C13" i="346"/>
  <c r="C12" i="346"/>
  <c r="D12" i="346" s="1"/>
  <c r="C11" i="346"/>
  <c r="D11" i="346" s="1"/>
  <c r="C10" i="346"/>
  <c r="D10" i="346" s="1"/>
  <c r="D9" i="346"/>
  <c r="C9" i="346"/>
  <c r="C8" i="346"/>
  <c r="D8" i="346" s="1"/>
  <c r="D7" i="346"/>
  <c r="C7" i="346"/>
  <c r="C6" i="346"/>
  <c r="D6" i="346" s="1"/>
  <c r="C5" i="346"/>
  <c r="D5" i="346" s="1"/>
  <c r="C4" i="346"/>
  <c r="D4" i="346" s="1"/>
  <c r="D3" i="346"/>
  <c r="C3" i="346"/>
  <c r="C22" i="346" s="1"/>
  <c r="D3" i="345"/>
  <c r="C3" i="345"/>
  <c r="C4" i="345"/>
  <c r="D4" i="345" s="1"/>
  <c r="C5" i="345"/>
  <c r="D5" i="345" s="1"/>
  <c r="C6" i="345"/>
  <c r="D6" i="345" s="1"/>
  <c r="C7" i="345"/>
  <c r="D7" i="345" s="1"/>
  <c r="C8" i="345"/>
  <c r="D8" i="345" s="1"/>
  <c r="C9" i="345"/>
  <c r="D9" i="345" s="1"/>
  <c r="C10" i="345"/>
  <c r="D10" i="345" s="1"/>
  <c r="C11" i="345"/>
  <c r="D11" i="345" s="1"/>
  <c r="C12" i="345"/>
  <c r="D12" i="345" s="1"/>
  <c r="C13" i="345"/>
  <c r="D13" i="345" s="1"/>
  <c r="C14" i="345"/>
  <c r="D14" i="345" s="1"/>
  <c r="C15" i="345"/>
  <c r="D15" i="345" s="1"/>
  <c r="C16" i="345"/>
  <c r="D16" i="345" s="1"/>
  <c r="C17" i="345"/>
  <c r="D17" i="345" s="1"/>
  <c r="B22" i="345"/>
  <c r="C21" i="345"/>
  <c r="C20" i="345"/>
  <c r="C19" i="345"/>
  <c r="C18" i="345"/>
  <c r="D9" i="343"/>
  <c r="B27" i="344"/>
  <c r="C26" i="344"/>
  <c r="C25" i="344"/>
  <c r="C24" i="344"/>
  <c r="C23" i="344"/>
  <c r="D23" i="344" s="1"/>
  <c r="C22" i="344"/>
  <c r="D22" i="344" s="1"/>
  <c r="C21" i="344"/>
  <c r="D21" i="344" s="1"/>
  <c r="C20" i="344"/>
  <c r="D20" i="344" s="1"/>
  <c r="C19" i="344"/>
  <c r="D19" i="344" s="1"/>
  <c r="C18" i="344"/>
  <c r="D18" i="344" s="1"/>
  <c r="C17" i="344"/>
  <c r="D17" i="344" s="1"/>
  <c r="C16" i="344"/>
  <c r="D16" i="344" s="1"/>
  <c r="C15" i="344"/>
  <c r="D15" i="344" s="1"/>
  <c r="C14" i="344"/>
  <c r="D14" i="344" s="1"/>
  <c r="C13" i="344"/>
  <c r="D13" i="344" s="1"/>
  <c r="C12" i="344"/>
  <c r="D12" i="344" s="1"/>
  <c r="C11" i="344"/>
  <c r="D11" i="344" s="1"/>
  <c r="C10" i="344"/>
  <c r="D10" i="344" s="1"/>
  <c r="C9" i="344"/>
  <c r="D9" i="344" s="1"/>
  <c r="C8" i="344"/>
  <c r="D8" i="344" s="1"/>
  <c r="C7" i="344"/>
  <c r="D7" i="344" s="1"/>
  <c r="C6" i="344"/>
  <c r="D6" i="344" s="1"/>
  <c r="C5" i="344"/>
  <c r="D5" i="344" s="1"/>
  <c r="C4" i="344"/>
  <c r="D4" i="344" s="1"/>
  <c r="C3" i="344"/>
  <c r="D3" i="344" s="1"/>
  <c r="C3" i="343"/>
  <c r="D3" i="343" s="1"/>
  <c r="C4" i="343"/>
  <c r="D4" i="343" s="1"/>
  <c r="C6" i="343"/>
  <c r="D6" i="343" s="1"/>
  <c r="C7" i="343"/>
  <c r="D7" i="343" s="1"/>
  <c r="C8" i="343"/>
  <c r="D8" i="343" s="1"/>
  <c r="C9" i="343"/>
  <c r="C10" i="343"/>
  <c r="D10" i="343" s="1"/>
  <c r="C11" i="343"/>
  <c r="D11" i="343" s="1"/>
  <c r="C12" i="343"/>
  <c r="D12" i="343" s="1"/>
  <c r="C14" i="343"/>
  <c r="D14" i="343" s="1"/>
  <c r="C15" i="343"/>
  <c r="D15" i="343" s="1"/>
  <c r="C16" i="343"/>
  <c r="D16" i="343" s="1"/>
  <c r="C17" i="343"/>
  <c r="D17" i="343" s="1"/>
  <c r="C18" i="343"/>
  <c r="D18" i="343" s="1"/>
  <c r="C19" i="343"/>
  <c r="D19" i="343" s="1"/>
  <c r="C20" i="343"/>
  <c r="D20" i="343" s="1"/>
  <c r="C21" i="343"/>
  <c r="D21" i="343" s="1"/>
  <c r="C22" i="343"/>
  <c r="D22" i="343" s="1"/>
  <c r="C23" i="343"/>
  <c r="D23" i="343" s="1"/>
  <c r="C24" i="343"/>
  <c r="D24" i="343" s="1"/>
  <c r="B28" i="343"/>
  <c r="C27" i="343"/>
  <c r="C26" i="343"/>
  <c r="C25" i="343"/>
  <c r="D7" i="341"/>
  <c r="C3" i="341"/>
  <c r="D3" i="341" s="1"/>
  <c r="C4" i="341"/>
  <c r="D4" i="341" s="1"/>
  <c r="C5" i="341"/>
  <c r="D5" i="341" s="1"/>
  <c r="C6" i="341"/>
  <c r="D6" i="341" s="1"/>
  <c r="C7" i="341"/>
  <c r="C8" i="341"/>
  <c r="D8" i="341" s="1"/>
  <c r="C9" i="341"/>
  <c r="D9" i="341" s="1"/>
  <c r="C10" i="341"/>
  <c r="D10" i="341" s="1"/>
  <c r="C11" i="341"/>
  <c r="D11" i="341" s="1"/>
  <c r="C12" i="341"/>
  <c r="D12" i="341" s="1"/>
  <c r="C13" i="341"/>
  <c r="D13" i="341" s="1"/>
  <c r="C14" i="341"/>
  <c r="D14" i="341" s="1"/>
  <c r="C15" i="341"/>
  <c r="D15" i="341" s="1"/>
  <c r="C16" i="341"/>
  <c r="D16" i="341" s="1"/>
  <c r="C17" i="341"/>
  <c r="D17" i="341" s="1"/>
  <c r="C18" i="341"/>
  <c r="D18" i="341" s="1"/>
  <c r="C19" i="341"/>
  <c r="D19" i="341" s="1"/>
  <c r="C20" i="341"/>
  <c r="D20" i="341" s="1"/>
  <c r="C21" i="341"/>
  <c r="D21" i="341" s="1"/>
  <c r="C22" i="341"/>
  <c r="D22" i="341" s="1"/>
  <c r="C23" i="341"/>
  <c r="D23" i="341" s="1"/>
  <c r="C25" i="341"/>
  <c r="D25" i="341" s="1"/>
  <c r="C26" i="341"/>
  <c r="D26" i="341" s="1"/>
  <c r="C24" i="341"/>
  <c r="D24" i="341" s="1"/>
  <c r="B30" i="341"/>
  <c r="C29" i="341"/>
  <c r="C28" i="341"/>
  <c r="C27" i="341"/>
  <c r="C23" i="340"/>
  <c r="D23" i="340" s="1"/>
  <c r="C24" i="340"/>
  <c r="D24" i="340" s="1"/>
  <c r="C3" i="340"/>
  <c r="D3" i="340" s="1"/>
  <c r="C4" i="340"/>
  <c r="D4" i="340" s="1"/>
  <c r="C5" i="340"/>
  <c r="D5" i="340" s="1"/>
  <c r="C6" i="340"/>
  <c r="D6" i="340" s="1"/>
  <c r="C7" i="340"/>
  <c r="D7" i="340" s="1"/>
  <c r="C8" i="340"/>
  <c r="D8" i="340" s="1"/>
  <c r="C9" i="340"/>
  <c r="D9" i="340" s="1"/>
  <c r="C10" i="340"/>
  <c r="D10" i="340" s="1"/>
  <c r="C11" i="340"/>
  <c r="D11" i="340" s="1"/>
  <c r="C12" i="340"/>
  <c r="D12" i="340" s="1"/>
  <c r="C13" i="340"/>
  <c r="D13" i="340" s="1"/>
  <c r="C14" i="340"/>
  <c r="D14" i="340" s="1"/>
  <c r="D22" i="340"/>
  <c r="D25" i="340"/>
  <c r="C15" i="340"/>
  <c r="D15" i="340" s="1"/>
  <c r="C16" i="340"/>
  <c r="D16" i="340" s="1"/>
  <c r="C17" i="340"/>
  <c r="D17" i="340" s="1"/>
  <c r="C18" i="340"/>
  <c r="D18" i="340" s="1"/>
  <c r="C19" i="340"/>
  <c r="D19" i="340" s="1"/>
  <c r="C20" i="340"/>
  <c r="D20" i="340" s="1"/>
  <c r="C21" i="340"/>
  <c r="D21" i="340" s="1"/>
  <c r="C22" i="340"/>
  <c r="C25" i="340"/>
  <c r="C27" i="340"/>
  <c r="D27" i="340" s="1"/>
  <c r="C26" i="340"/>
  <c r="D26" i="340" s="1"/>
  <c r="B31" i="340"/>
  <c r="C30" i="340"/>
  <c r="C29" i="340"/>
  <c r="C28" i="340"/>
  <c r="D29" i="337"/>
  <c r="D30" i="337"/>
  <c r="C29" i="337"/>
  <c r="C30" i="337"/>
  <c r="B26" i="338"/>
  <c r="C25" i="338"/>
  <c r="C24" i="338"/>
  <c r="C23" i="338"/>
  <c r="C22" i="338"/>
  <c r="D22" i="338" s="1"/>
  <c r="C21" i="338"/>
  <c r="D21" i="338" s="1"/>
  <c r="C20" i="338"/>
  <c r="D20" i="338" s="1"/>
  <c r="D19" i="338"/>
  <c r="C19" i="338"/>
  <c r="C18" i="338"/>
  <c r="D18" i="338" s="1"/>
  <c r="C17" i="338"/>
  <c r="D17" i="338" s="1"/>
  <c r="D16" i="338"/>
  <c r="C16" i="338"/>
  <c r="C15" i="338"/>
  <c r="D15" i="338" s="1"/>
  <c r="C14" i="338"/>
  <c r="D14" i="338" s="1"/>
  <c r="C13" i="338"/>
  <c r="D13" i="338" s="1"/>
  <c r="C12" i="338"/>
  <c r="D12" i="338" s="1"/>
  <c r="C11" i="338"/>
  <c r="D11" i="338" s="1"/>
  <c r="C10" i="338"/>
  <c r="D10" i="338" s="1"/>
  <c r="D9" i="338"/>
  <c r="C9" i="338"/>
  <c r="C8" i="338"/>
  <c r="D8" i="338" s="1"/>
  <c r="C7" i="338"/>
  <c r="D7" i="338" s="1"/>
  <c r="C6" i="338"/>
  <c r="D6" i="338" s="1"/>
  <c r="C5" i="338"/>
  <c r="D5" i="338" s="1"/>
  <c r="D4" i="338"/>
  <c r="C4" i="338"/>
  <c r="C3" i="338"/>
  <c r="C10" i="368" l="1"/>
  <c r="C14" i="365"/>
  <c r="C9" i="358"/>
  <c r="C10" i="353"/>
  <c r="C10" i="354"/>
  <c r="C24" i="351"/>
  <c r="C9" i="349"/>
  <c r="C9" i="348"/>
  <c r="C8" i="375"/>
  <c r="C8" i="374"/>
  <c r="D3" i="374"/>
  <c r="C8" i="373"/>
  <c r="C18" i="372"/>
  <c r="D3" i="372"/>
  <c r="C22" i="371"/>
  <c r="D3" i="371"/>
  <c r="C9" i="370"/>
  <c r="D3" i="370"/>
  <c r="C9" i="369"/>
  <c r="C9" i="367"/>
  <c r="C26" i="366"/>
  <c r="D3" i="365"/>
  <c r="C17" i="364"/>
  <c r="D3" i="364"/>
  <c r="C18" i="363"/>
  <c r="C26" i="362"/>
  <c r="C14" i="361"/>
  <c r="C18" i="360"/>
  <c r="D3" i="360"/>
  <c r="C28" i="359"/>
  <c r="D3" i="359"/>
  <c r="D3" i="358"/>
  <c r="C10" i="356"/>
  <c r="C9" i="355"/>
  <c r="D3" i="354"/>
  <c r="D3" i="356"/>
  <c r="D3" i="353"/>
  <c r="C9" i="352"/>
  <c r="D4" i="351"/>
  <c r="C24" i="350"/>
  <c r="D20" i="350"/>
  <c r="D3" i="348"/>
  <c r="C10" i="347"/>
  <c r="D3" i="347"/>
  <c r="C27" i="344"/>
  <c r="C26" i="338"/>
  <c r="D3" i="338"/>
  <c r="C22" i="345"/>
  <c r="D18" i="345"/>
  <c r="C28" i="343"/>
  <c r="C30" i="341"/>
  <c r="C31" i="340"/>
  <c r="D7" i="337"/>
  <c r="D13" i="337"/>
  <c r="D14" i="337"/>
  <c r="D25" i="337"/>
  <c r="D26" i="337"/>
  <c r="C3" i="337"/>
  <c r="D3" i="337" s="1"/>
  <c r="C4" i="337"/>
  <c r="D4" i="337" s="1"/>
  <c r="C5" i="337"/>
  <c r="D5" i="337" s="1"/>
  <c r="C6" i="337"/>
  <c r="D6" i="337" s="1"/>
  <c r="C7" i="337"/>
  <c r="C8" i="337"/>
  <c r="D8" i="337" s="1"/>
  <c r="C9" i="337"/>
  <c r="D9" i="337" s="1"/>
  <c r="C10" i="337"/>
  <c r="D10" i="337" s="1"/>
  <c r="C11" i="337"/>
  <c r="D11" i="337" s="1"/>
  <c r="C12" i="337"/>
  <c r="D12" i="337" s="1"/>
  <c r="C13" i="337"/>
  <c r="C14" i="337"/>
  <c r="C15" i="337"/>
  <c r="D15" i="337" s="1"/>
  <c r="C16" i="337"/>
  <c r="D16" i="337" s="1"/>
  <c r="C17" i="337"/>
  <c r="D17" i="337" s="1"/>
  <c r="C18" i="337"/>
  <c r="D18" i="337" s="1"/>
  <c r="C19" i="337"/>
  <c r="D19" i="337" s="1"/>
  <c r="C20" i="337"/>
  <c r="D20" i="337" s="1"/>
  <c r="C21" i="337"/>
  <c r="D21" i="337" s="1"/>
  <c r="C22" i="337"/>
  <c r="D22" i="337" s="1"/>
  <c r="C23" i="337"/>
  <c r="D23" i="337" s="1"/>
  <c r="C24" i="337"/>
  <c r="D24" i="337" s="1"/>
  <c r="C25" i="337"/>
  <c r="C26" i="337"/>
  <c r="C27" i="337"/>
  <c r="D27" i="337" s="1"/>
  <c r="C28" i="337"/>
  <c r="D28" i="337" s="1"/>
  <c r="B36" i="337"/>
  <c r="C35" i="337"/>
  <c r="C34" i="337"/>
  <c r="C33" i="337"/>
  <c r="C32" i="337"/>
  <c r="D32" i="337" s="1"/>
  <c r="C31" i="337"/>
  <c r="C36" i="337" l="1"/>
  <c r="D31" i="337"/>
  <c r="D4" i="336"/>
  <c r="D5" i="336"/>
  <c r="C4" i="336"/>
  <c r="C5" i="336"/>
  <c r="B9" i="336"/>
  <c r="C8" i="336"/>
  <c r="C7" i="336"/>
  <c r="C6" i="336"/>
  <c r="C3" i="336"/>
  <c r="D5" i="335"/>
  <c r="C4" i="335"/>
  <c r="D4" i="335" s="1"/>
  <c r="C5" i="335"/>
  <c r="B10" i="335"/>
  <c r="C9" i="335"/>
  <c r="C8" i="335"/>
  <c r="C7" i="335"/>
  <c r="C6" i="335"/>
  <c r="D6" i="335" s="1"/>
  <c r="C3" i="335"/>
  <c r="D3" i="335" s="1"/>
  <c r="C4" i="333"/>
  <c r="D4" i="333" s="1"/>
  <c r="C5" i="333"/>
  <c r="D5" i="333" s="1"/>
  <c r="C9" i="336" l="1"/>
  <c r="D3" i="336"/>
  <c r="C10" i="335"/>
  <c r="B10" i="333"/>
  <c r="C9" i="333"/>
  <c r="C8" i="333"/>
  <c r="C7" i="333"/>
  <c r="C6" i="333"/>
  <c r="D6" i="333" s="1"/>
  <c r="C3" i="333"/>
  <c r="D3" i="333" s="1"/>
  <c r="C10" i="333" l="1"/>
  <c r="C4" i="307" l="1"/>
  <c r="D4" i="307" s="1"/>
  <c r="D4" i="305"/>
  <c r="C4" i="305"/>
  <c r="C5" i="305"/>
  <c r="D5" i="305" s="1"/>
  <c r="D5" i="304"/>
  <c r="C5" i="304"/>
  <c r="C3" i="304"/>
  <c r="D3" i="304" s="1"/>
  <c r="C4" i="304"/>
  <c r="D4" i="304" s="1"/>
  <c r="C7" i="304"/>
  <c r="D7" i="304" s="1"/>
  <c r="C4" i="303"/>
  <c r="D4" i="303" s="1"/>
  <c r="C5" i="303"/>
  <c r="D5" i="303" s="1"/>
  <c r="E5" i="302"/>
  <c r="E4" i="302"/>
  <c r="B12" i="332" l="1"/>
  <c r="C11" i="332"/>
  <c r="C10" i="332"/>
  <c r="C9" i="332"/>
  <c r="C8" i="332"/>
  <c r="D8" i="332" s="1"/>
  <c r="C7" i="332"/>
  <c r="D7" i="332" s="1"/>
  <c r="C5" i="332"/>
  <c r="D5" i="332" s="1"/>
  <c r="C4" i="332"/>
  <c r="D4" i="332" s="1"/>
  <c r="C3" i="332"/>
  <c r="B8" i="331"/>
  <c r="C7" i="331"/>
  <c r="C6" i="331"/>
  <c r="C5" i="331"/>
  <c r="C4" i="331"/>
  <c r="C3" i="331"/>
  <c r="B8" i="330"/>
  <c r="C7" i="330"/>
  <c r="C6" i="330"/>
  <c r="C5" i="330"/>
  <c r="C4" i="330"/>
  <c r="D4" i="330" s="1"/>
  <c r="C3" i="330"/>
  <c r="B8" i="329"/>
  <c r="C7" i="329"/>
  <c r="C6" i="329"/>
  <c r="C5" i="329"/>
  <c r="C4" i="329"/>
  <c r="D4" i="329" s="1"/>
  <c r="C3" i="329"/>
  <c r="D3" i="329" s="1"/>
  <c r="B8" i="328"/>
  <c r="C7" i="328"/>
  <c r="C6" i="328"/>
  <c r="C5" i="328"/>
  <c r="C4" i="328"/>
  <c r="C3" i="328"/>
  <c r="B8" i="327"/>
  <c r="C7" i="327"/>
  <c r="C6" i="327"/>
  <c r="C5" i="327"/>
  <c r="C4" i="327"/>
  <c r="D4" i="327" s="1"/>
  <c r="C3" i="327"/>
  <c r="B8" i="326"/>
  <c r="C7" i="326"/>
  <c r="C6" i="326"/>
  <c r="C5" i="326"/>
  <c r="C4" i="326"/>
  <c r="D4" i="326" s="1"/>
  <c r="C3" i="326"/>
  <c r="D3" i="326" s="1"/>
  <c r="B8" i="325"/>
  <c r="C7" i="325"/>
  <c r="C6" i="325"/>
  <c r="C5" i="325"/>
  <c r="C4" i="325"/>
  <c r="D4" i="325" s="1"/>
  <c r="C3" i="325"/>
  <c r="C8" i="324"/>
  <c r="B8" i="324"/>
  <c r="D7" i="324"/>
  <c r="D6" i="324"/>
  <c r="D5" i="324"/>
  <c r="D4" i="324"/>
  <c r="E4" i="324" s="1"/>
  <c r="D3" i="324"/>
  <c r="E8" i="323"/>
  <c r="D8" i="323"/>
  <c r="C8" i="323"/>
  <c r="B8" i="323"/>
  <c r="F7" i="323"/>
  <c r="F6" i="323"/>
  <c r="F5" i="323"/>
  <c r="F4" i="323"/>
  <c r="G4" i="323" s="1"/>
  <c r="F3" i="323"/>
  <c r="G3" i="323" s="1"/>
  <c r="C8" i="322"/>
  <c r="B8" i="322"/>
  <c r="D7" i="322"/>
  <c r="D6" i="322"/>
  <c r="D5" i="322"/>
  <c r="D4" i="322"/>
  <c r="E4" i="322" s="1"/>
  <c r="D3" i="322"/>
  <c r="E3" i="322" s="1"/>
  <c r="C8" i="321"/>
  <c r="B8" i="321"/>
  <c r="D7" i="321"/>
  <c r="D6" i="321"/>
  <c r="D5" i="321"/>
  <c r="D4" i="321"/>
  <c r="E4" i="321" s="1"/>
  <c r="D3" i="321"/>
  <c r="E3" i="321" s="1"/>
  <c r="F8" i="320"/>
  <c r="E8" i="320"/>
  <c r="D8" i="320"/>
  <c r="C8" i="320"/>
  <c r="B8" i="320"/>
  <c r="G7" i="320"/>
  <c r="G6" i="320"/>
  <c r="G5" i="320"/>
  <c r="G4" i="320"/>
  <c r="H4" i="320" s="1"/>
  <c r="G3" i="320"/>
  <c r="C8" i="319"/>
  <c r="B8" i="319"/>
  <c r="D7" i="319"/>
  <c r="D6" i="319"/>
  <c r="D5" i="319"/>
  <c r="D4" i="319"/>
  <c r="E4" i="319" s="1"/>
  <c r="D3" i="319"/>
  <c r="B9" i="317"/>
  <c r="C8" i="317"/>
  <c r="C7" i="317"/>
  <c r="C6" i="317"/>
  <c r="C4" i="317"/>
  <c r="D4" i="317" s="1"/>
  <c r="C3" i="317"/>
  <c r="D3" i="317" s="1"/>
  <c r="B8" i="316"/>
  <c r="C7" i="316"/>
  <c r="C6" i="316"/>
  <c r="C5" i="316"/>
  <c r="C4" i="316"/>
  <c r="D4" i="316" s="1"/>
  <c r="C3" i="316"/>
  <c r="D3" i="316" s="1"/>
  <c r="B8" i="315"/>
  <c r="C7" i="315"/>
  <c r="C6" i="315"/>
  <c r="C5" i="315"/>
  <c r="C4" i="315"/>
  <c r="C3" i="315"/>
  <c r="D3" i="315" s="1"/>
  <c r="B8" i="314"/>
  <c r="C7" i="314"/>
  <c r="C6" i="314"/>
  <c r="C5" i="314"/>
  <c r="C3" i="314"/>
  <c r="B8" i="313"/>
  <c r="C7" i="313"/>
  <c r="C6" i="313"/>
  <c r="C5" i="313"/>
  <c r="C4" i="313"/>
  <c r="D4" i="313" s="1"/>
  <c r="C3" i="313"/>
  <c r="B9" i="312"/>
  <c r="C8" i="312"/>
  <c r="C7" i="312"/>
  <c r="C6" i="312"/>
  <c r="C3" i="312"/>
  <c r="B8" i="311"/>
  <c r="C7" i="311"/>
  <c r="C6" i="311"/>
  <c r="C5" i="311"/>
  <c r="C4" i="311"/>
  <c r="D4" i="311" s="1"/>
  <c r="C3" i="311"/>
  <c r="D3" i="311" s="1"/>
  <c r="B8" i="310"/>
  <c r="C7" i="310"/>
  <c r="C6" i="310"/>
  <c r="C5" i="310"/>
  <c r="C4" i="310"/>
  <c r="D4" i="310" s="1"/>
  <c r="C3" i="310"/>
  <c r="D3" i="310" s="1"/>
  <c r="B8" i="309"/>
  <c r="C7" i="309"/>
  <c r="C6" i="309"/>
  <c r="C5" i="309"/>
  <c r="C4" i="309"/>
  <c r="D4" i="309" s="1"/>
  <c r="C3" i="309"/>
  <c r="C8" i="309" s="1"/>
  <c r="B8" i="308"/>
  <c r="C7" i="308"/>
  <c r="C6" i="308"/>
  <c r="C5" i="308"/>
  <c r="C4" i="308"/>
  <c r="D4" i="308" s="1"/>
  <c r="C3" i="308"/>
  <c r="B8" i="307"/>
  <c r="C7" i="307"/>
  <c r="C6" i="307"/>
  <c r="C5" i="307"/>
  <c r="C3" i="307"/>
  <c r="B8" i="306"/>
  <c r="C7" i="306"/>
  <c r="C6" i="306"/>
  <c r="C5" i="306"/>
  <c r="C4" i="306"/>
  <c r="C3" i="306"/>
  <c r="C8" i="306" s="1"/>
  <c r="B10" i="305"/>
  <c r="C9" i="305"/>
  <c r="C8" i="305"/>
  <c r="C7" i="305"/>
  <c r="C6" i="305"/>
  <c r="D6" i="305" s="1"/>
  <c r="C3" i="305"/>
  <c r="B11" i="304"/>
  <c r="C10" i="304"/>
  <c r="C9" i="304"/>
  <c r="C8" i="304"/>
  <c r="C6" i="304"/>
  <c r="C11" i="304" s="1"/>
  <c r="B10" i="303"/>
  <c r="C9" i="303"/>
  <c r="C8" i="303"/>
  <c r="C7" i="303"/>
  <c r="C6" i="303"/>
  <c r="D6" i="303" s="1"/>
  <c r="C3" i="303"/>
  <c r="B9" i="302"/>
  <c r="C8" i="325" l="1"/>
  <c r="D3" i="325"/>
  <c r="C8" i="316"/>
  <c r="C9" i="312"/>
  <c r="C8" i="313"/>
  <c r="D3" i="313"/>
  <c r="C8" i="307"/>
  <c r="D9" i="302"/>
  <c r="C8" i="331"/>
  <c r="C8" i="328"/>
  <c r="C12" i="332"/>
  <c r="D3" i="332"/>
  <c r="G8" i="320"/>
  <c r="D3" i="309"/>
  <c r="C8" i="329"/>
  <c r="C8" i="330"/>
  <c r="C8" i="327"/>
  <c r="C8" i="326"/>
  <c r="D8" i="324"/>
  <c r="E3" i="324"/>
  <c r="F8" i="323"/>
  <c r="D8" i="322"/>
  <c r="D8" i="321"/>
  <c r="D8" i="319"/>
  <c r="E3" i="319"/>
  <c r="C9" i="317"/>
  <c r="C8" i="315"/>
  <c r="C8" i="314"/>
  <c r="C8" i="311"/>
  <c r="C8" i="310"/>
  <c r="C8" i="308"/>
  <c r="C10" i="305"/>
  <c r="C10" i="303"/>
  <c r="E3" i="302"/>
  <c r="D3" i="330"/>
  <c r="D3" i="327"/>
  <c r="H3" i="320"/>
  <c r="D3" i="314"/>
  <c r="D3" i="312"/>
  <c r="D3" i="308"/>
  <c r="D3" i="307"/>
  <c r="D3" i="305"/>
  <c r="D6" i="304"/>
  <c r="D3" i="303"/>
  <c r="D8" i="301" l="1"/>
  <c r="C8" i="301"/>
  <c r="B8" i="301"/>
  <c r="E7" i="301"/>
  <c r="E6" i="301"/>
  <c r="E5" i="301"/>
  <c r="E4" i="301"/>
  <c r="F4" i="301" s="1"/>
  <c r="E3" i="301"/>
  <c r="C8" i="300"/>
  <c r="B8" i="300"/>
  <c r="D7" i="300"/>
  <c r="D6" i="300"/>
  <c r="D5" i="300"/>
  <c r="D4" i="300"/>
  <c r="E4" i="300" s="1"/>
  <c r="D3" i="300"/>
  <c r="E3" i="300" s="1"/>
  <c r="C8" i="299"/>
  <c r="B8" i="299"/>
  <c r="D7" i="299"/>
  <c r="D6" i="299"/>
  <c r="D5" i="299"/>
  <c r="D4" i="299"/>
  <c r="E4" i="299" s="1"/>
  <c r="D3" i="299"/>
  <c r="E3" i="299" s="1"/>
  <c r="B8" i="298"/>
  <c r="C7" i="298"/>
  <c r="C6" i="298"/>
  <c r="C5" i="298"/>
  <c r="C4" i="298"/>
  <c r="D4" i="298" s="1"/>
  <c r="C3" i="298"/>
  <c r="D3" i="298" s="1"/>
  <c r="B8" i="297"/>
  <c r="C7" i="297"/>
  <c r="C6" i="297"/>
  <c r="C5" i="297"/>
  <c r="C4" i="297"/>
  <c r="D4" i="297" s="1"/>
  <c r="C3" i="297"/>
  <c r="B8" i="296"/>
  <c r="C7" i="296"/>
  <c r="C6" i="296"/>
  <c r="C5" i="296"/>
  <c r="C4" i="296"/>
  <c r="D4" i="296" s="1"/>
  <c r="C3" i="296"/>
  <c r="D3" i="296" s="1"/>
  <c r="E8" i="301" l="1"/>
  <c r="C8" i="297"/>
  <c r="D3" i="297"/>
  <c r="C8" i="298"/>
  <c r="D8" i="300"/>
  <c r="D8" i="299"/>
  <c r="F3" i="301"/>
  <c r="C8" i="296"/>
  <c r="Q4" i="293" l="1"/>
  <c r="D8" i="293"/>
  <c r="E8" i="293"/>
  <c r="F8" i="293"/>
  <c r="G8" i="293"/>
  <c r="H8" i="293"/>
  <c r="I8" i="293"/>
  <c r="M8" i="293"/>
  <c r="N8" i="293"/>
  <c r="O8" i="293"/>
  <c r="H4" i="291"/>
  <c r="H3" i="291"/>
  <c r="C8" i="293" l="1"/>
  <c r="B8" i="293"/>
  <c r="F8" i="291" l="1"/>
  <c r="E8" i="291"/>
  <c r="C8" i="291"/>
  <c r="B8" i="291"/>
  <c r="E8" i="286" l="1"/>
  <c r="D8" i="286"/>
  <c r="C8" i="285"/>
  <c r="B8" i="285"/>
  <c r="C8" i="283"/>
  <c r="B8" i="283"/>
  <c r="C9" i="279"/>
  <c r="B9" i="279"/>
  <c r="B8" i="3"/>
  <c r="C3" i="3" l="1"/>
  <c r="D3" i="3" s="1"/>
  <c r="C4" i="3"/>
  <c r="D4" i="3" s="1"/>
  <c r="C5" i="3"/>
  <c r="C6" i="3"/>
  <c r="C7" i="3"/>
  <c r="C8" i="3" l="1"/>
  <c r="Q3" i="293" l="1"/>
  <c r="G4" i="286"/>
  <c r="G3" i="286"/>
  <c r="D3" i="285"/>
  <c r="E3" i="285" s="1"/>
  <c r="D4" i="285"/>
  <c r="E4" i="285" s="1"/>
  <c r="D5" i="285"/>
  <c r="D6" i="285"/>
  <c r="D7" i="285"/>
  <c r="D7" i="283"/>
  <c r="D6" i="283"/>
  <c r="D5" i="283"/>
  <c r="D4" i="283"/>
  <c r="E4" i="283" s="1"/>
  <c r="D3" i="283"/>
  <c r="E3" i="283" s="1"/>
  <c r="D3" i="279"/>
  <c r="E3" i="279" s="1"/>
  <c r="D4" i="279"/>
  <c r="E4" i="279" s="1"/>
  <c r="D5" i="279"/>
  <c r="E5" i="279" s="1"/>
  <c r="D6" i="279"/>
  <c r="D7" i="279"/>
  <c r="D8" i="279"/>
  <c r="F8" i="286" l="1"/>
  <c r="D9" i="279"/>
  <c r="G8" i="291"/>
  <c r="P8" i="293"/>
  <c r="D8" i="283"/>
  <c r="D8" i="285"/>
</calcChain>
</file>

<file path=xl/sharedStrings.xml><?xml version="1.0" encoding="utf-8"?>
<sst xmlns="http://schemas.openxmlformats.org/spreadsheetml/2006/main" count="1312" uniqueCount="653">
  <si>
    <t>Blank</t>
  </si>
  <si>
    <t>Void</t>
  </si>
  <si>
    <t>Total Votes by County</t>
  </si>
  <si>
    <t>Total Votes by Party</t>
  </si>
  <si>
    <t>Total Votes by Candidate</t>
  </si>
  <si>
    <t>Candidate Name (Party)</t>
  </si>
  <si>
    <t>Scattering</t>
  </si>
  <si>
    <t>Onondaga County Vote Results</t>
  </si>
  <si>
    <t>Madison County Vote Results</t>
  </si>
  <si>
    <t>Livingston County Vote Results</t>
  </si>
  <si>
    <t>Seneca County Vote Results</t>
  </si>
  <si>
    <t>Wayne County Vote Results</t>
  </si>
  <si>
    <t>Yates County Vote Results</t>
  </si>
  <si>
    <t>Genesee County Vote Results</t>
  </si>
  <si>
    <t>Wyoming County Vote Results</t>
  </si>
  <si>
    <t>Part of Suffolk County Vote Results</t>
  </si>
  <si>
    <t>Part of Nassau County Vote Results</t>
  </si>
  <si>
    <t>Part of Queens County Vote Results</t>
  </si>
  <si>
    <t>Part of Kings County Vote Results</t>
  </si>
  <si>
    <t>Part of New York County Vote Results</t>
  </si>
  <si>
    <t>Part of Bronx County Vote Results</t>
  </si>
  <si>
    <t>Part of Westchester County Vote Results</t>
  </si>
  <si>
    <t>Part of Niagara County Vote Results</t>
  </si>
  <si>
    <t>Part of Dutchess County
Vote Results</t>
  </si>
  <si>
    <t>Putnam County
Vote Results</t>
  </si>
  <si>
    <t>Rockland County 
Vote Results</t>
  </si>
  <si>
    <t>Part of Westchester County 
Vote Results</t>
  </si>
  <si>
    <t>Part of Jefferson County Vote Results</t>
  </si>
  <si>
    <t>Part of Cortland County Vote Results</t>
  </si>
  <si>
    <t>Part of Oneida County Vote Results</t>
  </si>
  <si>
    <t>Part of Cayuga County Vote Results</t>
  </si>
  <si>
    <t>Part of Schuyler County Vote Results</t>
  </si>
  <si>
    <t>Part of Steuben County Vote Results</t>
  </si>
  <si>
    <t>Oswego County Vote Results</t>
  </si>
  <si>
    <t>Orleans County Vote Results</t>
  </si>
  <si>
    <t>Part of Ontario County Vote Results</t>
  </si>
  <si>
    <t>Part of Rockland County Vote Results</t>
  </si>
  <si>
    <t>Cayuga County Vote Results</t>
  </si>
  <si>
    <t>Part of Onondaga County Vote Results</t>
  </si>
  <si>
    <t>Part of Oswego County Vote Results</t>
  </si>
  <si>
    <t>Part of Orange County Vote Results</t>
  </si>
  <si>
    <t>Part of Sullivan County Vote Results</t>
  </si>
  <si>
    <t>Part of Albany County Vote Results</t>
  </si>
  <si>
    <t>Part of Delaware County Vote Results</t>
  </si>
  <si>
    <t>Greene County Vote Results</t>
  </si>
  <si>
    <t>Part of Otsego County Vote Results</t>
  </si>
  <si>
    <t>Schoharie County Vote Results</t>
  </si>
  <si>
    <t>Part of Dutchess County Vote Results</t>
  </si>
  <si>
    <t>Part of Ulster County Vote Results</t>
  </si>
  <si>
    <t>Part of Columbia County Vote Results</t>
  </si>
  <si>
    <t>Part of Rensselaer County Vote Results</t>
  </si>
  <si>
    <t>Part of Washington County Vote Results</t>
  </si>
  <si>
    <t>Part of Erie County Vote Results</t>
  </si>
  <si>
    <t>Part of Wyoming County Vote Results</t>
  </si>
  <si>
    <t>Part of Monroe County Vote Results</t>
  </si>
  <si>
    <t>Representative in Congress 1st Congressional District - Democratic - Primary Election 6/25/2024</t>
  </si>
  <si>
    <t>Representative in Congress 10th Congressional District - Democratic - Primary Election 6/25/2024</t>
  </si>
  <si>
    <t>Representative in Congress 14th Congressional District - Democratic - Primary Election 6/25/2024</t>
  </si>
  <si>
    <t>Representative in Congress 16th Congressional District - Democratic - Primary Election 6/25/2024</t>
  </si>
  <si>
    <t>Representative in Congress 22nd Congressional District - Democratic - Primary Election 6/25/2024</t>
  </si>
  <si>
    <t>Representative in Congress 17th Congressional District - Working Families - Primary Election 6/25/2024</t>
  </si>
  <si>
    <t>Representative in Congress 24th Congressional District - Republican - Primary Election 6/25/2024</t>
  </si>
  <si>
    <t>State Senator 6th Senate District - Democratic - Primary Election 6/25/2024</t>
  </si>
  <si>
    <t>State Senator 7th Senate District - Democratic - Primary Election 6/25/2024</t>
  </si>
  <si>
    <t>State Senator 38th Senate District - Working Families - Primary Election 6/25/2024</t>
  </si>
  <si>
    <t>State Senator 48th Senate District - Republican - Primary Election 6/25/2024</t>
  </si>
  <si>
    <t>Bruno Grandsard (DEM)</t>
  </si>
  <si>
    <t>Evan Hutchison (DEM)</t>
  </si>
  <si>
    <t>Daniel Goldman (DEM)</t>
  </si>
  <si>
    <t>Kristen Gonzalez (DEM)</t>
  </si>
  <si>
    <t>Gus Lambropoulos (DEM)</t>
  </si>
  <si>
    <t>Claire Valdez (DEM)</t>
  </si>
  <si>
    <t>State Senator 50th Senate District - Democratic - Primary Election 6/25/2024</t>
  </si>
  <si>
    <t>State Senator 59th Senate District - Democratic - Primary Election 6/25/2024</t>
  </si>
  <si>
    <t>Member of Assembly 4th Assembly District - Democratic - Primary Election 6/25/2024</t>
  </si>
  <si>
    <t>Member of Assembly 18th Assembly District - Democratic - Primary Election 6/25/2024</t>
  </si>
  <si>
    <t>Member of Assembly 21st Assembly District - Democratic - Primary Election 6/25/2024</t>
  </si>
  <si>
    <t>Member of Assembly 34th Assembly District - Democratic - Primary Election 6/25/2024</t>
  </si>
  <si>
    <t>Member of Assembly 35th Assembly District - Democratic - Primary Election 6/25/2024</t>
  </si>
  <si>
    <t>Member of Assembly 37th Assembly District - Democratic - Primary Election 6/25/2024</t>
  </si>
  <si>
    <t>Member of Assembly 40th Assembly District - Democratic - Primary Election 6/25/2024</t>
  </si>
  <si>
    <t>Member of Assembly 41st Assembly District - Democratic - Primary Election 6/25/2024</t>
  </si>
  <si>
    <t>Member of Assembly 50th Assembly District - Democratic - Primary Election 6/25/2024</t>
  </si>
  <si>
    <t>Member of Assembly 52nd Assembly District - Democratic - Primary Election 6/25/2024</t>
  </si>
  <si>
    <t>Member of Assembly 56th Assembly District - Democratic - Primary Election 6/25/2024</t>
  </si>
  <si>
    <t>Member of Assembly 68th Assembly District - Democratic - Primary Election 6/25/2024</t>
  </si>
  <si>
    <t>Member of Assembly 69th Assembly District - Democratic - Primary Election 6/25/2024</t>
  </si>
  <si>
    <t>Member of Assembly 70th Assembly District - Democratic - Primary Election 6/25/2024</t>
  </si>
  <si>
    <t>Member of Assembly 71st Assembly District - Democratic - Primary Election 6/25/2024</t>
  </si>
  <si>
    <t>Member of Assembly 72nd Assembly District - Democratic - Primary Election 6/25/2024</t>
  </si>
  <si>
    <t>Member of Assembly 77th Assembly District - Democratic - Primary Election 6/25/2024</t>
  </si>
  <si>
    <t>Member of Assembly 82nd Assembly District - Democratic - Primary Election 6/25/2024</t>
  </si>
  <si>
    <t>Member of Assembly 84th Assembly District - Democratic - Primary Election 6/25/2024</t>
  </si>
  <si>
    <t>Member of Assembly 92nd Assembly District - Democratic - Primary Election 6/25/2024</t>
  </si>
  <si>
    <t>Member of Assembly 97th Assembly District - Democratic - Primary Election 6/25/2024</t>
  </si>
  <si>
    <t>Member of Assembly 102nd Assembly District - Democratic - Primary Election 6/25/2024</t>
  </si>
  <si>
    <t>Member of Assembly 103rd Assembly District - Democratic - Primary Election 6/25/2024</t>
  </si>
  <si>
    <t>Member of Assembly 106th Assembly District - Democratic - Primary Election 6/25/2024</t>
  </si>
  <si>
    <t>Member of Assembly 107th Assembly District - Democratic - Primary Election 6/25/2024</t>
  </si>
  <si>
    <t>Member of Assembly 109th Assembly District - Democratic - Primary Election 6/25/2024</t>
  </si>
  <si>
    <t>Member of Assembly 137th Assembly District - Democratic - Primary Election 6/25/2024</t>
  </si>
  <si>
    <t>Member of Assembly 97th Assembly District - Conservative - Primary Election 6/25/2024</t>
  </si>
  <si>
    <t>Member of Assembly 100th Assembly District - Republican - Primary Election 6/25/2024</t>
  </si>
  <si>
    <t>Member of Assembly 147th Assembly District - Republican - Primary Election 6/25/2024</t>
  </si>
  <si>
    <t>Juan Ardila (DEM)</t>
  </si>
  <si>
    <t>Johanna Carmona (DEM)</t>
  </si>
  <si>
    <t>Tamika Mapp (DEM)</t>
  </si>
  <si>
    <t>William Smith (DEM)</t>
  </si>
  <si>
    <t>Xavier A. Santiago (DEM)</t>
  </si>
  <si>
    <t>Edward Gibbs (DEM)</t>
  </si>
  <si>
    <t>Micah C. Lasher (DEM)</t>
  </si>
  <si>
    <t>Carmen R. Quinones (DEM)</t>
  </si>
  <si>
    <t>Eli Northrup (DEM)</t>
  </si>
  <si>
    <t>Melissa Rosenberg (DEM)</t>
  </si>
  <si>
    <t>Jack Kellner (DEM)</t>
  </si>
  <si>
    <t>Maria Ordonez (DEM)</t>
  </si>
  <si>
    <t>Jordan J.G. Wright (DEM)</t>
  </si>
  <si>
    <t>Shana Harmongoff (DEM)</t>
  </si>
  <si>
    <t>Craig Schley (DEM)</t>
  </si>
  <si>
    <t>Al Taylor (DEM)</t>
  </si>
  <si>
    <t>Francesca M. Castellanos (DEM)</t>
  </si>
  <si>
    <t>Manny De Los Santos (DEM)</t>
  </si>
  <si>
    <t>Julien Segura (DEM)</t>
  </si>
  <si>
    <t>Nicholas A. Reyes - M (DEM)</t>
  </si>
  <si>
    <t>Saundrea I. Coleman - F (DEM)</t>
  </si>
  <si>
    <t>Eugene A. Rodriguez - M (DEM)</t>
  </si>
  <si>
    <t>Stephanie Arroyo - F (DEM)</t>
  </si>
  <si>
    <t>Diana Rodriguez - F (DEM)</t>
  </si>
  <si>
    <t>Londel Davis, Jr. - M (DEM)</t>
  </si>
  <si>
    <t>Jonathan Brown - M (DEM)</t>
  </si>
  <si>
    <t>Alyah M. Horsford-Sidberry - F (DEM)</t>
  </si>
  <si>
    <t>State Committee 68th Assembly District - Democratic - Primary Election 6/25/2024
Vote for 2</t>
  </si>
  <si>
    <t>State Committee 70th Assembly District - Democratic - Primary Election 6/25/2024
Vote for 2</t>
  </si>
  <si>
    <t>State Committee 72nd Assembly District - Democratic - Primary Election 6/25/2024
Vote for 2</t>
  </si>
  <si>
    <t>Josue Perez - M (DEM)</t>
  </si>
  <si>
    <t>Argentina M. Cruz - F (DEM)</t>
  </si>
  <si>
    <t>Dayana Pichardo - F (DEM)</t>
  </si>
  <si>
    <t>1st Judicial Delegates 68th Assembly District - Democratic - Primary Election 6/25/2024
Vote for 10</t>
  </si>
  <si>
    <t>Harry Rodriguez (DEM)</t>
  </si>
  <si>
    <t>James Ratti (DEM)</t>
  </si>
  <si>
    <t>Claudia Perez (DEM)</t>
  </si>
  <si>
    <t>Carlos Diaz (DEM)</t>
  </si>
  <si>
    <t>James D. Gray (DEM)</t>
  </si>
  <si>
    <t>Miriam Falcon Lopez (DEM)</t>
  </si>
  <si>
    <t>Diana Burgos (DEM)</t>
  </si>
  <si>
    <t>Leslie Colon (DEM)</t>
  </si>
  <si>
    <t>Carmen Vazquez (DEM)</t>
  </si>
  <si>
    <t>Diana Ayala (DEM)</t>
  </si>
  <si>
    <t>Melissa Mark Viverito (DEM)</t>
  </si>
  <si>
    <t>John Ruiz Miranda (DEM)</t>
  </si>
  <si>
    <t>Melinda Velez (DEM)</t>
  </si>
  <si>
    <t>Melanie Ruiz (DEM)</t>
  </si>
  <si>
    <t>Kaliris Salas-Ramirez (DEM)</t>
  </si>
  <si>
    <t>Marlon Ruiz (DEM)</t>
  </si>
  <si>
    <t>Elsie Encarnacion (DEM)</t>
  </si>
  <si>
    <t>Peggy Morales (DEM)</t>
  </si>
  <si>
    <t>Deborah Busacco (DEM)</t>
  </si>
  <si>
    <t>Monisha Mapp (DEM)</t>
  </si>
  <si>
    <t>Beverly MacFarlane (DEM)</t>
  </si>
  <si>
    <t>Teisha McKoy (DEM)</t>
  </si>
  <si>
    <t>Faheem Abdur-Razaaq (DEM)</t>
  </si>
  <si>
    <t>Kioka Jackson (DEM)</t>
  </si>
  <si>
    <t>Kenneth Johnson (DEM)</t>
  </si>
  <si>
    <t>Marie Charles (DEM)</t>
  </si>
  <si>
    <t>Terrence Dixon (DEM)</t>
  </si>
  <si>
    <t>Steven Travis (DEM)</t>
  </si>
  <si>
    <t>Shawn Hill (DEM)</t>
  </si>
  <si>
    <t>1st Judicial Delegates 69th Assembly District - Democratic - Primary Election 6/25/2024
Vote for 16</t>
  </si>
  <si>
    <t>1st Alternate Judicial Delegates 68th Assembly District - Democratic - Primary Election 6/25/2024
Vote for 10</t>
  </si>
  <si>
    <t>Wayne Rivera (DEM)</t>
  </si>
  <si>
    <t>Carmen Ocasio (DEM)</t>
  </si>
  <si>
    <t>Nadine Telleria (DEM)</t>
  </si>
  <si>
    <t>Judith Medina (DEM)</t>
  </si>
  <si>
    <t>Warren S. Riley (DEM)</t>
  </si>
  <si>
    <t>Oliver Holmes (DEM)</t>
  </si>
  <si>
    <t>Michael Walker (DEM)</t>
  </si>
  <si>
    <t>Lorenzo Nova (DEM)</t>
  </si>
  <si>
    <t>Alan Flacks (DEM)</t>
  </si>
  <si>
    <t>Catharine A. Grad (DEM)</t>
  </si>
  <si>
    <t>Polly Spain (DEM)</t>
  </si>
  <si>
    <t>Elizabeth Kellner (DEM)</t>
  </si>
  <si>
    <t>Luis A. Roman (DEM)</t>
  </si>
  <si>
    <t>Stephanie Pinto (DEM)</t>
  </si>
  <si>
    <t>Aaron H. Mendelsohn (DEM)</t>
  </si>
  <si>
    <t>Noah Kaufman (DEM)</t>
  </si>
  <si>
    <t>Greer Mellon (DEM)</t>
  </si>
  <si>
    <t>Deborah Thomas (DEM)</t>
  </si>
  <si>
    <t>Patrick S. Almonrode (DEM)</t>
  </si>
  <si>
    <t>Christine Annechino (DEM)</t>
  </si>
  <si>
    <t>Joshua Pepper (DEM)</t>
  </si>
  <si>
    <t>Mary B. Peppito (DEM)</t>
  </si>
  <si>
    <t>Valerie Horst (DEM)</t>
  </si>
  <si>
    <t>Judith B. York (DEM)</t>
  </si>
  <si>
    <t>1st Judicial Delegates 70th Assembly District - Democratic - Primary Election 6/25/2024
Vote for 12</t>
  </si>
  <si>
    <t>Desmond Cadogan (DEM)</t>
  </si>
  <si>
    <t>Justine Medina (DEM)</t>
  </si>
  <si>
    <t>Jonathan Brown (DEM)</t>
  </si>
  <si>
    <t>Nicole Press (DEM)</t>
  </si>
  <si>
    <t>Alexandra Marks (DEM)</t>
  </si>
  <si>
    <t>Diana Rodriguez (DEM)</t>
  </si>
  <si>
    <t>Jules Rose (DEM)</t>
  </si>
  <si>
    <t>Lucy Ortiz (DEM)</t>
  </si>
  <si>
    <t>Jeanyna Garcia (DEM)</t>
  </si>
  <si>
    <t>Bryant Reynolds (DEM)</t>
  </si>
  <si>
    <t>Amie Castaldo (DEM)</t>
  </si>
  <si>
    <t>Keith L.T. Wright (DEM)</t>
  </si>
  <si>
    <t>Gricel Ortiz-Thompson (DEM)</t>
  </si>
  <si>
    <t>Delores Dickens Richards (DEM)</t>
  </si>
  <si>
    <t>William A. Allen (DEM)</t>
  </si>
  <si>
    <t>Londel Davis, Jr. (DEM)</t>
  </si>
  <si>
    <t>Gina C. Williams (DEM)</t>
  </si>
  <si>
    <t>Barry J. Weinberg (DEM)</t>
  </si>
  <si>
    <t>Cordell Cleare (DEM)</t>
  </si>
  <si>
    <t>Rhonda Evans (DEM)</t>
  </si>
  <si>
    <t>Lois V. Penny (DEM)</t>
  </si>
  <si>
    <t>Donna-Marie A. Gibbons (DEM)</t>
  </si>
  <si>
    <t>1st Alternate Judicial Delegates 71th Assembly District - Democratic - Primary Election 6/25/2024
Vote for 11</t>
  </si>
  <si>
    <t>1st Judicial Delegates 71th Assembly District - Democratic - Primary Election 6/25/2024
Vote for 11</t>
  </si>
  <si>
    <t>Earnestine Bell Temple (DEM)</t>
  </si>
  <si>
    <t>Juana H. Luna (DEM)</t>
  </si>
  <si>
    <t>Rita Miller (DEM)</t>
  </si>
  <si>
    <t>Maria A. Luna (DEM)</t>
  </si>
  <si>
    <t>Jackie Rowe Adams (DEM)</t>
  </si>
  <si>
    <t>Nancy Brown (DEM)</t>
  </si>
  <si>
    <t>Romula Jimenez (DEM)</t>
  </si>
  <si>
    <t>Carmen I. Grullon De Rojas (DEM)</t>
  </si>
  <si>
    <t>Melba Espaillat (DEM)</t>
  </si>
  <si>
    <t>Jenny D. Garcia (DEM)</t>
  </si>
  <si>
    <t>Carmen Perez (DEM)</t>
  </si>
  <si>
    <t>Elizabeth Veras (DEM)</t>
  </si>
  <si>
    <t>Dale Nelson (DEM)</t>
  </si>
  <si>
    <t>Laurie Tobias-Cohen (DEM)</t>
  </si>
  <si>
    <t>Julia Guzman (DEM)</t>
  </si>
  <si>
    <t>Nicauris Camilo (DEM)</t>
  </si>
  <si>
    <t>Maria Isabel Cofresi (DEM)</t>
  </si>
  <si>
    <t>Francia Pena-Reyes (DEM)</t>
  </si>
  <si>
    <t>1st Judicial Delegates 72th Assembly District - Democratic - Primary Election 6/25/2024
Vote for 8</t>
  </si>
  <si>
    <t>1st Alternate Judicial Delegates 72th Assembly District - Democratic - Primary Election 6/25/2024
Vote for 8</t>
  </si>
  <si>
    <t>Elizabeth Pepin (DEM)</t>
  </si>
  <si>
    <t>Maria Mazara (DEM)</t>
  </si>
  <si>
    <t>Jasinta Delacruz (DEM)</t>
  </si>
  <si>
    <t>Edwin Rosario (DEM)</t>
  </si>
  <si>
    <t>Paloma Lara (DEM)</t>
  </si>
  <si>
    <t>Jennyfer Almanzar (DEM)</t>
  </si>
  <si>
    <t>Joanna Katz (DEM)</t>
  </si>
  <si>
    <t>Carole Mulligan (DEM)</t>
  </si>
  <si>
    <t>Carmen N. De La Rosa (DEM)</t>
  </si>
  <si>
    <t>Micaela Lugo (DEM)</t>
  </si>
  <si>
    <t>Brunilda L. Rodriguez (DEM)</t>
  </si>
  <si>
    <t>Maria Morillo (DEM)</t>
  </si>
  <si>
    <t>Mariel De La Cruz (DEM)</t>
  </si>
  <si>
    <t>Fernando Mendez (DEM)</t>
  </si>
  <si>
    <t>Elizabeth Balaguer (DEM)</t>
  </si>
  <si>
    <t>Ismael Rodriguez (DEM)</t>
  </si>
  <si>
    <t>Mildred Maneiro (DEM)</t>
  </si>
  <si>
    <t>Rafael Rodriguez (DEM)</t>
  </si>
  <si>
    <t>Albert Perez (DEM)</t>
  </si>
  <si>
    <t>Ruben Reyes (DEM)</t>
  </si>
  <si>
    <t>Edelmira Colon (DEM)</t>
  </si>
  <si>
    <t>Antonio Rivera (DEM)</t>
  </si>
  <si>
    <t>Jordan Ratti (DEM)</t>
  </si>
  <si>
    <t>Erica Gonzalez (DEM)</t>
  </si>
  <si>
    <t>Robin Spann-Jacobus (DEM)</t>
  </si>
  <si>
    <t>Exodus Murphy (DEM)</t>
  </si>
  <si>
    <t>Jewel Jones (DEM)</t>
  </si>
  <si>
    <t>Brice Pier (DEM)</t>
  </si>
  <si>
    <t>Carmen Cruz (DEM)</t>
  </si>
  <si>
    <t>Ida Vazquez (DEM)</t>
  </si>
  <si>
    <t>Aurora Flores (DEM)</t>
  </si>
  <si>
    <t>Monsur Choudhury (DEM)</t>
  </si>
  <si>
    <t>Shanda Ottle (DEM)</t>
  </si>
  <si>
    <t>Earlette Simpson (DEM)</t>
  </si>
  <si>
    <t>Tamika Livingston (DEM)</t>
  </si>
  <si>
    <t>Susan Southwell (DEM)</t>
  </si>
  <si>
    <t>Lois J. Naftulin (DEM)</t>
  </si>
  <si>
    <t>Bruce Robertson (DEM)</t>
  </si>
  <si>
    <t>Carolyn Mcbain (DEM)</t>
  </si>
  <si>
    <t>Mark S. Hamburgh (DEM)</t>
  </si>
  <si>
    <t>Onya U. Brinson (DEM)</t>
  </si>
  <si>
    <t>Valerie Settles (DEM)</t>
  </si>
  <si>
    <t>Nicholas Lyndon (DEM)</t>
  </si>
  <si>
    <t>Linda Royster (DEM)</t>
  </si>
  <si>
    <t>Brodie Enoch (DEM)</t>
  </si>
  <si>
    <t>Margarita Casimiro (DEM)</t>
  </si>
  <si>
    <t>Elizabeth Rodriguez (DEM)</t>
  </si>
  <si>
    <t>Altagracia Valiente (DEM)</t>
  </si>
  <si>
    <t>Antonio Abreu (DEM)</t>
  </si>
  <si>
    <t>Migdalia Berroa (DEM)</t>
  </si>
  <si>
    <t>Belkis Polanco (DEM)</t>
  </si>
  <si>
    <t>Yolanda Cesar-Zapata (DEM)</t>
  </si>
  <si>
    <t>Karmen Reasco (DEM)</t>
  </si>
  <si>
    <t>Johnny Fernandez (DEM)</t>
  </si>
  <si>
    <t>Lyana Fernandez (DEM)</t>
  </si>
  <si>
    <t>Yodalis Moran (DEM)</t>
  </si>
  <si>
    <t>Miosotis Alba (DEM)</t>
  </si>
  <si>
    <t>Nicole Castronova (DEM)</t>
  </si>
  <si>
    <t>Gail Sullivan (DEM)</t>
  </si>
  <si>
    <t>Edgar Tavarez (DEM)</t>
  </si>
  <si>
    <t>Christopher Hazeltine (DEM)</t>
  </si>
  <si>
    <t>Carolyn Murtaugh (DEM)</t>
  </si>
  <si>
    <t>Cecilia Anglero (DEM)</t>
  </si>
  <si>
    <t>Maurice A. Edwards (DEM)</t>
  </si>
  <si>
    <t>Noris Casillas (DEM)</t>
  </si>
  <si>
    <t>Barbara M. Frazer (DEM)</t>
  </si>
  <si>
    <t>Mariam James (DEM)</t>
  </si>
  <si>
    <t>Iris Baltazar (DEM)</t>
  </si>
  <si>
    <t>Hector Vasquez (DEM)</t>
  </si>
  <si>
    <t>Nerys Rodriguez (DEM)</t>
  </si>
  <si>
    <t>Martin W. Dolan (DEM)</t>
  </si>
  <si>
    <t>Alexandria Ocasio-Cortez (DEM)</t>
  </si>
  <si>
    <t>Jamaal A. Bowman (DEM)</t>
  </si>
  <si>
    <t>George S. Latimer (DEM)</t>
  </si>
  <si>
    <t>Landon C. Dais (DEM)</t>
  </si>
  <si>
    <t>Leonardo J. Coello (DEM)</t>
  </si>
  <si>
    <t>Amanda N. Septimo (DEM)</t>
  </si>
  <si>
    <t>Hector Feliciano (DEM)</t>
  </si>
  <si>
    <t>State Committee 77th Assembly District - Democratic - Primary Election 6/25/2024
Vote for 2</t>
  </si>
  <si>
    <t>Hernan Ortiz - M (DEM)</t>
  </si>
  <si>
    <t>Naimah Q. Sowell - F (DEM)</t>
  </si>
  <si>
    <t>Stacy Infante - F (DEM)</t>
  </si>
  <si>
    <t>Richard Benjamin Kwasi - M (DEM)</t>
  </si>
  <si>
    <t>State Committee 81st Assembly District -Democratic - Primary Election 6/25/2024
Vote for 2</t>
  </si>
  <si>
    <t>Michael Heller - M (DEM)</t>
  </si>
  <si>
    <t>Johanna Brujan Edmondson - F (DEM)</t>
  </si>
  <si>
    <t>Aaron Stayman - M (DEM)</t>
  </si>
  <si>
    <t>State Committee 84th Assembly District - Democratic - Primary Election 6/25/2024
Vote for 2</t>
  </si>
  <si>
    <t>Sonia Taylor - F (DEM)</t>
  </si>
  <si>
    <t>Robert Barnes - M (DEM)</t>
  </si>
  <si>
    <t>Michael Cayetano - M (DEM)</t>
  </si>
  <si>
    <t>12th Judicial Delegates 81st Assembly District - Democratic - Primary Election 6/25/2024
Vote for 9</t>
  </si>
  <si>
    <t>Ramdat Singh (DEM)</t>
  </si>
  <si>
    <t>George Diaz (DEM)</t>
  </si>
  <si>
    <t>Sue Ellen Dodell (DEM)</t>
  </si>
  <si>
    <t>Morgan Evers (DEM)</t>
  </si>
  <si>
    <t>John Marth (DEM)</t>
  </si>
  <si>
    <t>Jacqueline Gold (DEM)</t>
  </si>
  <si>
    <t>Aryeh Kalb (DEM)</t>
  </si>
  <si>
    <t>Kimberly Holocher-Furletti (DEM)</t>
  </si>
  <si>
    <t>Jennifer Bader (DEM)</t>
  </si>
  <si>
    <t>Eliot L. Engel (DEM)</t>
  </si>
  <si>
    <t>Teresa Colon (DEM)</t>
  </si>
  <si>
    <t>Randi Martos (DEM)</t>
  </si>
  <si>
    <t>Helen K. Morik (DEM)</t>
  </si>
  <si>
    <t>William F. Weitz (DEM)</t>
  </si>
  <si>
    <t>Nona Louise Dunbar (DEM)</t>
  </si>
  <si>
    <t>Delores Dixon (DEM)</t>
  </si>
  <si>
    <t>Sergio Villaverde (DEM)</t>
  </si>
  <si>
    <t>Eric Dinowitz (DEM)</t>
  </si>
  <si>
    <t>12th Alternate Judicial Delegates 81st Assembly District - Democratic - Primary Election 6/25/2024
Vote for 9</t>
  </si>
  <si>
    <t>Abigail Martin (DEM)</t>
  </si>
  <si>
    <t>Betsey Knapp (DEM)</t>
  </si>
  <si>
    <t>Dario Quinsac (DEM)</t>
  </si>
  <si>
    <t>Brent Schneider (DEM)</t>
  </si>
  <si>
    <t>Michael Villanova (DEM)</t>
  </si>
  <si>
    <t>Aaron Stayman (DEM)</t>
  </si>
  <si>
    <t>Bereket Ghebremedhin (DEM)</t>
  </si>
  <si>
    <t>Connor Geiran (DEM)</t>
  </si>
  <si>
    <t>Stephen Friedmann (DEM)</t>
  </si>
  <si>
    <t>Jeffrey Dinowitz (DEM)</t>
  </si>
  <si>
    <t>Fredda Tourin (DEM)</t>
  </si>
  <si>
    <t>Ellen Feld (DEM)</t>
  </si>
  <si>
    <t>Eleanor Oliff (DEM)</t>
  </si>
  <si>
    <t>Jerald Kreppel (DEM)</t>
  </si>
  <si>
    <t>Ira Bigeleisen (DEM)</t>
  </si>
  <si>
    <t>Jaclyn A. Picciano (DEM)</t>
  </si>
  <si>
    <t>Daniel A. Flores (DEM)</t>
  </si>
  <si>
    <t>Adam R. Dweck (DEM)</t>
  </si>
  <si>
    <t>Andrew Bodiford (DEM)</t>
  </si>
  <si>
    <t>Anathea C. Simpkins (DEM)</t>
  </si>
  <si>
    <t>Emily E. Gallagher (DEM)</t>
  </si>
  <si>
    <t>Jo Anne Simon (DEM)</t>
  </si>
  <si>
    <t>Scott Budow (DEM)</t>
  </si>
  <si>
    <t>Eon Huntley (DEM)</t>
  </si>
  <si>
    <t>Stefani L. Zinerman (DEM)</t>
  </si>
  <si>
    <t>State Committee 43rd Assembly District - Democratic - Primary Election 6/25/2024
Vote for 2</t>
  </si>
  <si>
    <t>Akel Williams - M - (DEM)</t>
  </si>
  <si>
    <t>Sarana Purcell - F (DEM)</t>
  </si>
  <si>
    <t>Anthony Beckford - M (DEM)</t>
  </si>
  <si>
    <t>State Committee 46th Assembly District - Democratic - Primary Election 6/25/2024
Vote for 2</t>
  </si>
  <si>
    <t>Billy Zeoli - M (DEM)</t>
  </si>
  <si>
    <t>Angela Kravtchenko - F (DEM)</t>
  </si>
  <si>
    <t>Chris McCreight - M (DEM)</t>
  </si>
  <si>
    <t>Dionne Brown-Jordan - F (DEM)</t>
  </si>
  <si>
    <t>State Committee 50th Assembly District - Democratic - Primary Election 6/25/2024
Vote for 2</t>
  </si>
  <si>
    <t>Averianna M. Eisenbach - F (DEM)</t>
  </si>
  <si>
    <t>Everton A. Smith - M (DEM)</t>
  </si>
  <si>
    <t>Luke R. Ohlson - M (DEM)</t>
  </si>
  <si>
    <t>Jenna R. Bimbi - F (DEM)</t>
  </si>
  <si>
    <t>State Committee 52nd Assembly District - Democratic - Primary Election 6/25/2024
Vote for 2</t>
  </si>
  <si>
    <t>Lydia B. Breen - F (DEM)</t>
  </si>
  <si>
    <t>Aaron Ouyang - M (DEM)</t>
  </si>
  <si>
    <t>Sabrina Gates - F (DEM)</t>
  </si>
  <si>
    <t>State Committee 55th Assembly District - Democratic - Primary Election 6/25/2024</t>
  </si>
  <si>
    <t>Darlene Mealy - F (DEM)</t>
  </si>
  <si>
    <t>Clifton A. Hinton - M (DEM)</t>
  </si>
  <si>
    <t>Dion C. Quamina I - M (DEM)</t>
  </si>
  <si>
    <t>Anthony T. Jones - M (DEM)</t>
  </si>
  <si>
    <t>State Committee 59th Assembly District - Democratic - Primary Election 6/25/2024
Vote for 2</t>
  </si>
  <si>
    <t>Roxanne Persaud - F (DEM)</t>
  </si>
  <si>
    <t>Racquel A. Williams - F (DEM)</t>
  </si>
  <si>
    <t>Frank R. Seddio - M (DEM)</t>
  </si>
  <si>
    <t>2nd Judicial Delegates 43rd Assembly District - Democratic - Primary Election 6/25/2024
Vote for 11</t>
  </si>
  <si>
    <t>Andrew Gabriel (DEM)</t>
  </si>
  <si>
    <t>Denise Mann (DEM)</t>
  </si>
  <si>
    <t>Carmen Martinez (DEM)</t>
  </si>
  <si>
    <t>Shirley Patterson (DEM)</t>
  </si>
  <si>
    <t>Patricia Charles (DEM)</t>
  </si>
  <si>
    <t>Edu Hermelyn (DEM)</t>
  </si>
  <si>
    <t>Michelle Tege (DEM)</t>
  </si>
  <si>
    <t>Romel Marcus (DEM)</t>
  </si>
  <si>
    <t>Sharon Wedderburn (DEM)</t>
  </si>
  <si>
    <t>Eve-lyn R. Williams (DEM)</t>
  </si>
  <si>
    <t>Unella Rhone-Perry (DEM)</t>
  </si>
  <si>
    <t>Akel Williams (DEM)</t>
  </si>
  <si>
    <t>Paurcha V. Edwards (DEM)</t>
  </si>
  <si>
    <t>Jacqueline N. Love (DEM)</t>
  </si>
  <si>
    <t>Sandra Higgins (DEM)</t>
  </si>
  <si>
    <t>Nnaedozie Agbasonu (DEM)</t>
  </si>
  <si>
    <t>Kellan N. Calder (DEM)</t>
  </si>
  <si>
    <t>Godfre-Vianney Bayalama (DEM)</t>
  </si>
  <si>
    <t>Max H. Davidson (DEM)</t>
  </si>
  <si>
    <t>Jason S. Hill (DEM)</t>
  </si>
  <si>
    <t>Miles E. Mcafee (DEM)</t>
  </si>
  <si>
    <t>Joel A. Wertheimer (DEM)</t>
  </si>
  <si>
    <t>2nd Judicial Delegates 46th Assembly District - Democratic - Primary Election 6/25/2024
Vote for 6</t>
  </si>
  <si>
    <t>Dionne Brown-Jordan (DEM)</t>
  </si>
  <si>
    <t>Michael Silverman (DEM)</t>
  </si>
  <si>
    <t>Billy Zeoli (DEM)</t>
  </si>
  <si>
    <t>Patricia Brown (DEM)</t>
  </si>
  <si>
    <t>Lori Silverman (DEM)</t>
  </si>
  <si>
    <t>Maudie S. Grant (DEM)</t>
  </si>
  <si>
    <t>Justin L. Brannan (DEM)</t>
  </si>
  <si>
    <t>Christina Das (DEM)</t>
  </si>
  <si>
    <t>Charlene T. Batts (DEM)</t>
  </si>
  <si>
    <t>Michael Thomas Sheldon (DEM)</t>
  </si>
  <si>
    <t>Katie A. Cucco (DEM)</t>
  </si>
  <si>
    <t>2nd Judicial Delegates 49th Assembly District - Democratic - Primary Election 6/25/2024
Vote for 4</t>
  </si>
  <si>
    <t>Nicholas Zimmitti (DEM)</t>
  </si>
  <si>
    <t>Joseph Bova (DEM)</t>
  </si>
  <si>
    <t>Jimmy Li (DEM)</t>
  </si>
  <si>
    <t>Wen Dong Lin (DEM)</t>
  </si>
  <si>
    <t>Tony Ying Ko (DEM)</t>
  </si>
  <si>
    <t>Sarawat Sarah (DEM)</t>
  </si>
  <si>
    <t>Sanny Liu (DEM)</t>
  </si>
  <si>
    <t>2nd Judicial Delegates 58th Assembly District - Democratic - Primary Election 6/25/2024
Vote for 10</t>
  </si>
  <si>
    <t>Ernest Skinner (DEM)</t>
  </si>
  <si>
    <t>Nicole Robinson-Etienne (DEM)</t>
  </si>
  <si>
    <t>Dalton Robinson (DEM)</t>
  </si>
  <si>
    <t>Yvette Barrow (DEM)</t>
  </si>
  <si>
    <t>Randolph E. Waterman (DEM)</t>
  </si>
  <si>
    <t>Russell Harris (DEM)</t>
  </si>
  <si>
    <t>Yvonne M. Chandler (DEM)</t>
  </si>
  <si>
    <t>Charles O. Galbreath (DEM)</t>
  </si>
  <si>
    <t>Dionne L. Davis (DEM)</t>
  </si>
  <si>
    <t>Georgia Richards (DEM)</t>
  </si>
  <si>
    <t>Farah N. Louis (DEM)</t>
  </si>
  <si>
    <t>Kevin Parker (DEM)</t>
  </si>
  <si>
    <t>Esther Debbie Louis (DEM)</t>
  </si>
  <si>
    <t>Hercules E. Reid (DEM)</t>
  </si>
  <si>
    <t>Velda Jeffrey (DEM)</t>
  </si>
  <si>
    <t>Anthony Herbert (DEM)</t>
  </si>
  <si>
    <t>Anne Tallegrand (DEM)</t>
  </si>
  <si>
    <t>Teresa Coaxum (DEM)</t>
  </si>
  <si>
    <t>Sabrina Dieujuste (DEM)</t>
  </si>
  <si>
    <t>Francis X. Shea (DEM)</t>
  </si>
  <si>
    <t>2nd Alternate Judicial Delegates 43rd Assembly District - Democratic - Primary Election 6/25/2024
Vote for 11</t>
  </si>
  <si>
    <t>Damion Tent (DEM)</t>
  </si>
  <si>
    <t>Kim Crumpler (DEM)</t>
  </si>
  <si>
    <t>Mary Moses (DEM)</t>
  </si>
  <si>
    <t>Verleen Dozier (DEM)</t>
  </si>
  <si>
    <t>Vernon Lynch (DEM)</t>
  </si>
  <si>
    <t>Lisa Reed (DEM)</t>
  </si>
  <si>
    <t>Oliver Haynes (DEM)</t>
  </si>
  <si>
    <t>Augustine Blackwell (DEM)</t>
  </si>
  <si>
    <t>Rosemarie Evering (DEM)</t>
  </si>
  <si>
    <t>Pauline Edwards (DEM)</t>
  </si>
  <si>
    <t>Natasha S. Best-Pearce (DEM)</t>
  </si>
  <si>
    <t>2nd Alternate Judicial Delegates 46th Assembly District - Democratic - Primary Election 6/25/2024
Vote for 6</t>
  </si>
  <si>
    <t>Lakeisha Bowers (DEM)</t>
  </si>
  <si>
    <t>Barbara Teitelbaum (DEM)</t>
  </si>
  <si>
    <t>Joshua Teitelbaum (DEM)</t>
  </si>
  <si>
    <t>Queenie Huling (DEM)</t>
  </si>
  <si>
    <t>Annette Wesley (DEM)</t>
  </si>
  <si>
    <t>Sophia Williams (DEM)</t>
  </si>
  <si>
    <t>Marvin J. Reiskin (DEM)</t>
  </si>
  <si>
    <t>Ann M. Valdez (DEM)</t>
  </si>
  <si>
    <t>Mario Caggiano (DEM)</t>
  </si>
  <si>
    <t>Rachel L. Brody (DEM)</t>
  </si>
  <si>
    <t>2nd Alternate Judicial Delegates 49th Assembly District - Democratic - Primary Election 6/25/2024
Vote for 4</t>
  </si>
  <si>
    <t>Sophia Zheng (DEM)</t>
  </si>
  <si>
    <t>Victoria Kelly (DEM)</t>
  </si>
  <si>
    <t>Peter J. Abbate, Jr. (DEM)</t>
  </si>
  <si>
    <t>Yi Duong (DEM)</t>
  </si>
  <si>
    <t>Susan Zhuang (DEM)</t>
  </si>
  <si>
    <t>Sam Lin (DEM)</t>
  </si>
  <si>
    <t>LaiNgor Ko (DEM)</t>
  </si>
  <si>
    <t>Ricky Chou (DEM)</t>
  </si>
  <si>
    <t>2nd Alternate Judicial Delegates 58th Assembly District - Democratic - Primary Election 6/25/2024
Vote for 10</t>
  </si>
  <si>
    <t>Chinua W. Duke (DEM)</t>
  </si>
  <si>
    <t>Nicole Langlaise (DEM)</t>
  </si>
  <si>
    <t>Christopher J. Smith (DEM)</t>
  </si>
  <si>
    <t>Donna Phillips (DEM)</t>
  </si>
  <si>
    <t>June Persaud (DEM)</t>
  </si>
  <si>
    <t>Bernadette Hokai (DEM)</t>
  </si>
  <si>
    <t>Christina Sparrock (DEM)</t>
  </si>
  <si>
    <t>Maxine E. Lewis (DEM)</t>
  </si>
  <si>
    <t>Keith Carr (DEM)</t>
  </si>
  <si>
    <t>Deborah Bourne (DEM)</t>
  </si>
  <si>
    <t>Malynda Jordan-Dandrige (DEM)</t>
  </si>
  <si>
    <t>Andrenia Burgis (DEM)</t>
  </si>
  <si>
    <t>Hassan Bakiriddin (DEM)</t>
  </si>
  <si>
    <t>Vaughn Mayers (DEM)</t>
  </si>
  <si>
    <t>Joan M.L. Alexander-Bakiriddin (DEM)</t>
  </si>
  <si>
    <t>Omar Boucher (DEM)</t>
  </si>
  <si>
    <t>Felix Cesar (DEM)</t>
  </si>
  <si>
    <t>Jessica Gonzalez-Rojas (DEM)</t>
  </si>
  <si>
    <t>Ricardo Pacheco (DEM)</t>
  </si>
  <si>
    <t>Hiram Monserrate (DEM)</t>
  </si>
  <si>
    <t>Larinda C. Hooks (DEM)</t>
  </si>
  <si>
    <t>Dao Yin (DEM)</t>
  </si>
  <si>
    <t>Yi Andy Chen (DEM)</t>
  </si>
  <si>
    <t>Ron Kim (DEM)</t>
  </si>
  <si>
    <t>State Committee 28th Assembly District - Democratic - Primary Election 6/25/2024
Vote for 2</t>
  </si>
  <si>
    <t>Diana Rachnaev - F (DEM)</t>
  </si>
  <si>
    <t>Maria D. Kaufer - F (DEM)</t>
  </si>
  <si>
    <t>Edwin K. Wong - M (DEM)</t>
  </si>
  <si>
    <t>State Committee 34th Assembly District - Democratic - Primary Election 6/25/2024
Vote for 2</t>
  </si>
  <si>
    <t>Ellen Raffaele - F (DEM)</t>
  </si>
  <si>
    <t>Michael G. DenDekker - M (DEM)</t>
  </si>
  <si>
    <t>Carolina Korth - F (DEM)</t>
  </si>
  <si>
    <t>John G. Scott - M (DEM)</t>
  </si>
  <si>
    <t>State Committee 35th Assembly District - Democratic - Primary Election 6/25/2024
Vote for 2</t>
  </si>
  <si>
    <t>Clara M. Salas - F (DEM)</t>
  </si>
  <si>
    <t>William A. Espinal - M (DEM)</t>
  </si>
  <si>
    <t>David Aiken - M (DEM)</t>
  </si>
  <si>
    <t>State Committee 36th Assembly District - Democratic - Primary Election 6/25/2024
Vote for 2</t>
  </si>
  <si>
    <t>Heather Ann Cortes - F (DEM)</t>
  </si>
  <si>
    <t>Brian Romero - M (DEM)</t>
  </si>
  <si>
    <t>Mohammed N. Haque - M (DEM)</t>
  </si>
  <si>
    <t>11th Judicial Delegates 28th Assembly District - Democratic - Primary Election 6/25/2024
Vote for 8</t>
  </si>
  <si>
    <t>Melissa Ann San Pedro (DEM)</t>
  </si>
  <si>
    <t>Suzanne W. Flannery (DEM)</t>
  </si>
  <si>
    <t>Heather E. Dimitriadis (DEM)</t>
  </si>
  <si>
    <t>Viana Wu Tran (DEM)</t>
  </si>
  <si>
    <t>Selena J. James (DEM)</t>
  </si>
  <si>
    <t>Antonia G. Russo (DEM)</t>
  </si>
  <si>
    <t>Katherine J. Lanegran (DEM)</t>
  </si>
  <si>
    <t>Soumaly King (DEM)</t>
  </si>
  <si>
    <t>Karen Koslowitz (DEM)</t>
  </si>
  <si>
    <t>Matthew M. Mandell (DEM)</t>
  </si>
  <si>
    <t>Ronnie Croce (DEM)</t>
  </si>
  <si>
    <t>Sheryl Ann Fetik (DEM)</t>
  </si>
  <si>
    <t>Edwin K. Wong (DEM)</t>
  </si>
  <si>
    <t>Sandra S. Mandell (DEM)</t>
  </si>
  <si>
    <t>David Aronov (DEM)</t>
  </si>
  <si>
    <t>Diana Rachnaev (DEM)</t>
  </si>
  <si>
    <t>11th Alternate Judicial Delegates 28th Assembly District - Democratic - Primary Election 6/25/2024
Vote for 8</t>
  </si>
  <si>
    <t>Alisa E. Tippie (DEM)</t>
  </si>
  <si>
    <t>Maria D. Kaufer (DEM)</t>
  </si>
  <si>
    <t>Richard J. Nunez-Lawrence (DEM)</t>
  </si>
  <si>
    <t>John J. Kaufer (DEM)</t>
  </si>
  <si>
    <t>Sharon Levy (DEM)</t>
  </si>
  <si>
    <t>Lilianna Zulunova (DEM)</t>
  </si>
  <si>
    <t>Mary Ellen G. Courtney (DEM)</t>
  </si>
  <si>
    <t>Myrna C. Jacobson (DEM)</t>
  </si>
  <si>
    <t>Ting Yan Wu (DEM)</t>
  </si>
  <si>
    <t>Nina V. Kulkarni (DEM)</t>
  </si>
  <si>
    <t>Sheridan C. Chu (DEM)</t>
  </si>
  <si>
    <t>Lara M. Evangelista (DEM)</t>
  </si>
  <si>
    <t>Member of Assembly 25th Assembly District - Republican - Primary Election 6/25/2024</t>
  </si>
  <si>
    <t>Kenneth Paek (REP)</t>
  </si>
  <si>
    <t>Anthony Frascone (WOR)</t>
  </si>
  <si>
    <t>Mondaire L. Jones (WOR)</t>
  </si>
  <si>
    <t>Sarah Klee Hood (DEM)</t>
  </si>
  <si>
    <t>John W. Mannion (DEM)</t>
  </si>
  <si>
    <t>Claudia Tenney (REP)</t>
  </si>
  <si>
    <t>Mario Fratto (REP)</t>
  </si>
  <si>
    <t>Caleb C. Slater (REP)</t>
  </si>
  <si>
    <t>Fanny Patricia Villarreal (REP)</t>
  </si>
  <si>
    <t>Thomas Drumm (DEM)</t>
  </si>
  <si>
    <t>Christopher J. Ryan (DEM)</t>
  </si>
  <si>
    <t>Camille O'Brien (REP)</t>
  </si>
  <si>
    <t>Louis J. Ingrassia, Jr. (REP)</t>
  </si>
  <si>
    <t>Mary T. Finneran (DEM)</t>
  </si>
  <si>
    <t>Janet S. Tweed (DEM)</t>
  </si>
  <si>
    <t>Gabi Madden (DEM)</t>
  </si>
  <si>
    <t>Sarahana Shrestha (DEM)</t>
  </si>
  <si>
    <t>Didi Barrett (DEM)</t>
  </si>
  <si>
    <t>Claire Elizabeth Cousin (DEM)</t>
  </si>
  <si>
    <t>Kent T. Sopris, Jr. (DEM)</t>
  </si>
  <si>
    <t>Chloe E. Pierce (DEM)</t>
  </si>
  <si>
    <t>David J. DiPietro (REP)</t>
  </si>
  <si>
    <t>Mitch Martin (REP)</t>
  </si>
  <si>
    <t>Brad Schwartz (DEM)</t>
  </si>
  <si>
    <t>Kim Keiserman (DEM)</t>
  </si>
  <si>
    <t>Taylor R. Darling (DEM)</t>
  </si>
  <si>
    <t>Siela A. Bynoe (DEM)</t>
  </si>
  <si>
    <t>Barbara J. Francis (WOR)</t>
  </si>
  <si>
    <t>Elijah A. Reichlin-Melnick (WOR)</t>
  </si>
  <si>
    <t>John P. Avlon (DEM)</t>
  </si>
  <si>
    <t>Nancy S. Goroff (DEM)</t>
  </si>
  <si>
    <t>Skyler Q. Johnson (DEM)</t>
  </si>
  <si>
    <t>Rebecca A. Kassay (DEM)</t>
  </si>
  <si>
    <t>Noah Burroughs (DEM)</t>
  </si>
  <si>
    <t>Lisa Ortiz (DEM)</t>
  </si>
  <si>
    <t>Judy A. Griffin (DEM)</t>
  </si>
  <si>
    <t>Patricia Maher (DEM)</t>
  </si>
  <si>
    <t>Aron B. Wieder (DEM)</t>
  </si>
  <si>
    <t>Eudson Tyson Francois (DEM)</t>
  </si>
  <si>
    <t>John W. McGowan (CON)</t>
  </si>
  <si>
    <t>Thomas F. Sullivan (CON)</t>
  </si>
  <si>
    <t>Michael Benedetto (DEM)</t>
  </si>
  <si>
    <t>Jonathan Soto (DEM)</t>
  </si>
  <si>
    <t>Thomas J. Abinanti (DEM)</t>
  </si>
  <si>
    <t>Maryjane C. Shimsky (DEM)</t>
  </si>
  <si>
    <t>Gabriella A. Romero (DEM)</t>
  </si>
  <si>
    <t>Owusu B. Anane (DEM)</t>
  </si>
  <si>
    <t>Ginnie E. Farrell (DEM)</t>
  </si>
  <si>
    <t>Dustin M. Reidy (DEM)</t>
  </si>
  <si>
    <t>Andrew C. Joyce (DEM)</t>
  </si>
  <si>
    <t>Jack Flynn (DEM)</t>
  </si>
  <si>
    <t>Willie J. Lightfoot (DEM)</t>
  </si>
  <si>
    <t>Demond L. Meeks (DEM)</t>
  </si>
  <si>
    <t>State Committee 137th Assembly District - Female - Democratic - Primary Election 6/25/2024</t>
  </si>
  <si>
    <t>Mercedes Vazquez-Simmons - F (DEM)</t>
  </si>
  <si>
    <t>Rose E. Bonnick - F (DEM)</t>
  </si>
  <si>
    <t>State Committee 137th Assembly District - Male - Democratic - Primary Election 6/25/2024</t>
  </si>
  <si>
    <t>Willie J. Lightfoot - M (DEM)</t>
  </si>
  <si>
    <t>Demond L. Meeks - M (DEM)</t>
  </si>
  <si>
    <t>State Senator 42nd Senate District - Conservative - Primary Election 6/25/2024</t>
  </si>
  <si>
    <t>Dorey F. Houle (CON)</t>
  </si>
  <si>
    <t>Timothy Mitts (CON)</t>
  </si>
  <si>
    <t>Kenneth Chiu (REP)</t>
  </si>
  <si>
    <t>Johanna Garcia (DEM)</t>
  </si>
  <si>
    <t>Dolores Leito (DEM)</t>
  </si>
  <si>
    <t>Amy Slattery (DEM)</t>
  </si>
  <si>
    <t>Stanley Ng (DEM)</t>
  </si>
  <si>
    <t>Kielah Burrowes (DEM)</t>
  </si>
  <si>
    <t>Angel R. Sanchez (DEM)</t>
  </si>
  <si>
    <t>Priscilla Douglas (DEM)</t>
  </si>
  <si>
    <t>Antonio W. Hasbun (DEM)</t>
  </si>
  <si>
    <t>Kalman Yeger (DEM)</t>
  </si>
  <si>
    <t>Carlton Berkley (DEM)</t>
  </si>
  <si>
    <t>Raul Reyes (DEM)</t>
  </si>
  <si>
    <t>Ali Diini (DEM)</t>
  </si>
  <si>
    <t>Inez E. Dickens (DEM)</t>
  </si>
  <si>
    <t>Ramon De La Rosa (DEM)</t>
  </si>
  <si>
    <t>Anthony R. Viola (DEM)</t>
  </si>
  <si>
    <t>Jospeh J. Packer (DEM)</t>
  </si>
  <si>
    <t>Patricia Scarborough (DEM)</t>
  </si>
  <si>
    <t>State Committee 94th Assembly District - Democratic - Primary Election 6/25/2024</t>
  </si>
  <si>
    <t>Elliot B. Krowe - M (DEM)</t>
  </si>
  <si>
    <t>Mark A. Lieberman - M (DEM)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</si>
</sst>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name val="Arial"/>
    </font>
    <font>
      <sz val="10"/>
      <name val="Arial"/>
      <family val="2"/>
    </font>
    <font>
      <b/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4" fillId="3" borderId="4" xfId="0" applyFont="1" applyFill="1" applyBorder="1"/>
    <xf numFmtId="3" fontId="3" fillId="0" borderId="1" xfId="0" applyNumberFormat="1" applyFont="1" applyBorder="1"/>
    <xf numFmtId="0" fontId="4" fillId="3" borderId="5" xfId="0" applyFont="1" applyFill="1" applyBorder="1"/>
    <xf numFmtId="0" fontId="4" fillId="2" borderId="6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/>
    </xf>
    <xf numFmtId="3" fontId="3" fillId="4" borderId="1" xfId="0" applyNumberFormat="1" applyFont="1" applyFill="1" applyBorder="1"/>
    <xf numFmtId="3" fontId="3" fillId="7" borderId="1" xfId="0" applyNumberFormat="1" applyFont="1" applyFill="1" applyBorder="1"/>
    <xf numFmtId="3" fontId="3" fillId="5" borderId="1" xfId="0" applyNumberFormat="1" applyFont="1" applyFill="1" applyBorder="1"/>
    <xf numFmtId="0" fontId="4" fillId="3" borderId="1" xfId="0" applyFont="1" applyFill="1" applyBorder="1"/>
    <xf numFmtId="3" fontId="3" fillId="4" borderId="3" xfId="0" applyNumberFormat="1" applyFont="1" applyFill="1" applyBorder="1"/>
    <xf numFmtId="3" fontId="3" fillId="5" borderId="8" xfId="0" applyNumberFormat="1" applyFont="1" applyFill="1" applyBorder="1"/>
    <xf numFmtId="3" fontId="3" fillId="5" borderId="7" xfId="0" applyNumberFormat="1" applyFont="1" applyFill="1" applyBorder="1"/>
    <xf numFmtId="0" fontId="5" fillId="0" borderId="1" xfId="0" applyFont="1" applyBorder="1"/>
    <xf numFmtId="3" fontId="5" fillId="0" borderId="1" xfId="0" applyNumberFormat="1" applyFont="1" applyBorder="1"/>
    <xf numFmtId="0" fontId="2" fillId="0" borderId="0" xfId="0" applyFont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6" borderId="2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4" fillId="3" borderId="4" xfId="0" applyFont="1" applyFill="1" applyBorder="1" applyAlignment="1">
      <alignment vertical="center"/>
    </xf>
    <xf numFmtId="3" fontId="0" fillId="0" borderId="0" xfId="0" applyNumberFormat="1"/>
    <xf numFmtId="0" fontId="4" fillId="4" borderId="1" xfId="0" applyFont="1" applyFill="1" applyBorder="1" applyAlignment="1">
      <alignment horizontal="right" vertical="center" wrapText="1"/>
    </xf>
    <xf numFmtId="3" fontId="4" fillId="4" borderId="1" xfId="0" applyNumberFormat="1" applyFont="1" applyFill="1" applyBorder="1"/>
    <xf numFmtId="3" fontId="4" fillId="0" borderId="1" xfId="0" applyNumberFormat="1" applyFont="1" applyBorder="1"/>
    <xf numFmtId="0" fontId="2" fillId="0" borderId="0" xfId="1" applyFont="1" applyAlignment="1">
      <alignment vertical="center"/>
    </xf>
    <xf numFmtId="0" fontId="7" fillId="0" borderId="0" xfId="1"/>
    <xf numFmtId="0" fontId="4" fillId="2" borderId="6" xfId="1" applyFont="1" applyFill="1" applyBorder="1" applyAlignment="1">
      <alignment vertical="center"/>
    </xf>
    <xf numFmtId="0" fontId="4" fillId="4" borderId="2" xfId="1" applyFont="1" applyFill="1" applyBorder="1" applyAlignment="1">
      <alignment horizontal="right" vertical="center" wrapText="1"/>
    </xf>
    <xf numFmtId="0" fontId="4" fillId="2" borderId="2" xfId="1" applyFont="1" applyFill="1" applyBorder="1" applyAlignment="1">
      <alignment horizontal="right" vertical="center"/>
    </xf>
    <xf numFmtId="0" fontId="4" fillId="6" borderId="2" xfId="1" applyFont="1" applyFill="1" applyBorder="1" applyAlignment="1">
      <alignment horizontal="right" vertical="center"/>
    </xf>
    <xf numFmtId="0" fontId="4" fillId="3" borderId="4" xfId="1" applyFont="1" applyFill="1" applyBorder="1"/>
    <xf numFmtId="3" fontId="3" fillId="0" borderId="1" xfId="1" applyNumberFormat="1" applyFont="1" applyBorder="1"/>
    <xf numFmtId="3" fontId="3" fillId="4" borderId="1" xfId="1" applyNumberFormat="1" applyFont="1" applyFill="1" applyBorder="1"/>
    <xf numFmtId="3" fontId="3" fillId="7" borderId="1" xfId="1" applyNumberFormat="1" applyFont="1" applyFill="1" applyBorder="1"/>
    <xf numFmtId="0" fontId="4" fillId="3" borderId="5" xfId="1" applyFont="1" applyFill="1" applyBorder="1"/>
    <xf numFmtId="3" fontId="3" fillId="5" borderId="1" xfId="1" applyNumberFormat="1" applyFont="1" applyFill="1" applyBorder="1"/>
    <xf numFmtId="0" fontId="4" fillId="3" borderId="1" xfId="1" applyFont="1" applyFill="1" applyBorder="1"/>
    <xf numFmtId="3" fontId="4" fillId="4" borderId="1" xfId="1" applyNumberFormat="1" applyFont="1" applyFill="1" applyBorder="1"/>
    <xf numFmtId="0" fontId="2" fillId="0" borderId="0" xfId="1" applyFont="1" applyAlignment="1">
      <alignment vertical="center" wrapText="1"/>
    </xf>
    <xf numFmtId="0" fontId="4" fillId="3" borderId="4" xfId="1" applyFont="1" applyFill="1" applyBorder="1" applyAlignment="1">
      <alignment vertical="center"/>
    </xf>
    <xf numFmtId="3" fontId="4" fillId="4" borderId="1" xfId="1" applyNumberFormat="1" applyFont="1" applyFill="1" applyBorder="1" applyAlignment="1">
      <alignment horizontal="right" vertical="center"/>
    </xf>
    <xf numFmtId="3" fontId="3" fillId="4" borderId="1" xfId="1" applyNumberFormat="1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3" fontId="5" fillId="0" borderId="1" xfId="1" applyNumberFormat="1" applyFont="1" applyBorder="1"/>
    <xf numFmtId="0" fontId="5" fillId="0" borderId="1" xfId="1" applyFont="1" applyBorder="1"/>
    <xf numFmtId="3" fontId="7" fillId="0" borderId="0" xfId="1" applyNumberFormat="1"/>
    <xf numFmtId="3" fontId="4" fillId="0" borderId="1" xfId="1" applyNumberFormat="1" applyFont="1" applyBorder="1"/>
    <xf numFmtId="3" fontId="3" fillId="0" borderId="1" xfId="0" applyNumberFormat="1" applyFont="1" applyBorder="1" applyAlignment="1">
      <alignment horizontal="right" vertical="center" wrapText="1"/>
    </xf>
    <xf numFmtId="3" fontId="4" fillId="7" borderId="1" xfId="0" applyNumberFormat="1" applyFont="1" applyFill="1" applyBorder="1"/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horizontal="right" vertical="center"/>
    </xf>
    <xf numFmtId="3" fontId="4" fillId="7" borderId="1" xfId="1" applyNumberFormat="1" applyFont="1" applyFill="1" applyBorder="1"/>
    <xf numFmtId="3" fontId="8" fillId="0" borderId="1" xfId="1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</cellXfs>
  <cellStyles count="2">
    <cellStyle name="Normal" xfId="0" builtinId="0"/>
    <cellStyle name="Normal 2" xfId="1" xr:uid="{B376805B-CDA4-40BB-9CBA-07158483D4D0}"/>
  </cellStyles>
  <dxfs count="12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2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9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7" xr:uid="{3360E458-6900-4D2A-96C6-CCDE53875AB0}" name="RepInCongressCongressionalDistrict1General" displayName="RepInCongressCongressionalDistrict1General" ref="A2:D8" totalsRowCount="1" headerRowDxfId="1232" dataDxfId="1230" totalsRowDxfId="1228" headerRowBorderDxfId="1231" tableBorderDxfId="1229" totalsRowBorderDxfId="1227">
  <autoFilter ref="A2:D7" xr:uid="{E4C80049-8B70-4EEE-86C5-EA95090A6C7F}">
    <filterColumn colId="0" hiddenButton="1"/>
    <filterColumn colId="1" hiddenButton="1"/>
    <filterColumn colId="2" hiddenButton="1"/>
    <filterColumn colId="3" hiddenButton="1"/>
  </autoFilter>
  <tableColumns count="4">
    <tableColumn id="1" xr3:uid="{F55769B7-1EE8-4111-B5C7-664BD53898E2}" name="Candidate Name (Party)" totalsRowLabel="Total Votes by County" dataDxfId="1226" totalsRowDxfId="1225"/>
    <tableColumn id="4" xr3:uid="{FF2A52C8-02FA-47B6-8F63-8DF9903732A9}" name="Part of Suffolk County Vote Results" totalsRowFunction="custom" dataDxfId="1224" totalsRowDxfId="1223">
      <totalsRowFormula>SUM(RepInCongressCongressionalDistrict1General[Part of Suffolk County Vote Results])</totalsRowFormula>
    </tableColumn>
    <tableColumn id="3" xr3:uid="{503A5495-0B8B-4E93-AE2D-CAFDED3E2B5E}" name="Total Votes by Party" totalsRowFunction="custom" dataDxfId="1222" totalsRowDxfId="1221">
      <calculatedColumnFormula>RepInCongressCongressionalDistrict1General[[#This Row],[Part of Suffolk County Vote Results]]</calculatedColumnFormula>
      <totalsRowFormula>SUM(RepInCongressCongressionalDistrict1General[Total Votes by Party])</totalsRowFormula>
    </tableColumn>
    <tableColumn id="2" xr3:uid="{4CB84B57-FB31-4C33-9F99-F201AB3F4146}" name="Total Votes by Candidate" dataDxfId="1220" totalsRowDxfId="1219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EDCD09-ABF0-42D8-B5DF-DDFB0C527CFE}" name="StateSenatorSenateDistrict38General" displayName="StateSenatorSenateDistrict38General" ref="A2:D8" totalsRowCount="1" headerRowDxfId="1063" dataDxfId="1061" totalsRowDxfId="1059" headerRowBorderDxfId="1062" tableBorderDxfId="1060" totalsRowBorderDxfId="1058">
  <autoFilter ref="A2:D7" xr:uid="{76D11FBE-A745-483E-9F05-DF6DDFB6229E}">
    <filterColumn colId="0" hiddenButton="1"/>
    <filterColumn colId="1" hiddenButton="1"/>
    <filterColumn colId="2" hiddenButton="1"/>
    <filterColumn colId="3" hiddenButton="1"/>
  </autoFilter>
  <tableColumns count="4">
    <tableColumn id="1" xr3:uid="{A5F895C0-7C35-493E-B2E4-DED0B442496F}" name="Candidate Name (Party)" totalsRowLabel="Total Votes by County" dataDxfId="1057" totalsRowDxfId="1056"/>
    <tableColumn id="2" xr3:uid="{D1602797-22FA-4D1F-968A-916EE2645AF2}" name="Part of Rockland County Vote Results" totalsRowFunction="custom" dataDxfId="1055" totalsRowDxfId="1054">
      <totalsRowFormula>SUM(StateSenatorSenateDistrict38General[Part of Rockland County Vote Results])</totalsRowFormula>
    </tableColumn>
    <tableColumn id="3" xr3:uid="{46FD3BC5-5A50-40F1-8976-A3D8B4AED86B}" name="Total Votes by Party" totalsRowFunction="custom" dataDxfId="1053" totalsRowDxfId="1052">
      <calculatedColumnFormula>SUM(StateSenatorSenateDistrict38General[[#This Row],[Part of Rockland County Vote Results]])</calculatedColumnFormula>
      <totalsRowFormula>SUM(StateSenatorSenateDistrict38General[Total Votes by Party])</totalsRowFormula>
    </tableColumn>
    <tableColumn id="5" xr3:uid="{AA1939CD-19AF-49DE-A731-40F0D31423BE}" name="Total Votes by Candidate" dataDxfId="1051" totalsRowDxfId="1050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D7BAC251-2308-4686-AFCC-94EF88AE5965}" name="StateSenatorSenateDistrict42General" displayName="StateSenatorSenateDistrict42General" ref="A2:D8" totalsRowCount="1" headerRowDxfId="1049" dataDxfId="1047" totalsRowDxfId="1045" headerRowBorderDxfId="1048" tableBorderDxfId="1046" totalsRowBorderDxfId="1044">
  <autoFilter ref="A2:D7" xr:uid="{9CADA4D5-AD93-43D2-97C2-C1AEED7CF8DB}">
    <filterColumn colId="0" hiddenButton="1"/>
    <filterColumn colId="1" hiddenButton="1"/>
    <filterColumn colId="2" hiddenButton="1"/>
    <filterColumn colId="3" hiddenButton="1"/>
  </autoFilter>
  <tableColumns count="4">
    <tableColumn id="1" xr3:uid="{58BC4DED-C7C7-43F0-98B4-BE09FFB18AD7}" name="Candidate Name (Party)" totalsRowLabel="Total Votes by County" dataDxfId="1043" totalsRowDxfId="1042"/>
    <tableColumn id="3" xr3:uid="{B9CC4D5A-9882-4010-BF84-806F9555EC41}" name="Part of Orange County Vote Results" totalsRowFunction="custom" dataDxfId="1041" totalsRowDxfId="1040">
      <totalsRowFormula>SUM(StateSenatorSenateDistrict42General[Part of Orange County Vote Results])</totalsRowFormula>
    </tableColumn>
    <tableColumn id="7" xr3:uid="{72DC892C-EDCB-498E-8A62-77969EC73C07}" name="Total Votes by Party" totalsRowFunction="custom" dataDxfId="1039" totalsRowDxfId="1038">
      <calculatedColumnFormula>SUM(StateSenatorSenateDistrict42General[[#This Row],[Part of Orange County Vote Results]])</calculatedColumnFormula>
      <totalsRowFormula>SUM(StateSenatorSenateDistrict42General[Total Votes by Party])</totalsRowFormula>
    </tableColumn>
    <tableColumn id="5" xr3:uid="{A56E3D21-0DD4-4D0D-98C8-652FC4288FCC}" name="Total Votes by Candidate" dataDxfId="1037" totalsRowDxfId="1036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B4212F2-BE39-4AEF-BAB8-8A200EA5558A}" name="StateSenatorSenateDistrict48General" displayName="StateSenatorSenateDistrict48General" ref="A2:E8" totalsRowCount="1" headerRowDxfId="1035" dataDxfId="1033" totalsRowDxfId="1031" headerRowBorderDxfId="1034" tableBorderDxfId="1032" totalsRowBorderDxfId="1030">
  <autoFilter ref="A2:E7" xr:uid="{6A6C6A5A-FFCC-4DC9-93DC-78D34A69563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F7B03B9-0F5D-4051-AD2E-2B512D88107C}" name="Candidate Name (Party)" totalsRowLabel="Total Votes by County" dataDxfId="1029" totalsRowDxfId="1028"/>
    <tableColumn id="2" xr3:uid="{09F808AF-4EFD-4648-977A-07F9593499C8}" name="Cayuga County Vote Results" totalsRowFunction="custom" dataDxfId="1027" totalsRowDxfId="1026">
      <totalsRowFormula>SUM(StateSenatorSenateDistrict48General[Cayuga County Vote Results])</totalsRowFormula>
    </tableColumn>
    <tableColumn id="4" xr3:uid="{683A4AFB-6F6E-4C5C-B9D6-AAD5508305B7}" name="Part of Onondaga County Vote Results" totalsRowFunction="custom" dataDxfId="1025" totalsRowDxfId="1024">
      <totalsRowFormula>SUM(StateSenatorSenateDistrict48General[Part of Onondaga County Vote Results])</totalsRowFormula>
    </tableColumn>
    <tableColumn id="6" xr3:uid="{8E186E8B-FA49-4854-9096-893E4C524D2D}" name="Total Votes by Party" totalsRowFunction="custom" dataDxfId="1023" totalsRowDxfId="1022">
      <calculatedColumnFormula>SUM(StateSenatorSenateDistrict48General[[#This Row],[Cayuga County Vote Results]:[Part of Onondaga County Vote Results]])</calculatedColumnFormula>
      <totalsRowFormula>SUM(StateSenatorSenateDistrict48General[Total Votes by Party])</totalsRowFormula>
    </tableColumn>
    <tableColumn id="5" xr3:uid="{47143423-3C8B-491D-B31E-196D9EDAB5FA}" name="Total Votes by Candidate" dataDxfId="1021" totalsRowDxfId="1020">
      <calculatedColumnFormula>SUM(StateSenatorSenateDistrict48General[[#This Row],[Total Votes by Party]])</calculatedColumnFormula>
    </tableColumn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D33DA90-57F8-43A8-B033-660278A8AFE6}" name="StateSenatorSenateDistrict50General" displayName="StateSenatorSenateDistrict50General" ref="A2:E8" totalsRowCount="1" headerRowDxfId="1019" dataDxfId="1017" totalsRowDxfId="1015" headerRowBorderDxfId="1018" tableBorderDxfId="1016" totalsRowBorderDxfId="1014">
  <autoFilter ref="A2:E7" xr:uid="{551E6344-DD66-4065-BCD7-D232EA26824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C1B9B4B-3BD9-4C0A-BFFD-655BA17D75FF}" name="Candidate Name (Party)" totalsRowLabel="Total Votes by County" dataDxfId="1013" totalsRowDxfId="1012"/>
    <tableColumn id="2" xr3:uid="{64DA1746-9A8F-4A44-81C5-1438EA3AEA1D}" name="Part of Onondaga County Vote Results" totalsRowFunction="custom" dataDxfId="1011" totalsRowDxfId="1010">
      <totalsRowFormula>SUM(StateSenatorSenateDistrict50General[Part of Onondaga County Vote Results])</totalsRowFormula>
    </tableColumn>
    <tableColumn id="4" xr3:uid="{9C4C7E30-4360-44BD-8CA8-C8645B6E8007}" name="Part of Oswego County Vote Results" totalsRowFunction="custom" dataDxfId="1009" totalsRowDxfId="1008">
      <totalsRowFormula>SUM(StateSenatorSenateDistrict50General[Part of Oswego County Vote Results])</totalsRowFormula>
    </tableColumn>
    <tableColumn id="3" xr3:uid="{AB4979C3-4BE2-4AE1-8AD6-297CA2C8A3C1}" name="Total Votes by Party" totalsRowFunction="custom" dataDxfId="1007" totalsRowDxfId="1006">
      <calculatedColumnFormula>SUM(StateSenatorSenateDistrict50General[[#This Row],[Part of Onondaga County Vote Results]:[Part of Oswego County Vote Results]])</calculatedColumnFormula>
      <totalsRowFormula>SUM(StateSenatorSenateDistrict50General[Total Votes by Party])</totalsRowFormula>
    </tableColumn>
    <tableColumn id="5" xr3:uid="{3AD0C3DE-FEFC-4A44-A2D6-4A5369BE7134}" name="Total Votes by Candidate" dataDxfId="1005" totalsRowDxfId="1004"/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BA0F906-0F18-4384-B543-8F7CF85377E4}" name="StateSenatorSenateDistrict59General" displayName="StateSenatorSenateDistrict59General" ref="A2:F8" totalsRowCount="1" headerRowDxfId="1003" dataDxfId="1001" totalsRowDxfId="999" headerRowBorderDxfId="1002" tableBorderDxfId="1000" totalsRowBorderDxfId="998">
  <autoFilter ref="A2:F7" xr:uid="{5A837237-3F93-4C1E-BC67-ACAD0D1021F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28CD2F1-3C51-441A-B47C-0040A575CC20}" name="Candidate Name (Party)" totalsRowLabel="Total Votes by County" dataDxfId="997" totalsRowDxfId="996"/>
    <tableColumn id="2" xr3:uid="{FD58FC11-B74B-4F34-95A8-044DE8BF31A4}" name="Part of Kings County Vote Results" totalsRowFunction="custom" dataDxfId="995" totalsRowDxfId="994">
      <totalsRowFormula>SUM(StateSenatorSenateDistrict59General[Part of Kings County Vote Results])</totalsRowFormula>
    </tableColumn>
    <tableColumn id="10" xr3:uid="{F80D2E28-00A1-483C-873D-954CED1F6C0F}" name="Part of New York County Vote Results" totalsRowFunction="custom" dataDxfId="993" totalsRowDxfId="992">
      <totalsRowFormula>SUM(StateSenatorSenateDistrict59General[Part of New York County Vote Results])</totalsRowFormula>
    </tableColumn>
    <tableColumn id="4" xr3:uid="{08D58F96-AA0B-41C5-8C0B-CDEC17791A7C}" name="Part of Queens County Vote Results" totalsRowFunction="custom" dataDxfId="991" totalsRowDxfId="990">
      <totalsRowFormula>SUM(StateSenatorSenateDistrict59General[Part of Queens County Vote Results])</totalsRowFormula>
    </tableColumn>
    <tableColumn id="3" xr3:uid="{A44235F0-FD69-4408-89C3-B2B988222149}" name="Total Votes by Party" totalsRowFunction="custom" dataDxfId="989" totalsRowDxfId="988">
      <calculatedColumnFormula>SUM(StateSenatorSenateDistrict59General[[#This Row],[Part of Kings County Vote Results]:[Part of Queens County Vote Results]])</calculatedColumnFormula>
      <totalsRowFormula>SUM(StateSenatorSenateDistrict59General[Total Votes by Party])</totalsRowFormula>
    </tableColumn>
    <tableColumn id="5" xr3:uid="{50479F0E-9B29-4533-AA1F-B50C39FE9F68}" name="Total Votes by Candidate" dataDxfId="987" totalsRowDxfId="986"/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F15BB8D-041A-4F44-B64E-CF27118527C7}" name="MemberOfAssemblyAssemblyDistrict4General" displayName="MemberOfAssemblyAssemblyDistrict4General" ref="A2:D8" totalsRowCount="1" headerRowDxfId="985" dataDxfId="983" totalsRowDxfId="981" headerRowBorderDxfId="984" tableBorderDxfId="982" totalsRowBorderDxfId="980">
  <autoFilter ref="A2:D7" xr:uid="{C1DA58BB-00F7-421C-9DB1-B620D56EBEEE}">
    <filterColumn colId="0" hiddenButton="1"/>
    <filterColumn colId="1" hiddenButton="1"/>
    <filterColumn colId="2" hiddenButton="1"/>
    <filterColumn colId="3" hiddenButton="1"/>
  </autoFilter>
  <tableColumns count="4">
    <tableColumn id="1" xr3:uid="{EC3EBC75-78A2-4561-BA90-8710063E5616}" name="Candidate Name (Party)" totalsRowLabel="Total Votes by County" dataDxfId="979" totalsRowDxfId="978"/>
    <tableColumn id="4" xr3:uid="{56E029F2-9371-41D0-B811-8CFB9858E241}" name="Part of Suffolk County Vote Results" totalsRowFunction="custom" dataDxfId="977" totalsRowDxfId="976">
      <totalsRowFormula>SUM(MemberOfAssemblyAssemblyDistrict4General[Part of Suffolk County Vote Results])</totalsRowFormula>
    </tableColumn>
    <tableColumn id="3" xr3:uid="{C7CA3740-2E06-40BE-BF33-60E862CAA841}" name="Total Votes by Party" totalsRowFunction="custom" dataDxfId="975" totalsRowDxfId="974">
      <calculatedColumnFormula>MemberOfAssemblyAssemblyDistrict4General[[#This Row],[Part of Suffolk County Vote Results]]</calculatedColumnFormula>
      <totalsRowFormula>SUM(MemberOfAssemblyAssemblyDistrict4General[Total Votes by Party])</totalsRowFormula>
    </tableColumn>
    <tableColumn id="2" xr3:uid="{3CEB92D7-A38B-401B-805A-41F0DE80F105}" name="Total Votes by Candidate" dataDxfId="973" totalsRowDxfId="972"/>
  </tableColumns>
  <tableStyleInfo name="TableStyleMedium2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0368C63-202D-4DCF-AB17-B09009DF6563}" name="MemberOfAssemblyAssemblyDistrict18General" displayName="MemberOfAssemblyAssemblyDistrict18General" ref="A2:D8" totalsRowCount="1" headerRowDxfId="971" dataDxfId="969" totalsRowDxfId="967" headerRowBorderDxfId="970" tableBorderDxfId="968" totalsRowBorderDxfId="966">
  <autoFilter ref="A2:D7" xr:uid="{18BCF7A2-404D-4805-B098-E81F30740016}">
    <filterColumn colId="0" hiddenButton="1"/>
    <filterColumn colId="1" hiddenButton="1"/>
    <filterColumn colId="2" hiddenButton="1"/>
    <filterColumn colId="3" hiddenButton="1"/>
  </autoFilter>
  <tableColumns count="4">
    <tableColumn id="1" xr3:uid="{6A3C1044-B8AD-4A36-A9DF-8271C1FF7BDD}" name="Candidate Name (Party)" totalsRowLabel="Total Votes by County" dataDxfId="965" totalsRowDxfId="964"/>
    <tableColumn id="4" xr3:uid="{4658AE3B-827F-4AE9-A473-4577B2035FBB}" name="Part of Nassau County Vote Results" totalsRowFunction="custom" dataDxfId="963" totalsRowDxfId="962">
      <totalsRowFormula>SUM(MemberOfAssemblyAssemblyDistrict18General[Part of Nassau County Vote Results])</totalsRowFormula>
    </tableColumn>
    <tableColumn id="3" xr3:uid="{DDAB1A5E-A7F4-4C33-9375-87F0C237DBE9}" name="Total Votes by Party" totalsRowFunction="custom" dataDxfId="961" totalsRowDxfId="960">
      <calculatedColumnFormula>MemberOfAssemblyAssemblyDistrict18General[[#This Row],[Part of Nassau County Vote Results]]</calculatedColumnFormula>
      <totalsRowFormula>SUM(MemberOfAssemblyAssemblyDistrict18General[Total Votes by Party])</totalsRowFormula>
    </tableColumn>
    <tableColumn id="2" xr3:uid="{7E2F3318-987F-46BD-AC3F-A23DA1E34D61}" name="Total Votes by Candidate" dataDxfId="959" totalsRowDxfId="958"/>
  </tableColumns>
  <tableStyleInfo name="TableStyleMedium2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6378C0A-7EAB-4456-9E2F-F94433C9B6AB}" name="MemberOfAssemblyAssemblyDistrict21General" displayName="MemberOfAssemblyAssemblyDistrict21General" ref="A2:D8" totalsRowCount="1" headerRowDxfId="957" dataDxfId="955" totalsRowDxfId="953" headerRowBorderDxfId="956" tableBorderDxfId="954" totalsRowBorderDxfId="952">
  <autoFilter ref="A2:D7" xr:uid="{3A7AD638-8A51-404C-84D4-F61B36DA1329}">
    <filterColumn colId="0" hiddenButton="1"/>
    <filterColumn colId="1" hiddenButton="1"/>
    <filterColumn colId="2" hiddenButton="1"/>
    <filterColumn colId="3" hiddenButton="1"/>
  </autoFilter>
  <tableColumns count="4">
    <tableColumn id="1" xr3:uid="{56349BCD-7164-4809-8CD2-5ADC8ED71C99}" name="Candidate Name (Party)" totalsRowLabel="Total Votes by County" dataDxfId="951" totalsRowDxfId="950"/>
    <tableColumn id="4" xr3:uid="{A8FB8C47-50D9-4D36-B0B3-CD85B9967EFF}" name="Part of Nassau County Vote Results" totalsRowFunction="custom" dataDxfId="949" totalsRowDxfId="948">
      <totalsRowFormula>SUM(MemberOfAssemblyAssemblyDistrict21General[Part of Nassau County Vote Results])</totalsRowFormula>
    </tableColumn>
    <tableColumn id="3" xr3:uid="{5A2CF016-A3E6-43FB-AF33-46CDCCA3F6C8}" name="Total Votes by Party" totalsRowFunction="custom" dataDxfId="947" totalsRowDxfId="946">
      <calculatedColumnFormula>MemberOfAssemblyAssemblyDistrict21General[[#This Row],[Part of Nassau County Vote Results]]</calculatedColumnFormula>
      <totalsRowFormula>SUM(MemberOfAssemblyAssemblyDistrict21General[Total Votes by Party])</totalsRowFormula>
    </tableColumn>
    <tableColumn id="2" xr3:uid="{08443F98-4868-4154-91A2-7050E30A1AD9}" name="Total Votes by Candidate" dataDxfId="945" totalsRowDxfId="944"/>
  </tableColumns>
  <tableStyleInfo name="TableStyleMedium2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DCAE8D6F-4088-4946-BD7C-CF49C4803004}" name="MemberOfAssemblyAssemblyDistrict25General79" displayName="MemberOfAssemblyAssemblyDistrict25General79" ref="A2:D8" totalsRowCount="1" headerRowDxfId="943" dataDxfId="941" totalsRowDxfId="939" headerRowBorderDxfId="942" tableBorderDxfId="940" totalsRowBorderDxfId="938">
  <autoFilter ref="A2:D7" xr:uid="{85D3B8C6-1152-498E-B5B7-A6648B0AEC07}">
    <filterColumn colId="0" hiddenButton="1"/>
    <filterColumn colId="1" hiddenButton="1"/>
    <filterColumn colId="2" hiddenButton="1"/>
    <filterColumn colId="3" hiddenButton="1"/>
  </autoFilter>
  <tableColumns count="4">
    <tableColumn id="1" xr3:uid="{F52CD269-85EB-4567-9046-00F92374AEA7}" name="Candidate Name (Party)" totalsRowLabel="Total Votes by County" dataDxfId="937" totalsRowDxfId="936"/>
    <tableColumn id="4" xr3:uid="{CE83E048-60FD-4196-8E21-2851BEA07BF4}" name="Part of Queens County Vote Results" totalsRowFunction="custom" dataDxfId="935" totalsRowDxfId="934">
      <totalsRowFormula>SUM(MemberOfAssemblyAssemblyDistrict25General79[Part of Queens County Vote Results])</totalsRowFormula>
    </tableColumn>
    <tableColumn id="3" xr3:uid="{00CFF44F-3CEF-4093-8926-10D6F811E5AF}" name="Total Votes by Party" totalsRowFunction="custom" dataDxfId="933" totalsRowDxfId="932">
      <calculatedColumnFormula>MemberOfAssemblyAssemblyDistrict25General79[[#This Row],[Part of Queens County Vote Results]]</calculatedColumnFormula>
      <totalsRowFormula>SUM(MemberOfAssemblyAssemblyDistrict25General79[Total Votes by Party])</totalsRowFormula>
    </tableColumn>
    <tableColumn id="2" xr3:uid="{04D0AB87-05FA-49E7-B609-64C83870FD1F}" name="Total Votes by Candidate" dataDxfId="931" totalsRowDxfId="930">
      <calculatedColumnFormula>SUM(MemberOfAssemblyAssemblyDistrict25General79[[#This Row],[Total Votes by Party]])</calculatedColumnFormula>
    </tableColumn>
  </tableColumns>
  <tableStyleInfo name="TableStyleMedium2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DD8A7F0-F84E-4D08-BE16-A4CA1BEB3ACB}" name="MemberOfAssemblyAssemblyDistrict34General" displayName="MemberOfAssemblyAssemblyDistrict34General" ref="A2:D8" totalsRowCount="1" headerRowDxfId="929" dataDxfId="927" totalsRowDxfId="925" headerRowBorderDxfId="928" tableBorderDxfId="926" totalsRowBorderDxfId="924">
  <autoFilter ref="A2:D7" xr:uid="{17A2092C-D04F-49FE-A19A-7D1A5B52CBAE}">
    <filterColumn colId="0" hiddenButton="1"/>
    <filterColumn colId="1" hiddenButton="1"/>
    <filterColumn colId="2" hiddenButton="1"/>
    <filterColumn colId="3" hiddenButton="1"/>
  </autoFilter>
  <tableColumns count="4">
    <tableColumn id="1" xr3:uid="{E7179D8A-2942-46C1-94DC-39244B5259CF}" name="Candidate Name (Party)" totalsRowLabel="Total Votes by County" dataDxfId="923" totalsRowDxfId="922"/>
    <tableColumn id="4" xr3:uid="{EAD17D91-713B-4A97-9B02-150D962C3B7B}" name="Part of Queens County Vote Results" totalsRowFunction="custom" dataDxfId="921" totalsRowDxfId="920">
      <totalsRowFormula>SUM(MemberOfAssemblyAssemblyDistrict34General[Part of Queens County Vote Results])</totalsRowFormula>
    </tableColumn>
    <tableColumn id="3" xr3:uid="{FFFD8862-33C7-4418-9887-6AAFD6AC5D3C}" name="Total Votes by Party" totalsRowFunction="custom" dataDxfId="919" totalsRowDxfId="918">
      <calculatedColumnFormula>MemberOfAssemblyAssemblyDistrict34General[[#This Row],[Part of Queens County Vote Results]]</calculatedColumnFormula>
      <totalsRowFormula>SUM(MemberOfAssemblyAssemblyDistrict34General[Total Votes by Party])</totalsRowFormula>
    </tableColumn>
    <tableColumn id="2" xr3:uid="{6F270670-65C6-4A76-9D4A-A63DC6E485E8}" name="Total Votes by Candidate" dataDxfId="917" totalsRowDxfId="916">
      <calculatedColumnFormula>SUM(MemberOfAssemblyAssemblyDistrict34General[[#This Row],[Total Votes by Party]],#REF!)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6" xr:uid="{ABD4D607-E80F-4830-BB96-B9587F1B3DCA}" name="RepInCongressCongressionalDistrict10General" displayName="RepInCongressCongressionalDistrict10General" ref="A2:E9" totalsRowCount="1" headerRowDxfId="1218" dataDxfId="1216" totalsRowDxfId="1214" headerRowBorderDxfId="1217" tableBorderDxfId="1215" totalsRowBorderDxfId="1213">
  <autoFilter ref="A2:E8" xr:uid="{466D8A0E-FA77-4AB9-9F29-55E4B0D53A8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B9AC27C-0C75-47CE-8664-E1F582877172}" name="Candidate Name (Party)" totalsRowLabel="Total Votes by County" dataDxfId="1212" totalsRowDxfId="1211"/>
    <tableColumn id="2" xr3:uid="{B57280ED-811B-4EF6-894E-DC9673EFA19C}" name="Part of Kings County Vote Results" totalsRowFunction="custom" totalsRowDxfId="1210">
      <totalsRowFormula>SUM(RepInCongressCongressionalDistrict10General[Part of Kings County Vote Results])</totalsRowFormula>
    </tableColumn>
    <tableColumn id="4" xr3:uid="{6D6E0D4E-BE68-451E-8CBC-6E1E65C38FB6}" name="Part of New York County Vote Results" totalsRowFunction="custom" dataDxfId="1209" totalsRowDxfId="1208">
      <totalsRowFormula>SUM(RepInCongressCongressionalDistrict10General[Part of New York County Vote Results])</totalsRowFormula>
    </tableColumn>
    <tableColumn id="3" xr3:uid="{A3F550F8-935D-46FE-9F34-1DF89B800AED}" name="Total Votes by Party" totalsRowFunction="custom" dataDxfId="1207" totalsRowDxfId="1206">
      <calculatedColumnFormula>SUM(RepInCongressCongressionalDistrict10General[[#This Row],[Part of Kings County Vote Results]:[Part of New York County Vote Results]])</calculatedColumnFormula>
      <totalsRowFormula>SUM(RepInCongressCongressionalDistrict10General[Total Votes by Party])</totalsRowFormula>
    </tableColumn>
    <tableColumn id="5" xr3:uid="{74CE9B3E-91BB-4F2C-94A2-632469675F99}" name="Total Votes by Candidate" dataDxfId="1205" totalsRowDxfId="1204"/>
  </tableColumns>
  <tableStyleInfo name="TableStyleMedium2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6017D47-5975-4588-B39C-82E14C00C952}" name="MemberOfAssemblyAssemblyDistrict35General" displayName="MemberOfAssemblyAssemblyDistrict35General" ref="A2:D8" totalsRowCount="1" headerRowDxfId="915" dataDxfId="913" totalsRowDxfId="911" headerRowBorderDxfId="914" tableBorderDxfId="912" totalsRowBorderDxfId="910">
  <autoFilter ref="A2:D7" xr:uid="{1EB8363C-646C-4620-B421-B6C3565C17E2}">
    <filterColumn colId="0" hiddenButton="1"/>
    <filterColumn colId="1" hiddenButton="1"/>
    <filterColumn colId="2" hiddenButton="1"/>
    <filterColumn colId="3" hiddenButton="1"/>
  </autoFilter>
  <tableColumns count="4">
    <tableColumn id="1" xr3:uid="{93403CEF-096D-4320-8D6F-104F01289980}" name="Candidate Name (Party)" totalsRowLabel="Total Votes by County" dataDxfId="909" totalsRowDxfId="908"/>
    <tableColumn id="4" xr3:uid="{BCFDE4EC-3334-4167-8818-4C98732186DE}" name="Part of Queens County Vote Results" totalsRowFunction="custom" dataDxfId="907" totalsRowDxfId="906">
      <totalsRowFormula>SUM(MemberOfAssemblyAssemblyDistrict35General[Part of Queens County Vote Results])</totalsRowFormula>
    </tableColumn>
    <tableColumn id="3" xr3:uid="{427C6C5A-76FB-45D9-86D1-F0E87500A79F}" name="Total Votes by Party" totalsRowFunction="custom" dataDxfId="905" totalsRowDxfId="904">
      <calculatedColumnFormula>MemberOfAssemblyAssemblyDistrict35General[[#This Row],[Part of Queens County Vote Results]]</calculatedColumnFormula>
      <totalsRowFormula>SUM(MemberOfAssemblyAssemblyDistrict35General[Total Votes by Party])</totalsRowFormula>
    </tableColumn>
    <tableColumn id="2" xr3:uid="{A32AB27F-EB81-47AB-A54E-94CDE5F67830}" name="Total Votes by Candidate" dataDxfId="903" totalsRowDxfId="902"/>
  </tableColumns>
  <tableStyleInfo name="TableStyleMedium2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0EFF8D3-18C0-46FB-9018-79A8B22DA258}" name="MemberOfAssemblyAssemblyDistrict37General" displayName="MemberOfAssemblyAssemblyDistrict37General" ref="A2:E9" totalsRowCount="1" headerRowDxfId="901" dataDxfId="899" totalsRowDxfId="897" headerRowBorderDxfId="900" tableBorderDxfId="898" totalsRowBorderDxfId="896">
  <autoFilter ref="A2:E8" xr:uid="{6234759C-B62B-4523-B671-315DE9E9399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DD924A2-699A-4F9A-85AD-BBB3B8E164B3}" name="Candidate Name (Party)" totalsRowLabel="Total Votes by County" dataDxfId="895" totalsRowDxfId="894"/>
    <tableColumn id="4" xr3:uid="{95E3DA67-92C8-4185-951A-CDEF48C9FB98}" name="Part of New York County Vote Results" totalsRowFunction="custom" dataDxfId="893" totalsRowDxfId="892">
      <totalsRowFormula>SUM(MemberOfAssemblyAssemblyDistrict37General[Part of New York County Vote Results])</totalsRowFormula>
    </tableColumn>
    <tableColumn id="5" xr3:uid="{D30E0C91-D0EF-42CF-85B6-3635F12B3527}" name="Part of Queens County Vote Results" totalsRowFunction="custom" dataDxfId="891" totalsRowDxfId="890">
      <totalsRowFormula>SUM(MemberOfAssemblyAssemblyDistrict37General[Part of Queens County Vote Results])</totalsRowFormula>
    </tableColumn>
    <tableColumn id="3" xr3:uid="{D8BCF5CB-BCB1-4E6E-858C-C302BA427602}" name="Total Votes by Party" totalsRowFunction="custom" dataDxfId="889" totalsRowDxfId="888">
      <calculatedColumnFormula>SUM(MemberOfAssemblyAssemblyDistrict37General[[#This Row],[Part of New York County Vote Results]:[Part of Queens County Vote Results]])</calculatedColumnFormula>
      <totalsRowFormula>SUM(MemberOfAssemblyAssemblyDistrict37General[Total Votes by Party])</totalsRowFormula>
    </tableColumn>
    <tableColumn id="2" xr3:uid="{75ACEEE6-A44C-4E22-98A1-865FAEB4580D}" name="Total Votes by Candidate" dataDxfId="887" totalsRowDxfId="886">
      <calculatedColumnFormula>SUM(MemberOfAssemblyAssemblyDistrict37General[[#This Row],[Total Votes by Party]])</calculatedColumnFormula>
    </tableColumn>
  </tableColumns>
  <tableStyleInfo name="TableStyleMedium2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D271C45-9387-4E4C-AE5E-4EB2C007F1F6}" name="MemberOfAssemblyAssemblyDistrict40General" displayName="MemberOfAssemblyAssemblyDistrict40General" ref="A2:D9" totalsRowCount="1" headerRowDxfId="885" dataDxfId="883" totalsRowDxfId="881" headerRowBorderDxfId="884" tableBorderDxfId="882" totalsRowBorderDxfId="880">
  <autoFilter ref="A2:D8" xr:uid="{B9EEE381-163E-435C-B9FB-96CE851BCFFC}">
    <filterColumn colId="0" hiddenButton="1"/>
    <filterColumn colId="1" hiddenButton="1"/>
    <filterColumn colId="2" hiddenButton="1"/>
    <filterColumn colId="3" hiddenButton="1"/>
  </autoFilter>
  <tableColumns count="4">
    <tableColumn id="1" xr3:uid="{F88461BF-8947-446E-9883-8D28AED918A5}" name="Candidate Name (Party)" totalsRowLabel="Total Votes by County" dataDxfId="879" totalsRowDxfId="878"/>
    <tableColumn id="4" xr3:uid="{C4D24B93-8038-456C-BDEB-07D174D8CB09}" name="Part of Queens County Vote Results" totalsRowFunction="custom" dataDxfId="877" totalsRowDxfId="876">
      <totalsRowFormula>SUM(MemberOfAssemblyAssemblyDistrict40General[Part of Queens County Vote Results])</totalsRowFormula>
    </tableColumn>
    <tableColumn id="3" xr3:uid="{7A662AC1-0BC4-4885-B9D2-B6A5F3DAAB6A}" name="Total Votes by Party" totalsRowFunction="custom" dataDxfId="875" totalsRowDxfId="874">
      <calculatedColumnFormula>MemberOfAssemblyAssemblyDistrict40General[[#This Row],[Part of Queens County Vote Results]]</calculatedColumnFormula>
      <totalsRowFormula>SUM(MemberOfAssemblyAssemblyDistrict40General[Total Votes by Party])</totalsRowFormula>
    </tableColumn>
    <tableColumn id="2" xr3:uid="{DD33D29F-760E-4EEC-B722-1BFA7F841B4D}" name="Total Votes by Candidate" dataDxfId="873" totalsRowDxfId="872"/>
  </tableColumns>
  <tableStyleInfo name="TableStyleMedium2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B563C80-BD4D-4234-9C24-006A43085A6E}" name="MemberOfAssemblyAssemblyDistrict41General" displayName="MemberOfAssemblyAssemblyDistrict41General" ref="A2:D8" totalsRowCount="1" headerRowDxfId="871" dataDxfId="869" totalsRowDxfId="867" headerRowBorderDxfId="870" tableBorderDxfId="868" totalsRowBorderDxfId="866">
  <autoFilter ref="A2:D7" xr:uid="{E913C536-E0A8-4B7A-8CEB-34AD3DFB923F}">
    <filterColumn colId="0" hiddenButton="1"/>
    <filterColumn colId="1" hiddenButton="1"/>
    <filterColumn colId="2" hiddenButton="1"/>
    <filterColumn colId="3" hiddenButton="1"/>
  </autoFilter>
  <tableColumns count="4">
    <tableColumn id="1" xr3:uid="{4EE57C3C-7DD3-403D-A8F6-B6E57F85A970}" name="Candidate Name (Party)" totalsRowLabel="Total Votes by County" dataDxfId="865" totalsRowDxfId="864"/>
    <tableColumn id="4" xr3:uid="{C8CC7D1A-7F08-480D-898B-4518C2003C65}" name="Part of Kings County Vote Results" totalsRowFunction="custom" totalsRowDxfId="863">
      <totalsRowFormula>SUM(MemberOfAssemblyAssemblyDistrict41General[Part of Kings County Vote Results])</totalsRowFormula>
    </tableColumn>
    <tableColumn id="3" xr3:uid="{1C6F898F-7DE0-459D-AF3B-F41350EDF841}" name="Total Votes by Party" totalsRowFunction="custom" dataDxfId="862" totalsRowDxfId="861">
      <calculatedColumnFormula>MemberOfAssemblyAssemblyDistrict41General[[#This Row],[Part of Kings County Vote Results]]</calculatedColumnFormula>
      <totalsRowFormula>SUM(MemberOfAssemblyAssemblyDistrict41General[Total Votes by Party])</totalsRowFormula>
    </tableColumn>
    <tableColumn id="2" xr3:uid="{9F7202E0-A5C2-4EDB-AC3D-22546537A0B3}" name="Total Votes by Candidate" dataDxfId="860" totalsRowDxfId="859">
      <calculatedColumnFormula>SUM(MemberOfAssemblyAssemblyDistrict41General[[#This Row],[Total Votes by Party]])</calculatedColumnFormula>
    </tableColumn>
  </tableColumns>
  <tableStyleInfo name="TableStyleMedium2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5407D52-F865-4C3C-A998-E8C0DD222ADE}" name="MemberOfAssemblyAssemblyDistrict50General" displayName="MemberOfAssemblyAssemblyDistrict50General" ref="A2:D9" totalsRowCount="1" headerRowDxfId="858" dataDxfId="856" totalsRowDxfId="854" headerRowBorderDxfId="857" tableBorderDxfId="855" totalsRowBorderDxfId="853">
  <autoFilter ref="A2:D8" xr:uid="{EB6FA8A7-AE60-48F2-AE64-A3CE1B8F5364}">
    <filterColumn colId="0" hiddenButton="1"/>
    <filterColumn colId="1" hiddenButton="1"/>
    <filterColumn colId="2" hiddenButton="1"/>
    <filterColumn colId="3" hiddenButton="1"/>
  </autoFilter>
  <tableColumns count="4">
    <tableColumn id="1" xr3:uid="{EECB2411-C562-41C4-99A3-7F0FAA2086C6}" name="Candidate Name (Party)" totalsRowLabel="Total Votes by County" dataDxfId="852" totalsRowDxfId="851"/>
    <tableColumn id="4" xr3:uid="{F67AAB93-CE5D-4720-9B73-3B59096FABD5}" name="Part of Kings County Vote Results" totalsRowFunction="custom" totalsRowDxfId="850">
      <totalsRowFormula>SUM(MemberOfAssemblyAssemblyDistrict50General[Part of Kings County Vote Results])</totalsRowFormula>
    </tableColumn>
    <tableColumn id="3" xr3:uid="{565E1AAF-1B8D-45E8-8980-E6C630533192}" name="Total Votes by Party" totalsRowFunction="custom" dataDxfId="849" totalsRowDxfId="848">
      <calculatedColumnFormula>MemberOfAssemblyAssemblyDistrict50General[[#This Row],[Part of Kings County Vote Results]]</calculatedColumnFormula>
      <totalsRowFormula>SUM(MemberOfAssemblyAssemblyDistrict50General[Total Votes by Party])</totalsRowFormula>
    </tableColumn>
    <tableColumn id="2" xr3:uid="{47981337-7A1D-4452-8BF7-8EA3CD7E4397}" name="Total Votes by Candidate" dataDxfId="847" totalsRowDxfId="846">
      <calculatedColumnFormula>SUM(MemberOfAssemblyAssemblyDistrict50General[[#This Row],[Total Votes by Party]])</calculatedColumnFormula>
    </tableColumn>
  </tableColumns>
  <tableStyleInfo name="TableStyleMedium2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AD58E4A-0459-409A-B1B7-E2448995B052}" name="MemberOfAssemblyAssemblyDistrict52General" displayName="MemberOfAssemblyAssemblyDistrict52General" ref="A2:D8" totalsRowCount="1" headerRowDxfId="845" dataDxfId="843" totalsRowDxfId="841" headerRowBorderDxfId="844" tableBorderDxfId="842" totalsRowBorderDxfId="840">
  <autoFilter ref="A2:D7" xr:uid="{43466E36-55A7-49C8-A7BF-50584D28DAF0}">
    <filterColumn colId="0" hiddenButton="1"/>
    <filterColumn colId="1" hiddenButton="1"/>
    <filterColumn colId="2" hiddenButton="1"/>
    <filterColumn colId="3" hiddenButton="1"/>
  </autoFilter>
  <tableColumns count="4">
    <tableColumn id="1" xr3:uid="{BE4E277C-CFE4-41F1-9D82-C18EE811C8F4}" name="Candidate Name (Party)" totalsRowLabel="Total Votes by County" dataDxfId="839" totalsRowDxfId="838"/>
    <tableColumn id="4" xr3:uid="{2F11C32C-AB7A-4B36-B9C5-2BB2518A1766}" name="Part of Kings County Vote Results" totalsRowFunction="custom" totalsRowDxfId="837">
      <totalsRowFormula>SUM(MemberOfAssemblyAssemblyDistrict52General[Part of Kings County Vote Results])</totalsRowFormula>
    </tableColumn>
    <tableColumn id="3" xr3:uid="{2D518C8B-8686-47C2-82A0-D9CBF3C520A2}" name="Total Votes by Party" totalsRowFunction="custom" dataDxfId="836" totalsRowDxfId="835">
      <calculatedColumnFormula>MemberOfAssemblyAssemblyDistrict52General[[#This Row],[Part of Kings County Vote Results]]</calculatedColumnFormula>
      <totalsRowFormula>SUM(MemberOfAssemblyAssemblyDistrict52General[Total Votes by Party])</totalsRowFormula>
    </tableColumn>
    <tableColumn id="2" xr3:uid="{32A63CFF-3B39-441E-AF6A-DE7FD56ED08E}" name="Total Votes by Candidate" dataDxfId="834" totalsRowDxfId="833">
      <calculatedColumnFormula>SUM(MemberOfAssemblyAssemblyDistrict52General[[#This Row],[Total Votes by Party]])</calculatedColumnFormula>
    </tableColumn>
  </tableColumns>
  <tableStyleInfo name="TableStyleMedium2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C7461F3-1E67-43E7-A668-694B1AD603F9}" name="MemberOfAssemblyAssemblyDistrict56General" displayName="MemberOfAssemblyAssemblyDistrict56General" ref="A2:D8" totalsRowCount="1" headerRowDxfId="832" dataDxfId="830" totalsRowDxfId="828" headerRowBorderDxfId="831" tableBorderDxfId="829" totalsRowBorderDxfId="827">
  <autoFilter ref="A2:D7" xr:uid="{B43538B1-6F61-46C2-AEC0-8740BACEBF7F}">
    <filterColumn colId="0" hiddenButton="1"/>
    <filterColumn colId="1" hiddenButton="1"/>
    <filterColumn colId="2" hiddenButton="1"/>
    <filterColumn colId="3" hiddenButton="1"/>
  </autoFilter>
  <tableColumns count="4">
    <tableColumn id="1" xr3:uid="{6A7BEA4E-F351-4DC7-8A66-08D5433908B3}" name="Candidate Name (Party)" totalsRowLabel="Total Votes by County" dataDxfId="826" totalsRowDxfId="825"/>
    <tableColumn id="4" xr3:uid="{83F491B6-8716-4AD7-9C90-E5BB76CD5BCF}" name="Part of Kings County Vote Results" totalsRowFunction="custom" totalsRowDxfId="824">
      <totalsRowFormula>SUM(MemberOfAssemblyAssemblyDistrict56General[Part of Kings County Vote Results])</totalsRowFormula>
    </tableColumn>
    <tableColumn id="3" xr3:uid="{1614DEE3-DA07-4E63-B724-D8C1C0352566}" name="Total Votes by Party" totalsRowFunction="custom" dataDxfId="823" totalsRowDxfId="822">
      <calculatedColumnFormula>MemberOfAssemblyAssemblyDistrict56General[[#This Row],[Part of Kings County Vote Results]]</calculatedColumnFormula>
      <totalsRowFormula>SUM(MemberOfAssemblyAssemblyDistrict56General[Total Votes by Party])</totalsRowFormula>
    </tableColumn>
    <tableColumn id="2" xr3:uid="{2C241B08-2057-4EEC-9983-503B699F1E3B}" name="Total Votes by Candidate" dataDxfId="821" totalsRowDxfId="820">
      <calculatedColumnFormula>SUM(MemberOfAssemblyAssemblyDistrict56General[[#This Row],[Total Votes by Party]])</calculatedColumnFormula>
    </tableColumn>
  </tableColumns>
  <tableStyleInfo name="TableStyleMedium2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B9374E4-E038-456A-9F48-6EA05CE6A6BF}" name="MemberOfAssemblyAssemblyDistrict68General" displayName="MemberOfAssemblyAssemblyDistrict68General" ref="A2:D10" totalsRowCount="1" headerRowDxfId="819" dataDxfId="817" totalsRowDxfId="815" headerRowBorderDxfId="818" tableBorderDxfId="816" totalsRowBorderDxfId="814">
  <autoFilter ref="A2:D9" xr:uid="{7C0C90E0-7094-436E-AE33-860942F94EB6}">
    <filterColumn colId="0" hiddenButton="1"/>
    <filterColumn colId="1" hiddenButton="1"/>
    <filterColumn colId="2" hiddenButton="1"/>
    <filterColumn colId="3" hiddenButton="1"/>
  </autoFilter>
  <tableColumns count="4">
    <tableColumn id="1" xr3:uid="{ED16824B-C87D-4884-91D5-4161D8CC88F8}" name="Candidate Name (Party)" totalsRowLabel="Total Votes by County" dataDxfId="813" totalsRowDxfId="812"/>
    <tableColumn id="4" xr3:uid="{3EA72209-4229-44B3-BE2A-44F368BCBFD1}" name="Part of New York County Vote Results" totalsRowFunction="custom" dataDxfId="811" totalsRowDxfId="810">
      <totalsRowFormula>SUM(MemberOfAssemblyAssemblyDistrict68General[Part of New York County Vote Results])</totalsRowFormula>
    </tableColumn>
    <tableColumn id="3" xr3:uid="{5759BE5C-589D-4DDF-9884-A67B09797F58}" name="Total Votes by Party" totalsRowFunction="custom" dataDxfId="809" totalsRowDxfId="808">
      <calculatedColumnFormula>MemberOfAssemblyAssemblyDistrict68General[[#This Row],[Part of New York County Vote Results]]</calculatedColumnFormula>
      <totalsRowFormula>SUM(MemberOfAssemblyAssemblyDistrict68General[Total Votes by Party])</totalsRowFormula>
    </tableColumn>
    <tableColumn id="2" xr3:uid="{6D2909C4-A8C0-4344-950E-4D9D886B9CB4}" name="Total Votes by Candidate" dataDxfId="807" totalsRowDxfId="806"/>
  </tableColumns>
  <tableStyleInfo name="TableStyleMedium2" showFirstColumn="0" showLastColumn="0" showRowStripes="0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764534A-6E14-4403-9520-4A28F1E023A6}" name="MemberOfAssemblyAssemblyDistrict69General" displayName="MemberOfAssemblyAssemblyDistrict69General" ref="A2:D11" totalsRowCount="1" headerRowDxfId="805" dataDxfId="803" totalsRowDxfId="801" headerRowBorderDxfId="804" tableBorderDxfId="802" totalsRowBorderDxfId="800">
  <autoFilter ref="A2:D10" xr:uid="{49F6F76A-2CF7-46A3-9E61-C944DC0AA3FE}">
    <filterColumn colId="0" hiddenButton="1"/>
    <filterColumn colId="1" hiddenButton="1"/>
    <filterColumn colId="2" hiddenButton="1"/>
    <filterColumn colId="3" hiddenButton="1"/>
  </autoFilter>
  <tableColumns count="4">
    <tableColumn id="1" xr3:uid="{450955A9-04E2-4992-9A43-5A4850ECB4C9}" name="Candidate Name (Party)" totalsRowLabel="Total Votes by County" dataDxfId="799" totalsRowDxfId="798"/>
    <tableColumn id="4" xr3:uid="{5A0EBD4A-9838-480E-9C17-D6DA47B9D51B}" name="Part of New York County Vote Results" totalsRowFunction="custom" dataDxfId="797" totalsRowDxfId="796">
      <totalsRowFormula>SUM(MemberOfAssemblyAssemblyDistrict69General[Part of New York County Vote Results])</totalsRowFormula>
    </tableColumn>
    <tableColumn id="3" xr3:uid="{1BC25F1B-EB85-4A6D-910F-E3618EC3F1BF}" name="Total Votes by Party" totalsRowFunction="custom" dataDxfId="795" totalsRowDxfId="794">
      <calculatedColumnFormula>MemberOfAssemblyAssemblyDistrict69General[[#This Row],[Part of New York County Vote Results]]</calculatedColumnFormula>
      <totalsRowFormula>SUM(MemberOfAssemblyAssemblyDistrict69General[Total Votes by Party])</totalsRowFormula>
    </tableColumn>
    <tableColumn id="2" xr3:uid="{8AB0BB23-1500-479A-9D0E-0CB32E511D17}" name="Total Votes by Candidate" dataDxfId="793" totalsRowDxfId="792">
      <calculatedColumnFormula>SUM(MemberOfAssemblyAssemblyDistrict69General[[#This Row],[Total Votes by Party]])</calculatedColumnFormula>
    </tableColumn>
  </tableColumns>
  <tableStyleInfo name="TableStyleMedium2" showFirstColumn="0" showLastColumn="0" showRowStripes="0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3B6395C-0DA0-4C62-A90D-A419E44AA674}" name="MemberOfAssemblyAssemblyDistrict70General" displayName="MemberOfAssemblyAssemblyDistrict70General" ref="A2:D10" totalsRowCount="1" headerRowDxfId="791" dataDxfId="789" totalsRowDxfId="787" headerRowBorderDxfId="790" tableBorderDxfId="788" totalsRowBorderDxfId="786">
  <autoFilter ref="A2:D9" xr:uid="{7C41311A-532C-46E5-9E8C-EAC4A30F20BE}">
    <filterColumn colId="0" hiddenButton="1"/>
    <filterColumn colId="1" hiddenButton="1"/>
    <filterColumn colId="2" hiddenButton="1"/>
    <filterColumn colId="3" hiddenButton="1"/>
  </autoFilter>
  <tableColumns count="4">
    <tableColumn id="1" xr3:uid="{878C7494-C89D-441F-8705-F99A02B65EC0}" name="Candidate Name (Party)" totalsRowLabel="Total Votes by County" dataDxfId="785" totalsRowDxfId="784"/>
    <tableColumn id="4" xr3:uid="{BBE0D585-1AD8-4118-BD69-6CD748BB317E}" name="Part of New York County Vote Results" totalsRowFunction="custom" dataDxfId="783" totalsRowDxfId="782">
      <totalsRowFormula>SUM(MemberOfAssemblyAssemblyDistrict70General[Part of New York County Vote Results])</totalsRowFormula>
    </tableColumn>
    <tableColumn id="3" xr3:uid="{1C924912-B01A-4F2A-A8A3-7871F4BB82D8}" name="Total Votes by Party" totalsRowFunction="custom" dataDxfId="781" totalsRowDxfId="780">
      <calculatedColumnFormula>MemberOfAssemblyAssemblyDistrict70General[[#This Row],[Part of New York County Vote Results]]</calculatedColumnFormula>
      <totalsRowFormula>SUM(MemberOfAssemblyAssemblyDistrict70General[Total Votes by Party])</totalsRowFormula>
    </tableColumn>
    <tableColumn id="2" xr3:uid="{473594EA-657C-46C7-A5C3-DB83F73468EE}" name="Total Votes by Candidate" dataDxfId="779" totalsRowDxfId="778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0" xr:uid="{ADFC4C1E-E564-4B0A-BC17-14931795F068}" name="RepInCongressCongressionalDistrict14General" displayName="RepInCongressCongressionalDistrict14General" ref="A2:E8" totalsRowCount="1" headerRowDxfId="1203" dataDxfId="1201" totalsRowDxfId="1199" headerRowBorderDxfId="1202" tableBorderDxfId="1200" totalsRowBorderDxfId="1198">
  <autoFilter ref="A2:E7" xr:uid="{0748C5B6-70AB-43AF-9D47-AE1627D286F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3D4618A-846F-433A-A0D2-24DD8772BBFC}" name="Candidate Name (Party)" totalsRowLabel="Total Votes by County" dataDxfId="1197" totalsRowDxfId="1196"/>
    <tableColumn id="2" xr3:uid="{F5E83189-543E-41A6-BE54-1ED4B7D69810}" name="Part of Bronx County Vote Results" totalsRowFunction="custom" totalsRowDxfId="1195">
      <totalsRowFormula>SUM(RepInCongressCongressionalDistrict14General[Part of Bronx County Vote Results])</totalsRowFormula>
    </tableColumn>
    <tableColumn id="4" xr3:uid="{CA85D24B-4718-4DC2-8371-033455B23A89}" name="Part of Queens County Vote Results" totalsRowFunction="custom" totalsRowDxfId="1194">
      <totalsRowFormula>SUM(RepInCongressCongressionalDistrict14General[Part of Queens County Vote Results])</totalsRowFormula>
    </tableColumn>
    <tableColumn id="3" xr3:uid="{4AEC0CDF-7C37-4A84-A489-532CF56D680A}" name="Total Votes by Party" totalsRowFunction="custom" dataDxfId="1193" totalsRowDxfId="1192">
      <totalsRowFormula>SUM(RepInCongressCongressionalDistrict14General[Total Votes by Party])</totalsRowFormula>
    </tableColumn>
    <tableColumn id="5" xr3:uid="{B787A747-D054-4587-9335-57A68B1267A4}" name="Total Votes by Candidate" dataDxfId="1191" totalsRowDxfId="1190"/>
  </tableColumns>
  <tableStyleInfo name="TableStyleMedium2" showFirstColumn="0" showLastColumn="0" showRowStripes="0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EC81C58-0FC1-4504-8675-D38FC96BF020}" name="MemberOfAssemblyAssemblyDistrict71General" displayName="MemberOfAssemblyAssemblyDistrict71General" ref="A2:D8" totalsRowCount="1" headerRowDxfId="777" dataDxfId="775" totalsRowDxfId="773" headerRowBorderDxfId="776" tableBorderDxfId="774" totalsRowBorderDxfId="772">
  <autoFilter ref="A2:D7" xr:uid="{77E001F6-E3E2-4F4D-98EF-A36C4F19460C}">
    <filterColumn colId="0" hiddenButton="1"/>
    <filterColumn colId="1" hiddenButton="1"/>
    <filterColumn colId="2" hiddenButton="1"/>
    <filterColumn colId="3" hiddenButton="1"/>
  </autoFilter>
  <tableColumns count="4">
    <tableColumn id="1" xr3:uid="{ECCF121E-9266-445A-9C20-F1B4A3C259B9}" name="Candidate Name (Party)" totalsRowLabel="Total Votes by County" dataDxfId="771" totalsRowDxfId="770"/>
    <tableColumn id="4" xr3:uid="{4DBC77DF-D1BA-4140-BA94-1AD19104756D}" name="Part of New York County Vote Results" totalsRowFunction="custom" dataDxfId="769" totalsRowDxfId="768">
      <totalsRowFormula>SUM(MemberOfAssemblyAssemblyDistrict71General[Part of New York County Vote Results])</totalsRowFormula>
    </tableColumn>
    <tableColumn id="3" xr3:uid="{7DB00491-A51E-4A00-93D7-B6C7A7815381}" name="Total Votes by Party" totalsRowFunction="custom" dataDxfId="767" totalsRowDxfId="766">
      <calculatedColumnFormula>MemberOfAssemblyAssemblyDistrict71General[[#This Row],[Part of New York County Vote Results]]</calculatedColumnFormula>
      <totalsRowFormula>SUM(MemberOfAssemblyAssemblyDistrict71General[Total Votes by Party])</totalsRowFormula>
    </tableColumn>
    <tableColumn id="2" xr3:uid="{B0F0A428-0E36-4A2B-B65F-32853B9967EF}" name="Total Votes by Candidate" dataDxfId="765" totalsRowDxfId="764">
      <calculatedColumnFormula>SUM(MemberOfAssemblyAssemblyDistrict71General[[#This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4DC903F-0A32-4590-B3DD-9E7AD014396F}" name="MemberOfAssemblyAssemblyDistrict72General" displayName="MemberOfAssemblyAssemblyDistrict72General" ref="A2:D8" totalsRowCount="1" headerRowDxfId="763" dataDxfId="761" totalsRowDxfId="759" headerRowBorderDxfId="762" tableBorderDxfId="760" totalsRowBorderDxfId="758">
  <autoFilter ref="A2:D7" xr:uid="{5EBC0DDE-FD36-4287-9275-1AA487E169B4}">
    <filterColumn colId="0" hiddenButton="1"/>
    <filterColumn colId="1" hiddenButton="1"/>
    <filterColumn colId="2" hiddenButton="1"/>
    <filterColumn colId="3" hiddenButton="1"/>
  </autoFilter>
  <tableColumns count="4">
    <tableColumn id="1" xr3:uid="{9B6381D4-B034-454B-A130-C173AD43FF8F}" name="Candidate Name (Party)" totalsRowLabel="Total Votes by County" dataDxfId="757" totalsRowDxfId="756"/>
    <tableColumn id="4" xr3:uid="{E3A4412D-D313-4D42-B936-15FF3188E02D}" name="Part of New York County Vote Results" totalsRowFunction="custom" dataDxfId="755" totalsRowDxfId="754">
      <totalsRowFormula>SUM(MemberOfAssemblyAssemblyDistrict72General[Part of New York County Vote Results])</totalsRowFormula>
    </tableColumn>
    <tableColumn id="3" xr3:uid="{F1484F37-B9DB-4C70-9404-6201CAD99A35}" name="Total Votes by Party" totalsRowFunction="custom" dataDxfId="753" totalsRowDxfId="752">
      <calculatedColumnFormula>MemberOfAssemblyAssemblyDistrict72General[[#This Row],[Part of New York County Vote Results]]</calculatedColumnFormula>
      <totalsRowFormula>SUM(MemberOfAssemblyAssemblyDistrict72General[Total Votes by Party])</totalsRowFormula>
    </tableColumn>
    <tableColumn id="2" xr3:uid="{74BBF80A-9B25-47F6-A6A3-05428C873B10}" name="Total Votes by Candidate" dataDxfId="751" totalsRowDxfId="750">
      <calculatedColumnFormula>SUM(MemberOfAssemblyAssemblyDistrict72General[[#This Row],[Total Votes by Party]])</calculatedColumnFormula>
    </tableColumn>
  </tableColumns>
  <tableStyleInfo name="TableStyleMedium2" showFirstColumn="0" showLastColumn="0" showRowStripes="0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653FCE4-D475-4D9D-B2A9-7B03A54553B2}" name="MemberOfAssemblyAssemblyDistrict77General" displayName="MemberOfAssemblyAssemblyDistrict77General" ref="A2:D8" totalsRowCount="1" headerRowDxfId="749" dataDxfId="747" totalsRowDxfId="745" headerRowBorderDxfId="748" tableBorderDxfId="746" totalsRowBorderDxfId="744">
  <autoFilter ref="A2:D7" xr:uid="{D5902526-686A-44DC-97B7-8F01FD67572F}">
    <filterColumn colId="0" hiddenButton="1"/>
    <filterColumn colId="1" hiddenButton="1"/>
    <filterColumn colId="2" hiddenButton="1"/>
    <filterColumn colId="3" hiddenButton="1"/>
  </autoFilter>
  <tableColumns count="4">
    <tableColumn id="1" xr3:uid="{4E71E316-4246-4EB0-B962-4E52513B15C8}" name="Candidate Name (Party)" totalsRowLabel="Total Votes by County" dataDxfId="743" totalsRowDxfId="742"/>
    <tableColumn id="4" xr3:uid="{920C1BA9-26BA-44F8-9FAE-041B54BB8BF2}" name="Part of Bronx County Vote Results" totalsRowFunction="custom" dataDxfId="741" totalsRowDxfId="740">
      <totalsRowFormula>SUM(MemberOfAssemblyAssemblyDistrict77General[Part of Bronx County Vote Results])</totalsRowFormula>
    </tableColumn>
    <tableColumn id="3" xr3:uid="{04B41FD1-BE36-4FF8-85BB-89D78FCA0312}" name="Total Votes by Party" totalsRowFunction="custom" dataDxfId="739" totalsRowDxfId="738">
      <calculatedColumnFormula>MemberOfAssemblyAssemblyDistrict77General[[#This Row],[Part of Bronx County Vote Results]]</calculatedColumnFormula>
      <totalsRowFormula>SUM(MemberOfAssemblyAssemblyDistrict77General[Total Votes by Party])</totalsRowFormula>
    </tableColumn>
    <tableColumn id="2" xr3:uid="{0F50A54B-6508-4166-971B-4796267939B4}" name="Total Votes by Candidate" dataDxfId="737" totalsRowDxfId="736"/>
  </tableColumns>
  <tableStyleInfo name="TableStyleMedium2" showFirstColumn="0" showLastColumn="0" showRowStripes="0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2DA15CE-A7CF-4803-82AA-3017B610DE6D}" name="MemberOfAssemblyAssemblyDistrict82General" displayName="MemberOfAssemblyAssemblyDistrict82General" ref="A2:D8" totalsRowCount="1" headerRowDxfId="735" dataDxfId="733" totalsRowDxfId="731" headerRowBorderDxfId="734" tableBorderDxfId="732" totalsRowBorderDxfId="730">
  <autoFilter ref="A2:D7" xr:uid="{B76A93E2-1975-4BD7-8DD6-7CEB7D707669}">
    <filterColumn colId="0" hiddenButton="1"/>
    <filterColumn colId="1" hiddenButton="1"/>
    <filterColumn colId="2" hiddenButton="1"/>
    <filterColumn colId="3" hiddenButton="1"/>
  </autoFilter>
  <tableColumns count="4">
    <tableColumn id="1" xr3:uid="{D791B7F6-9F98-4978-BC49-38DF6388F241}" name="Candidate Name (Party)" totalsRowLabel="Total Votes by County" dataDxfId="729" totalsRowDxfId="728"/>
    <tableColumn id="4" xr3:uid="{854D534A-7A1B-49C4-B334-AE82A197AC95}" name="Part of Bronx County Vote Results" totalsRowFunction="custom" dataDxfId="727" totalsRowDxfId="726">
      <totalsRowFormula>SUM(MemberOfAssemblyAssemblyDistrict82General[Part of Bronx County Vote Results])</totalsRowFormula>
    </tableColumn>
    <tableColumn id="3" xr3:uid="{08524205-D3AE-4120-8EA5-3D4537DA7941}" name="Total Votes by Party" totalsRowFunction="custom" dataDxfId="725" totalsRowDxfId="724">
      <calculatedColumnFormula>MemberOfAssemblyAssemblyDistrict82General[[#This Row],[Part of Bronx County Vote Results]]</calculatedColumnFormula>
      <totalsRowFormula>SUM(MemberOfAssemblyAssemblyDistrict82General[Total Votes by Party])</totalsRowFormula>
    </tableColumn>
    <tableColumn id="2" xr3:uid="{7F5B27CC-CA95-4770-B307-C18A5A3FB0A4}" name="Total Votes by Candidate" dataDxfId="723" totalsRowDxfId="722"/>
  </tableColumns>
  <tableStyleInfo name="TableStyleMedium2" showFirstColumn="0" showLastColumn="0" showRowStripes="0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80D92B8-BD08-4343-9840-5FB6F310B90D}" name="MemberOfAssemblyAssemblyDistrict84General" displayName="MemberOfAssemblyAssemblyDistrict84General" ref="A2:D8" totalsRowCount="1" headerRowDxfId="721" dataDxfId="719" totalsRowDxfId="717" headerRowBorderDxfId="720" tableBorderDxfId="718" totalsRowBorderDxfId="716">
  <autoFilter ref="A2:D7" xr:uid="{047F2C91-73B1-462F-AD15-DB76F9BDD6BC}">
    <filterColumn colId="0" hiddenButton="1"/>
    <filterColumn colId="1" hiddenButton="1"/>
    <filterColumn colId="2" hiddenButton="1"/>
    <filterColumn colId="3" hiddenButton="1"/>
  </autoFilter>
  <tableColumns count="4">
    <tableColumn id="1" xr3:uid="{E4B7FE5E-B2A1-4D01-A16C-8BD100A190B9}" name="Candidate Name (Party)" totalsRowLabel="Total Votes by County" dataDxfId="715" totalsRowDxfId="714"/>
    <tableColumn id="4" xr3:uid="{717D13D4-B3CC-4996-A9EF-F41D4FA826A6}" name="Part of Bronx County Vote Results" totalsRowFunction="custom" dataDxfId="713" totalsRowDxfId="712">
      <totalsRowFormula>SUM(MemberOfAssemblyAssemblyDistrict84General[Part of Bronx County Vote Results])</totalsRowFormula>
    </tableColumn>
    <tableColumn id="3" xr3:uid="{A6BFCB0B-4D66-4AD2-9202-039A451E7CDC}" name="Total Votes by Party" totalsRowFunction="custom" dataDxfId="711" totalsRowDxfId="710">
      <calculatedColumnFormula>MemberOfAssemblyAssemblyDistrict84General[[#This Row],[Part of Bronx County Vote Results]]</calculatedColumnFormula>
      <totalsRowFormula>SUM(MemberOfAssemblyAssemblyDistrict84General[Total Votes by Party])</totalsRowFormula>
    </tableColumn>
    <tableColumn id="2" xr3:uid="{3DE2892E-FBD0-45C7-8365-FCA3F3454AD4}" name="Total Votes by Candidate" dataDxfId="709" totalsRowDxfId="708"/>
  </tableColumns>
  <tableStyleInfo name="TableStyleMedium2" showFirstColumn="0" showLastColumn="0" showRowStripes="0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988989B-0925-4706-B142-24674E4D0E2E}" name="MemberOfAssemblyAssemblyDistrict92General" displayName="MemberOfAssemblyAssemblyDistrict92General" ref="A2:D8" totalsRowCount="1" headerRowDxfId="707" dataDxfId="705" totalsRowDxfId="703" headerRowBorderDxfId="706" tableBorderDxfId="704" totalsRowBorderDxfId="702">
  <autoFilter ref="A2:D7" xr:uid="{10FE8981-0724-4C55-9706-64F4E23666C5}">
    <filterColumn colId="0" hiddenButton="1"/>
    <filterColumn colId="1" hiddenButton="1"/>
    <filterColumn colId="2" hiddenButton="1"/>
    <filterColumn colId="3" hiddenButton="1"/>
  </autoFilter>
  <tableColumns count="4">
    <tableColumn id="1" xr3:uid="{F7C887D2-BC64-4505-87B0-B9B3D9CB5668}" name="Candidate Name (Party)" totalsRowLabel="Total Votes by County" dataDxfId="701" totalsRowDxfId="700"/>
    <tableColumn id="4" xr3:uid="{35B88E01-34CB-41BB-8A6C-33720F2D7F7B}" name="Part of Westchester County Vote Results" totalsRowFunction="custom" dataDxfId="699" totalsRowDxfId="698">
      <totalsRowFormula>SUM(MemberOfAssemblyAssemblyDistrict92General[Part of Westchester County Vote Results])</totalsRowFormula>
    </tableColumn>
    <tableColumn id="3" xr3:uid="{8052FFAA-9A6D-4FF6-808B-40BEE74E66C4}" name="Total Votes by Party" totalsRowFunction="custom" dataDxfId="697" totalsRowDxfId="696">
      <calculatedColumnFormula>MemberOfAssemblyAssemblyDistrict92General[[#This Row],[Part of Westchester County Vote Results]]</calculatedColumnFormula>
      <totalsRowFormula>SUM(MemberOfAssemblyAssemblyDistrict92General[Total Votes by Party])</totalsRowFormula>
    </tableColumn>
    <tableColumn id="2" xr3:uid="{E03BF319-005E-4494-B3B5-13E621506AD6}" name="Total Votes by Candidate" dataDxfId="695" totalsRowDxfId="694">
      <calculatedColumnFormula>SUM(MemberOfAssemblyAssemblyDistrict92General[[#This Row],[Total Votes by Party]])</calculatedColumnFormula>
    </tableColumn>
  </tableColumns>
  <tableStyleInfo name="TableStyleMedium2" showFirstColumn="0" showLastColumn="0" showRowStripes="0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A919522E-88DA-46F0-881B-774FEF41AB35}" name="MemberOfAssemblyAssemblyDistrict97General36" displayName="MemberOfAssemblyAssemblyDistrict97General36" ref="A2:D8" totalsRowCount="1" headerRowDxfId="693" dataDxfId="691" totalsRowDxfId="689" headerRowBorderDxfId="692" tableBorderDxfId="690" totalsRowBorderDxfId="688">
  <autoFilter ref="A2:D7" xr:uid="{97B32511-51F3-4A1E-A166-F3369638BE7F}">
    <filterColumn colId="0" hiddenButton="1"/>
    <filterColumn colId="1" hiddenButton="1"/>
    <filterColumn colId="2" hiddenButton="1"/>
    <filterColumn colId="3" hiddenButton="1"/>
  </autoFilter>
  <tableColumns count="4">
    <tableColumn id="1" xr3:uid="{0CC2A0C2-9A00-4D56-9473-959EAC2D59B5}" name="Candidate Name (Party)" totalsRowLabel="Total Votes by County" dataDxfId="687" totalsRowDxfId="686"/>
    <tableColumn id="4" xr3:uid="{D3536A5F-9D8E-488D-881A-D91FE697BC3E}" name="Part of Rockland County Vote Results" totalsRowFunction="custom" dataDxfId="685" totalsRowDxfId="684">
      <totalsRowFormula>SUM(MemberOfAssemblyAssemblyDistrict97General36[Part of Rockland County Vote Results])</totalsRowFormula>
    </tableColumn>
    <tableColumn id="3" xr3:uid="{AED0129A-AB5B-4A96-8DE0-B9BA9F1E71A2}" name="Total Votes by Party" totalsRowFunction="custom" dataDxfId="683" totalsRowDxfId="682">
      <calculatedColumnFormula>MemberOfAssemblyAssemblyDistrict97General36[[#This Row],[Part of Rockland County Vote Results]]</calculatedColumnFormula>
      <totalsRowFormula>SUM(MemberOfAssemblyAssemblyDistrict97General36[Total Votes by Party])</totalsRowFormula>
    </tableColumn>
    <tableColumn id="2" xr3:uid="{53FAECC2-B08F-44E0-B9AF-E3C432ADABED}" name="Total Votes by Candidate" dataDxfId="681" totalsRowDxfId="680"/>
  </tableColumns>
  <tableStyleInfo name="TableStyleMedium2" showFirstColumn="0" showLastColumn="0" showRowStripes="0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728C978-A341-4189-A44B-19A004F72AF6}" name="MemberOfAssemblyAssemblyDistrict97General" displayName="MemberOfAssemblyAssemblyDistrict97General" ref="A2:D8" totalsRowCount="1" headerRowDxfId="679" dataDxfId="677" totalsRowDxfId="675" headerRowBorderDxfId="678" tableBorderDxfId="676" totalsRowBorderDxfId="674">
  <autoFilter ref="A2:D7" xr:uid="{97B32511-51F3-4A1E-A166-F3369638BE7F}">
    <filterColumn colId="0" hiddenButton="1"/>
    <filterColumn colId="1" hiddenButton="1"/>
    <filterColumn colId="2" hiddenButton="1"/>
    <filterColumn colId="3" hiddenButton="1"/>
  </autoFilter>
  <tableColumns count="4">
    <tableColumn id="1" xr3:uid="{9C971F9C-B025-4F68-A190-1A388710F939}" name="Candidate Name (Party)" totalsRowLabel="Total Votes by County" dataDxfId="673" totalsRowDxfId="672"/>
    <tableColumn id="4" xr3:uid="{D5CC112F-C147-4EB1-AFC5-57C3DCDB6278}" name="Part of Rockland County Vote Results" totalsRowFunction="custom" dataDxfId="671" totalsRowDxfId="670">
      <totalsRowFormula>SUM(MemberOfAssemblyAssemblyDistrict97General[Part of Rockland County Vote Results])</totalsRowFormula>
    </tableColumn>
    <tableColumn id="3" xr3:uid="{53385B61-9BA2-41D2-ACD5-CF9CDFB099E7}" name="Total Votes by Party" totalsRowFunction="custom" dataDxfId="669" totalsRowDxfId="668">
      <calculatedColumnFormula>MemberOfAssemblyAssemblyDistrict97General[[#This Row],[Part of Rockland County Vote Results]]</calculatedColumnFormula>
      <totalsRowFormula>SUM(MemberOfAssemblyAssemblyDistrict97General[Total Votes by Party])</totalsRowFormula>
    </tableColumn>
    <tableColumn id="2" xr3:uid="{7146CB86-1ABD-4CAE-BDFF-098DD331571B}" name="Total Votes by Candidate" dataDxfId="667" totalsRowDxfId="666"/>
  </tableColumns>
  <tableStyleInfo name="TableStyleMedium2" showFirstColumn="0" showLastColumn="0" showRowStripes="0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C517F95-9831-4FB2-ADEB-2F057E28A395}" name="MemberOfAssemblyAssemblyDistrict100General" displayName="MemberOfAssemblyAssemblyDistrict100General" ref="A2:E8" totalsRowCount="1" headerRowDxfId="665" dataDxfId="663" totalsRowDxfId="661" headerRowBorderDxfId="664" tableBorderDxfId="662" totalsRowBorderDxfId="660">
  <autoFilter ref="A2:E7" xr:uid="{DCA4E2B6-7050-4201-AFC1-F92DCDF029D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30715D9-2DEE-40AC-A2B3-60AFBE8B9250}" name="Candidate Name (Party)" totalsRowLabel="Total Votes by County" dataDxfId="659" totalsRowDxfId="658"/>
    <tableColumn id="2" xr3:uid="{CEFD692A-6273-4C40-A74A-8FB94A6569A2}" name="Part of Orange County Vote Results" totalsRowFunction="custom" dataDxfId="657" totalsRowDxfId="656">
      <totalsRowFormula>SUM(MemberOfAssemblyAssemblyDistrict100General[Part of Orange County Vote Results])</totalsRowFormula>
    </tableColumn>
    <tableColumn id="4" xr3:uid="{6183989D-4768-4E40-BCBF-F20221EAE1D5}" name="Part of Sullivan County Vote Results" totalsRowFunction="custom" dataDxfId="655" totalsRowDxfId="654">
      <totalsRowFormula>SUM(MemberOfAssemblyAssemblyDistrict100General[Part of Sullivan County Vote Results])</totalsRowFormula>
    </tableColumn>
    <tableColumn id="3" xr3:uid="{C6F9EDF9-2E35-42C9-9512-D09E3EC3E0F5}" name="Total Votes by Party" totalsRowFunction="custom" dataDxfId="653" totalsRowDxfId="652">
      <calculatedColumnFormula>SUM(MemberOfAssemblyAssemblyDistrict100General[[#This Row],[Part of Orange County Vote Results]:[Part of Sullivan County Vote Results]])</calculatedColumnFormula>
      <totalsRowFormula>SUM(MemberOfAssemblyAssemblyDistrict100General[Total Votes by Party])</totalsRowFormula>
    </tableColumn>
    <tableColumn id="5" xr3:uid="{CE807945-4A23-44DA-9AEE-EF6912179B94}" name="Total Votes by Candidate" dataDxfId="651" totalsRowDxfId="650">
      <calculatedColumnFormula>SUM(MemberOfAssemblyAssemblyDistrict100General[[#This Row],[Total Votes by Party]])</calculatedColumnFormula>
    </tableColumn>
  </tableColumns>
  <tableStyleInfo name="TableStyleMedium2" showFirstColumn="0" showLastColumn="0" showRowStripes="0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53656DF-C579-414B-A2CF-B176218F9869}" name="MemberOfAssemblyAssemblyDistrict102General" displayName="MemberOfAssemblyAssemblyDistrict102General" ref="A2:H8" totalsRowCount="1" headerRowDxfId="649" dataDxfId="647" totalsRowDxfId="645" headerRowBorderDxfId="648" tableBorderDxfId="646" totalsRowBorderDxfId="644">
  <autoFilter ref="A2:H7" xr:uid="{67401BB3-CFC4-47CC-B246-2E1D572C3D2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7644772A-3160-4265-939B-BE9E8630581F}" name="Candidate Name (Party)" totalsRowLabel="Total Votes by County" dataDxfId="643" totalsRowDxfId="642"/>
    <tableColumn id="2" xr3:uid="{BF88AE67-910B-4989-B647-73FBB9CB7542}" name="Part of Albany County Vote Results" totalsRowFunction="custom" dataDxfId="641" totalsRowDxfId="640">
      <totalsRowFormula>SUM(MemberOfAssemblyAssemblyDistrict102General[Part of Albany County Vote Results])</totalsRowFormula>
    </tableColumn>
    <tableColumn id="10" xr3:uid="{2AAF5E29-DE9C-48C3-BFAD-1CD9243CC84C}" name="Part of Delaware County Vote Results" totalsRowFunction="custom" dataDxfId="639" totalsRowDxfId="638">
      <totalsRowFormula>SUM(MemberOfAssemblyAssemblyDistrict102General[Part of Delaware County Vote Results])</totalsRowFormula>
    </tableColumn>
    <tableColumn id="8" xr3:uid="{4CA6A2B6-0EDF-4494-87E3-AC7FAB779E13}" name="Greene County Vote Results" totalsRowFunction="custom" dataDxfId="637" totalsRowDxfId="636">
      <totalsRowFormula>SUM(MemberOfAssemblyAssemblyDistrict102General[Greene County Vote Results])</totalsRowFormula>
    </tableColumn>
    <tableColumn id="7" xr3:uid="{6EB4FE35-D9DB-4189-8E5E-AB8DD9D2652D}" name="Part of Otsego County Vote Results" totalsRowFunction="custom" dataDxfId="635" totalsRowDxfId="634">
      <totalsRowFormula>SUM(MemberOfAssemblyAssemblyDistrict102General[Part of Otsego County Vote Results])</totalsRowFormula>
    </tableColumn>
    <tableColumn id="4" xr3:uid="{1AD0A09A-DD02-4477-A168-8D6345E299F6}" name="Schoharie County Vote Results" totalsRowFunction="custom" dataDxfId="633" totalsRowDxfId="632">
      <totalsRowFormula>SUM(MemberOfAssemblyAssemblyDistrict102General[Schoharie County Vote Results])</totalsRowFormula>
    </tableColumn>
    <tableColumn id="3" xr3:uid="{DC5FEAE5-4E79-44D3-9A92-FE4DA5C79F56}" name="Total Votes by Party" totalsRowFunction="custom" dataDxfId="631" totalsRowDxfId="630">
      <calculatedColumnFormula>SUM(MemberOfAssemblyAssemblyDistrict102General[[#This Row],[Part of Albany County Vote Results]:[Schoharie County Vote Results]])</calculatedColumnFormula>
      <totalsRowFormula>SUM(MemberOfAssemblyAssemblyDistrict102General[Total Votes by Party])</totalsRowFormula>
    </tableColumn>
    <tableColumn id="5" xr3:uid="{72D63970-EB0C-4DA8-9174-6B229A22FD9C}" name="Total Votes by Candidate" dataDxfId="629" totalsRowDxfId="628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2" xr:uid="{45ADB0A2-F725-48C0-9DE3-088162D46A3A}" name="RepInCongressCongressionalDistrict16General" displayName="RepInCongressCongressionalDistrict16General" ref="A2:E8" totalsRowCount="1" headerRowDxfId="1189" dataDxfId="1187" totalsRowDxfId="1185" headerRowBorderDxfId="1188" tableBorderDxfId="1186" totalsRowBorderDxfId="1184">
  <autoFilter ref="A2:E7" xr:uid="{151567D1-C9D1-459F-A027-DDDB16941B5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63EAEC1-7364-4EDB-B492-D360C680765C}" name="Candidate Name (Party)" totalsRowLabel="Total Votes by County" dataDxfId="1183" totalsRowDxfId="1182"/>
    <tableColumn id="2" xr3:uid="{83A6AFDB-728E-4A68-8573-88562F65AF9F}" name="Part of Bronx County Vote Results" totalsRowFunction="custom" dataDxfId="1181" totalsRowDxfId="1180">
      <totalsRowFormula>SUM(RepInCongressCongressionalDistrict16General[Part of Bronx County Vote Results])</totalsRowFormula>
    </tableColumn>
    <tableColumn id="4" xr3:uid="{13E8579A-B85F-4B46-AEF8-3410B5F48C39}" name="Part of Westchester County Vote Results" totalsRowFunction="custom" dataDxfId="1179" totalsRowDxfId="1178">
      <totalsRowFormula>SUM(RepInCongressCongressionalDistrict16General[Part of Westchester County Vote Results])</totalsRowFormula>
    </tableColumn>
    <tableColumn id="3" xr3:uid="{748F98F0-C32F-45BD-82A3-F12400F117D4}" name="Total Votes by Party" totalsRowFunction="custom" dataDxfId="1177" totalsRowDxfId="1176">
      <calculatedColumnFormula>SUM(RepInCongressCongressionalDistrict16General[[#This Row],[Part of Bronx County Vote Results]:[Part of Westchester County Vote Results]])</calculatedColumnFormula>
      <totalsRowFormula>SUM(RepInCongressCongressionalDistrict16General[Total Votes by Party])</totalsRowFormula>
    </tableColumn>
    <tableColumn id="5" xr3:uid="{F8AB6772-35E6-4BFC-90F6-4D09175E744C}" name="Total Votes by Candidate" dataDxfId="1175" totalsRowDxfId="1174">
      <calculatedColumnFormula>SUM(RepInCongressCongressionalDistrict16General[[#This Row],[Total Votes by Party]])</calculatedColumnFormula>
    </tableColumn>
  </tableColumns>
  <tableStyleInfo name="TableStyleMedium2" showFirstColumn="0" showLastColumn="0" showRowStripes="0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FC8B08D-1ED5-4A6F-B8A3-EB386D042154}" name="MemberOfAssemblyAssemblyDistrict103General" displayName="MemberOfAssemblyAssemblyDistrict103General" ref="A2:E8" totalsRowCount="1" headerRowDxfId="627" dataDxfId="625" totalsRowDxfId="623" headerRowBorderDxfId="626" tableBorderDxfId="624" totalsRowBorderDxfId="622">
  <autoFilter ref="A2:E7" xr:uid="{F877A077-3BBC-4C6E-88B4-3CF33C73069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68C22C7-E62A-4586-8E15-44FDED14DF98}" name="Candidate Name (Party)" totalsRowLabel="Total Votes by County" dataDxfId="621" totalsRowDxfId="620"/>
    <tableColumn id="2" xr3:uid="{8BFD8417-0491-4D53-8DA2-13BEF4E0D8F2}" name="Part of Dutchess County Vote Results" totalsRowFunction="custom" dataDxfId="619" totalsRowDxfId="618">
      <totalsRowFormula>SUM(MemberOfAssemblyAssemblyDistrict103General[Part of Dutchess County Vote Results])</totalsRowFormula>
    </tableColumn>
    <tableColumn id="4" xr3:uid="{D1210315-14F3-438E-B531-C917A39C2C96}" name="Part of Ulster County Vote Results" totalsRowFunction="custom" dataDxfId="617" totalsRowDxfId="616">
      <totalsRowFormula>SUM(MemberOfAssemblyAssemblyDistrict103General[Part of Ulster County Vote Results])</totalsRowFormula>
    </tableColumn>
    <tableColumn id="3" xr3:uid="{E078FA5F-9212-4EB7-88F3-FA5ACCED23A9}" name="Total Votes by Party" totalsRowFunction="custom" dataDxfId="615" totalsRowDxfId="614">
      <calculatedColumnFormula>SUM(MemberOfAssemblyAssemblyDistrict103General[[#This Row],[Part of Dutchess County Vote Results]:[Part of Ulster County Vote Results]])</calculatedColumnFormula>
      <totalsRowFormula>SUM(MemberOfAssemblyAssemblyDistrict103General[Total Votes by Party])</totalsRowFormula>
    </tableColumn>
    <tableColumn id="5" xr3:uid="{DF4A8B1A-D4AE-4202-A2CF-8F318CB84B99}" name="Total Votes by Candidate" dataDxfId="613" totalsRowDxfId="612">
      <calculatedColumnFormula>SUM(MemberOfAssemblyAssemblyDistrict103General[[#This Row],[Total Votes by Party]],#REF!,#REF!)</calculatedColumnFormula>
    </tableColumn>
  </tableColumns>
  <tableStyleInfo name="TableStyleMedium2" showFirstColumn="0" showLastColumn="0" showRowStripes="0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BCA035E-D82B-43F9-934F-6376CBD0CECA}" name="MemberOfAssemblyAssemblyDistrict106General" displayName="MemberOfAssemblyAssemblyDistrict106General" ref="A2:E8" totalsRowCount="1" headerRowDxfId="611" dataDxfId="609" totalsRowDxfId="607" headerRowBorderDxfId="610" tableBorderDxfId="608" totalsRowBorderDxfId="606">
  <autoFilter ref="A2:E7" xr:uid="{42CA49A3-C0EE-449B-8AEB-31CDBCCA969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D62E460-6196-4A2E-BBF0-C25A31464DC4}" name="Candidate Name (Party)" totalsRowLabel="Total Votes by County" dataDxfId="605" totalsRowDxfId="604"/>
    <tableColumn id="2" xr3:uid="{9565CA51-11F3-419B-8740-CB45578A1EE4}" name="Part of Columbia County Vote Results" totalsRowFunction="custom" dataDxfId="603" totalsRowDxfId="602">
      <totalsRowFormula>SUM(MemberOfAssemblyAssemblyDistrict106General[Part of Columbia County Vote Results])</totalsRowFormula>
    </tableColumn>
    <tableColumn id="4" xr3:uid="{840904AE-E38E-4E6E-BD58-A88E2CCB5B21}" name="Part of Dutchess County Vote Results" totalsRowFunction="custom" dataDxfId="601" totalsRowDxfId="600">
      <totalsRowFormula>SUM(MemberOfAssemblyAssemblyDistrict106General[Part of Dutchess County Vote Results])</totalsRowFormula>
    </tableColumn>
    <tableColumn id="3" xr3:uid="{A358A746-00B0-4E9A-81F4-AE64B11AD55C}" name="Total Votes by Party" totalsRowFunction="custom" dataDxfId="599" totalsRowDxfId="598">
      <calculatedColumnFormula>SUM(MemberOfAssemblyAssemblyDistrict106General[[#This Row],[Part of Columbia County Vote Results]:[Part of Dutchess County Vote Results]])</calculatedColumnFormula>
      <totalsRowFormula>SUM(MemberOfAssemblyAssemblyDistrict106General[Total Votes by Party])</totalsRowFormula>
    </tableColumn>
    <tableColumn id="5" xr3:uid="{7CE26186-AE43-45B9-BB8E-0951C05748AE}" name="Total Votes by Candidate" dataDxfId="597" totalsRowDxfId="596"/>
  </tableColumns>
  <tableStyleInfo name="TableStyleMedium2" showFirstColumn="0" showLastColumn="0" showRowStripes="0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0D05FBD-1624-4F7C-8C31-FED425929439}" name="MemberOfAssemblyAssemblyDistrict107General" displayName="MemberOfAssemblyAssemblyDistrict107General" ref="A2:G8" totalsRowCount="1" headerRowDxfId="595" dataDxfId="593" totalsRowDxfId="591" headerRowBorderDxfId="594" tableBorderDxfId="592" totalsRowBorderDxfId="590">
  <autoFilter ref="A2:G7" xr:uid="{F6E41C3A-2077-4ECA-A06A-C16955B2C39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40E9EEE-C748-4D9A-9A4B-E79DE9067A9D}" name="Candidate Name (Party)" totalsRowLabel="Total Votes by County" dataDxfId="589" totalsRowDxfId="588"/>
    <tableColumn id="2" xr3:uid="{91C6390D-D578-463B-8C80-F639D32EA64D}" name="Part of Albany County Vote Results" totalsRowFunction="custom" dataDxfId="587" totalsRowDxfId="586">
      <totalsRowFormula>SUM(MemberOfAssemblyAssemblyDistrict107General[Part of Albany County Vote Results])</totalsRowFormula>
    </tableColumn>
    <tableColumn id="7" xr3:uid="{494BF137-E23B-465D-8158-F09D951F228E}" name="Part of Columbia County Vote Results" totalsRowFunction="custom" dataDxfId="585" totalsRowDxfId="584">
      <totalsRowFormula>SUM(MemberOfAssemblyAssemblyDistrict107General[Part of Columbia County Vote Results])</totalsRowFormula>
    </tableColumn>
    <tableColumn id="3" xr3:uid="{F7CA6C3E-106C-4814-B5DE-571348397097}" name="Part of Rensselaer County Vote Results" totalsRowFunction="custom" dataDxfId="583" totalsRowDxfId="582">
      <totalsRowFormula>SUM(MemberOfAssemblyAssemblyDistrict107General[Part of Rensselaer County Vote Results])</totalsRowFormula>
    </tableColumn>
    <tableColumn id="4" xr3:uid="{22B5875D-1300-4F0E-AD08-B6BB74D075BA}" name="Part of Washington County Vote Results" totalsRowFunction="custom" dataDxfId="581" totalsRowDxfId="580">
      <totalsRowFormula>SUM(MemberOfAssemblyAssemblyDistrict107General[Part of Washington County Vote Results])</totalsRowFormula>
    </tableColumn>
    <tableColumn id="6" xr3:uid="{AE543DC4-C6FB-4C0C-B043-0392D5DFBDC9}" name="Total Votes by Party" totalsRowFunction="custom" dataDxfId="579" totalsRowDxfId="578">
      <calculatedColumnFormula>SUM(MemberOfAssemblyAssemblyDistrict107General[[#This Row],[Part of Albany County Vote Results]:[Part of Washington County Vote Results]])</calculatedColumnFormula>
      <totalsRowFormula>SUM(MemberOfAssemblyAssemblyDistrict107General[Total Votes by Party])</totalsRowFormula>
    </tableColumn>
    <tableColumn id="5" xr3:uid="{0DA7BEB6-34A6-4F27-AF3C-41F82AD9ACEF}" name="Total Votes by Candidate" dataDxfId="577" totalsRowDxfId="576"/>
  </tableColumns>
  <tableStyleInfo name="TableStyleMedium2" showFirstColumn="0" showLastColumn="0" showRowStripes="0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E5F93EC-611F-4BD1-98F5-56C9839460DA}" name="MemberOfAssemblyAssemblyDistrict109General" displayName="MemberOfAssemblyAssemblyDistrict109General" ref="A2:D12" totalsRowCount="1" headerRowDxfId="575" dataDxfId="573" totalsRowDxfId="571" headerRowBorderDxfId="574" tableBorderDxfId="572" totalsRowBorderDxfId="570">
  <autoFilter ref="A2:D11" xr:uid="{B6103988-1753-4CD3-AC96-0B68F1B36E03}">
    <filterColumn colId="0" hiddenButton="1"/>
    <filterColumn colId="1" hiddenButton="1"/>
    <filterColumn colId="2" hiddenButton="1"/>
    <filterColumn colId="3" hiddenButton="1"/>
  </autoFilter>
  <tableColumns count="4">
    <tableColumn id="1" xr3:uid="{9A938619-7665-458B-BD98-D287611A250C}" name="Candidate Name (Party)" totalsRowLabel="Total Votes by County" dataDxfId="569" totalsRowDxfId="568"/>
    <tableColumn id="4" xr3:uid="{DB4505A1-E8E5-4B14-A602-A2F7614CDA89}" name="Part of Albany County Vote Results" totalsRowFunction="custom" dataDxfId="567" totalsRowDxfId="566">
      <totalsRowFormula>SUM(MemberOfAssemblyAssemblyDistrict109General[Part of Albany County Vote Results])</totalsRowFormula>
    </tableColumn>
    <tableColumn id="3" xr3:uid="{9F80E412-6388-44E9-A1B5-BE27BE32ACED}" name="Total Votes by Party" totalsRowFunction="custom" dataDxfId="565" totalsRowDxfId="564">
      <calculatedColumnFormula>MemberOfAssemblyAssemblyDistrict109General[[#This Row],[Part of Albany County Vote Results]]</calculatedColumnFormula>
      <totalsRowFormula>SUM(MemberOfAssemblyAssemblyDistrict109General[Total Votes by Party])</totalsRowFormula>
    </tableColumn>
    <tableColumn id="2" xr3:uid="{76BC8ED2-F2F8-4DFF-9476-C84187173F5D}" name="Total Votes by Candidate" dataDxfId="563" totalsRowDxfId="562"/>
  </tableColumns>
  <tableStyleInfo name="TableStyleMedium2" showFirstColumn="0" showLastColumn="0" showRowStripes="0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CD54397-C614-4E1A-B6A0-23E94587A6EB}" name="MemberOfAssemblyAssemblyDistrict137General" displayName="MemberOfAssemblyAssemblyDistrict137General" ref="A2:D8" totalsRowCount="1" headerRowDxfId="561" dataDxfId="559" totalsRowDxfId="557" headerRowBorderDxfId="560" tableBorderDxfId="558" totalsRowBorderDxfId="556">
  <autoFilter ref="A2:D7" xr:uid="{131EAACA-BE16-410F-9DCB-436E3BF36992}">
    <filterColumn colId="0" hiddenButton="1"/>
    <filterColumn colId="1" hiddenButton="1"/>
    <filterColumn colId="2" hiddenButton="1"/>
    <filterColumn colId="3" hiddenButton="1"/>
  </autoFilter>
  <tableColumns count="4">
    <tableColumn id="1" xr3:uid="{52BFE374-57F0-4B1C-8A37-4164CDC59DB9}" name="Candidate Name (Party)" totalsRowLabel="Total Votes by County" dataDxfId="555" totalsRowDxfId="554"/>
    <tableColumn id="4" xr3:uid="{D905FDC7-7CFA-43B7-BD88-719DF20F7E13}" name="Part of Monroe County Vote Results" totalsRowFunction="custom" dataDxfId="553" totalsRowDxfId="552">
      <totalsRowFormula>SUM(MemberOfAssemblyAssemblyDistrict137General[Part of Monroe County Vote Results])</totalsRowFormula>
    </tableColumn>
    <tableColumn id="3" xr3:uid="{5E0AB52A-5C6D-496A-9F3B-F864348D6A7C}" name="Total Votes by Party" totalsRowFunction="custom" dataDxfId="551" totalsRowDxfId="550">
      <calculatedColumnFormula>MemberOfAssemblyAssemblyDistrict137General[[#This Row],[Part of Monroe County Vote Results]]</calculatedColumnFormula>
      <totalsRowFormula>SUM(MemberOfAssemblyAssemblyDistrict137General[Total Votes by Party])</totalsRowFormula>
    </tableColumn>
    <tableColumn id="2" xr3:uid="{55DBC775-5D61-4994-A261-A5E5878F18BA}" name="Total Votes by Candidate" dataDxfId="549" totalsRowDxfId="548">
      <calculatedColumnFormula>SUM(MemberOfAssemblyAssemblyDistrict137General[[#This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624E11B-CA41-493C-9D1B-0C778CA1969B}" name="MemberOfAssemblyAssemblyDistrict147General" displayName="MemberOfAssemblyAssemblyDistrict147General" ref="A2:E8" totalsRowCount="1" headerRowDxfId="547" dataDxfId="545" totalsRowDxfId="543" headerRowBorderDxfId="546" tableBorderDxfId="544" totalsRowBorderDxfId="542">
  <autoFilter ref="A2:E7" xr:uid="{700F459E-B1F3-4D93-87B6-499BD5366D3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B4FBEA7-6969-4FD6-A721-4CE4E07D46FC}" name="Candidate Name (Party)" totalsRowLabel="Total Votes by County" dataDxfId="541" totalsRowDxfId="540"/>
    <tableColumn id="2" xr3:uid="{FF0E6E08-EF11-4E6A-B69B-F526335E0402}" name="Part of Erie County Vote Results" totalsRowFunction="custom" dataDxfId="539" totalsRowDxfId="538">
      <totalsRowFormula>SUM(MemberOfAssemblyAssemblyDistrict147General[Part of Erie County Vote Results])</totalsRowFormula>
    </tableColumn>
    <tableColumn id="4" xr3:uid="{DD7EC37F-B8C8-4015-8D25-D84122D83CEB}" name="Part of Wyoming County Vote Results" totalsRowFunction="custom" dataDxfId="537" totalsRowDxfId="536">
      <totalsRowFormula>SUM(MemberOfAssemblyAssemblyDistrict147General[Part of Wyoming County Vote Results])</totalsRowFormula>
    </tableColumn>
    <tableColumn id="3" xr3:uid="{F71FEA5F-97EA-4C89-B0A3-8490AD76AAFF}" name="Total Votes by Party" totalsRowFunction="custom" dataDxfId="535" totalsRowDxfId="534">
      <calculatedColumnFormula>SUM(MemberOfAssemblyAssemblyDistrict147General[[#This Row],[Part of Erie County Vote Results]:[Part of Wyoming County Vote Results]])</calculatedColumnFormula>
      <totalsRowFormula>SUM(MemberOfAssemblyAssemblyDistrict147General[Total Votes by Party])</totalsRowFormula>
    </tableColumn>
    <tableColumn id="5" xr3:uid="{59CFBF15-7579-45B8-9B56-86D93BC6F9D5}" name="Total Votes by Candidate" dataDxfId="533" totalsRowDxfId="532">
      <calculatedColumnFormula>SUM(MemberOfAssemblyAssemblyDistrict147General[[#This Row],[Total Votes by Party]])</calculatedColumnFormula>
    </tableColumn>
  </tableColumns>
  <tableStyleInfo name="TableStyleMedium2" showFirstColumn="0" showLastColumn="0" showRowStripes="0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5A8E2CF-7FD5-4BB9-AD7F-B560CB005BA9}" name="MemberOfAssemblyAssemblyDistrict84General5524" displayName="MemberOfAssemblyAssemblyDistrict84General5524" ref="A2:D8" totalsRowCount="1" headerRowDxfId="531" dataDxfId="529" totalsRowDxfId="527" headerRowBorderDxfId="530" tableBorderDxfId="528" totalsRowBorderDxfId="526">
  <autoFilter ref="A2:D7" xr:uid="{047F2C91-73B1-462F-AD15-DB76F9BDD6BC}">
    <filterColumn colId="0" hiddenButton="1"/>
    <filterColumn colId="1" hiddenButton="1"/>
    <filterColumn colId="2" hiddenButton="1"/>
    <filterColumn colId="3" hiddenButton="1"/>
  </autoFilter>
  <tableColumns count="4">
    <tableColumn id="1" xr3:uid="{68DDE1E8-43D0-41B9-ABF3-6D243281EE52}" name="Candidate Name (Party)" totalsRowLabel="Total Votes by County" dataDxfId="525" totalsRowDxfId="524"/>
    <tableColumn id="4" xr3:uid="{95751C04-0683-4A78-A9E3-D4A845812740}" name="Part of Westchester County Vote Results" totalsRowFunction="custom" dataDxfId="523" totalsRowDxfId="522">
      <totalsRowFormula>SUM(MemberOfAssemblyAssemblyDistrict84General5524[Part of Westchester County Vote Results])</totalsRowFormula>
    </tableColumn>
    <tableColumn id="3" xr3:uid="{58379D79-0DFA-4A74-9AAE-F23214349552}" name="Total Votes by Party" totalsRowFunction="custom" dataDxfId="521" totalsRowDxfId="520">
      <calculatedColumnFormula>MemberOfAssemblyAssemblyDistrict84General5524[[#This Row],[Part of Westchester County Vote Results]]</calculatedColumnFormula>
      <totalsRowFormula>SUM(MemberOfAssemblyAssemblyDistrict84General5524[Total Votes by Party])</totalsRowFormula>
    </tableColumn>
    <tableColumn id="2" xr3:uid="{1A1FC79D-00D1-4FC3-B415-CDA213E18483}" name="Total Votes by Candidate" dataDxfId="519" totalsRowDxfId="518"/>
  </tableColumns>
  <tableStyleInfo name="TableStyleMedium2" showFirstColumn="0" showLastColumn="0" showRowStripes="0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13CBA973-F5C0-4652-9CBB-D4821D199EA8}" name="MemberOfAssemblyAssemblyDistrict68General43" displayName="MemberOfAssemblyAssemblyDistrict68General43" ref="A2:D36" totalsRowCount="1" headerRowDxfId="517" dataDxfId="515" totalsRowDxfId="513" headerRowBorderDxfId="516" tableBorderDxfId="514" totalsRowBorderDxfId="512">
  <autoFilter ref="A2:D35" xr:uid="{7C0C90E0-7094-436E-AE33-860942F94EB6}">
    <filterColumn colId="0" hiddenButton="1"/>
    <filterColumn colId="1" hiddenButton="1"/>
    <filterColumn colId="2" hiddenButton="1"/>
    <filterColumn colId="3" hiddenButton="1"/>
  </autoFilter>
  <tableColumns count="4">
    <tableColumn id="1" xr3:uid="{74919502-6D0C-4BAD-AD42-4C330C954B90}" name="Candidate Name (Party)" totalsRowLabel="Total Votes by County" dataDxfId="511" totalsRowDxfId="510"/>
    <tableColumn id="4" xr3:uid="{C6766011-4269-477E-B291-54E68CB9B0F2}" name="Part of New York County Vote Results" totalsRowFunction="custom" dataDxfId="509" totalsRowDxfId="508">
      <totalsRowFormula>SUM(MemberOfAssemblyAssemblyDistrict68General43[Part of New York County Vote Results])</totalsRowFormula>
    </tableColumn>
    <tableColumn id="3" xr3:uid="{DA711254-D836-4A71-834A-BA0BDFC0C07F}" name="Total Votes by Party" totalsRowFunction="custom" dataDxfId="507" totalsRowDxfId="506">
      <calculatedColumnFormula>MemberOfAssemblyAssemblyDistrict68General43[[#This Row],[Part of New York County Vote Results]]</calculatedColumnFormula>
      <totalsRowFormula>SUM(MemberOfAssemblyAssemblyDistrict68General43[Total Votes by Party])</totalsRowFormula>
    </tableColumn>
    <tableColumn id="2" xr3:uid="{86C8AADD-458D-4C7B-9B33-F49F0AB2E690}" name="Total Votes by Candidate" dataDxfId="505" totalsRowDxfId="504"/>
  </tableColumns>
  <tableStyleInfo name="TableStyleMedium2" showFirstColumn="0" showLastColumn="0" showRowStripes="0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FA52FEFF-FF7C-4EC0-96AC-741AC50736D8}" name="MemberOfAssemblyAssemblyDistrict68General4344" displayName="MemberOfAssemblyAssemblyDistrict68General4344" ref="A2:D26" totalsRowCount="1" headerRowDxfId="503" dataDxfId="501" totalsRowDxfId="499" headerRowBorderDxfId="502" tableBorderDxfId="500" totalsRowBorderDxfId="498">
  <autoFilter ref="A2:D25" xr:uid="{7C0C90E0-7094-436E-AE33-860942F94EB6}">
    <filterColumn colId="0" hiddenButton="1"/>
    <filterColumn colId="1" hiddenButton="1"/>
    <filterColumn colId="2" hiddenButton="1"/>
    <filterColumn colId="3" hiddenButton="1"/>
  </autoFilter>
  <tableColumns count="4">
    <tableColumn id="1" xr3:uid="{AA12A190-674E-4636-8766-F4C7C55FDBDD}" name="Candidate Name (Party)" totalsRowLabel="Total Votes by County" dataDxfId="497" totalsRowDxfId="496"/>
    <tableColumn id="4" xr3:uid="{FD27ACBD-A8DD-4628-8D96-076908DE8A47}" name="Part of New York County Vote Results" totalsRowFunction="custom" dataDxfId="495" totalsRowDxfId="494">
      <totalsRowFormula>SUM(MemberOfAssemblyAssemblyDistrict68General4344[Part of New York County Vote Results])</totalsRowFormula>
    </tableColumn>
    <tableColumn id="3" xr3:uid="{5E2BA6A5-2589-4AAA-8B47-3D2E07AB96C0}" name="Total Votes by Party" totalsRowFunction="custom" dataDxfId="493" totalsRowDxfId="492">
      <calculatedColumnFormula>MemberOfAssemblyAssemblyDistrict68General4344[[#This Row],[Part of New York County Vote Results]]</calculatedColumnFormula>
      <totalsRowFormula>SUM(MemberOfAssemblyAssemblyDistrict68General4344[Total Votes by Party])</totalsRowFormula>
    </tableColumn>
    <tableColumn id="2" xr3:uid="{65A25BC7-EAB2-4D3C-979C-141DEBF7D4AB}" name="Total Votes by Candidate" dataDxfId="491" totalsRowDxfId="490"/>
  </tableColumns>
  <tableStyleInfo name="TableStyleMedium2" showFirstColumn="0" showLastColumn="0" showRowStripes="0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C28DFCD-7FA5-4091-91FF-0AD8889665BE}" name="MemberOfAssemblyAssemblyDistrict69General4546" displayName="MemberOfAssemblyAssemblyDistrict69General4546" ref="A2:D31" totalsRowCount="1" headerRowDxfId="489" dataDxfId="487" totalsRowDxfId="485" headerRowBorderDxfId="488" tableBorderDxfId="486" totalsRowBorderDxfId="484">
  <autoFilter ref="A2:D30" xr:uid="{49F6F76A-2CF7-46A3-9E61-C944DC0AA3FE}">
    <filterColumn colId="0" hiddenButton="1"/>
    <filterColumn colId="1" hiddenButton="1"/>
    <filterColumn colId="2" hiddenButton="1"/>
    <filterColumn colId="3" hiddenButton="1"/>
  </autoFilter>
  <tableColumns count="4">
    <tableColumn id="1" xr3:uid="{A9D290AD-8229-4CCD-90A6-C04B89B31AFB}" name="Candidate Name (Party)" totalsRowLabel="Total Votes by County" dataDxfId="483" totalsRowDxfId="482"/>
    <tableColumn id="4" xr3:uid="{02884DDF-D978-478B-89E3-774081300E7D}" name="Part of New York County Vote Results" totalsRowFunction="custom" dataDxfId="481" totalsRowDxfId="480">
      <totalsRowFormula>SUM(MemberOfAssemblyAssemblyDistrict69General4546[Part of New York County Vote Results])</totalsRowFormula>
    </tableColumn>
    <tableColumn id="3" xr3:uid="{7ED33CE0-B5AB-4BFA-8E78-DD58780A95D0}" name="Total Votes by Party" totalsRowFunction="custom" dataDxfId="479" totalsRowDxfId="478">
      <calculatedColumnFormula>MemberOfAssemblyAssemblyDistrict69General4546[[#This Row],[Part of New York County Vote Results]]</calculatedColumnFormula>
      <totalsRowFormula>SUM(MemberOfAssemblyAssemblyDistrict69General4546[Total Votes by Party])</totalsRowFormula>
    </tableColumn>
    <tableColumn id="2" xr3:uid="{9BF21B08-F585-4E29-BA5A-C63AA5B9B32C}" name="Total Votes by Candidate" dataDxfId="477" totalsRowDxfId="476">
      <calculatedColumnFormula>SUM(MemberOfAssemblyAssemblyDistrict69General4546[[#This Row],[Total Votes by Party]])</calculatedColumnFormula>
    </tableColumn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3" xr:uid="{8E6D9853-BD3C-46C0-A8EF-BD20C31304DF}" name="RepInCongressCongressionalDistrict17General" displayName="RepInCongressCongressionalDistrict17General" ref="A2:G8" totalsRowCount="1" headerRowDxfId="1173" dataDxfId="1171" totalsRowDxfId="1169" headerRowBorderDxfId="1172" tableBorderDxfId="1170" totalsRowBorderDxfId="1168">
  <autoFilter ref="A2:G7" xr:uid="{BB80A5BF-F8A6-4751-8ACC-0548AF09BFE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4AA91614-36B0-411C-B449-8D6992324145}" name="Candidate Name (Party)" totalsRowLabel="Total Votes by County" dataDxfId="1167" totalsRowDxfId="1166"/>
    <tableColumn id="8" xr3:uid="{2DCA1312-1D0E-46AF-833C-98A82FFB5B9D}" name="Part of Dutchess County_x000a_Vote Results" totalsRowFunction="custom" dataDxfId="1165" totalsRowDxfId="1164">
      <totalsRowFormula>SUM(RepInCongressCongressionalDistrict17General[Part of Dutchess County
Vote Results])</totalsRowFormula>
    </tableColumn>
    <tableColumn id="7" xr3:uid="{D4B76A99-861B-4FF5-B434-91453394D212}" name="Putnam County_x000a_Vote Results" totalsRowFunction="custom" dataDxfId="1163" totalsRowDxfId="1162">
      <totalsRowFormula>SUM(RepInCongressCongressionalDistrict17General[Putnam County
Vote Results])</totalsRowFormula>
    </tableColumn>
    <tableColumn id="2" xr3:uid="{DCA157F0-E380-418C-8FD6-3873DE2FAFE1}" name="Rockland County _x000a_Vote Results" totalsRowFunction="custom" dataDxfId="1161" totalsRowDxfId="1160">
      <totalsRowFormula>SUM(RepInCongressCongressionalDistrict17General[Rockland County 
Vote Results])</totalsRowFormula>
    </tableColumn>
    <tableColumn id="4" xr3:uid="{8A1720F6-0F92-4677-A01F-9F2721B6C043}" name="Part of Westchester County _x000a_Vote Results" totalsRowFunction="custom" dataDxfId="1159" totalsRowDxfId="1158">
      <totalsRowFormula>SUM(RepInCongressCongressionalDistrict17General[Part of Westchester County 
Vote Results])</totalsRowFormula>
    </tableColumn>
    <tableColumn id="3" xr3:uid="{0A15F1CE-5BF6-4A59-8344-5D88947E189E}" name="Total Votes by Party" totalsRowFunction="custom" dataDxfId="1157" totalsRowDxfId="1156">
      <calculatedColumnFormula>SUM(RepInCongressCongressionalDistrict17General[[#This Row],[Part of Dutchess County
Vote Results]:[Part of Westchester County 
Vote Results]])</calculatedColumnFormula>
      <totalsRowFormula>SUM(RepInCongressCongressionalDistrict17General[Total Votes by Party])</totalsRowFormula>
    </tableColumn>
    <tableColumn id="5" xr3:uid="{2B3967D0-6A4C-47F0-84DC-C59EF6B0238E}" name="Total Votes by Candidate" dataDxfId="1155" totalsRowDxfId="1154"/>
  </tableColumns>
  <tableStyleInfo name="TableStyleMedium2" showFirstColumn="0" showLastColumn="0" showRowStripes="0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ED18EEFF-F56E-4A88-A6A0-46A3495DE54A}" name="MemberOfAssemblyAssemblyDistrict70General47" displayName="MemberOfAssemblyAssemblyDistrict70General47" ref="A2:D30" totalsRowCount="1" headerRowDxfId="475" dataDxfId="473" totalsRowDxfId="471" headerRowBorderDxfId="474" tableBorderDxfId="472" totalsRowBorderDxfId="470">
  <autoFilter ref="A2:D29" xr:uid="{7C41311A-532C-46E5-9E8C-EAC4A30F20BE}">
    <filterColumn colId="0" hiddenButton="1"/>
    <filterColumn colId="1" hiddenButton="1"/>
    <filterColumn colId="2" hiddenButton="1"/>
    <filterColumn colId="3" hiddenButton="1"/>
  </autoFilter>
  <tableColumns count="4">
    <tableColumn id="1" xr3:uid="{59270DDD-3232-4C52-8A83-47A246E5BDC2}" name="Candidate Name (Party)" totalsRowLabel="Total Votes by County" dataDxfId="469" totalsRowDxfId="468"/>
    <tableColumn id="4" xr3:uid="{22CEB3AD-CD1A-478F-ACD9-5A2A13D72955}" name="Part of New York County Vote Results" totalsRowFunction="custom" dataDxfId="467" totalsRowDxfId="466">
      <totalsRowFormula>SUM(MemberOfAssemblyAssemblyDistrict70General47[Part of New York County Vote Results])</totalsRowFormula>
    </tableColumn>
    <tableColumn id="3" xr3:uid="{D702731B-F1C6-4A36-B216-F5E501EBD226}" name="Total Votes by Party" totalsRowFunction="custom" dataDxfId="465" totalsRowDxfId="464">
      <calculatedColumnFormula>MemberOfAssemblyAssemblyDistrict70General47[[#This Row],[Part of New York County Vote Results]]</calculatedColumnFormula>
      <totalsRowFormula>SUM(MemberOfAssemblyAssemblyDistrict70General47[Total Votes by Party])</totalsRowFormula>
    </tableColumn>
    <tableColumn id="2" xr3:uid="{49B36903-27C4-49C8-9568-B39DC04865AC}" name="Total Votes by Candidate" dataDxfId="463" totalsRowDxfId="462"/>
  </tableColumns>
  <tableStyleInfo name="TableStyleMedium2" showFirstColumn="0" showLastColumn="0" showRowStripes="0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C6E8FD5E-FEEB-4C6C-8E6B-2CBEDE5088C7}" name="MemberOfAssemblyAssemblyDistrict71General49" displayName="MemberOfAssemblyAssemblyDistrict71General49" ref="A2:D28" totalsRowCount="1" headerRowDxfId="461" dataDxfId="459" totalsRowDxfId="457" headerRowBorderDxfId="460" tableBorderDxfId="458" totalsRowBorderDxfId="456">
  <autoFilter ref="A2:D27" xr:uid="{77E001F6-E3E2-4F4D-98EF-A36C4F19460C}">
    <filterColumn colId="0" hiddenButton="1"/>
    <filterColumn colId="1" hiddenButton="1"/>
    <filterColumn colId="2" hiddenButton="1"/>
    <filterColumn colId="3" hiddenButton="1"/>
  </autoFilter>
  <tableColumns count="4">
    <tableColumn id="1" xr3:uid="{C6959A1C-1812-40F5-AA04-9A5808FAD495}" name="Candidate Name (Party)" totalsRowLabel="Total Votes by County" dataDxfId="455" totalsRowDxfId="454"/>
    <tableColumn id="4" xr3:uid="{FB728E0F-3F9E-4D3A-BEDF-EB4BB5FA854C}" name="Part of New York County Vote Results" totalsRowFunction="custom" dataDxfId="453" totalsRowDxfId="452">
      <totalsRowFormula>SUM(MemberOfAssemblyAssemblyDistrict71General49[Part of New York County Vote Results])</totalsRowFormula>
    </tableColumn>
    <tableColumn id="3" xr3:uid="{22890C04-CBFC-45E5-95A9-9502ABBE4771}" name="Total Votes by Party" totalsRowFunction="custom" dataDxfId="451" totalsRowDxfId="450">
      <calculatedColumnFormula>MemberOfAssemblyAssemblyDistrict71General49[[#This Row],[Part of New York County Vote Results]]</calculatedColumnFormula>
      <totalsRowFormula>SUM(MemberOfAssemblyAssemblyDistrict71General49[Total Votes by Party])</totalsRowFormula>
    </tableColumn>
    <tableColumn id="2" xr3:uid="{83BDC636-B0EC-4412-AE4A-7AB9B4C29F07}" name="Total Votes by Candidate" dataDxfId="449" totalsRowDxfId="448">
      <calculatedColumnFormula>SUM(MemberOfAssemblyAssemblyDistrict71General49[[#This Row],[Total Votes by Party]])</calculatedColumnFormula>
    </tableColumn>
  </tableColumns>
  <tableStyleInfo name="TableStyleMedium2" showFirstColumn="0" showLastColumn="0" showRowStripes="0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5C98654-445A-412F-84D3-329CE17AECF2}" name="MemberOfAssemblyAssemblyDistrict71General4950" displayName="MemberOfAssemblyAssemblyDistrict71General4950" ref="A2:D27" totalsRowCount="1" headerRowDxfId="447" dataDxfId="445" totalsRowDxfId="443" headerRowBorderDxfId="446" tableBorderDxfId="444" totalsRowBorderDxfId="442">
  <autoFilter ref="A2:D26" xr:uid="{77E001F6-E3E2-4F4D-98EF-A36C4F19460C}">
    <filterColumn colId="0" hiddenButton="1"/>
    <filterColumn colId="1" hiddenButton="1"/>
    <filterColumn colId="2" hiddenButton="1"/>
    <filterColumn colId="3" hiddenButton="1"/>
  </autoFilter>
  <tableColumns count="4">
    <tableColumn id="1" xr3:uid="{696A78B5-C7E1-49C1-B115-F6E8B84A4B54}" name="Candidate Name (Party)" totalsRowLabel="Total Votes by County" dataDxfId="441" totalsRowDxfId="440"/>
    <tableColumn id="4" xr3:uid="{B7382224-E54D-4B84-9C56-71ECFF42085B}" name="Part of New York County Vote Results" totalsRowFunction="custom" dataDxfId="439" totalsRowDxfId="438">
      <totalsRowFormula>SUM(MemberOfAssemblyAssemblyDistrict71General4950[Part of New York County Vote Results])</totalsRowFormula>
    </tableColumn>
    <tableColumn id="3" xr3:uid="{F70AD0B0-4877-48FC-9A46-19B6EBA2F55B}" name="Total Votes by Party" totalsRowFunction="custom" dataDxfId="437" totalsRowDxfId="436">
      <calculatedColumnFormula>MemberOfAssemblyAssemblyDistrict71General4950[[#This Row],[Part of New York County Vote Results]]</calculatedColumnFormula>
      <totalsRowFormula>SUM(MemberOfAssemblyAssemblyDistrict71General4950[Total Votes by Party])</totalsRowFormula>
    </tableColumn>
    <tableColumn id="2" xr3:uid="{43F196B9-7C92-4A60-BE87-F4F46A6D41D8}" name="Total Votes by Candidate" dataDxfId="435" totalsRowDxfId="434">
      <calculatedColumnFormula>SUM(MemberOfAssemblyAssemblyDistrict71General4950[[#This Row],[Total Votes by Party]],C4)</calculatedColumnFormula>
    </tableColumn>
  </tableColumns>
  <tableStyleInfo name="TableStyleMedium2" showFirstColumn="0" showLastColumn="0" showRowStripes="0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CE71B942-8401-4975-B4DD-011617C643C7}" name="MemberOfAssemblyAssemblyDistrict72General51" displayName="MemberOfAssemblyAssemblyDistrict72General51" ref="A2:D22" totalsRowCount="1" headerRowDxfId="433" dataDxfId="431" totalsRowDxfId="429" headerRowBorderDxfId="432" tableBorderDxfId="430" totalsRowBorderDxfId="428">
  <autoFilter ref="A2:D21" xr:uid="{5EBC0DDE-FD36-4287-9275-1AA487E169B4}">
    <filterColumn colId="0" hiddenButton="1"/>
    <filterColumn colId="1" hiddenButton="1"/>
    <filterColumn colId="2" hiddenButton="1"/>
    <filterColumn colId="3" hiddenButton="1"/>
  </autoFilter>
  <tableColumns count="4">
    <tableColumn id="1" xr3:uid="{B343F979-2721-4443-AAEA-A09B0262CF06}" name="Candidate Name (Party)" totalsRowLabel="Total Votes by County" dataDxfId="427" totalsRowDxfId="426"/>
    <tableColumn id="4" xr3:uid="{BB32C33F-CAB3-43CA-80C1-45BDB8668F13}" name="Part of New York County Vote Results" totalsRowFunction="custom" dataDxfId="425" totalsRowDxfId="424">
      <totalsRowFormula>SUM(MemberOfAssemblyAssemblyDistrict72General51[Part of New York County Vote Results])</totalsRowFormula>
    </tableColumn>
    <tableColumn id="3" xr3:uid="{3D6FBFB8-039C-411C-AA5A-3C3870DAED66}" name="Total Votes by Party" totalsRowFunction="custom" dataDxfId="423" totalsRowDxfId="422">
      <calculatedColumnFormula>MemberOfAssemblyAssemblyDistrict72General51[[#This Row],[Part of New York County Vote Results]]</calculatedColumnFormula>
      <totalsRowFormula>SUM(MemberOfAssemblyAssemblyDistrict72General51[Total Votes by Party])</totalsRowFormula>
    </tableColumn>
    <tableColumn id="2" xr3:uid="{8D58B0FE-4172-403C-A9FE-02E8FFAD9664}" name="Total Votes by Candidate" dataDxfId="421" totalsRowDxfId="420">
      <calculatedColumnFormula>SUM(MemberOfAssemblyAssemblyDistrict72General51[[#This Row],[Total Votes by Party]])</calculatedColumnFormula>
    </tableColumn>
  </tableColumns>
  <tableStyleInfo name="TableStyleMedium2" showFirstColumn="0" showLastColumn="0" showRowStripes="0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2272AECE-DE33-4CA9-9EA6-16566C9E4513}" name="MemberOfAssemblyAssemblyDistrict72General5152" displayName="MemberOfAssemblyAssemblyDistrict72General5152" ref="A2:D22" totalsRowCount="1" headerRowDxfId="419" dataDxfId="417" totalsRowDxfId="415" headerRowBorderDxfId="418" tableBorderDxfId="416" totalsRowBorderDxfId="414">
  <autoFilter ref="A2:D21" xr:uid="{5EBC0DDE-FD36-4287-9275-1AA487E169B4}">
    <filterColumn colId="0" hiddenButton="1"/>
    <filterColumn colId="1" hiddenButton="1"/>
    <filterColumn colId="2" hiddenButton="1"/>
    <filterColumn colId="3" hiddenButton="1"/>
  </autoFilter>
  <tableColumns count="4">
    <tableColumn id="1" xr3:uid="{A5578782-635B-4C81-A9C0-683A7BDA22E7}" name="Candidate Name (Party)" totalsRowLabel="Total Votes by County" dataDxfId="413" totalsRowDxfId="412"/>
    <tableColumn id="4" xr3:uid="{C28CEC53-1F42-47B4-AB15-008C99608A73}" name="Part of New York County Vote Results" totalsRowFunction="custom" dataDxfId="411" totalsRowDxfId="410">
      <totalsRowFormula>SUM(MemberOfAssemblyAssemblyDistrict72General5152[Part of New York County Vote Results])</totalsRowFormula>
    </tableColumn>
    <tableColumn id="3" xr3:uid="{7E1BA5B3-75AE-409F-A2A9-70D3898D8EE4}" name="Total Votes by Party" totalsRowFunction="custom" dataDxfId="409" totalsRowDxfId="408">
      <calculatedColumnFormula>MemberOfAssemblyAssemblyDistrict72General5152[[#This Row],[Part of New York County Vote Results]]</calculatedColumnFormula>
      <totalsRowFormula>SUM(MemberOfAssemblyAssemblyDistrict72General5152[Total Votes by Party])</totalsRowFormula>
    </tableColumn>
    <tableColumn id="2" xr3:uid="{0F1F38A0-0FC5-47FB-8213-1A00F3FD29B0}" name="Total Votes by Candidate" dataDxfId="407" totalsRowDxfId="406">
      <calculatedColumnFormula>SUM(MemberOfAssemblyAssemblyDistrict72General5152[[#This Row],[Total Votes by Party]])</calculatedColumnFormula>
    </tableColumn>
  </tableColumns>
  <tableStyleInfo name="TableStyleMedium2" showFirstColumn="0" showLastColumn="0" showRowStripes="0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BD09EC4A-9AEC-4BC4-857F-DCB05E4621A1}" name="MemberOfAssemblyAssemblyDistrict43General65" displayName="MemberOfAssemblyAssemblyDistrict43General65" ref="A2:D28" totalsRowCount="1" headerRowDxfId="405" dataDxfId="403" totalsRowDxfId="401" headerRowBorderDxfId="404" tableBorderDxfId="402" totalsRowBorderDxfId="400">
  <autoFilter ref="A2:D27" xr:uid="{9AE16682-B515-45EE-912B-69FCDE72BB7E}">
    <filterColumn colId="0" hiddenButton="1"/>
    <filterColumn colId="1" hiddenButton="1"/>
    <filterColumn colId="2" hiddenButton="1"/>
    <filterColumn colId="3" hiddenButton="1"/>
  </autoFilter>
  <tableColumns count="4">
    <tableColumn id="1" xr3:uid="{7D0321C1-344A-4075-8CAE-7EC4306FB918}" name="Candidate Name (Party)" totalsRowLabel="Total Votes by County" dataDxfId="399" totalsRowDxfId="398"/>
    <tableColumn id="4" xr3:uid="{ED2E8154-F27C-4137-AE23-8EEC4735BE49}" name="Part of Kings County Vote Results" totalsRowFunction="custom" totalsRowDxfId="397">
      <totalsRowFormula>SUM(MemberOfAssemblyAssemblyDistrict43General65[Part of Kings County Vote Results])</totalsRowFormula>
    </tableColumn>
    <tableColumn id="3" xr3:uid="{57B73299-092A-4330-8B0F-BBCF28B0DC06}" name="Total Votes by Party" totalsRowFunction="custom" dataDxfId="396" totalsRowDxfId="395">
      <calculatedColumnFormula>MemberOfAssemblyAssemblyDistrict43General65[[#This Row],[Part of Kings County Vote Results]]</calculatedColumnFormula>
      <totalsRowFormula>SUM(MemberOfAssemblyAssemblyDistrict43General65[Total Votes by Party])</totalsRowFormula>
    </tableColumn>
    <tableColumn id="2" xr3:uid="{ED8A53FC-5E7F-4AD9-AF13-AD55237A753F}" name="Total Votes by Candidate" dataDxfId="394" totalsRowDxfId="393"/>
  </tableColumns>
  <tableStyleInfo name="TableStyleMedium2" showFirstColumn="0" showLastColumn="0" showRowStripes="0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9E8D4DD9-DB41-4457-96FC-1483552E4174}" name="MemberOfAssemblyAssemblyDistrict43General6569" displayName="MemberOfAssemblyAssemblyDistrict43General6569" ref="A2:D18" totalsRowCount="1" headerRowDxfId="392" dataDxfId="390" totalsRowDxfId="388" headerRowBorderDxfId="391" tableBorderDxfId="389" totalsRowBorderDxfId="387">
  <autoFilter ref="A2:D17" xr:uid="{9AE16682-B515-45EE-912B-69FCDE72BB7E}">
    <filterColumn colId="0" hiddenButton="1"/>
    <filterColumn colId="1" hiddenButton="1"/>
    <filterColumn colId="2" hiddenButton="1"/>
    <filterColumn colId="3" hiddenButton="1"/>
  </autoFilter>
  <tableColumns count="4">
    <tableColumn id="1" xr3:uid="{7DCA2504-360F-40D4-AD73-67BA306E498B}" name="Candidate Name (Party)" totalsRowLabel="Total Votes by County" dataDxfId="386" totalsRowDxfId="385"/>
    <tableColumn id="4" xr3:uid="{9F1CD0E0-FEBB-4B91-A595-C825A7DD4802}" name="Part of Kings County Vote Results" totalsRowFunction="custom" totalsRowDxfId="384">
      <totalsRowFormula>SUM(MemberOfAssemblyAssemblyDistrict43General6569[Part of Kings County Vote Results])</totalsRowFormula>
    </tableColumn>
    <tableColumn id="3" xr3:uid="{E1B5A094-5B00-43A6-8189-923FDEDC9C39}" name="Total Votes by Party" totalsRowFunction="custom" dataDxfId="383" totalsRowDxfId="382">
      <calculatedColumnFormula>MemberOfAssemblyAssemblyDistrict43General6569[[#This Row],[Part of Kings County Vote Results]]</calculatedColumnFormula>
      <totalsRowFormula>SUM(MemberOfAssemblyAssemblyDistrict43General6569[Total Votes by Party])</totalsRowFormula>
    </tableColumn>
    <tableColumn id="2" xr3:uid="{47313408-D355-44BC-AA74-A16FF0E1D0AF}" name="Total Votes by Candidate" dataDxfId="381" totalsRowDxfId="380"/>
  </tableColumns>
  <tableStyleInfo name="TableStyleMedium2" showFirstColumn="0" showLastColumn="0" showRowStripes="0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93FE920C-11C3-442A-9A8B-C4D218135C9E}" name="MemberOfAssemblyAssemblyDistrict46General66" displayName="MemberOfAssemblyAssemblyDistrict46General66" ref="A2:D18" totalsRowCount="1" headerRowDxfId="379" dataDxfId="377" totalsRowDxfId="375" headerRowBorderDxfId="378" tableBorderDxfId="376" totalsRowBorderDxfId="374">
  <autoFilter ref="A2:D17" xr:uid="{19AF2228-AB79-4BFC-9FF2-B9E556269E0B}">
    <filterColumn colId="0" hiddenButton="1"/>
    <filterColumn colId="1" hiddenButton="1"/>
    <filterColumn colId="2" hiddenButton="1"/>
    <filterColumn colId="3" hiddenButton="1"/>
  </autoFilter>
  <tableColumns count="4">
    <tableColumn id="1" xr3:uid="{289A5A39-9114-46B9-9D6B-DD935B5242E2}" name="Candidate Name (Party)" totalsRowLabel="Total Votes by County" dataDxfId="373" totalsRowDxfId="372"/>
    <tableColumn id="4" xr3:uid="{1C94F65C-2D23-4ECF-85E8-3F0FB6C117EE}" name="Part of Kings County Vote Results" totalsRowFunction="custom" totalsRowDxfId="371">
      <totalsRowFormula>SUM(MemberOfAssemblyAssemblyDistrict46General66[Part of Kings County Vote Results])</totalsRowFormula>
    </tableColumn>
    <tableColumn id="3" xr3:uid="{46504155-9671-44DE-9A1B-AC87586973DB}" name="Total Votes by Party" totalsRowFunction="custom" dataDxfId="370" totalsRowDxfId="369">
      <calculatedColumnFormula>MemberOfAssemblyAssemblyDistrict46General66[[#This Row],[Part of Kings County Vote Results]]</calculatedColumnFormula>
      <totalsRowFormula>SUM(MemberOfAssemblyAssemblyDistrict46General66[Total Votes by Party])</totalsRowFormula>
    </tableColumn>
    <tableColumn id="2" xr3:uid="{E5AE485A-221B-4F36-8B07-E877C3F86A90}" name="Total Votes by Candidate" dataDxfId="368" totalsRowDxfId="367"/>
  </tableColumns>
  <tableStyleInfo name="TableStyleMedium2" showFirstColumn="0" showLastColumn="0" showRowStripes="0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D76B0AB3-9632-4441-9493-2DB01978A09C}" name="MemberOfAssemblyAssemblyDistrict46General6670" displayName="MemberOfAssemblyAssemblyDistrict46General6670" ref="A2:D17" totalsRowCount="1" headerRowDxfId="366" dataDxfId="364" totalsRowDxfId="362" headerRowBorderDxfId="365" tableBorderDxfId="363" totalsRowBorderDxfId="361">
  <autoFilter ref="A2:D16" xr:uid="{19AF2228-AB79-4BFC-9FF2-B9E556269E0B}">
    <filterColumn colId="0" hiddenButton="1"/>
    <filterColumn colId="1" hiddenButton="1"/>
    <filterColumn colId="2" hiddenButton="1"/>
    <filterColumn colId="3" hiddenButton="1"/>
  </autoFilter>
  <tableColumns count="4">
    <tableColumn id="1" xr3:uid="{38FED6D5-F5AD-4194-BD3C-FB55ED7B5CD4}" name="Candidate Name (Party)" totalsRowLabel="Total Votes by County" dataDxfId="360" totalsRowDxfId="359"/>
    <tableColumn id="4" xr3:uid="{9EFA8482-F3C6-4A09-962B-EA5AA21585F1}" name="Part of Kings County Vote Results" totalsRowFunction="custom" totalsRowDxfId="358">
      <totalsRowFormula>SUM(MemberOfAssemblyAssemblyDistrict46General6670[Part of Kings County Vote Results])</totalsRowFormula>
    </tableColumn>
    <tableColumn id="3" xr3:uid="{A97B2E8A-5053-4F17-8E4F-584E703520E6}" name="Total Votes by Party" totalsRowFunction="custom" dataDxfId="357" totalsRowDxfId="356">
      <calculatedColumnFormula>MemberOfAssemblyAssemblyDistrict46General6670[[#This Row],[Part of Kings County Vote Results]]</calculatedColumnFormula>
      <totalsRowFormula>SUM(MemberOfAssemblyAssemblyDistrict46General6670[Total Votes by Party])</totalsRowFormula>
    </tableColumn>
    <tableColumn id="2" xr3:uid="{3A356E27-7A9D-4434-B371-D5E50C14EB37}" name="Total Votes by Candidate" dataDxfId="355" totalsRowDxfId="354"/>
  </tableColumns>
  <tableStyleInfo name="TableStyleMedium2" showFirstColumn="0" showLastColumn="0" showRowStripes="0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3B14B8BC-9ED1-4423-AF5F-F280CC6801CD}" name="MemberOfAssemblyAssemblyDistrict49General" displayName="MemberOfAssemblyAssemblyDistrict49General" ref="A2:D14" totalsRowCount="1" headerRowDxfId="353" dataDxfId="351" totalsRowDxfId="349" headerRowBorderDxfId="352" tableBorderDxfId="350" totalsRowBorderDxfId="348">
  <autoFilter ref="A2:D13" xr:uid="{C8C88C05-06A4-4214-ADD0-4029FF45B686}">
    <filterColumn colId="0" hiddenButton="1"/>
    <filterColumn colId="1" hiddenButton="1"/>
    <filterColumn colId="2" hiddenButton="1"/>
    <filterColumn colId="3" hiddenButton="1"/>
  </autoFilter>
  <tableColumns count="4">
    <tableColumn id="1" xr3:uid="{D739E869-C23C-42E7-9882-3E6339BC15C2}" name="Candidate Name (Party)" totalsRowLabel="Total Votes by County" dataDxfId="347" totalsRowDxfId="346"/>
    <tableColumn id="4" xr3:uid="{55E863B3-5E5F-4512-B4C4-5BC3E9ACD27C}" name="Part of Kings County Vote Results" totalsRowFunction="custom" totalsRowDxfId="345">
      <totalsRowFormula>SUM(MemberOfAssemblyAssemblyDistrict49General[Part of Kings County Vote Results])</totalsRowFormula>
    </tableColumn>
    <tableColumn id="3" xr3:uid="{4F28D037-1C17-465B-BB71-74EB092AFD90}" name="Total Votes by Party" totalsRowFunction="custom" dataDxfId="344" totalsRowDxfId="343">
      <calculatedColumnFormula>MemberOfAssemblyAssemblyDistrict49General[[#This Row],[Part of Kings County Vote Results]]</calculatedColumnFormula>
      <totalsRowFormula>SUM(MemberOfAssemblyAssemblyDistrict49General[Total Votes by Party])</totalsRowFormula>
    </tableColumn>
    <tableColumn id="2" xr3:uid="{4FA4F73F-5477-449B-87EF-45D1C1EBA18F}" name="Total Votes by Candidate" dataDxfId="342" totalsRowDxfId="341">
      <calculatedColumnFormula>SUM(MemberOfAssemblyAssemblyDistrict49General[[#This Row],[Total Votes by Party]])</calculatedColumnFormula>
    </tableColumn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8" xr:uid="{F7D0908A-BD3B-4F67-B670-46CA1D13FFF3}" name="RepInCongressCongressionalDistrict22General" displayName="RepInCongressCongressionalDistrict22General" ref="A2:H8" totalsRowCount="1" headerRowDxfId="1153" dataDxfId="1151" totalsRowDxfId="1149" headerRowBorderDxfId="1152" tableBorderDxfId="1150" totalsRowBorderDxfId="1148">
  <autoFilter ref="A2:H7" xr:uid="{004FB23F-B89A-4BE0-8C7A-0D0D60DB0C6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82F60D30-94A8-436E-B5C4-6B140AA511CD}" name="Candidate Name (Party)" totalsRowLabel="Total Votes by County" dataDxfId="1147" totalsRowDxfId="1146"/>
    <tableColumn id="7" xr3:uid="{A80B3F51-8BFE-40E8-88EE-E491CA92D0C2}" name="Part of Cayuga County Vote Results" totalsRowFunction="custom" dataDxfId="1145" totalsRowDxfId="1144">
      <totalsRowFormula>SUM(RepInCongressCongressionalDistrict22General[Part of Cayuga County Vote Results])</totalsRowFormula>
    </tableColumn>
    <tableColumn id="10" xr3:uid="{D2A4178A-8CC3-455B-A57C-A09435C18EB5}" name="Part of Cortland County Vote Results" totalsRowFunction="custom" dataDxfId="1143" totalsRowDxfId="1142">
      <totalsRowFormula>SUM(RepInCongressCongressionalDistrict22General[Part of Cortland County Vote Results])</totalsRowFormula>
    </tableColumn>
    <tableColumn id="2" xr3:uid="{6DCA8B0A-46E0-44BF-AA70-0123991A19E3}" name="Madison County Vote Results" totalsRowFunction="custom" dataDxfId="1141" totalsRowDxfId="1140">
      <totalsRowFormula>SUM(RepInCongressCongressionalDistrict22General[Madison County Vote Results])</totalsRowFormula>
    </tableColumn>
    <tableColumn id="9" xr3:uid="{61B710FA-CCB4-4DE9-BF0F-281325E05AC2}" name="Part of Oneida County Vote Results" totalsRowFunction="custom" dataDxfId="1139" totalsRowDxfId="1138">
      <totalsRowFormula>SUM(RepInCongressCongressionalDistrict22General[Part of Oneida County Vote Results])</totalsRowFormula>
    </tableColumn>
    <tableColumn id="3" xr3:uid="{097899C5-40CA-41F5-A9FB-B2B3B146F0EF}" name="Onondaga County Vote Results" totalsRowFunction="custom" dataDxfId="1137" totalsRowDxfId="1136">
      <totalsRowFormula>SUM(RepInCongressCongressionalDistrict22General[Onondaga County Vote Results])</totalsRowFormula>
    </tableColumn>
    <tableColumn id="11" xr3:uid="{1FFD6898-B788-4DAB-8DBC-C3D249265995}" name="Total Votes by Party" totalsRowFunction="custom" dataDxfId="1135" totalsRowDxfId="1134">
      <calculatedColumnFormula>SUM(B3,C3,D3,E3,F3)</calculatedColumnFormula>
      <totalsRowFormula>SUM(RepInCongressCongressionalDistrict22General[Total Votes by Party])</totalsRowFormula>
    </tableColumn>
    <tableColumn id="5" xr3:uid="{3385B94D-1E14-48C4-96F4-E067268AA07A}" name="Total Votes by Candidate" dataDxfId="1133" totalsRowDxfId="1132"/>
  </tableColumns>
  <tableStyleInfo name="TableStyleMedium2" showFirstColumn="0" showLastColumn="0" showRowStripes="0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CBE5F714-880D-429F-B29F-11B8812D5A18}" name="MemberOfAssemblyAssemblyDistrict49General71" displayName="MemberOfAssemblyAssemblyDistrict49General71" ref="A2:D14" totalsRowCount="1" headerRowDxfId="340" dataDxfId="338" totalsRowDxfId="336" headerRowBorderDxfId="339" tableBorderDxfId="337" totalsRowBorderDxfId="335">
  <autoFilter ref="A2:D13" xr:uid="{C8C88C05-06A4-4214-ADD0-4029FF45B686}">
    <filterColumn colId="0" hiddenButton="1"/>
    <filterColumn colId="1" hiddenButton="1"/>
    <filterColumn colId="2" hiddenButton="1"/>
    <filterColumn colId="3" hiddenButton="1"/>
  </autoFilter>
  <tableColumns count="4">
    <tableColumn id="1" xr3:uid="{C7319D74-C7A2-4C49-B548-3E073025E6B8}" name="Candidate Name (Party)" totalsRowLabel="Total Votes by County" dataDxfId="334" totalsRowDxfId="333"/>
    <tableColumn id="4" xr3:uid="{D2A2383A-2E06-4A4C-9D90-C2F1A38FB372}" name="Part of Kings County Vote Results" totalsRowFunction="custom" totalsRowDxfId="332">
      <totalsRowFormula>SUM(MemberOfAssemblyAssemblyDistrict49General71[Part of Kings County Vote Results])</totalsRowFormula>
    </tableColumn>
    <tableColumn id="3" xr3:uid="{A5657C5A-2BD8-4E7A-A06F-477D06EB8463}" name="Total Votes by Party" totalsRowFunction="custom" dataDxfId="331" totalsRowDxfId="330">
      <calculatedColumnFormula>MemberOfAssemblyAssemblyDistrict49General71[[#This Row],[Part of Kings County Vote Results]]</calculatedColumnFormula>
      <totalsRowFormula>SUM(MemberOfAssemblyAssemblyDistrict49General71[Total Votes by Party])</totalsRowFormula>
    </tableColumn>
    <tableColumn id="2" xr3:uid="{7A71F3CA-37EE-44FA-A9EE-E6208081FD84}" name="Total Votes by Candidate" dataDxfId="329" totalsRowDxfId="328">
      <calculatedColumnFormula>SUM(MemberOfAssemblyAssemblyDistrict49General71[[#This Row],[Total Votes by Party]])</calculatedColumnFormula>
    </tableColumn>
  </tableColumns>
  <tableStyleInfo name="TableStyleMedium2" showFirstColumn="0" showLastColumn="0" showRowStripes="0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908A230D-CA5A-488A-B55B-70B41E7F883B}" name="MemberOfAssemblyAssemblyDistrict58General" displayName="MemberOfAssemblyAssemblyDistrict58General" ref="A2:D26" totalsRowCount="1" headerRowDxfId="327" dataDxfId="325" totalsRowDxfId="323" headerRowBorderDxfId="326" tableBorderDxfId="324" totalsRowBorderDxfId="322">
  <autoFilter ref="A2:D25" xr:uid="{62F76209-C641-4D99-AF0C-3E463FCF6991}">
    <filterColumn colId="0" hiddenButton="1"/>
    <filterColumn colId="1" hiddenButton="1"/>
    <filterColumn colId="2" hiddenButton="1"/>
    <filterColumn colId="3" hiddenButton="1"/>
  </autoFilter>
  <tableColumns count="4">
    <tableColumn id="1" xr3:uid="{8736ACA6-9FB0-46CF-86F7-77105418A752}" name="Candidate Name (Party)" totalsRowLabel="Total Votes by County" dataDxfId="321" totalsRowDxfId="320"/>
    <tableColumn id="4" xr3:uid="{F0FD8363-1684-4B9A-922E-9028ACA02DE9}" name="Part of Kings County Vote Results" totalsRowFunction="custom" totalsRowDxfId="319">
      <totalsRowFormula>SUM(MemberOfAssemblyAssemblyDistrict58General[Part of Kings County Vote Results])</totalsRowFormula>
    </tableColumn>
    <tableColumn id="3" xr3:uid="{E7C6FA27-6FAD-46D7-B529-4C1BE0901A67}" name="Total Votes by Party" totalsRowFunction="custom" dataDxfId="318" totalsRowDxfId="317">
      <calculatedColumnFormula>MemberOfAssemblyAssemblyDistrict58General[[#This Row],[Part of Kings County Vote Results]]</calculatedColumnFormula>
      <totalsRowFormula>SUM(MemberOfAssemblyAssemblyDistrict58General[Total Votes by Party])</totalsRowFormula>
    </tableColumn>
    <tableColumn id="2" xr3:uid="{3737796D-4AC9-4A66-8A31-828E9C376FC9}" name="Total Votes by Candidate" dataDxfId="316" totalsRowDxfId="315">
      <calculatedColumnFormula>SUM(MemberOfAssemblyAssemblyDistrict58General[[#This Row],[Total Votes by Party]])</calculatedColumnFormula>
    </tableColumn>
  </tableColumns>
  <tableStyleInfo name="TableStyleMedium2" showFirstColumn="0" showLastColumn="0" showRowStripes="0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18927212-459C-404E-BC20-DF330E490A9E}" name="MemberOfAssemblyAssemblyDistrict58General72" displayName="MemberOfAssemblyAssemblyDistrict58General72" ref="A2:D26" totalsRowCount="1" headerRowDxfId="314" dataDxfId="312" totalsRowDxfId="310" headerRowBorderDxfId="313" tableBorderDxfId="311" totalsRowBorderDxfId="309">
  <autoFilter ref="A2:D25" xr:uid="{62F76209-C641-4D99-AF0C-3E463FCF6991}">
    <filterColumn colId="0" hiddenButton="1"/>
    <filterColumn colId="1" hiddenButton="1"/>
    <filterColumn colId="2" hiddenButton="1"/>
    <filterColumn colId="3" hiddenButton="1"/>
  </autoFilter>
  <tableColumns count="4">
    <tableColumn id="1" xr3:uid="{809F549E-284B-4DD6-91B2-2A9A00173532}" name="Candidate Name (Party)" totalsRowLabel="Total Votes by County" dataDxfId="308" totalsRowDxfId="307"/>
    <tableColumn id="4" xr3:uid="{CF95843D-ED67-491D-A272-E5C2025B418A}" name="Part of Kings County Vote Results" totalsRowFunction="custom" totalsRowDxfId="306">
      <totalsRowFormula>SUM(MemberOfAssemblyAssemblyDistrict58General72[Part of Kings County Vote Results])</totalsRowFormula>
    </tableColumn>
    <tableColumn id="3" xr3:uid="{DA2DAEC2-2456-4B01-8858-B3179F8B4E9A}" name="Total Votes by Party" totalsRowFunction="custom" dataDxfId="305" totalsRowDxfId="304">
      <calculatedColumnFormula>MemberOfAssemblyAssemblyDistrict58General72[[#This Row],[Part of Kings County Vote Results]]</calculatedColumnFormula>
      <totalsRowFormula>SUM(MemberOfAssemblyAssemblyDistrict58General72[Total Votes by Party])</totalsRowFormula>
    </tableColumn>
    <tableColumn id="2" xr3:uid="{9201526F-0CBE-4C64-8236-C83161290C11}" name="Total Votes by Candidate" dataDxfId="303" totalsRowDxfId="302">
      <calculatedColumnFormula>SUM(MemberOfAssemblyAssemblyDistrict58General72[[#This Row],[Total Votes by Party]])</calculatedColumnFormula>
    </tableColumn>
  </tableColumns>
  <tableStyleInfo name="TableStyleMedium2" showFirstColumn="0" showLastColumn="0" showRowStripes="0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70B55648-0CAB-4241-9400-297C2AFB7E2C}" name="MemberOfAssemblyAssemblyDistrict28General77" displayName="MemberOfAssemblyAssemblyDistrict28General77" ref="A2:D22" totalsRowCount="1" headerRowDxfId="301" dataDxfId="299" totalsRowDxfId="297" headerRowBorderDxfId="300" tableBorderDxfId="298" totalsRowBorderDxfId="296">
  <autoFilter ref="A2:D21" xr:uid="{76C1D6C9-9514-4308-9A84-A998AFEF83D5}">
    <filterColumn colId="0" hiddenButton="1"/>
    <filterColumn colId="1" hiddenButton="1"/>
    <filterColumn colId="2" hiddenButton="1"/>
    <filterColumn colId="3" hiddenButton="1"/>
  </autoFilter>
  <tableColumns count="4">
    <tableColumn id="1" xr3:uid="{9075052C-BB5A-4953-AEA5-60BEB3D5D916}" name="Candidate Name (Party)" totalsRowLabel="Total Votes by County" dataDxfId="295" totalsRowDxfId="294"/>
    <tableColumn id="4" xr3:uid="{147DCFAB-195A-48B9-A817-0DAA41681164}" name="Part of Queens County Vote Results" totalsRowFunction="custom" dataDxfId="293" totalsRowDxfId="292">
      <totalsRowFormula>SUM(MemberOfAssemblyAssemblyDistrict28General77[Part of Queens County Vote Results])</totalsRowFormula>
    </tableColumn>
    <tableColumn id="3" xr3:uid="{67E872D4-E37C-4E44-BD68-DCB2C54AD6D7}" name="Total Votes by Party" totalsRowFunction="custom" dataDxfId="291" totalsRowDxfId="290">
      <calculatedColumnFormula>MemberOfAssemblyAssemblyDistrict28General77[[#This Row],[Part of Queens County Vote Results]]</calculatedColumnFormula>
      <totalsRowFormula>SUM(MemberOfAssemblyAssemblyDistrict28General77[Total Votes by Party])</totalsRowFormula>
    </tableColumn>
    <tableColumn id="2" xr3:uid="{8F073012-6E7D-4CB3-9E77-8D06CBBC2A16}" name="Total Votes by Candidate" dataDxfId="289" totalsRowDxfId="288"/>
  </tableColumns>
  <tableStyleInfo name="TableStyleMedium2" showFirstColumn="0" showLastColumn="0" showRowStripes="0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728A005A-2DD9-4F13-8EB9-42C1F20CB96B}" name="MemberOfAssemblyAssemblyDistrict28General7778" displayName="MemberOfAssemblyAssemblyDistrict28General7778" ref="A2:D18" totalsRowCount="1" headerRowDxfId="287" dataDxfId="285" totalsRowDxfId="283" headerRowBorderDxfId="286" tableBorderDxfId="284" totalsRowBorderDxfId="282">
  <autoFilter ref="A2:D17" xr:uid="{76C1D6C9-9514-4308-9A84-A998AFEF83D5}">
    <filterColumn colId="0" hiddenButton="1"/>
    <filterColumn colId="1" hiddenButton="1"/>
    <filterColumn colId="2" hiddenButton="1"/>
    <filterColumn colId="3" hiddenButton="1"/>
  </autoFilter>
  <tableColumns count="4">
    <tableColumn id="1" xr3:uid="{F90C0790-145F-4BBE-8DB4-384A7C4B1151}" name="Candidate Name (Party)" totalsRowLabel="Total Votes by County" dataDxfId="281" totalsRowDxfId="280"/>
    <tableColumn id="4" xr3:uid="{8037DB6A-D61C-4B18-9A12-D26E97A545F2}" name="Part of Queens County Vote Results" totalsRowFunction="custom" dataDxfId="279" totalsRowDxfId="278">
      <totalsRowFormula>SUM(MemberOfAssemblyAssemblyDistrict28General7778[Part of Queens County Vote Results])</totalsRowFormula>
    </tableColumn>
    <tableColumn id="3" xr3:uid="{6EBD529D-712D-4076-8359-53CAE6932072}" name="Total Votes by Party" totalsRowFunction="custom" dataDxfId="277" totalsRowDxfId="276">
      <calculatedColumnFormula>MemberOfAssemblyAssemblyDistrict28General7778[[#This Row],[Part of Queens County Vote Results]]</calculatedColumnFormula>
      <totalsRowFormula>SUM(MemberOfAssemblyAssemblyDistrict28General7778[Total Votes by Party])</totalsRowFormula>
    </tableColumn>
    <tableColumn id="2" xr3:uid="{F9FD0132-D1B9-4069-A9AA-46B95B814700}" name="Total Votes by Candidate" dataDxfId="275" totalsRowDxfId="274"/>
  </tableColumns>
  <tableStyleInfo name="TableStyleMedium2" showFirstColumn="0" showLastColumn="0" showRowStripes="0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DD3BDF38-621F-43E8-BA04-0C56571D75C2}" name="MemberOfAssemblyAssemblyDistrict81General56" displayName="MemberOfAssemblyAssemblyDistrict81General56" ref="A2:D24" totalsRowCount="1" headerRowDxfId="273" dataDxfId="271" totalsRowDxfId="269" headerRowBorderDxfId="272" tableBorderDxfId="270" totalsRowBorderDxfId="268">
  <autoFilter ref="A2:D23" xr:uid="{F688E563-A249-421F-8710-78C49E88BC06}">
    <filterColumn colId="0" hiddenButton="1"/>
    <filterColumn colId="1" hiddenButton="1"/>
    <filterColumn colId="2" hiddenButton="1"/>
    <filterColumn colId="3" hiddenButton="1"/>
  </autoFilter>
  <tableColumns count="4">
    <tableColumn id="1" xr3:uid="{975F1836-0A0B-4BDB-8D40-C79B3250A50A}" name="Candidate Name (Party)" totalsRowLabel="Total Votes by County" dataDxfId="267" totalsRowDxfId="266"/>
    <tableColumn id="4" xr3:uid="{5C5F8BF3-82E8-4DFF-A087-A452720B0EA2}" name="Part of Bronx County Vote Results" totalsRowFunction="custom" dataDxfId="265" totalsRowDxfId="264">
      <totalsRowFormula>SUM(MemberOfAssemblyAssemblyDistrict81General56[Part of Bronx County Vote Results])</totalsRowFormula>
    </tableColumn>
    <tableColumn id="3" xr3:uid="{829F6337-0FC7-4BE3-A93E-0634B274218A}" name="Total Votes by Party" totalsRowFunction="custom" dataDxfId="263" totalsRowDxfId="262">
      <calculatedColumnFormula>MemberOfAssemblyAssemblyDistrict81General56[[#This Row],[Part of Bronx County Vote Results]]</calculatedColumnFormula>
      <totalsRowFormula>SUM(MemberOfAssemblyAssemblyDistrict81General56[Total Votes by Party])</totalsRowFormula>
    </tableColumn>
    <tableColumn id="2" xr3:uid="{E6A234CA-3D4B-436F-A4DF-811C49498EA6}" name="Total Votes by Candidate" dataDxfId="261" totalsRowDxfId="260"/>
  </tableColumns>
  <tableStyleInfo name="TableStyleMedium2" showFirstColumn="0" showLastColumn="0" showRowStripes="0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9DFE8464-A7AC-4652-811D-84B8E491E7FF}" name="MemberOfAssemblyAssemblyDistrict81General5657" displayName="MemberOfAssemblyAssemblyDistrict81General5657" ref="A2:D24" totalsRowCount="1" headerRowDxfId="259" dataDxfId="257" totalsRowDxfId="255" headerRowBorderDxfId="258" tableBorderDxfId="256" totalsRowBorderDxfId="254">
  <autoFilter ref="A2:D23" xr:uid="{F688E563-A249-421F-8710-78C49E88BC06}">
    <filterColumn colId="0" hiddenButton="1"/>
    <filterColumn colId="1" hiddenButton="1"/>
    <filterColumn colId="2" hiddenButton="1"/>
    <filterColumn colId="3" hiddenButton="1"/>
  </autoFilter>
  <tableColumns count="4">
    <tableColumn id="1" xr3:uid="{E81D459E-2614-4D22-9548-056063FA0293}" name="Candidate Name (Party)" totalsRowLabel="Total Votes by County" dataDxfId="253" totalsRowDxfId="252"/>
    <tableColumn id="4" xr3:uid="{45B71E64-038C-41C1-8D90-49C4BBBA2318}" name="Part of Bronx County Vote Results" totalsRowFunction="custom" dataDxfId="251" totalsRowDxfId="250">
      <totalsRowFormula>SUM(MemberOfAssemblyAssemblyDistrict81General5657[Part of Bronx County Vote Results])</totalsRowFormula>
    </tableColumn>
    <tableColumn id="3" xr3:uid="{017A8ED3-5E6A-4765-9BCC-6AC0585D7BB5}" name="Total Votes by Party" totalsRowFunction="custom" dataDxfId="249" totalsRowDxfId="248">
      <calculatedColumnFormula>MemberOfAssemblyAssemblyDistrict81General5657[[#This Row],[Part of Bronx County Vote Results]]</calculatedColumnFormula>
      <totalsRowFormula>SUM(MemberOfAssemblyAssemblyDistrict81General5657[Total Votes by Party])</totalsRowFormula>
    </tableColumn>
    <tableColumn id="2" xr3:uid="{6877BC6A-3E21-4B27-997E-A9177DEA70C7}" name="Total Votes by Candidate" dataDxfId="247" totalsRowDxfId="246"/>
  </tableColumns>
  <tableStyleInfo name="TableStyleMedium2" showFirstColumn="0" showLastColumn="0" showRowStripes="0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F10E2265-D79A-43AF-9243-5824841F8210}" name="MemberOfAssemblyAssemblyDistrict28General" displayName="MemberOfAssemblyAssemblyDistrict28General" ref="A2:D9" totalsRowCount="1" headerRowDxfId="245" dataDxfId="243" totalsRowDxfId="241" headerRowBorderDxfId="244" tableBorderDxfId="242" totalsRowBorderDxfId="240">
  <autoFilter ref="A2:D8" xr:uid="{76C1D6C9-9514-4308-9A84-A998AFEF83D5}">
    <filterColumn colId="0" hiddenButton="1"/>
    <filterColumn colId="1" hiddenButton="1"/>
    <filterColumn colId="2" hiddenButton="1"/>
    <filterColumn colId="3" hiddenButton="1"/>
  </autoFilter>
  <tableColumns count="4">
    <tableColumn id="1" xr3:uid="{8D2F8FD9-403C-4D54-84C8-06F0290F7ED6}" name="Candidate Name (Party)" totalsRowLabel="Total Votes by County" dataDxfId="239" totalsRowDxfId="238"/>
    <tableColumn id="4" xr3:uid="{CDCABC94-3F5B-435D-A2EE-39B3D32BB36D}" name="Part of Queens County Vote Results" totalsRowFunction="custom" dataDxfId="237" totalsRowDxfId="236">
      <totalsRowFormula>SUM(MemberOfAssemblyAssemblyDistrict28General[Part of Queens County Vote Results])</totalsRowFormula>
    </tableColumn>
    <tableColumn id="3" xr3:uid="{37A9082D-42F2-4424-96EB-964DB9F1955A}" name="Total Votes by Party" totalsRowFunction="custom" dataDxfId="235" totalsRowDxfId="234">
      <calculatedColumnFormula>MemberOfAssemblyAssemblyDistrict28General[[#This Row],[Part of Queens County Vote Results]]</calculatedColumnFormula>
      <totalsRowFormula>SUM(MemberOfAssemblyAssemblyDistrict28General[Total Votes by Party])</totalsRowFormula>
    </tableColumn>
    <tableColumn id="2" xr3:uid="{483B743E-E0AB-4913-A726-B5E765746E92}" name="Total Votes by Candidate" dataDxfId="233" totalsRowDxfId="232"/>
  </tableColumns>
  <tableStyleInfo name="TableStyleMedium2" showFirstColumn="0" showLastColumn="0" showRowStripes="0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97F404DE-D17D-4638-BAE4-4E4B2AF04C97}" name="MemberOfAssemblyAssemblyDistrict34General74" displayName="MemberOfAssemblyAssemblyDistrict34General74" ref="A2:D10" totalsRowCount="1" headerRowDxfId="231" dataDxfId="229" totalsRowDxfId="227" headerRowBorderDxfId="230" tableBorderDxfId="228" totalsRowBorderDxfId="226">
  <autoFilter ref="A2:D9" xr:uid="{17A2092C-D04F-49FE-A19A-7D1A5B52CBAE}">
    <filterColumn colId="0" hiddenButton="1"/>
    <filterColumn colId="1" hiddenButton="1"/>
    <filterColumn colId="2" hiddenButton="1"/>
    <filterColumn colId="3" hiddenButton="1"/>
  </autoFilter>
  <tableColumns count="4">
    <tableColumn id="1" xr3:uid="{5907ECFF-6658-4A0B-8CE9-D32926E00256}" name="Candidate Name (Party)" totalsRowLabel="Total Votes by County" dataDxfId="225" totalsRowDxfId="224"/>
    <tableColumn id="4" xr3:uid="{02506991-60B5-4671-873B-F801567ACD07}" name="Part of Queens County Vote Results" totalsRowFunction="custom" dataDxfId="223" totalsRowDxfId="222">
      <totalsRowFormula>SUM(MemberOfAssemblyAssemblyDistrict34General74[Part of Queens County Vote Results])</totalsRowFormula>
    </tableColumn>
    <tableColumn id="3" xr3:uid="{7B98BBFD-EA39-4F40-842F-E905356901A1}" name="Total Votes by Party" totalsRowFunction="custom" dataDxfId="221" totalsRowDxfId="220">
      <calculatedColumnFormula>MemberOfAssemblyAssemblyDistrict34General74[[#This Row],[Part of Queens County Vote Results]]</calculatedColumnFormula>
      <totalsRowFormula>SUM(MemberOfAssemblyAssemblyDistrict34General74[Total Votes by Party])</totalsRowFormula>
    </tableColumn>
    <tableColumn id="2" xr3:uid="{E8D23BBC-7576-4992-91C8-6379B1AFC41D}" name="Total Votes by Candidate" dataDxfId="219" totalsRowDxfId="218">
      <calculatedColumnFormula>SUM(MemberOfAssemblyAssemblyDistrict34General74[[#This Row],[Total Votes by Party]])</calculatedColumnFormula>
    </tableColumn>
  </tableColumns>
  <tableStyleInfo name="TableStyleMedium2" showFirstColumn="0" showLastColumn="0" showRowStripes="0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A69FFEE9-01B8-418F-BFEA-40C53A9B71CF}" name="MemberOfAssemblyAssemblyDistrict35General75" displayName="MemberOfAssemblyAssemblyDistrict35General75" ref="A2:D9" totalsRowCount="1" headerRowDxfId="217" dataDxfId="215" totalsRowDxfId="213" headerRowBorderDxfId="216" tableBorderDxfId="214" totalsRowBorderDxfId="212">
  <autoFilter ref="A2:D8" xr:uid="{1EB8363C-646C-4620-B421-B6C3565C17E2}">
    <filterColumn colId="0" hiddenButton="1"/>
    <filterColumn colId="1" hiddenButton="1"/>
    <filterColumn colId="2" hiddenButton="1"/>
    <filterColumn colId="3" hiddenButton="1"/>
  </autoFilter>
  <tableColumns count="4">
    <tableColumn id="1" xr3:uid="{0F17C71E-3118-454F-A5A8-D02737B78FB1}" name="Candidate Name (Party)" totalsRowLabel="Total Votes by County" dataDxfId="211" totalsRowDxfId="210"/>
    <tableColumn id="4" xr3:uid="{E57F58D0-B484-4228-9175-377C5EB0224D}" name="Part of Queens County Vote Results" totalsRowFunction="custom" dataDxfId="209" totalsRowDxfId="208">
      <totalsRowFormula>SUM(MemberOfAssemblyAssemblyDistrict35General75[Part of Queens County Vote Results])</totalsRowFormula>
    </tableColumn>
    <tableColumn id="3" xr3:uid="{AE432AE5-71CC-4AAF-AF80-B19101983378}" name="Total Votes by Party" totalsRowFunction="custom" dataDxfId="207" totalsRowDxfId="206">
      <calculatedColumnFormula>MemberOfAssemblyAssemblyDistrict35General75[[#This Row],[Part of Queens County Vote Results]]</calculatedColumnFormula>
      <totalsRowFormula>SUM(MemberOfAssemblyAssemblyDistrict35General75[Total Votes by Party])</totalsRowFormula>
    </tableColumn>
    <tableColumn id="2" xr3:uid="{DE4E607A-11A4-4813-856E-126990F10439}" name="Total Votes by Candidate" dataDxfId="205" totalsRowDxfId="204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0" xr:uid="{CDDE415A-1582-4110-9682-829D3C1DB869}" name="RepInCongressCongressionalDistrict24General" displayName="RepInCongressCongressionalDistrict24General" ref="A2:Q8" totalsRowCount="1" headerRowDxfId="1131" dataDxfId="1129" totalsRowDxfId="1127" headerRowBorderDxfId="1130" tableBorderDxfId="1128" totalsRowBorderDxfId="1126">
  <autoFilter ref="A2:Q7" xr:uid="{73707D82-830B-41CE-ABF5-16DAFA77C97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B790CB0B-2A47-493B-B8D6-180377419AFA}" name="Candidate Name (Party)" totalsRowLabel="Total Votes by County" dataDxfId="1125" totalsRowDxfId="1124"/>
    <tableColumn id="2" xr3:uid="{F6CCEAE4-4E7D-4926-B101-97E0A084CF4B}" name="Part of Cayuga County Vote Results" totalsRowFunction="custom" dataDxfId="1123" totalsRowDxfId="1122">
      <totalsRowFormula>SUM(RepInCongressCongressionalDistrict24General[Part of Cayuga County Vote Results])</totalsRowFormula>
    </tableColumn>
    <tableColumn id="6" xr3:uid="{355186F7-C723-4428-B7D0-D18412F3DF14}" name="Genesee County Vote Results" totalsRowFunction="custom" dataDxfId="1121" totalsRowDxfId="1120">
      <totalsRowFormula>SUM(RepInCongressCongressionalDistrict24General[Genesee County Vote Results])</totalsRowFormula>
    </tableColumn>
    <tableColumn id="12" xr3:uid="{AB172D60-9490-48C3-98A5-A2D3211627FD}" name="Part of Jefferson County Vote Results" totalsRowFunction="custom" dataDxfId="1119" totalsRowDxfId="1118">
      <totalsRowFormula>SUM(RepInCongressCongressionalDistrict24General[Part of Jefferson County Vote Results])</totalsRowFormula>
    </tableColumn>
    <tableColumn id="11" xr3:uid="{FB98F186-1B55-4ECE-ADBB-0FA54404961D}" name="Livingston County Vote Results" totalsRowFunction="custom" dataDxfId="1117" totalsRowDxfId="1116">
      <totalsRowFormula>SUM(RepInCongressCongressionalDistrict24General[Livingston County Vote Results])</totalsRowFormula>
    </tableColumn>
    <tableColumn id="10" xr3:uid="{CF5CDC1B-A7A4-4684-A82B-6B09C66542B4}" name="Part of Niagara County Vote Results" totalsRowFunction="custom" dataDxfId="1115" totalsRowDxfId="1114">
      <totalsRowFormula>SUM(RepInCongressCongressionalDistrict24General[Part of Niagara County Vote Results])</totalsRowFormula>
    </tableColumn>
    <tableColumn id="9" xr3:uid="{1875388E-16D6-48E0-BADC-ACC2C52A0CA1}" name="Part of Ontario County Vote Results" totalsRowFunction="custom" dataDxfId="1113" totalsRowDxfId="1112">
      <totalsRowFormula>SUM(RepInCongressCongressionalDistrict24General[Part of Ontario County Vote Results])</totalsRowFormula>
    </tableColumn>
    <tableColumn id="13" xr3:uid="{D5CF0E7D-257D-4ED3-B0B6-5D2FFA59AE4C}" name="Orleans County Vote Results" totalsRowFunction="custom" dataDxfId="1111" totalsRowDxfId="1110">
      <totalsRowFormula>SUM(RepInCongressCongressionalDistrict24General[Orleans County Vote Results])</totalsRowFormula>
    </tableColumn>
    <tableColumn id="4" xr3:uid="{5C434877-BDD4-4510-ACF3-8CA6C22409DF}" name="Oswego County Vote Results" totalsRowFunction="custom" dataDxfId="1109" totalsRowDxfId="1108">
      <totalsRowFormula>SUM(RepInCongressCongressionalDistrict24General[Oswego County Vote Results])</totalsRowFormula>
    </tableColumn>
    <tableColumn id="17" xr3:uid="{737E42BB-91BB-4733-9C01-E3BAE6A11B9E}" name="Part of Schuyler County Vote Results" totalsRowFunction="custom" dataDxfId="1107" totalsRowDxfId="1106">
      <totalsRowFormula>SUM(RepInCongressCongressionalDistrict24General[Part of Schuyler County Vote Results])</totalsRowFormula>
    </tableColumn>
    <tableColumn id="14" xr3:uid="{8B94C0EE-47CB-4C6F-9C6E-C9C5E9D4EBC6}" name="Seneca County Vote Results" totalsRowFunction="custom" dataDxfId="1105" totalsRowDxfId="1104">
      <totalsRowFormula>SUM(RepInCongressCongressionalDistrict24General[Seneca County Vote Results])</totalsRowFormula>
    </tableColumn>
    <tableColumn id="16" xr3:uid="{F82E4519-BE4B-4AA0-9502-5FD6797743D7}" name="Part of Steuben County Vote Results" totalsRowFunction="custom" dataDxfId="1103" totalsRowDxfId="1102">
      <totalsRowFormula>SUM(RepInCongressCongressionalDistrict24General[Part of Steuben County Vote Results])</totalsRowFormula>
    </tableColumn>
    <tableColumn id="3" xr3:uid="{361B2B71-0A58-42E4-8977-78EE89517964}" name="Wayne County Vote Results" totalsRowFunction="custom" dataDxfId="1101" totalsRowDxfId="1100">
      <totalsRowFormula>SUM(RepInCongressCongressionalDistrict24General[Wayne County Vote Results])</totalsRowFormula>
    </tableColumn>
    <tableColumn id="15" xr3:uid="{B183BDDC-3429-4709-A2BF-0672DE13E1EE}" name="Wyoming County Vote Results" totalsRowFunction="custom" dataDxfId="1099" totalsRowDxfId="1098">
      <totalsRowFormula>SUM(RepInCongressCongressionalDistrict24General[Wyoming County Vote Results])</totalsRowFormula>
    </tableColumn>
    <tableColumn id="8" xr3:uid="{DCA60468-3774-440F-8BA4-09B84299CC4A}" name="Yates County Vote Results" totalsRowFunction="custom" dataDxfId="1097" totalsRowDxfId="1096">
      <totalsRowFormula>SUM(RepInCongressCongressionalDistrict24General[Yates County Vote Results])</totalsRowFormula>
    </tableColumn>
    <tableColumn id="7" xr3:uid="{4315A5E6-291B-495E-9BCA-8709729E2888}" name="Total Votes by Party" totalsRowFunction="custom" dataDxfId="1095" totalsRowDxfId="1094">
      <calculatedColumnFormula>SUM(B3,C3,D3,E3,F3,G3,H3,I3,J3,K3,L3,M3,N3,O3)</calculatedColumnFormula>
      <totalsRowFormula>SUM(RepInCongressCongressionalDistrict24General[Total Votes by Party])</totalsRowFormula>
    </tableColumn>
    <tableColumn id="5" xr3:uid="{0417FAF6-AD4C-424F-BA9F-3C86A24E64D0}" name="Total Votes by Candidate" dataDxfId="1093" totalsRowDxfId="1092"/>
  </tableColumns>
  <tableStyleInfo name="TableStyleMedium2" showFirstColumn="0" showLastColumn="0" showRowStripes="0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775AE5BE-55EB-4FA4-BBD9-EDA60ADE2905}" name="MemberOfAssemblyAssemblyDistrict36General" displayName="MemberOfAssemblyAssemblyDistrict36General" ref="A2:D9" totalsRowCount="1" headerRowDxfId="203" dataDxfId="201" totalsRowDxfId="199" headerRowBorderDxfId="202" tableBorderDxfId="200" totalsRowBorderDxfId="198">
  <autoFilter ref="A2:D8" xr:uid="{31DCC498-482B-4F33-BE43-0400294C2D8A}">
    <filterColumn colId="0" hiddenButton="1"/>
    <filterColumn colId="1" hiddenButton="1"/>
    <filterColumn colId="2" hiddenButton="1"/>
    <filterColumn colId="3" hiddenButton="1"/>
  </autoFilter>
  <tableColumns count="4">
    <tableColumn id="1" xr3:uid="{CB85909B-6E3A-40F5-82EA-60B2ABA3B5E7}" name="Candidate Name (Party)" totalsRowLabel="Total Votes by County" dataDxfId="197" totalsRowDxfId="196"/>
    <tableColumn id="4" xr3:uid="{317AEFAC-E64B-4425-A00E-C413EB76E4B7}" name="Part of Queens County Vote Results" totalsRowFunction="custom" dataDxfId="195" totalsRowDxfId="194">
      <totalsRowFormula>SUM(MemberOfAssemblyAssemblyDistrict36General[Part of Queens County Vote Results])</totalsRowFormula>
    </tableColumn>
    <tableColumn id="3" xr3:uid="{BC7E6116-2344-4CE4-9BA9-570060FFDCED}" name="Total Votes by Party" totalsRowFunction="custom" dataDxfId="193" totalsRowDxfId="192">
      <calculatedColumnFormula>MemberOfAssemblyAssemblyDistrict36General[[#This Row],[Part of Queens County Vote Results]]</calculatedColumnFormula>
      <totalsRowFormula>SUM(MemberOfAssemblyAssemblyDistrict36General[Total Votes by Party])</totalsRowFormula>
    </tableColumn>
    <tableColumn id="2" xr3:uid="{7FBBCD29-4BCB-40D9-9C54-345C33BB0A47}" name="Total Votes by Candidate" dataDxfId="191" totalsRowDxfId="190">
      <calculatedColumnFormula>SUM(MemberOfAssemblyAssemblyDistrict36General[[#This Row],[Total Votes by Party]])</calculatedColumnFormula>
    </tableColumn>
  </tableColumns>
  <tableStyleInfo name="TableStyleMedium2" showFirstColumn="0" showLastColumn="0" showRowStripes="0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41C8CC35-3BE4-4065-B5B1-22151E796F58}" name="MemberOfAssemblyAssemblyDistrict43General" displayName="MemberOfAssemblyAssemblyDistrict43General" ref="A2:D9" totalsRowCount="1" headerRowDxfId="189" dataDxfId="187" totalsRowDxfId="185" headerRowBorderDxfId="188" tableBorderDxfId="186" totalsRowBorderDxfId="184">
  <autoFilter ref="A2:D8" xr:uid="{9AE16682-B515-45EE-912B-69FCDE72BB7E}">
    <filterColumn colId="0" hiddenButton="1"/>
    <filterColumn colId="1" hiddenButton="1"/>
    <filterColumn colId="2" hiddenButton="1"/>
    <filterColumn colId="3" hiddenButton="1"/>
  </autoFilter>
  <tableColumns count="4">
    <tableColumn id="1" xr3:uid="{B226BF9D-A169-43EA-A252-372542B7C457}" name="Candidate Name (Party)" totalsRowLabel="Total Votes by County" dataDxfId="183" totalsRowDxfId="182"/>
    <tableColumn id="4" xr3:uid="{7FB29C04-365C-44CE-A702-13BADAB32864}" name="Part of Kings County Vote Results" totalsRowFunction="custom" totalsRowDxfId="181">
      <totalsRowFormula>SUM(MemberOfAssemblyAssemblyDistrict43General[Part of Kings County Vote Results])</totalsRowFormula>
    </tableColumn>
    <tableColumn id="3" xr3:uid="{F924C091-DE1B-40E5-9801-285CDA3F4F94}" name="Total Votes by Party" totalsRowFunction="custom" dataDxfId="180" totalsRowDxfId="179">
      <calculatedColumnFormula>MemberOfAssemblyAssemblyDistrict43General[[#This Row],[Part of Kings County Vote Results]]</calculatedColumnFormula>
      <totalsRowFormula>SUM(MemberOfAssemblyAssemblyDistrict43General[Total Votes by Party])</totalsRowFormula>
    </tableColumn>
    <tableColumn id="2" xr3:uid="{BE6143CF-D34A-45B1-BA62-A96CE9C84214}" name="Total Votes by Candidate" dataDxfId="178" totalsRowDxfId="177"/>
  </tableColumns>
  <tableStyleInfo name="TableStyleMedium2" showFirstColumn="0" showLastColumn="0" showRowStripes="0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8B065052-79B6-4996-90B4-496C4E4A706B}" name="MemberOfAssemblyAssemblyDistrict46General" displayName="MemberOfAssemblyAssemblyDistrict46General" ref="A2:D10" totalsRowCount="1" headerRowDxfId="176" dataDxfId="174" totalsRowDxfId="172" headerRowBorderDxfId="175" tableBorderDxfId="173" totalsRowBorderDxfId="171">
  <autoFilter ref="A2:D9" xr:uid="{19AF2228-AB79-4BFC-9FF2-B9E556269E0B}">
    <filterColumn colId="0" hiddenButton="1"/>
    <filterColumn colId="1" hiddenButton="1"/>
    <filterColumn colId="2" hiddenButton="1"/>
    <filterColumn colId="3" hiddenButton="1"/>
  </autoFilter>
  <tableColumns count="4">
    <tableColumn id="1" xr3:uid="{674B4609-E83A-4648-9C5A-351DE8B107EE}" name="Candidate Name (Party)" totalsRowLabel="Total Votes by County" dataDxfId="170" totalsRowDxfId="169"/>
    <tableColumn id="4" xr3:uid="{2127A074-EC5B-4E18-A93F-A6EFB96EF49C}" name="Part of Kings County Vote Results" totalsRowFunction="custom" totalsRowDxfId="168">
      <totalsRowFormula>SUM(MemberOfAssemblyAssemblyDistrict46General[Part of Kings County Vote Results])</totalsRowFormula>
    </tableColumn>
    <tableColumn id="3" xr3:uid="{D52D4B1C-F91E-4507-8293-054454CB33D7}" name="Total Votes by Party" totalsRowFunction="custom" dataDxfId="167" totalsRowDxfId="166">
      <calculatedColumnFormula>MemberOfAssemblyAssemblyDistrict46General[[#This Row],[Part of Kings County Vote Results]]</calculatedColumnFormula>
      <totalsRowFormula>SUM(MemberOfAssemblyAssemblyDistrict46General[Total Votes by Party])</totalsRowFormula>
    </tableColumn>
    <tableColumn id="2" xr3:uid="{8FE1D339-7475-4F66-98B7-30B228822CAD}" name="Total Votes by Candidate" dataDxfId="165" totalsRowDxfId="164"/>
  </tableColumns>
  <tableStyleInfo name="TableStyleMedium2" showFirstColumn="0" showLastColumn="0" showRowStripes="0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8F20D07E-9A4D-4B75-8AF8-659577CBA397}" name="MemberOfAssemblyAssemblyDistrict50General60" displayName="MemberOfAssemblyAssemblyDistrict50General60" ref="A2:D10" totalsRowCount="1" headerRowDxfId="163" dataDxfId="161" totalsRowDxfId="159" headerRowBorderDxfId="162" tableBorderDxfId="160" totalsRowBorderDxfId="158">
  <autoFilter ref="A2:D9" xr:uid="{EB6FA8A7-AE60-48F2-AE64-A3CE1B8F5364}">
    <filterColumn colId="0" hiddenButton="1"/>
    <filterColumn colId="1" hiddenButton="1"/>
    <filterColumn colId="2" hiddenButton="1"/>
    <filterColumn colId="3" hiddenButton="1"/>
  </autoFilter>
  <tableColumns count="4">
    <tableColumn id="1" xr3:uid="{A11376BD-25D2-4FFE-9707-F2C73CCE25A0}" name="Candidate Name (Party)" totalsRowLabel="Total Votes by County" dataDxfId="157" totalsRowDxfId="156" totalsRowCellStyle="Normal 2"/>
    <tableColumn id="4" xr3:uid="{AF2985D1-BF77-4FEB-9A4F-4BEA1FF948F0}" name="Part of Kings County Vote Results" totalsRowFunction="custom" totalsRowDxfId="155" totalsRowCellStyle="Normal 2">
      <totalsRowFormula>SUM(MemberOfAssemblyAssemblyDistrict50General60[Part of Kings County Vote Results])</totalsRowFormula>
    </tableColumn>
    <tableColumn id="3" xr3:uid="{A5A283B7-9EFB-4DD1-8680-FBFC08DC9163}" name="Total Votes by Party" totalsRowFunction="custom" dataDxfId="154" totalsRowDxfId="153" totalsRowCellStyle="Normal 2">
      <calculatedColumnFormula>MemberOfAssemblyAssemblyDistrict50General60[[#This Row],[Part of Kings County Vote Results]]</calculatedColumnFormula>
      <totalsRowFormula>SUM(MemberOfAssemblyAssemblyDistrict50General60[Total Votes by Party])</totalsRowFormula>
    </tableColumn>
    <tableColumn id="2" xr3:uid="{7F6A5E05-D757-4DEC-96A4-269AAA26788D}" name="Total Votes by Candidate" dataDxfId="152" totalsRowDxfId="151" totalsRowCellStyle="Normal 2">
      <calculatedColumnFormula>SUM(MemberOfAssemblyAssemblyDistrict50General60[[#This Row],[Total Votes by Party]])</calculatedColumnFormula>
    </tableColumn>
  </tableColumns>
  <tableStyleInfo name="TableStyleMedium2" showFirstColumn="0" showLastColumn="0" showRowStripes="0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5CF32296-8C4D-4A5A-96CC-5FDAFFFB0D76}" name="MemberOfAssemblyAssemblyDistrict52General61" displayName="MemberOfAssemblyAssemblyDistrict52General61" ref="A2:D9" totalsRowCount="1" headerRowDxfId="150" dataDxfId="148" totalsRowDxfId="146" headerRowBorderDxfId="149" tableBorderDxfId="147" totalsRowBorderDxfId="145">
  <autoFilter ref="A2:D8" xr:uid="{43466E36-55A7-49C8-A7BF-50584D28DAF0}">
    <filterColumn colId="0" hiddenButton="1"/>
    <filterColumn colId="1" hiddenButton="1"/>
    <filterColumn colId="2" hiddenButton="1"/>
    <filterColumn colId="3" hiddenButton="1"/>
  </autoFilter>
  <tableColumns count="4">
    <tableColumn id="1" xr3:uid="{24C06CDF-CAA4-4622-98DE-A69522E207CF}" name="Candidate Name (Party)" totalsRowLabel="Total Votes by County" dataDxfId="144" totalsRowDxfId="143"/>
    <tableColumn id="4" xr3:uid="{EB05404E-6C0C-4BA2-A083-F68BC916730A}" name="Part of Kings County Vote Results" totalsRowFunction="custom" totalsRowDxfId="142">
      <totalsRowFormula>SUM(MemberOfAssemblyAssemblyDistrict52General61[Part of Kings County Vote Results])</totalsRowFormula>
    </tableColumn>
    <tableColumn id="3" xr3:uid="{59C3ECEA-88F7-4FFA-865B-D06F7AB4C6EB}" name="Total Votes by Party" totalsRowFunction="custom" dataDxfId="141" totalsRowDxfId="140">
      <calculatedColumnFormula>MemberOfAssemblyAssemblyDistrict52General61[[#This Row],[Part of Kings County Vote Results]]</calculatedColumnFormula>
      <totalsRowFormula>SUM(MemberOfAssemblyAssemblyDistrict52General61[Total Votes by Party])</totalsRowFormula>
    </tableColumn>
    <tableColumn id="2" xr3:uid="{41296A06-AFAD-4DD8-BCE5-10D2C32D6DC1}" name="Total Votes by Candidate" dataDxfId="139" totalsRowDxfId="138">
      <calculatedColumnFormula>SUM(MemberOfAssemblyAssemblyDistrict52General61[[#This Row],[Total Votes by Party]])</calculatedColumnFormula>
    </tableColumn>
  </tableColumns>
  <tableStyleInfo name="TableStyleMedium2" showFirstColumn="0" showLastColumn="0" showRowStripes="0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23D8C09A-53FC-416B-BBC8-C8C8821F95EC}" name="MemberOfAssemblyAssemblyDistrict55General" displayName="MemberOfAssemblyAssemblyDistrict55General" ref="A2:D10" totalsRowCount="1" headerRowDxfId="137" dataDxfId="135" totalsRowDxfId="133" headerRowBorderDxfId="136" tableBorderDxfId="134" totalsRowBorderDxfId="132">
  <autoFilter ref="A2:D9" xr:uid="{F456B5FE-B223-4E84-BC39-EED62A2AF260}">
    <filterColumn colId="0" hiddenButton="1"/>
    <filterColumn colId="1" hiddenButton="1"/>
    <filterColumn colId="2" hiddenButton="1"/>
    <filterColumn colId="3" hiddenButton="1"/>
  </autoFilter>
  <tableColumns count="4">
    <tableColumn id="1" xr3:uid="{3FB665E3-8C98-4B92-9A0E-FC212DE7756D}" name="Candidate Name (Party)" totalsRowLabel="Total Votes by County" dataDxfId="131" totalsRowDxfId="130"/>
    <tableColumn id="4" xr3:uid="{F586540C-D8A2-4C17-AC3D-5E6BCE1D71E3}" name="Part of Kings County Vote Results" totalsRowFunction="custom" totalsRowDxfId="129">
      <totalsRowFormula>SUM(MemberOfAssemblyAssemblyDistrict55General[Part of Kings County Vote Results])</totalsRowFormula>
    </tableColumn>
    <tableColumn id="3" xr3:uid="{5FEC9BD3-7186-421E-9CBB-B0BA6D0A06FF}" name="Total Votes by Party" totalsRowFunction="custom" dataDxfId="128" totalsRowDxfId="127">
      <calculatedColumnFormula>MemberOfAssemblyAssemblyDistrict55General[[#This Row],[Part of Kings County Vote Results]]</calculatedColumnFormula>
      <totalsRowFormula>SUM(MemberOfAssemblyAssemblyDistrict55General[Total Votes by Party])</totalsRowFormula>
    </tableColumn>
    <tableColumn id="2" xr3:uid="{9C64FFA5-DCB3-4A44-987A-96996F9CC07B}" name="Total Votes by Candidate" dataDxfId="126" totalsRowDxfId="125"/>
  </tableColumns>
  <tableStyleInfo name="TableStyleMedium2" showFirstColumn="0" showLastColumn="0" showRowStripes="0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475883B4-18B6-4797-B7BD-1001755D4776}" name="MemberOfAssemblyAssemblyDistrict59General" displayName="MemberOfAssemblyAssemblyDistrict59General" ref="A2:D9" totalsRowCount="1" headerRowDxfId="124" dataDxfId="122" totalsRowDxfId="120" headerRowBorderDxfId="123" tableBorderDxfId="121" totalsRowBorderDxfId="119">
  <autoFilter ref="A2:D8" xr:uid="{B879D523-A7B9-4628-BDB2-94E50B233A7C}">
    <filterColumn colId="0" hiddenButton="1"/>
    <filterColumn colId="1" hiddenButton="1"/>
    <filterColumn colId="2" hiddenButton="1"/>
    <filterColumn colId="3" hiddenButton="1"/>
  </autoFilter>
  <tableColumns count="4">
    <tableColumn id="1" xr3:uid="{E9A692B7-058D-4D36-B983-31D4FE318FAB}" name="Candidate Name (Party)" totalsRowLabel="Total Votes by County" dataDxfId="118" totalsRowDxfId="117"/>
    <tableColumn id="4" xr3:uid="{8073CF6F-056E-4072-90F1-7E77E8E868FE}" name="Part of Kings County Vote Results" totalsRowFunction="custom" totalsRowDxfId="116">
      <totalsRowFormula>SUM(MemberOfAssemblyAssemblyDistrict59General[Part of Kings County Vote Results])</totalsRowFormula>
    </tableColumn>
    <tableColumn id="3" xr3:uid="{E13D5CE7-F14B-46EC-A011-B64F7E19463D}" name="Total Votes by Party" totalsRowFunction="custom" dataDxfId="115" totalsRowDxfId="114">
      <calculatedColumnFormula>MemberOfAssemblyAssemblyDistrict59General[[#This Row],[Part of Kings County Vote Results]]</calculatedColumnFormula>
      <totalsRowFormula>SUM(MemberOfAssemblyAssemblyDistrict59General[Total Votes by Party])</totalsRowFormula>
    </tableColumn>
    <tableColumn id="2" xr3:uid="{05AE07B7-EFB0-4135-8E78-25E83D4B9150}" name="Total Votes by Candidate" dataDxfId="113" totalsRowDxfId="112">
      <calculatedColumnFormula>SUM(MemberOfAssemblyAssemblyDistrict59General[[#This Row],[Total Votes by Party]])</calculatedColumnFormula>
    </tableColumn>
  </tableColumns>
  <tableStyleInfo name="TableStyleMedium2" showFirstColumn="0" showLastColumn="0" showRowStripes="0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66F13C1-A5C4-406B-BED5-2277EB9D2C68}" name="MemberOfAssemblyAssemblyDistrict68General39" displayName="MemberOfAssemblyAssemblyDistrict68General39" ref="A2:D10" totalsRowCount="1" headerRowDxfId="111" dataDxfId="109" totalsRowDxfId="107" headerRowBorderDxfId="110" tableBorderDxfId="108" totalsRowBorderDxfId="106">
  <autoFilter ref="A2:D9" xr:uid="{7C0C90E0-7094-436E-AE33-860942F94EB6}">
    <filterColumn colId="0" hiddenButton="1"/>
    <filterColumn colId="1" hiddenButton="1"/>
    <filterColumn colId="2" hiddenButton="1"/>
    <filterColumn colId="3" hiddenButton="1"/>
  </autoFilter>
  <tableColumns count="4">
    <tableColumn id="1" xr3:uid="{5DFDCE21-077D-4AC3-9B05-AE939F7D45E6}" name="Candidate Name (Party)" totalsRowLabel="Total Votes by County" dataDxfId="105" totalsRowDxfId="104"/>
    <tableColumn id="4" xr3:uid="{EAF36566-40A6-418C-8A9A-B85CCBBE8B2C}" name="Part of New York County Vote Results" totalsRowFunction="custom" dataDxfId="103" totalsRowDxfId="102">
      <totalsRowFormula>SUM(MemberOfAssemblyAssemblyDistrict68General39[Part of New York County Vote Results])</totalsRowFormula>
    </tableColumn>
    <tableColumn id="3" xr3:uid="{D2CB8D2C-74ED-4508-8E52-787324716984}" name="Total Votes by Party" totalsRowFunction="custom" dataDxfId="101" totalsRowDxfId="100">
      <calculatedColumnFormula>MemberOfAssemblyAssemblyDistrict68General39[[#This Row],[Part of New York County Vote Results]]</calculatedColumnFormula>
      <totalsRowFormula>SUM(MemberOfAssemblyAssemblyDistrict68General39[Total Votes by Party])</totalsRowFormula>
    </tableColumn>
    <tableColumn id="2" xr3:uid="{973A2423-ED80-4EE6-9102-EC326435024E}" name="Total Votes by Candidate" dataDxfId="99" totalsRowDxfId="98"/>
  </tableColumns>
  <tableStyleInfo name="TableStyleMedium2" showFirstColumn="0" showLastColumn="0" showRowStripes="0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CEC447F-4218-4485-8714-B3454C2B1832}" name="MemberOfAssemblyAssemblyDistrict70General41" displayName="MemberOfAssemblyAssemblyDistrict70General41" ref="A2:D10" totalsRowCount="1" headerRowDxfId="97" dataDxfId="95" totalsRowDxfId="93" headerRowBorderDxfId="96" tableBorderDxfId="94" totalsRowBorderDxfId="92">
  <autoFilter ref="A2:D9" xr:uid="{7C41311A-532C-46E5-9E8C-EAC4A30F20BE}">
    <filterColumn colId="0" hiddenButton="1"/>
    <filterColumn colId="1" hiddenButton="1"/>
    <filterColumn colId="2" hiddenButton="1"/>
    <filterColumn colId="3" hiddenButton="1"/>
  </autoFilter>
  <tableColumns count="4">
    <tableColumn id="1" xr3:uid="{1C8EB76C-7A19-41A1-AADD-C3064E8E6989}" name="Candidate Name (Party)" totalsRowLabel="Total Votes by County" dataDxfId="91" totalsRowDxfId="90"/>
    <tableColumn id="4" xr3:uid="{EC1523CD-A344-4F64-8A87-B130B721E2FF}" name="Part of New York County Vote Results" totalsRowFunction="custom" dataDxfId="89" totalsRowDxfId="88">
      <totalsRowFormula>SUM(MemberOfAssemblyAssemblyDistrict70General41[Part of New York County Vote Results])</totalsRowFormula>
    </tableColumn>
    <tableColumn id="3" xr3:uid="{B33CCF64-1547-4B44-A08A-BCA56DB5BC6F}" name="Total Votes by Party" totalsRowFunction="custom" dataDxfId="87" totalsRowDxfId="86">
      <calculatedColumnFormula>MemberOfAssemblyAssemblyDistrict70General41[[#This Row],[Part of New York County Vote Results]]</calculatedColumnFormula>
      <totalsRowFormula>SUM(MemberOfAssemblyAssemblyDistrict70General41[Total Votes by Party])</totalsRowFormula>
    </tableColumn>
    <tableColumn id="2" xr3:uid="{F114B5E6-13FF-4261-90C9-9B032B8B0C31}" name="Total Votes by Candidate" dataDxfId="85" totalsRowDxfId="84"/>
  </tableColumns>
  <tableStyleInfo name="TableStyleMedium2" showFirstColumn="0" showLastColumn="0" showRowStripes="0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95F7AD2-E7E8-458D-B62E-865412B2A40B}" name="MemberOfAssemblyAssemblyDistrict72General42" displayName="MemberOfAssemblyAssemblyDistrict72General42" ref="A2:D9" totalsRowCount="1" headerRowDxfId="83" dataDxfId="81" totalsRowDxfId="79" headerRowBorderDxfId="82" tableBorderDxfId="80" totalsRowBorderDxfId="78">
  <autoFilter ref="A2:D8" xr:uid="{5EBC0DDE-FD36-4287-9275-1AA487E169B4}">
    <filterColumn colId="0" hiddenButton="1"/>
    <filterColumn colId="1" hiddenButton="1"/>
    <filterColumn colId="2" hiddenButton="1"/>
    <filterColumn colId="3" hiddenButton="1"/>
  </autoFilter>
  <tableColumns count="4">
    <tableColumn id="1" xr3:uid="{D17B6001-4092-4E2A-8852-1ED030F9A1C8}" name="Candidate Name (Party)" totalsRowLabel="Total Votes by County" dataDxfId="77" totalsRowDxfId="76"/>
    <tableColumn id="4" xr3:uid="{C9A8393F-4CAA-49A9-82E9-905D183462DC}" name="Part of New York County Vote Results" totalsRowFunction="custom" dataDxfId="75" totalsRowDxfId="74">
      <totalsRowFormula>SUM(MemberOfAssemblyAssemblyDistrict72General42[Part of New York County Vote Results])</totalsRowFormula>
    </tableColumn>
    <tableColumn id="3" xr3:uid="{971EF726-79A6-43CF-8580-8F621BFF9123}" name="Total Votes by Party" totalsRowFunction="custom" dataDxfId="73" totalsRowDxfId="72">
      <calculatedColumnFormula>MemberOfAssemblyAssemblyDistrict72General42[[#This Row],[Part of New York County Vote Results]]</calculatedColumnFormula>
      <totalsRowFormula>SUM(MemberOfAssemblyAssemblyDistrict72General42[Total Votes by Party])</totalsRowFormula>
    </tableColumn>
    <tableColumn id="2" xr3:uid="{BA698E6B-D139-4EEE-94E0-234615C59E3C}" name="Total Votes by Candidate" dataDxfId="71" totalsRowDxfId="70">
      <calculatedColumnFormula>SUM(MemberOfAssemblyAssemblyDistrict72General42[[#This Row],[Total Votes by Party]])</calculatedColumnFormula>
    </tableColumn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6FAD00-2C54-4071-963B-CE236136A372}" name="StateSenatorSenateDistrict6General" displayName="StateSenatorSenateDistrict6General" ref="A2:D8" totalsRowCount="1" headerRowDxfId="1091" dataDxfId="1089" totalsRowDxfId="1087" headerRowBorderDxfId="1090" tableBorderDxfId="1088" totalsRowBorderDxfId="1086">
  <autoFilter ref="A2:D7" xr:uid="{0E535243-4216-4E18-AC3D-5955FEAC22E7}">
    <filterColumn colId="0" hiddenButton="1"/>
    <filterColumn colId="1" hiddenButton="1"/>
    <filterColumn colId="2" hiddenButton="1"/>
    <filterColumn colId="3" hiddenButton="1"/>
  </autoFilter>
  <tableColumns count="4">
    <tableColumn id="1" xr3:uid="{A78569E5-17C2-4142-A16E-0122F80193E2}" name="Candidate Name (Party)" totalsRowLabel="Total Votes by County" dataDxfId="1085" totalsRowDxfId="1084"/>
    <tableColumn id="4" xr3:uid="{1C00479F-817A-4409-8218-6BDAB11C1276}" name="Part of Nassau County Vote Results" totalsRowFunction="custom" dataDxfId="1083" totalsRowDxfId="1082">
      <totalsRowFormula>SUM(StateSenatorSenateDistrict6General[Part of Nassau County Vote Results])</totalsRowFormula>
    </tableColumn>
    <tableColumn id="3" xr3:uid="{526C578E-38F7-47F1-8CC5-5BD91B6BCF61}" name="Total Votes by Party" totalsRowFunction="custom" dataDxfId="1081" totalsRowDxfId="1080">
      <calculatedColumnFormula>StateSenatorSenateDistrict6General[[#This Row],[Part of Nassau County Vote Results]]</calculatedColumnFormula>
      <totalsRowFormula>SUM(StateSenatorSenateDistrict6General[Total Votes by Party])</totalsRowFormula>
    </tableColumn>
    <tableColumn id="2" xr3:uid="{5F35E736-D131-4B21-AF64-0378E681C24E}" name="Total Votes by Candidate" dataDxfId="1079" totalsRowDxfId="1078"/>
  </tableColumns>
  <tableStyleInfo name="TableStyleMedium2" showFirstColumn="0" showLastColumn="0" showRowStripes="0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1346ADD-D228-4DCF-AF43-5520BE3AC4C0}" name="MemberOfAssemblyAssemblyDistrict77General53" displayName="MemberOfAssemblyAssemblyDistrict77General53" ref="A2:D10" totalsRowCount="1" headerRowDxfId="69" dataDxfId="67" totalsRowDxfId="65" headerRowBorderDxfId="68" tableBorderDxfId="66" totalsRowBorderDxfId="64">
  <autoFilter ref="A2:D9" xr:uid="{D5902526-686A-44DC-97B7-8F01FD67572F}">
    <filterColumn colId="0" hiddenButton="1"/>
    <filterColumn colId="1" hiddenButton="1"/>
    <filterColumn colId="2" hiddenButton="1"/>
    <filterColumn colId="3" hiddenButton="1"/>
  </autoFilter>
  <tableColumns count="4">
    <tableColumn id="1" xr3:uid="{9FE15580-0F9E-45FE-8711-9A9B73D2E41D}" name="Candidate Name (Party)" totalsRowLabel="Total Votes by County" dataDxfId="63" totalsRowDxfId="62"/>
    <tableColumn id="4" xr3:uid="{ED464B62-FFA1-40EE-9C1B-3722A9D2CC44}" name="Part of Bronx County Vote Results" totalsRowFunction="custom" dataDxfId="61" totalsRowDxfId="60">
      <totalsRowFormula>SUM(MemberOfAssemblyAssemblyDistrict77General53[Part of Bronx County Vote Results])</totalsRowFormula>
    </tableColumn>
    <tableColumn id="3" xr3:uid="{F2BEAE21-86E5-49DC-99C7-A729B3110878}" name="Total Votes by Party" totalsRowFunction="custom" dataDxfId="59" totalsRowDxfId="58">
      <calculatedColumnFormula>MemberOfAssemblyAssemblyDistrict77General53[[#This Row],[Part of Bronx County Vote Results]]</calculatedColumnFormula>
      <totalsRowFormula>SUM(MemberOfAssemblyAssemblyDistrict77General53[Total Votes by Party])</totalsRowFormula>
    </tableColumn>
    <tableColumn id="2" xr3:uid="{87C8BB90-6076-4000-8BF2-952A0336CE8B}" name="Total Votes by Candidate" dataDxfId="57" totalsRowDxfId="56"/>
  </tableColumns>
  <tableStyleInfo name="TableStyleMedium2" showFirstColumn="0" showLastColumn="0" showRowStripes="0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CF55F0BE-C36F-43A0-B9F9-E3DBAD7D8E28}" name="MemberOfAssemblyAssemblyDistrict81General" displayName="MemberOfAssemblyAssemblyDistrict81General" ref="A2:D9" totalsRowCount="1" headerRowDxfId="55" dataDxfId="53" totalsRowDxfId="51" headerRowBorderDxfId="54" tableBorderDxfId="52" totalsRowBorderDxfId="50">
  <autoFilter ref="A2:D8" xr:uid="{F688E563-A249-421F-8710-78C49E88BC06}">
    <filterColumn colId="0" hiddenButton="1"/>
    <filterColumn colId="1" hiddenButton="1"/>
    <filterColumn colId="2" hiddenButton="1"/>
    <filterColumn colId="3" hiddenButton="1"/>
  </autoFilter>
  <tableColumns count="4">
    <tableColumn id="1" xr3:uid="{BA7642CB-BBEB-4774-A75F-E4A2A4D5C66F}" name="Candidate Name (Party)" totalsRowLabel="Total Votes by County" dataDxfId="49" totalsRowDxfId="48"/>
    <tableColumn id="4" xr3:uid="{3D35B50C-D0B6-4EB3-8E88-063504EE59CF}" name="Part of Bronx County Vote Results" totalsRowFunction="custom" dataDxfId="47" totalsRowDxfId="46">
      <totalsRowFormula>SUM(MemberOfAssemblyAssemblyDistrict81General[Part of Bronx County Vote Results])</totalsRowFormula>
    </tableColumn>
    <tableColumn id="3" xr3:uid="{1ACB4888-C0EC-477F-B201-1C318FAE600D}" name="Total Votes by Party" totalsRowFunction="custom" dataDxfId="45" totalsRowDxfId="44">
      <calculatedColumnFormula>MemberOfAssemblyAssemblyDistrict81General[[#This Row],[Part of Bronx County Vote Results]]</calculatedColumnFormula>
      <totalsRowFormula>SUM(MemberOfAssemblyAssemblyDistrict81General[Total Votes by Party])</totalsRowFormula>
    </tableColumn>
    <tableColumn id="2" xr3:uid="{21CD0E91-8EDB-4F00-A431-306F92037FE9}" name="Total Votes by Candidate" dataDxfId="43" totalsRowDxfId="42"/>
  </tableColumns>
  <tableStyleInfo name="TableStyleMedium2" showFirstColumn="0" showLastColumn="0" showRowStripes="0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77AB5962-17E3-4F1F-B120-EA17F583D5F6}" name="MemberOfAssemblyAssemblyDistrict84General55" displayName="MemberOfAssemblyAssemblyDistrict84General55" ref="A2:D9" totalsRowCount="1" headerRowDxfId="41" dataDxfId="39" totalsRowDxfId="37" headerRowBorderDxfId="40" tableBorderDxfId="38" totalsRowBorderDxfId="36">
  <autoFilter ref="A2:D8" xr:uid="{047F2C91-73B1-462F-AD15-DB76F9BDD6BC}">
    <filterColumn colId="0" hiddenButton="1"/>
    <filterColumn colId="1" hiddenButton="1"/>
    <filterColumn colId="2" hiddenButton="1"/>
    <filterColumn colId="3" hiddenButton="1"/>
  </autoFilter>
  <tableColumns count="4">
    <tableColumn id="1" xr3:uid="{56F1D0F0-C407-4282-A7A9-6FC72CB0314F}" name="Candidate Name (Party)" totalsRowLabel="Total Votes by County" dataDxfId="35" totalsRowDxfId="34"/>
    <tableColumn id="4" xr3:uid="{DAAC4344-1E01-41B8-97DD-48CA60F16952}" name="Part of Bronx County Vote Results" totalsRowFunction="custom" dataDxfId="33" totalsRowDxfId="32">
      <totalsRowFormula>SUM(MemberOfAssemblyAssemblyDistrict84General55[Part of Bronx County Vote Results])</totalsRowFormula>
    </tableColumn>
    <tableColumn id="3" xr3:uid="{2A3A9EF8-5142-4691-AB24-67DBE491FBEE}" name="Total Votes by Party" totalsRowFunction="custom" dataDxfId="31" totalsRowDxfId="30">
      <calculatedColumnFormula>MemberOfAssemblyAssemblyDistrict84General55[[#This Row],[Part of Bronx County Vote Results]]</calculatedColumnFormula>
      <totalsRowFormula>SUM(MemberOfAssemblyAssemblyDistrict84General55[Total Votes by Party])</totalsRowFormula>
    </tableColumn>
    <tableColumn id="2" xr3:uid="{CCAE227B-0980-4919-8B8A-C0E3FE989D56}" name="Total Votes by Candidate" dataDxfId="29" totalsRowDxfId="28"/>
  </tableColumns>
  <tableStyleInfo name="TableStyleMedium2" showFirstColumn="0" showLastColumn="0" showRowStripes="0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CA0B255C-33C6-49DF-8B1D-96FCEC86EE02}" name="MemberOfAssemblyAssemblyDistrict137General80" displayName="MemberOfAssemblyAssemblyDistrict137General80" ref="A2:D8" totalsRowCount="1" headerRowDxfId="27" dataDxfId="25" totalsRowDxfId="23" headerRowBorderDxfId="26" tableBorderDxfId="24" totalsRowBorderDxfId="22">
  <autoFilter ref="A2:D7" xr:uid="{131EAACA-BE16-410F-9DCB-436E3BF36992}">
    <filterColumn colId="0" hiddenButton="1"/>
    <filterColumn colId="1" hiddenButton="1"/>
    <filterColumn colId="2" hiddenButton="1"/>
    <filterColumn colId="3" hiddenButton="1"/>
  </autoFilter>
  <tableColumns count="4">
    <tableColumn id="1" xr3:uid="{11793F2B-F78E-4264-9D81-F60591910DC7}" name="Candidate Name (Party)" totalsRowLabel="Total Votes by County" dataDxfId="21" totalsRowDxfId="20"/>
    <tableColumn id="4" xr3:uid="{B9CF40C3-45D2-4FF5-ABB1-22DF57293C06}" name="Part of Monroe County Vote Results" totalsRowFunction="custom" dataDxfId="19" totalsRowDxfId="18">
      <totalsRowFormula>SUM(MemberOfAssemblyAssemblyDistrict137General80[Part of Monroe County Vote Results])</totalsRowFormula>
    </tableColumn>
    <tableColumn id="3" xr3:uid="{D0FAD48B-74DE-4699-83F5-7F496698C11F}" name="Total Votes by Party" totalsRowFunction="custom" dataDxfId="17" totalsRowDxfId="16">
      <calculatedColumnFormula>MemberOfAssemblyAssemblyDistrict137General80[[#This Row],[Part of Monroe County Vote Results]]</calculatedColumnFormula>
      <totalsRowFormula>SUM(MemberOfAssemblyAssemblyDistrict137General80[Total Votes by Party])</totalsRowFormula>
    </tableColumn>
    <tableColumn id="2" xr3:uid="{F09456B2-FD09-4E6E-A1D9-67E76E2C6500}" name="Total Votes by Candidate" dataDxfId="15" totalsRowDxfId="14">
      <calculatedColumnFormula>SUM(MemberOfAssemblyAssemblyDistrict137General80[[#This Row],[Total Votes by Party]],C4)</calculatedColumnFormula>
    </tableColumn>
  </tableColumns>
  <tableStyleInfo name="TableStyleMedium2" showFirstColumn="0" showLastColumn="0" showRowStripes="0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D15B730B-D498-4730-9765-98492C782977}" name="MemberOfAssemblyAssemblyDistrict137General8081" displayName="MemberOfAssemblyAssemblyDistrict137General8081" ref="A2:D8" totalsRowCount="1" headerRowDxfId="13" dataDxfId="11" totalsRowDxfId="9" headerRowBorderDxfId="12" tableBorderDxfId="10" totalsRowBorderDxfId="8">
  <autoFilter ref="A2:D7" xr:uid="{131EAACA-BE16-410F-9DCB-436E3BF36992}">
    <filterColumn colId="0" hiddenButton="1"/>
    <filterColumn colId="1" hiddenButton="1"/>
    <filterColumn colId="2" hiddenButton="1"/>
    <filterColumn colId="3" hiddenButton="1"/>
  </autoFilter>
  <tableColumns count="4">
    <tableColumn id="1" xr3:uid="{9C45867A-D54C-4C68-824F-A6EE084E15C6}" name="Candidate Name (Party)" totalsRowLabel="Total Votes by County" dataDxfId="7" totalsRowDxfId="6"/>
    <tableColumn id="4" xr3:uid="{69522469-977B-488B-8BC9-7EDC6E7BD08B}" name="Part of Monroe County Vote Results" totalsRowFunction="custom" dataDxfId="5" totalsRowDxfId="4">
      <totalsRowFormula>SUM(MemberOfAssemblyAssemblyDistrict137General8081[Part of Monroe County Vote Results])</totalsRowFormula>
    </tableColumn>
    <tableColumn id="3" xr3:uid="{FBC9684E-8F68-41EC-84B9-0834487A0FFD}" name="Total Votes by Party" totalsRowFunction="custom" dataDxfId="3" totalsRowDxfId="2">
      <calculatedColumnFormula>MemberOfAssemblyAssemblyDistrict137General8081[[#This Row],[Part of Monroe County Vote Results]]</calculatedColumnFormula>
      <totalsRowFormula>SUM(MemberOfAssemblyAssemblyDistrict137General8081[Total Votes by Party])</totalsRowFormula>
    </tableColumn>
    <tableColumn id="2" xr3:uid="{2DD18D64-DED1-4483-B4D0-9CD450C5A1D8}" name="Total Votes by Candidate" dataDxfId="1" totalsRowDxfId="0">
      <calculatedColumnFormula>SUM(MemberOfAssemblyAssemblyDistrict137General8081[[#This Row],[Total Votes by Party]],C4)</calculatedColumnFormula>
    </tableColumn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886ECB-F5BC-4E30-A50D-A5C14D2C789A}" name="StateSenatorSenateDistrict7General" displayName="StateSenatorSenateDistrict7General" ref="A2:D8" totalsRowCount="1" headerRowDxfId="1077" dataDxfId="1075" totalsRowDxfId="1073" headerRowBorderDxfId="1076" tableBorderDxfId="1074" totalsRowBorderDxfId="1072">
  <autoFilter ref="A2:D7" xr:uid="{0468737E-A287-4E35-A99A-23695F38BF57}">
    <filterColumn colId="0" hiddenButton="1"/>
    <filterColumn colId="1" hiddenButton="1"/>
    <filterColumn colId="2" hiddenButton="1"/>
    <filterColumn colId="3" hiddenButton="1"/>
  </autoFilter>
  <tableColumns count="4">
    <tableColumn id="1" xr3:uid="{6E6C0884-7B84-4077-94A3-F6A4F244C420}" name="Candidate Name (Party)" totalsRowLabel="Total Votes by County" dataDxfId="1071" totalsRowDxfId="1070"/>
    <tableColumn id="4" xr3:uid="{18AE9535-4328-4EA4-AB9E-5C29A8C69404}" name="Part of Nassau County Vote Results" totalsRowFunction="custom" dataDxfId="1069" totalsRowDxfId="1068">
      <totalsRowFormula>SUM(StateSenatorSenateDistrict7General[Part of Nassau County Vote Results])</totalsRowFormula>
    </tableColumn>
    <tableColumn id="3" xr3:uid="{EC809A51-498F-4F68-B286-70BC612F78BE}" name="Total Votes by Party" totalsRowFunction="custom" dataDxfId="1067" totalsRowDxfId="1066">
      <calculatedColumnFormula>StateSenatorSenateDistrict7General[[#This Row],[Part of Nassau County Vote Results]]</calculatedColumnFormula>
      <totalsRowFormula>SUM(StateSenatorSenateDistrict7General[Total Votes by Party])</totalsRowFormula>
    </tableColumn>
    <tableColumn id="2" xr3:uid="{F6AF3FF9-E219-416F-B1E6-258A09559967}" name="Total Votes by Candidate" dataDxfId="1065" totalsRowDxfId="1064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4.xml"/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8"/>
  <sheetViews>
    <sheetView zoomScaleNormal="100" zoomScaleSheetLayoutView="120" workbookViewId="0">
      <selection activeCell="C16" sqref="C1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7" t="s">
        <v>55</v>
      </c>
    </row>
    <row r="2" spans="1:4" ht="24.95" customHeight="1" x14ac:dyDescent="0.2">
      <c r="A2" s="4" t="s">
        <v>5</v>
      </c>
      <c r="B2" s="5" t="s">
        <v>15</v>
      </c>
      <c r="C2" s="6" t="s">
        <v>3</v>
      </c>
      <c r="D2" s="7" t="s">
        <v>4</v>
      </c>
    </row>
    <row r="3" spans="1:4" x14ac:dyDescent="0.2">
      <c r="A3" s="1" t="s">
        <v>600</v>
      </c>
      <c r="B3" s="2">
        <v>8253</v>
      </c>
      <c r="C3" s="8">
        <f>RepInCongressCongressionalDistrict1General[[#This Row],[Part of Suffolk County Vote Results]]</f>
        <v>8253</v>
      </c>
      <c r="D3" s="9">
        <f>SUM(RepInCongressCongressionalDistrict1General[[#This Row],[Total Votes by Party]])</f>
        <v>8253</v>
      </c>
    </row>
    <row r="4" spans="1:4" x14ac:dyDescent="0.2">
      <c r="A4" s="1" t="s">
        <v>599</v>
      </c>
      <c r="B4" s="26">
        <v>19380</v>
      </c>
      <c r="C4" s="25">
        <f>RepInCongressCongressionalDistrict1General[[#This Row],[Part of Suffolk County Vote Results]]</f>
        <v>19380</v>
      </c>
      <c r="D4" s="51">
        <f>SUM(RepInCongressCongressionalDistrict1General[[#This Row],[Total Votes by Party]])</f>
        <v>19380</v>
      </c>
    </row>
    <row r="5" spans="1:4" x14ac:dyDescent="0.2">
      <c r="A5" s="3" t="s">
        <v>0</v>
      </c>
      <c r="B5" s="2">
        <v>65</v>
      </c>
      <c r="C5" s="8">
        <f>RepInCongressCongressionalDistrict1General[[#This Row],[Part of Suffolk County Vote Results]]</f>
        <v>65</v>
      </c>
      <c r="D5" s="10"/>
    </row>
    <row r="6" spans="1:4" x14ac:dyDescent="0.2">
      <c r="A6" s="3" t="s">
        <v>1</v>
      </c>
      <c r="B6" s="2">
        <v>68</v>
      </c>
      <c r="C6" s="8">
        <f>RepInCongressCongressionalDistrict1General[[#This Row],[Part of Suffolk County Vote Results]]</f>
        <v>68</v>
      </c>
      <c r="D6" s="10"/>
    </row>
    <row r="7" spans="1:4" x14ac:dyDescent="0.2">
      <c r="A7" s="3" t="s">
        <v>6</v>
      </c>
      <c r="B7" s="2">
        <v>63</v>
      </c>
      <c r="C7" s="12">
        <f>RepInCongressCongressionalDistrict1General[[#This Row],[Part of Suffolk County Vote Results]]</f>
        <v>63</v>
      </c>
      <c r="D7" s="14"/>
    </row>
    <row r="8" spans="1:4" x14ac:dyDescent="0.2">
      <c r="A8" s="11" t="s">
        <v>2</v>
      </c>
      <c r="B8" s="2">
        <f>SUM(RepInCongressCongressionalDistrict1General[Part of Suffolk County Vote Results])</f>
        <v>27829</v>
      </c>
      <c r="C8" s="12">
        <f>SUM(RepInCongressCongressionalDistrict1General[Total Votes by Party])</f>
        <v>27829</v>
      </c>
      <c r="D8" s="13"/>
    </row>
  </sheetData>
  <phoneticPr fontId="1" type="noConversion"/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rowBreaks count="8" manualBreakCount="8">
    <brk id="34" max="4" man="1"/>
    <brk id="77" max="4" man="1"/>
    <brk id="120" max="4" man="1"/>
    <brk id="162" max="16383" man="1"/>
    <brk id="186" max="16383" man="1"/>
    <brk id="220" max="16383" man="1"/>
    <brk id="258" max="16383" man="1"/>
    <brk id="300" max="16383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DAB7-5705-4608-98E6-9EE7C95FE8D4}">
  <sheetPr>
    <pageSetUpPr fitToPage="1"/>
  </sheetPr>
  <dimension ref="A1:D8"/>
  <sheetViews>
    <sheetView workbookViewId="0">
      <selection activeCell="B3" sqref="B3:D3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64</v>
      </c>
    </row>
    <row r="2" spans="1:4" ht="25.5" x14ac:dyDescent="0.2">
      <c r="A2" s="4" t="s">
        <v>5</v>
      </c>
      <c r="B2" s="5" t="s">
        <v>36</v>
      </c>
      <c r="C2" s="6" t="s">
        <v>3</v>
      </c>
      <c r="D2" s="7" t="s">
        <v>4</v>
      </c>
    </row>
    <row r="3" spans="1:4" x14ac:dyDescent="0.2">
      <c r="A3" s="1" t="s">
        <v>597</v>
      </c>
      <c r="B3" s="26">
        <v>205</v>
      </c>
      <c r="C3" s="25">
        <f>SUM(StateSenatorSenateDistrict38General[[#This Row],[Part of Rockland County Vote Results]])</f>
        <v>205</v>
      </c>
      <c r="D3" s="51">
        <f>SUM(StateSenatorSenateDistrict38General[[#This Row],[Total Votes by Party]])</f>
        <v>205</v>
      </c>
    </row>
    <row r="4" spans="1:4" x14ac:dyDescent="0.2">
      <c r="A4" s="1" t="s">
        <v>598</v>
      </c>
      <c r="B4" s="2">
        <v>143</v>
      </c>
      <c r="C4" s="8">
        <f>SUM(StateSenatorSenateDistrict38General[[#This Row],[Part of Rockland County Vote Results]])</f>
        <v>143</v>
      </c>
      <c r="D4" s="9">
        <f>SUM(StateSenatorSenateDistrict38General[[#This Row],[Total Votes by Party]])</f>
        <v>143</v>
      </c>
    </row>
    <row r="5" spans="1:4" x14ac:dyDescent="0.2">
      <c r="A5" s="3" t="s">
        <v>0</v>
      </c>
      <c r="B5" s="2">
        <v>33</v>
      </c>
      <c r="C5" s="8">
        <f>SUM(StateSenatorSenateDistrict38General[[#This Row],[Part of Rockland County Vote Results]])</f>
        <v>33</v>
      </c>
      <c r="D5" s="10"/>
    </row>
    <row r="6" spans="1:4" x14ac:dyDescent="0.2">
      <c r="A6" s="3" t="s">
        <v>1</v>
      </c>
      <c r="B6" s="2">
        <v>2</v>
      </c>
      <c r="C6" s="8">
        <f>SUM(StateSenatorSenateDistrict38General[[#This Row],[Part of Rockland County Vote Results]])</f>
        <v>2</v>
      </c>
      <c r="D6" s="10"/>
    </row>
    <row r="7" spans="1:4" x14ac:dyDescent="0.2">
      <c r="A7" s="3" t="s">
        <v>6</v>
      </c>
      <c r="B7" s="2">
        <v>2</v>
      </c>
      <c r="C7" s="8">
        <f>SUM(StateSenatorSenateDistrict38General[[#This Row],[Part of Rockland County Vote Results]])</f>
        <v>2</v>
      </c>
      <c r="D7" s="10"/>
    </row>
    <row r="8" spans="1:4" x14ac:dyDescent="0.2">
      <c r="A8" s="11" t="s">
        <v>2</v>
      </c>
      <c r="B8" s="2">
        <f>SUM(StateSenatorSenateDistrict38General[Part of Rockland County Vote Results])</f>
        <v>385</v>
      </c>
      <c r="C8" s="8">
        <f>SUM(StateSenatorSenateDistrict38General[Total Votes by Party])</f>
        <v>385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C2AE5-A68A-4F8B-9985-50A4E4B608C3}">
  <sheetPr>
    <pageSetUpPr fitToPage="1"/>
  </sheetPr>
  <dimension ref="A1:D8"/>
  <sheetViews>
    <sheetView zoomScaleNormal="100" zoomScaleSheetLayoutView="100" workbookViewId="0">
      <selection activeCell="B3" sqref="B3:B7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629</v>
      </c>
    </row>
    <row r="2" spans="1:4" ht="25.5" x14ac:dyDescent="0.2">
      <c r="A2" s="4" t="s">
        <v>5</v>
      </c>
      <c r="B2" s="5" t="s">
        <v>40</v>
      </c>
      <c r="C2" s="6" t="s">
        <v>3</v>
      </c>
      <c r="D2" s="7" t="s">
        <v>4</v>
      </c>
    </row>
    <row r="3" spans="1:4" x14ac:dyDescent="0.2">
      <c r="A3" s="1" t="s">
        <v>630</v>
      </c>
      <c r="B3" s="2">
        <v>398</v>
      </c>
      <c r="C3" s="8">
        <f>SUM(StateSenatorSenateDistrict42General[[#This Row],[Part of Orange County Vote Results]])</f>
        <v>398</v>
      </c>
      <c r="D3" s="9">
        <f>SUM(StateSenatorSenateDistrict42General[[#This Row],[Total Votes by Party]])</f>
        <v>398</v>
      </c>
    </row>
    <row r="4" spans="1:4" x14ac:dyDescent="0.2">
      <c r="A4" s="1" t="s">
        <v>631</v>
      </c>
      <c r="B4" s="26">
        <v>435</v>
      </c>
      <c r="C4" s="25">
        <f>SUM(StateSenatorSenateDistrict42General[[#This Row],[Part of Orange County Vote Results]])</f>
        <v>435</v>
      </c>
      <c r="D4" s="51">
        <f>SUM(StateSenatorSenateDistrict42General[[#This Row],[Total Votes by Party]])</f>
        <v>435</v>
      </c>
    </row>
    <row r="5" spans="1:4" x14ac:dyDescent="0.2">
      <c r="A5" s="3" t="s">
        <v>0</v>
      </c>
      <c r="B5" s="2">
        <v>2</v>
      </c>
      <c r="C5" s="8">
        <f>SUM(StateSenatorSenateDistrict42General[[#This Row],[Part of Orange County Vote Results]])</f>
        <v>2</v>
      </c>
      <c r="D5" s="10"/>
    </row>
    <row r="6" spans="1:4" x14ac:dyDescent="0.2">
      <c r="A6" s="3" t="s">
        <v>1</v>
      </c>
      <c r="B6" s="2">
        <v>2</v>
      </c>
      <c r="C6" s="8">
        <f>SUM(StateSenatorSenateDistrict42General[[#This Row],[Part of Orange County Vote Results]])</f>
        <v>2</v>
      </c>
      <c r="D6" s="10"/>
    </row>
    <row r="7" spans="1:4" x14ac:dyDescent="0.2">
      <c r="A7" s="3" t="s">
        <v>6</v>
      </c>
      <c r="B7" s="2">
        <v>5</v>
      </c>
      <c r="C7" s="8">
        <f>SUM(StateSenatorSenateDistrict42General[[#This Row],[Part of Orange County Vote Results]])</f>
        <v>5</v>
      </c>
      <c r="D7" s="10"/>
    </row>
    <row r="8" spans="1:4" x14ac:dyDescent="0.2">
      <c r="A8" s="11" t="s">
        <v>2</v>
      </c>
      <c r="B8" s="2">
        <f>SUM(StateSenatorSenateDistrict42General[Part of Orange County Vote Results])</f>
        <v>842</v>
      </c>
      <c r="C8" s="8">
        <f>SUM(StateSenatorSenateDistrict42General[Total Votes by Party])</f>
        <v>842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E82F-AE3E-496B-9926-C5D9DEE88CFE}">
  <sheetPr>
    <pageSetUpPr fitToPage="1"/>
  </sheetPr>
  <dimension ref="A1:E8"/>
  <sheetViews>
    <sheetView workbookViewId="0">
      <selection activeCell="B3" sqref="B3:C7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7" t="s">
        <v>65</v>
      </c>
    </row>
    <row r="2" spans="1:5" ht="25.5" x14ac:dyDescent="0.2">
      <c r="A2" s="4" t="s">
        <v>5</v>
      </c>
      <c r="B2" s="5" t="s">
        <v>37</v>
      </c>
      <c r="C2" s="5" t="s">
        <v>38</v>
      </c>
      <c r="D2" s="6" t="s">
        <v>3</v>
      </c>
      <c r="E2" s="7" t="s">
        <v>4</v>
      </c>
    </row>
    <row r="3" spans="1:5" x14ac:dyDescent="0.2">
      <c r="A3" s="1" t="s">
        <v>577</v>
      </c>
      <c r="B3" s="26">
        <v>1138</v>
      </c>
      <c r="C3" s="26">
        <v>1498</v>
      </c>
      <c r="D3" s="25">
        <f>SUM(StateSenatorSenateDistrict48General[[#This Row],[Cayuga County Vote Results]:[Part of Onondaga County Vote Results]])</f>
        <v>2636</v>
      </c>
      <c r="E3" s="51">
        <f>SUM(StateSenatorSenateDistrict48General[[#This Row],[Total Votes by Party]])</f>
        <v>2636</v>
      </c>
    </row>
    <row r="4" spans="1:5" x14ac:dyDescent="0.2">
      <c r="A4" s="1" t="s">
        <v>578</v>
      </c>
      <c r="B4" s="2">
        <v>585</v>
      </c>
      <c r="C4" s="2">
        <v>1470</v>
      </c>
      <c r="D4" s="8">
        <f>SUM(StateSenatorSenateDistrict48General[[#This Row],[Cayuga County Vote Results]:[Part of Onondaga County Vote Results]])</f>
        <v>2055</v>
      </c>
      <c r="E4" s="9">
        <f>SUM(StateSenatorSenateDistrict48General[[#This Row],[Total Votes by Party]])</f>
        <v>2055</v>
      </c>
    </row>
    <row r="5" spans="1:5" x14ac:dyDescent="0.2">
      <c r="A5" s="3" t="s">
        <v>0</v>
      </c>
      <c r="B5" s="2">
        <v>168</v>
      </c>
      <c r="C5" s="2">
        <v>46</v>
      </c>
      <c r="D5" s="8">
        <f>SUM(StateSenatorSenateDistrict48General[[#This Row],[Cayuga County Vote Results]:[Part of Onondaga County Vote Results]])</f>
        <v>214</v>
      </c>
      <c r="E5" s="10"/>
    </row>
    <row r="6" spans="1:5" x14ac:dyDescent="0.2">
      <c r="A6" s="3" t="s">
        <v>1</v>
      </c>
      <c r="B6" s="2">
        <v>2</v>
      </c>
      <c r="C6" s="2">
        <v>16</v>
      </c>
      <c r="D6" s="8">
        <f>SUM(StateSenatorSenateDistrict48General[[#This Row],[Cayuga County Vote Results]:[Part of Onondaga County Vote Results]])</f>
        <v>18</v>
      </c>
      <c r="E6" s="10"/>
    </row>
    <row r="7" spans="1:5" x14ac:dyDescent="0.2">
      <c r="A7" s="3" t="s">
        <v>6</v>
      </c>
      <c r="B7" s="2">
        <v>17</v>
      </c>
      <c r="C7" s="2">
        <v>22</v>
      </c>
      <c r="D7" s="8">
        <f>SUM(StateSenatorSenateDistrict48General[[#This Row],[Cayuga County Vote Results]:[Part of Onondaga County Vote Results]])</f>
        <v>39</v>
      </c>
      <c r="E7" s="10"/>
    </row>
    <row r="8" spans="1:5" x14ac:dyDescent="0.2">
      <c r="A8" s="11" t="s">
        <v>2</v>
      </c>
      <c r="B8" s="2">
        <f>SUM(StateSenatorSenateDistrict48General[Cayuga County Vote Results])</f>
        <v>1910</v>
      </c>
      <c r="C8" s="2">
        <f>SUM(StateSenatorSenateDistrict48General[Part of Onondaga County Vote Results])</f>
        <v>3052</v>
      </c>
      <c r="D8" s="8">
        <f>SUM(StateSenatorSenateDistrict48General[Total Votes by Party])</f>
        <v>4962</v>
      </c>
      <c r="E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324D-68CD-4CE0-B667-CC2FB80CB2CA}">
  <sheetPr>
    <pageSetUpPr fitToPage="1"/>
  </sheetPr>
  <dimension ref="A1:E8"/>
  <sheetViews>
    <sheetView workbookViewId="0">
      <selection activeCell="B3" sqref="B3:C7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7" t="s">
        <v>72</v>
      </c>
    </row>
    <row r="2" spans="1:5" ht="25.5" x14ac:dyDescent="0.2">
      <c r="A2" s="4" t="s">
        <v>5</v>
      </c>
      <c r="B2" s="5" t="s">
        <v>38</v>
      </c>
      <c r="C2" s="5" t="s">
        <v>39</v>
      </c>
      <c r="D2" s="6" t="s">
        <v>3</v>
      </c>
      <c r="E2" s="7" t="s">
        <v>4</v>
      </c>
    </row>
    <row r="3" spans="1:5" x14ac:dyDescent="0.2">
      <c r="A3" s="1" t="s">
        <v>579</v>
      </c>
      <c r="B3" s="2">
        <v>3198</v>
      </c>
      <c r="C3" s="2">
        <v>1077</v>
      </c>
      <c r="D3" s="8">
        <f>SUM(StateSenatorSenateDistrict50General[[#This Row],[Part of Onondaga County Vote Results]:[Part of Oswego County Vote Results]])</f>
        <v>4275</v>
      </c>
      <c r="E3" s="9">
        <f>SUM(StateSenatorSenateDistrict50General[[#This Row],[Total Votes by Party]])</f>
        <v>4275</v>
      </c>
    </row>
    <row r="4" spans="1:5" x14ac:dyDescent="0.2">
      <c r="A4" s="1" t="s">
        <v>580</v>
      </c>
      <c r="B4" s="26">
        <v>5551</v>
      </c>
      <c r="C4" s="26">
        <v>475</v>
      </c>
      <c r="D4" s="25">
        <f>SUM(StateSenatorSenateDistrict50General[[#This Row],[Part of Onondaga County Vote Results]:[Part of Oswego County Vote Results]])</f>
        <v>6026</v>
      </c>
      <c r="E4" s="51">
        <f>SUM(StateSenatorSenateDistrict50General[[#This Row],[Total Votes by Party]])</f>
        <v>6026</v>
      </c>
    </row>
    <row r="5" spans="1:5" x14ac:dyDescent="0.2">
      <c r="A5" s="3" t="s">
        <v>0</v>
      </c>
      <c r="B5" s="2">
        <v>1175</v>
      </c>
      <c r="C5" s="2">
        <v>2</v>
      </c>
      <c r="D5" s="8">
        <f>SUM(StateSenatorSenateDistrict50General[[#This Row],[Part of Onondaga County Vote Results]:[Part of Oswego County Vote Results]])</f>
        <v>1177</v>
      </c>
      <c r="E5" s="10"/>
    </row>
    <row r="6" spans="1:5" x14ac:dyDescent="0.2">
      <c r="A6" s="3" t="s">
        <v>1</v>
      </c>
      <c r="B6" s="2">
        <v>32</v>
      </c>
      <c r="C6" s="2">
        <v>3</v>
      </c>
      <c r="D6" s="8">
        <f>SUM(StateSenatorSenateDistrict50General[[#This Row],[Part of Onondaga County Vote Results]:[Part of Oswego County Vote Results]])</f>
        <v>35</v>
      </c>
      <c r="E6" s="10"/>
    </row>
    <row r="7" spans="1:5" x14ac:dyDescent="0.2">
      <c r="A7" s="3" t="s">
        <v>6</v>
      </c>
      <c r="B7" s="2">
        <v>19</v>
      </c>
      <c r="C7" s="2">
        <v>8</v>
      </c>
      <c r="D7" s="8">
        <f>SUM(StateSenatorSenateDistrict50General[[#This Row],[Part of Onondaga County Vote Results]:[Part of Oswego County Vote Results]])</f>
        <v>27</v>
      </c>
      <c r="E7" s="10"/>
    </row>
    <row r="8" spans="1:5" x14ac:dyDescent="0.2">
      <c r="A8" s="11" t="s">
        <v>2</v>
      </c>
      <c r="B8" s="2">
        <f>SUM(StateSenatorSenateDistrict50General[Part of Onondaga County Vote Results])</f>
        <v>9975</v>
      </c>
      <c r="C8" s="2">
        <f>SUM(StateSenatorSenateDistrict50General[Part of Oswego County Vote Results])</f>
        <v>1565</v>
      </c>
      <c r="D8" s="8">
        <f>SUM(StateSenatorSenateDistrict50General[Total Votes by Party])</f>
        <v>11540</v>
      </c>
      <c r="E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03706-6700-41D2-A67C-B7DE03E9C56F}">
  <sheetPr>
    <pageSetUpPr fitToPage="1"/>
  </sheetPr>
  <dimension ref="A1:F8"/>
  <sheetViews>
    <sheetView workbookViewId="0">
      <selection activeCell="B3" sqref="B3:D7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7" t="s">
        <v>73</v>
      </c>
    </row>
    <row r="2" spans="1:6" ht="25.5" x14ac:dyDescent="0.2">
      <c r="A2" s="4" t="s">
        <v>5</v>
      </c>
      <c r="B2" s="5" t="s">
        <v>18</v>
      </c>
      <c r="C2" s="5" t="s">
        <v>19</v>
      </c>
      <c r="D2" s="5" t="s">
        <v>17</v>
      </c>
      <c r="E2" s="6" t="s">
        <v>3</v>
      </c>
      <c r="F2" s="7" t="s">
        <v>4</v>
      </c>
    </row>
    <row r="3" spans="1:6" x14ac:dyDescent="0.2">
      <c r="A3" s="1" t="s">
        <v>69</v>
      </c>
      <c r="B3" s="26">
        <v>4087</v>
      </c>
      <c r="C3" s="26">
        <v>4182</v>
      </c>
      <c r="D3" s="26">
        <v>6601</v>
      </c>
      <c r="E3" s="25">
        <f>SUM(StateSenatorSenateDistrict59General[[#This Row],[Part of Kings County Vote Results]:[Part of Queens County Vote Results]])</f>
        <v>14870</v>
      </c>
      <c r="F3" s="51">
        <f>SUM(StateSenatorSenateDistrict59General[[#This Row],[Total Votes by Party]])</f>
        <v>14870</v>
      </c>
    </row>
    <row r="4" spans="1:6" x14ac:dyDescent="0.2">
      <c r="A4" s="1" t="s">
        <v>70</v>
      </c>
      <c r="B4" s="2">
        <v>476</v>
      </c>
      <c r="C4" s="2">
        <v>971</v>
      </c>
      <c r="D4" s="2">
        <v>1096</v>
      </c>
      <c r="E4" s="8">
        <f>SUM(StateSenatorSenateDistrict59General[[#This Row],[Part of Kings County Vote Results]:[Part of Queens County Vote Results]])</f>
        <v>2543</v>
      </c>
      <c r="F4" s="9">
        <f>SUM(StateSenatorSenateDistrict59General[[#This Row],[Total Votes by Party]])</f>
        <v>2543</v>
      </c>
    </row>
    <row r="5" spans="1:6" x14ac:dyDescent="0.2">
      <c r="A5" s="3" t="s">
        <v>0</v>
      </c>
      <c r="B5" s="2">
        <v>69</v>
      </c>
      <c r="C5" s="2">
        <v>25</v>
      </c>
      <c r="D5" s="2">
        <v>122</v>
      </c>
      <c r="E5" s="8">
        <f>SUM(StateSenatorSenateDistrict59General[[#This Row],[Part of Kings County Vote Results]:[Part of Queens County Vote Results]])</f>
        <v>216</v>
      </c>
      <c r="F5" s="10"/>
    </row>
    <row r="6" spans="1:6" x14ac:dyDescent="0.2">
      <c r="A6" s="3" t="s">
        <v>1</v>
      </c>
      <c r="B6" s="2"/>
      <c r="C6" s="2"/>
      <c r="D6" s="2"/>
      <c r="E6" s="8">
        <f>SUM(StateSenatorSenateDistrict59General[[#This Row],[Part of Kings County Vote Results]:[Part of Queens County Vote Results]])</f>
        <v>0</v>
      </c>
      <c r="F6" s="10"/>
    </row>
    <row r="7" spans="1:6" x14ac:dyDescent="0.2">
      <c r="A7" s="3" t="s">
        <v>6</v>
      </c>
      <c r="B7" s="2">
        <v>7</v>
      </c>
      <c r="C7" s="2">
        <v>30</v>
      </c>
      <c r="D7" s="2">
        <v>21</v>
      </c>
      <c r="E7" s="8">
        <f>SUM(StateSenatorSenateDistrict59General[[#This Row],[Part of Kings County Vote Results]:[Part of Queens County Vote Results]])</f>
        <v>58</v>
      </c>
      <c r="F7" s="10"/>
    </row>
    <row r="8" spans="1:6" x14ac:dyDescent="0.2">
      <c r="A8" s="11" t="s">
        <v>2</v>
      </c>
      <c r="B8" s="2">
        <f>SUM(StateSenatorSenateDistrict59General[Part of Kings County Vote Results])</f>
        <v>4639</v>
      </c>
      <c r="C8" s="2">
        <f>SUM(StateSenatorSenateDistrict59General[Part of New York County Vote Results])</f>
        <v>5208</v>
      </c>
      <c r="D8" s="2">
        <f>SUM(StateSenatorSenateDistrict59General[Part of Queens County Vote Results])</f>
        <v>7840</v>
      </c>
      <c r="E8" s="8">
        <f>SUM(StateSenatorSenateDistrict59General[Total Votes by Party])</f>
        <v>17687</v>
      </c>
      <c r="F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049A5-201D-48CE-BF20-6A8CC276F93C}">
  <sheetPr>
    <pageSetUpPr fitToPage="1"/>
  </sheetPr>
  <dimension ref="A1:D8"/>
  <sheetViews>
    <sheetView workbookViewId="0">
      <selection activeCell="B3" sqref="B3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74</v>
      </c>
    </row>
    <row r="2" spans="1:4" ht="25.5" x14ac:dyDescent="0.2">
      <c r="A2" s="4" t="s">
        <v>5</v>
      </c>
      <c r="B2" s="5" t="s">
        <v>15</v>
      </c>
      <c r="C2" s="6" t="s">
        <v>3</v>
      </c>
      <c r="D2" s="7" t="s">
        <v>4</v>
      </c>
    </row>
    <row r="3" spans="1:4" x14ac:dyDescent="0.2">
      <c r="A3" s="1" t="s">
        <v>601</v>
      </c>
      <c r="B3" s="2">
        <v>1951</v>
      </c>
      <c r="C3" s="8">
        <f>MemberOfAssemblyAssemblyDistrict4General[[#This Row],[Part of Suffolk County Vote Results]]</f>
        <v>1951</v>
      </c>
      <c r="D3" s="9">
        <f>SUM(MemberOfAssemblyAssemblyDistrict4General[[#This Row],[Total Votes by Party]])</f>
        <v>1951</v>
      </c>
    </row>
    <row r="4" spans="1:4" x14ac:dyDescent="0.2">
      <c r="A4" s="1" t="s">
        <v>602</v>
      </c>
      <c r="B4" s="26">
        <v>3479</v>
      </c>
      <c r="C4" s="25">
        <f>MemberOfAssemblyAssemblyDistrict4General[[#This Row],[Part of Suffolk County Vote Results]]</f>
        <v>3479</v>
      </c>
      <c r="D4" s="51">
        <f>SUM(MemberOfAssemblyAssemblyDistrict4General[[#This Row],[Total Votes by Party]])</f>
        <v>3479</v>
      </c>
    </row>
    <row r="5" spans="1:4" x14ac:dyDescent="0.2">
      <c r="A5" s="3" t="s">
        <v>0</v>
      </c>
      <c r="B5" s="2">
        <v>189</v>
      </c>
      <c r="C5" s="8">
        <f>MemberOfAssemblyAssemblyDistrict4General[[#This Row],[Part of Suffolk County Vote Results]]</f>
        <v>189</v>
      </c>
      <c r="D5" s="10"/>
    </row>
    <row r="6" spans="1:4" x14ac:dyDescent="0.2">
      <c r="A6" s="3" t="s">
        <v>1</v>
      </c>
      <c r="B6" s="2">
        <v>17</v>
      </c>
      <c r="C6" s="8">
        <f>MemberOfAssemblyAssemblyDistrict4General[[#This Row],[Part of Suffolk County Vote Results]]</f>
        <v>17</v>
      </c>
      <c r="D6" s="10"/>
    </row>
    <row r="7" spans="1:4" x14ac:dyDescent="0.2">
      <c r="A7" s="3" t="s">
        <v>6</v>
      </c>
      <c r="B7" s="2">
        <v>12</v>
      </c>
      <c r="C7" s="8">
        <f>MemberOfAssemblyAssemblyDistrict4General[[#This Row],[Part of Suffolk County Vote Results]]</f>
        <v>12</v>
      </c>
      <c r="D7" s="10"/>
    </row>
    <row r="8" spans="1:4" x14ac:dyDescent="0.2">
      <c r="A8" s="11" t="s">
        <v>2</v>
      </c>
      <c r="B8" s="2">
        <f>SUM(MemberOfAssemblyAssemblyDistrict4General[Part of Suffolk County Vote Results])</f>
        <v>5648</v>
      </c>
      <c r="C8" s="8">
        <f>SUM(MemberOfAssemblyAssemblyDistrict4General[Total Votes by Party])</f>
        <v>5648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86919-FE67-4A39-8810-F883018F1DA7}">
  <sheetPr>
    <pageSetUpPr fitToPage="1"/>
  </sheetPr>
  <dimension ref="A1:D8"/>
  <sheetViews>
    <sheetView workbookViewId="0">
      <selection activeCell="B7" sqref="B7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75</v>
      </c>
    </row>
    <row r="2" spans="1:4" ht="25.5" x14ac:dyDescent="0.2">
      <c r="A2" s="4" t="s">
        <v>5</v>
      </c>
      <c r="B2" s="5" t="s">
        <v>16</v>
      </c>
      <c r="C2" s="6" t="s">
        <v>3</v>
      </c>
      <c r="D2" s="7" t="s">
        <v>4</v>
      </c>
    </row>
    <row r="3" spans="1:4" x14ac:dyDescent="0.2">
      <c r="A3" s="1" t="s">
        <v>603</v>
      </c>
      <c r="B3" s="26">
        <v>2918</v>
      </c>
      <c r="C3" s="25">
        <f>MemberOfAssemblyAssemblyDistrict18General[[#This Row],[Part of Nassau County Vote Results]]</f>
        <v>2918</v>
      </c>
      <c r="D3" s="51">
        <f>SUM(MemberOfAssemblyAssemblyDistrict18General[[#This Row],[Total Votes by Party]])</f>
        <v>2918</v>
      </c>
    </row>
    <row r="4" spans="1:4" x14ac:dyDescent="0.2">
      <c r="A4" s="1" t="s">
        <v>604</v>
      </c>
      <c r="B4" s="2">
        <v>2615</v>
      </c>
      <c r="C4" s="8">
        <f>MemberOfAssemblyAssemblyDistrict18General[[#This Row],[Part of Nassau County Vote Results]]</f>
        <v>2615</v>
      </c>
      <c r="D4" s="9">
        <f>SUM(MemberOfAssemblyAssemblyDistrict18General[[#This Row],[Total Votes by Party]])</f>
        <v>2615</v>
      </c>
    </row>
    <row r="5" spans="1:4" x14ac:dyDescent="0.2">
      <c r="A5" s="3" t="s">
        <v>0</v>
      </c>
      <c r="B5" s="2">
        <v>434</v>
      </c>
      <c r="C5" s="8">
        <f>MemberOfAssemblyAssemblyDistrict18General[[#This Row],[Part of Nassau County Vote Results]]</f>
        <v>434</v>
      </c>
      <c r="D5" s="10"/>
    </row>
    <row r="6" spans="1:4" x14ac:dyDescent="0.2">
      <c r="A6" s="3" t="s">
        <v>1</v>
      </c>
      <c r="B6" s="2">
        <v>153</v>
      </c>
      <c r="C6" s="8">
        <f>MemberOfAssemblyAssemblyDistrict18General[[#This Row],[Part of Nassau County Vote Results]]</f>
        <v>153</v>
      </c>
      <c r="D6" s="10"/>
    </row>
    <row r="7" spans="1:4" x14ac:dyDescent="0.2">
      <c r="A7" s="3" t="s">
        <v>6</v>
      </c>
      <c r="B7" s="2">
        <v>18</v>
      </c>
      <c r="C7" s="8">
        <f>MemberOfAssemblyAssemblyDistrict18General[[#This Row],[Part of Nassau County Vote Results]]</f>
        <v>18</v>
      </c>
      <c r="D7" s="10"/>
    </row>
    <row r="8" spans="1:4" x14ac:dyDescent="0.2">
      <c r="A8" s="11" t="s">
        <v>2</v>
      </c>
      <c r="B8" s="2">
        <f>SUM(MemberOfAssemblyAssemblyDistrict18General[Part of Nassau County Vote Results])</f>
        <v>6138</v>
      </c>
      <c r="C8" s="8">
        <f>SUM(MemberOfAssemblyAssemblyDistrict18General[Total Votes by Party])</f>
        <v>6138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66E7-3394-461F-8D6A-7C50FB0C5DAD}">
  <sheetPr>
    <pageSetUpPr fitToPage="1"/>
  </sheetPr>
  <dimension ref="A1:D8"/>
  <sheetViews>
    <sheetView workbookViewId="0">
      <selection activeCell="B6" sqref="B6"/>
    </sheetView>
  </sheetViews>
  <sheetFormatPr defaultRowHeight="12.75" x14ac:dyDescent="0.2"/>
  <cols>
    <col min="1" max="1" width="31.28515625" customWidth="1"/>
    <col min="2" max="4" width="20.5703125" customWidth="1"/>
    <col min="5" max="6" width="23.5703125" customWidth="1"/>
  </cols>
  <sheetData>
    <row r="1" spans="1:4" ht="18.75" x14ac:dyDescent="0.2">
      <c r="A1" s="17" t="s">
        <v>76</v>
      </c>
    </row>
    <row r="2" spans="1:4" ht="25.5" x14ac:dyDescent="0.2">
      <c r="A2" s="4" t="s">
        <v>5</v>
      </c>
      <c r="B2" s="5" t="s">
        <v>16</v>
      </c>
      <c r="C2" s="6" t="s">
        <v>3</v>
      </c>
      <c r="D2" s="7" t="s">
        <v>4</v>
      </c>
    </row>
    <row r="3" spans="1:4" x14ac:dyDescent="0.2">
      <c r="A3" s="1" t="s">
        <v>605</v>
      </c>
      <c r="B3" s="26">
        <v>3524</v>
      </c>
      <c r="C3" s="25">
        <f>MemberOfAssemblyAssemblyDistrict21General[[#This Row],[Part of Nassau County Vote Results]]</f>
        <v>3524</v>
      </c>
      <c r="D3" s="51">
        <f>SUM(MemberOfAssemblyAssemblyDistrict21General[[#This Row],[Total Votes by Party]])</f>
        <v>3524</v>
      </c>
    </row>
    <row r="4" spans="1:4" x14ac:dyDescent="0.2">
      <c r="A4" s="1" t="s">
        <v>606</v>
      </c>
      <c r="B4" s="2">
        <v>648</v>
      </c>
      <c r="C4" s="8">
        <f>MemberOfAssemblyAssemblyDistrict21General[[#This Row],[Part of Nassau County Vote Results]]</f>
        <v>648</v>
      </c>
      <c r="D4" s="9">
        <f>SUM(MemberOfAssemblyAssemblyDistrict21General[[#This Row],[Total Votes by Party]])</f>
        <v>648</v>
      </c>
    </row>
    <row r="5" spans="1:4" x14ac:dyDescent="0.2">
      <c r="A5" s="3" t="s">
        <v>0</v>
      </c>
      <c r="B5" s="2">
        <v>194</v>
      </c>
      <c r="C5" s="8">
        <f>MemberOfAssemblyAssemblyDistrict21General[[#This Row],[Part of Nassau County Vote Results]]</f>
        <v>194</v>
      </c>
      <c r="D5" s="10"/>
    </row>
    <row r="6" spans="1:4" x14ac:dyDescent="0.2">
      <c r="A6" s="3" t="s">
        <v>1</v>
      </c>
      <c r="B6" s="2">
        <v>71</v>
      </c>
      <c r="C6" s="8">
        <f>MemberOfAssemblyAssemblyDistrict21General[[#This Row],[Part of Nassau County Vote Results]]</f>
        <v>71</v>
      </c>
      <c r="D6" s="10"/>
    </row>
    <row r="7" spans="1:4" x14ac:dyDescent="0.2">
      <c r="A7" s="3" t="s">
        <v>6</v>
      </c>
      <c r="B7" s="2">
        <v>7</v>
      </c>
      <c r="C7" s="8">
        <f>MemberOfAssemblyAssemblyDistrict21General[[#This Row],[Part of Nassau County Vote Results]]</f>
        <v>7</v>
      </c>
      <c r="D7" s="10"/>
    </row>
    <row r="8" spans="1:4" x14ac:dyDescent="0.2">
      <c r="A8" s="11" t="s">
        <v>2</v>
      </c>
      <c r="B8" s="2">
        <f>SUM(MemberOfAssemblyAssemblyDistrict21General[Part of Nassau County Vote Results])</f>
        <v>4444</v>
      </c>
      <c r="C8" s="8">
        <f>SUM(MemberOfAssemblyAssemblyDistrict21General[Total Votes by Party])</f>
        <v>4444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AFB5C-2ECD-43DE-AD5E-D3DAB2093B30}">
  <sheetPr>
    <pageSetUpPr fitToPage="1"/>
  </sheetPr>
  <dimension ref="A1:D8"/>
  <sheetViews>
    <sheetView workbookViewId="0">
      <selection activeCell="B3" sqref="B3:B7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569</v>
      </c>
    </row>
    <row r="2" spans="1:4" ht="25.5" x14ac:dyDescent="0.2">
      <c r="A2" s="4" t="s">
        <v>5</v>
      </c>
      <c r="B2" s="5" t="s">
        <v>17</v>
      </c>
      <c r="C2" s="6" t="s">
        <v>3</v>
      </c>
      <c r="D2" s="7" t="s">
        <v>4</v>
      </c>
    </row>
    <row r="3" spans="1:4" x14ac:dyDescent="0.2">
      <c r="A3" s="1" t="s">
        <v>570</v>
      </c>
      <c r="B3" s="52">
        <v>697</v>
      </c>
      <c r="C3" s="25">
        <f>MemberOfAssemblyAssemblyDistrict25General79[[#This Row],[Part of Queens County Vote Results]]</f>
        <v>697</v>
      </c>
      <c r="D3" s="51">
        <f>SUM(MemberOfAssemblyAssemblyDistrict25General79[[#This Row],[Total Votes by Party]])</f>
        <v>697</v>
      </c>
    </row>
    <row r="4" spans="1:4" x14ac:dyDescent="0.2">
      <c r="A4" s="1" t="s">
        <v>632</v>
      </c>
      <c r="B4" s="16">
        <v>320</v>
      </c>
      <c r="C4" s="8">
        <f>MemberOfAssemblyAssemblyDistrict25General79[[#This Row],[Part of Queens County Vote Results]]</f>
        <v>320</v>
      </c>
      <c r="D4" s="9">
        <f>SUM(MemberOfAssemblyAssemblyDistrict25General79[[#This Row],[Total Votes by Party]])</f>
        <v>320</v>
      </c>
    </row>
    <row r="5" spans="1:4" x14ac:dyDescent="0.2">
      <c r="A5" s="3" t="s">
        <v>0</v>
      </c>
      <c r="B5" s="2">
        <v>6</v>
      </c>
      <c r="C5" s="8">
        <f>MemberOfAssemblyAssemblyDistrict25General79[[#This Row],[Part of Queens County Vote Results]]</f>
        <v>6</v>
      </c>
      <c r="D5" s="10"/>
    </row>
    <row r="6" spans="1:4" x14ac:dyDescent="0.2">
      <c r="A6" s="3" t="s">
        <v>1</v>
      </c>
      <c r="B6" s="2"/>
      <c r="C6" s="8">
        <f>MemberOfAssemblyAssemblyDistrict25General79[[#This Row],[Part of Queens County Vote Results]]</f>
        <v>0</v>
      </c>
      <c r="D6" s="10"/>
    </row>
    <row r="7" spans="1:4" x14ac:dyDescent="0.2">
      <c r="A7" s="3" t="s">
        <v>6</v>
      </c>
      <c r="B7" s="2">
        <v>4</v>
      </c>
      <c r="C7" s="8">
        <f>MemberOfAssemblyAssemblyDistrict25General79[[#This Row],[Part of Queens County Vote Results]]</f>
        <v>4</v>
      </c>
      <c r="D7" s="10"/>
    </row>
    <row r="8" spans="1:4" x14ac:dyDescent="0.2">
      <c r="A8" s="11" t="s">
        <v>2</v>
      </c>
      <c r="B8" s="2">
        <f>SUM(MemberOfAssemblyAssemblyDistrict25General79[Part of Queens County Vote Results])</f>
        <v>1027</v>
      </c>
      <c r="C8" s="8">
        <f>SUM(MemberOfAssemblyAssemblyDistrict25General79[Total Votes by Party])</f>
        <v>1027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BFB2-6D68-48A2-A389-C1CBF7DBBDCC}">
  <sheetPr>
    <pageSetUpPr fitToPage="1"/>
  </sheetPr>
  <dimension ref="A1:D9"/>
  <sheetViews>
    <sheetView workbookViewId="0">
      <selection activeCell="B3" sqref="B3:B7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77</v>
      </c>
    </row>
    <row r="2" spans="1:4" ht="25.5" x14ac:dyDescent="0.2">
      <c r="A2" s="4" t="s">
        <v>5</v>
      </c>
      <c r="B2" s="5" t="s">
        <v>17</v>
      </c>
      <c r="C2" s="6" t="s">
        <v>3</v>
      </c>
      <c r="D2" s="7" t="s">
        <v>4</v>
      </c>
    </row>
    <row r="3" spans="1:4" x14ac:dyDescent="0.2">
      <c r="A3" s="1" t="s">
        <v>515</v>
      </c>
      <c r="B3" s="52">
        <v>3673</v>
      </c>
      <c r="C3" s="25">
        <f>MemberOfAssemblyAssemblyDistrict34General[[#This Row],[Part of Queens County Vote Results]]</f>
        <v>3673</v>
      </c>
      <c r="D3" s="51">
        <f>SUM(MemberOfAssemblyAssemblyDistrict34General[[#This Row],[Total Votes by Party]])</f>
        <v>3673</v>
      </c>
    </row>
    <row r="4" spans="1:4" x14ac:dyDescent="0.2">
      <c r="A4" s="1" t="s">
        <v>516</v>
      </c>
      <c r="B4" s="16">
        <v>754</v>
      </c>
      <c r="C4" s="8">
        <f>MemberOfAssemblyAssemblyDistrict34General[[#This Row],[Part of Queens County Vote Results]]</f>
        <v>754</v>
      </c>
      <c r="D4" s="9">
        <f>SUM(MemberOfAssemblyAssemblyDistrict34General[[#This Row],[Total Votes by Party]])</f>
        <v>754</v>
      </c>
    </row>
    <row r="5" spans="1:4" x14ac:dyDescent="0.2">
      <c r="A5" s="3" t="s">
        <v>0</v>
      </c>
      <c r="B5" s="2">
        <v>178</v>
      </c>
      <c r="C5" s="8">
        <f>MemberOfAssemblyAssemblyDistrict34General[[#This Row],[Part of Queens County Vote Results]]</f>
        <v>178</v>
      </c>
      <c r="D5" s="10"/>
    </row>
    <row r="6" spans="1:4" x14ac:dyDescent="0.2">
      <c r="A6" s="3" t="s">
        <v>1</v>
      </c>
      <c r="B6" s="2"/>
      <c r="C6" s="8">
        <f>MemberOfAssemblyAssemblyDistrict34General[[#This Row],[Part of Queens County Vote Results]]</f>
        <v>0</v>
      </c>
      <c r="D6" s="10"/>
    </row>
    <row r="7" spans="1:4" ht="12" customHeight="1" x14ac:dyDescent="0.2">
      <c r="A7" s="3" t="s">
        <v>6</v>
      </c>
      <c r="B7" s="2">
        <v>14</v>
      </c>
      <c r="C7" s="8">
        <f>MemberOfAssemblyAssemblyDistrict34General[[#This Row],[Part of Queens County Vote Results]]</f>
        <v>14</v>
      </c>
      <c r="D7" s="10"/>
    </row>
    <row r="8" spans="1:4" x14ac:dyDescent="0.2">
      <c r="A8" s="11" t="s">
        <v>2</v>
      </c>
      <c r="B8" s="2">
        <f>SUM(MemberOfAssemblyAssemblyDistrict34General[Part of Queens County Vote Results])</f>
        <v>4619</v>
      </c>
      <c r="C8" s="8">
        <f>SUM(MemberOfAssemblyAssemblyDistrict34General[Total Votes by Party])</f>
        <v>4619</v>
      </c>
      <c r="D8" s="10"/>
    </row>
    <row r="9" spans="1:4" x14ac:dyDescent="0.2">
      <c r="B9" s="23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ignoredErrors>
    <ignoredError sqref="D3:D4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3225B-D692-41A9-A826-3C75EFA2A897}">
  <sheetPr>
    <pageSetUpPr fitToPage="1"/>
  </sheetPr>
  <dimension ref="A1:E9"/>
  <sheetViews>
    <sheetView workbookViewId="0">
      <selection activeCell="E4" sqref="E4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7" t="s">
        <v>56</v>
      </c>
    </row>
    <row r="2" spans="1:5" ht="25.5" x14ac:dyDescent="0.2">
      <c r="A2" s="4" t="s">
        <v>5</v>
      </c>
      <c r="B2" s="5" t="s">
        <v>18</v>
      </c>
      <c r="C2" s="5" t="s">
        <v>19</v>
      </c>
      <c r="D2" s="6" t="s">
        <v>3</v>
      </c>
      <c r="E2" s="7" t="s">
        <v>4</v>
      </c>
    </row>
    <row r="3" spans="1:5" x14ac:dyDescent="0.2">
      <c r="A3" s="1" t="s">
        <v>66</v>
      </c>
      <c r="B3" s="16">
        <v>2371</v>
      </c>
      <c r="C3" s="2">
        <v>1421</v>
      </c>
      <c r="D3" s="8">
        <f>SUM(RepInCongressCongressionalDistrict10General[[#This Row],[Part of Kings County Vote Results]:[Part of New York County Vote Results]])</f>
        <v>3792</v>
      </c>
      <c r="E3" s="9">
        <f>SUM(RepInCongressCongressionalDistrict10General[[#This Row],[Total Votes by Party]])</f>
        <v>3792</v>
      </c>
    </row>
    <row r="4" spans="1:5" x14ac:dyDescent="0.2">
      <c r="A4" s="1" t="s">
        <v>67</v>
      </c>
      <c r="B4" s="16">
        <v>5865</v>
      </c>
      <c r="C4" s="2">
        <v>2547</v>
      </c>
      <c r="D4" s="8">
        <f>SUM(RepInCongressCongressionalDistrict10General[[#This Row],[Part of Kings County Vote Results]:[Part of New York County Vote Results]])</f>
        <v>8412</v>
      </c>
      <c r="E4" s="9">
        <f>SUM(RepInCongressCongressionalDistrict10General[[#This Row],[Total Votes by Party]])</f>
        <v>8412</v>
      </c>
    </row>
    <row r="5" spans="1:5" x14ac:dyDescent="0.2">
      <c r="A5" s="1" t="s">
        <v>68</v>
      </c>
      <c r="B5" s="52">
        <v>12041</v>
      </c>
      <c r="C5" s="26">
        <v>11554</v>
      </c>
      <c r="D5" s="25">
        <f>SUM(RepInCongressCongressionalDistrict10General[[#This Row],[Part of Kings County Vote Results]:[Part of New York County Vote Results]])</f>
        <v>23595</v>
      </c>
      <c r="E5" s="51">
        <f>SUM(RepInCongressCongressionalDistrict10General[[#This Row],[Total Votes by Party]])</f>
        <v>23595</v>
      </c>
    </row>
    <row r="6" spans="1:5" x14ac:dyDescent="0.2">
      <c r="A6" s="3" t="s">
        <v>0</v>
      </c>
      <c r="B6" s="15">
        <v>444</v>
      </c>
      <c r="C6" s="2">
        <v>597</v>
      </c>
      <c r="D6" s="8">
        <f>SUM(RepInCongressCongressionalDistrict10General[[#This Row],[Part of Kings County Vote Results]:[Part of New York County Vote Results]])</f>
        <v>1041</v>
      </c>
      <c r="E6" s="10"/>
    </row>
    <row r="7" spans="1:5" x14ac:dyDescent="0.2">
      <c r="A7" s="3" t="s">
        <v>1</v>
      </c>
      <c r="B7" s="15"/>
      <c r="C7" s="2"/>
      <c r="D7" s="8">
        <f>SUM(RepInCongressCongressionalDistrict10General[[#This Row],[Part of Kings County Vote Results]:[Part of New York County Vote Results]])</f>
        <v>0</v>
      </c>
      <c r="E7" s="10"/>
    </row>
    <row r="8" spans="1:5" x14ac:dyDescent="0.2">
      <c r="A8" s="3" t="s">
        <v>6</v>
      </c>
      <c r="B8" s="15">
        <v>335</v>
      </c>
      <c r="C8" s="2">
        <v>222</v>
      </c>
      <c r="D8" s="8">
        <f>SUM(RepInCongressCongressionalDistrict10General[[#This Row],[Part of Kings County Vote Results]:[Part of New York County Vote Results]])</f>
        <v>557</v>
      </c>
      <c r="E8" s="10"/>
    </row>
    <row r="9" spans="1:5" x14ac:dyDescent="0.2">
      <c r="A9" s="11" t="s">
        <v>2</v>
      </c>
      <c r="B9" s="2">
        <f>SUM(RepInCongressCongressionalDistrict10General[Part of Kings County Vote Results])</f>
        <v>21056</v>
      </c>
      <c r="C9" s="2">
        <f>SUM(RepInCongressCongressionalDistrict10General[Part of New York County Vote Results])</f>
        <v>16341</v>
      </c>
      <c r="D9" s="8">
        <f>SUM(RepInCongressCongressionalDistrict10General[Total Votes by Party])</f>
        <v>37397</v>
      </c>
      <c r="E9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427BD-5DB6-4658-8E23-69B520642D4F}">
  <sheetPr>
    <pageSetUpPr fitToPage="1"/>
  </sheetPr>
  <dimension ref="A1:D9"/>
  <sheetViews>
    <sheetView workbookViewId="0">
      <selection activeCell="C15" sqref="C15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78</v>
      </c>
    </row>
    <row r="2" spans="1:4" ht="25.5" x14ac:dyDescent="0.2">
      <c r="A2" s="4" t="s">
        <v>5</v>
      </c>
      <c r="B2" s="5" t="s">
        <v>17</v>
      </c>
      <c r="C2" s="6" t="s">
        <v>3</v>
      </c>
      <c r="D2" s="7" t="s">
        <v>4</v>
      </c>
    </row>
    <row r="3" spans="1:4" x14ac:dyDescent="0.2">
      <c r="A3" s="22" t="s">
        <v>517</v>
      </c>
      <c r="B3" s="16">
        <v>1455</v>
      </c>
      <c r="C3" s="8">
        <f>MemberOfAssemblyAssemblyDistrict35General[[#This Row],[Part of Queens County Vote Results]]</f>
        <v>1455</v>
      </c>
      <c r="D3" s="9">
        <f>SUM(MemberOfAssemblyAssemblyDistrict35General[[#This Row],[Total Votes by Party]])</f>
        <v>1455</v>
      </c>
    </row>
    <row r="4" spans="1:4" x14ac:dyDescent="0.2">
      <c r="A4" s="22" t="s">
        <v>518</v>
      </c>
      <c r="B4" s="52">
        <v>2128</v>
      </c>
      <c r="C4" s="25">
        <f>MemberOfAssemblyAssemblyDistrict35General[[#This Row],[Part of Queens County Vote Results]]</f>
        <v>2128</v>
      </c>
      <c r="D4" s="51">
        <f>SUM(MemberOfAssemblyAssemblyDistrict35General[[#This Row],[Total Votes by Party]])</f>
        <v>2128</v>
      </c>
    </row>
    <row r="5" spans="1:4" x14ac:dyDescent="0.2">
      <c r="A5" s="3" t="s">
        <v>0</v>
      </c>
      <c r="B5" s="2">
        <v>128</v>
      </c>
      <c r="C5" s="8">
        <f>MemberOfAssemblyAssemblyDistrict35General[[#This Row],[Part of Queens County Vote Results]]</f>
        <v>128</v>
      </c>
      <c r="D5" s="10"/>
    </row>
    <row r="6" spans="1:4" x14ac:dyDescent="0.2">
      <c r="A6" s="3" t="s">
        <v>1</v>
      </c>
      <c r="B6" s="2"/>
      <c r="C6" s="8">
        <f>MemberOfAssemblyAssemblyDistrict35General[[#This Row],[Part of Queens County Vote Results]]</f>
        <v>0</v>
      </c>
      <c r="D6" s="10"/>
    </row>
    <row r="7" spans="1:4" x14ac:dyDescent="0.2">
      <c r="A7" s="3" t="s">
        <v>6</v>
      </c>
      <c r="B7" s="2">
        <v>20</v>
      </c>
      <c r="C7" s="8">
        <f>MemberOfAssemblyAssemblyDistrict35General[[#This Row],[Part of Queens County Vote Results]]</f>
        <v>20</v>
      </c>
      <c r="D7" s="10"/>
    </row>
    <row r="8" spans="1:4" x14ac:dyDescent="0.2">
      <c r="A8" s="11" t="s">
        <v>2</v>
      </c>
      <c r="B8" s="2">
        <f>SUM(MemberOfAssemblyAssemblyDistrict35General[Part of Queens County Vote Results])</f>
        <v>3731</v>
      </c>
      <c r="C8" s="8">
        <f>SUM(MemberOfAssemblyAssemblyDistrict35General[Total Votes by Party])</f>
        <v>3731</v>
      </c>
      <c r="D8" s="10"/>
    </row>
    <row r="9" spans="1:4" x14ac:dyDescent="0.2">
      <c r="B9" s="23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D1F0B-0C5D-4DCD-9292-CD5E62420FDB}">
  <sheetPr>
    <pageSetUpPr fitToPage="1"/>
  </sheetPr>
  <dimension ref="A1:E9"/>
  <sheetViews>
    <sheetView workbookViewId="0">
      <selection activeCell="C15" sqref="C15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7" t="s">
        <v>79</v>
      </c>
    </row>
    <row r="2" spans="1:5" ht="25.5" x14ac:dyDescent="0.2">
      <c r="A2" s="4" t="s">
        <v>5</v>
      </c>
      <c r="B2" s="5" t="s">
        <v>19</v>
      </c>
      <c r="C2" s="5" t="s">
        <v>17</v>
      </c>
      <c r="D2" s="6" t="s">
        <v>3</v>
      </c>
      <c r="E2" s="7" t="s">
        <v>4</v>
      </c>
    </row>
    <row r="3" spans="1:5" x14ac:dyDescent="0.2">
      <c r="A3" s="1" t="s">
        <v>71</v>
      </c>
      <c r="B3" s="52">
        <v>0</v>
      </c>
      <c r="C3" s="52">
        <v>4075</v>
      </c>
      <c r="D3" s="25">
        <f>SUM(MemberOfAssemblyAssemblyDistrict37General[[#This Row],[Part of New York County Vote Results]:[Part of Queens County Vote Results]])</f>
        <v>4075</v>
      </c>
      <c r="E3" s="51">
        <f>SUM(MemberOfAssemblyAssemblyDistrict37General[[#This Row],[Total Votes by Party]])</f>
        <v>4075</v>
      </c>
    </row>
    <row r="4" spans="1:5" x14ac:dyDescent="0.2">
      <c r="A4" s="1" t="s">
        <v>104</v>
      </c>
      <c r="B4" s="2">
        <v>0</v>
      </c>
      <c r="C4" s="2">
        <v>675</v>
      </c>
      <c r="D4" s="8">
        <f>SUM(MemberOfAssemblyAssemblyDistrict37General[[#This Row],[Part of New York County Vote Results]:[Part of Queens County Vote Results]])</f>
        <v>675</v>
      </c>
      <c r="E4" s="9">
        <f>SUM(MemberOfAssemblyAssemblyDistrict37General[[#This Row],[Total Votes by Party]])</f>
        <v>675</v>
      </c>
    </row>
    <row r="5" spans="1:5" x14ac:dyDescent="0.2">
      <c r="A5" s="1" t="s">
        <v>105</v>
      </c>
      <c r="B5" s="2">
        <v>0</v>
      </c>
      <c r="C5" s="2">
        <v>2179</v>
      </c>
      <c r="D5" s="8">
        <f>SUM(MemberOfAssemblyAssemblyDistrict37General[[#This Row],[Part of New York County Vote Results]:[Part of Queens County Vote Results]])</f>
        <v>2179</v>
      </c>
      <c r="E5" s="9">
        <f>SUM(MemberOfAssemblyAssemblyDistrict37General[[#This Row],[Total Votes by Party]])</f>
        <v>2179</v>
      </c>
    </row>
    <row r="6" spans="1:5" x14ac:dyDescent="0.2">
      <c r="A6" s="3" t="s">
        <v>0</v>
      </c>
      <c r="B6" s="2">
        <v>0</v>
      </c>
      <c r="C6" s="2">
        <v>52</v>
      </c>
      <c r="D6" s="8">
        <f>SUM(MemberOfAssemblyAssemblyDistrict37General[[#This Row],[Part of New York County Vote Results]:[Part of Queens County Vote Results]])</f>
        <v>52</v>
      </c>
      <c r="E6" s="10"/>
    </row>
    <row r="7" spans="1:5" x14ac:dyDescent="0.2">
      <c r="A7" s="3" t="s">
        <v>1</v>
      </c>
      <c r="B7" s="2"/>
      <c r="C7" s="2"/>
      <c r="D7" s="8">
        <f>SUM(MemberOfAssemblyAssemblyDistrict37General[[#This Row],[Part of New York County Vote Results]:[Part of Queens County Vote Results]])</f>
        <v>0</v>
      </c>
      <c r="E7" s="10"/>
    </row>
    <row r="8" spans="1:5" x14ac:dyDescent="0.2">
      <c r="A8" s="3" t="s">
        <v>6</v>
      </c>
      <c r="B8" s="2">
        <v>0</v>
      </c>
      <c r="C8" s="2">
        <v>22</v>
      </c>
      <c r="D8" s="8">
        <f>SUM(MemberOfAssemblyAssemblyDistrict37General[[#This Row],[Part of New York County Vote Results]:[Part of Queens County Vote Results]])</f>
        <v>22</v>
      </c>
      <c r="E8" s="10"/>
    </row>
    <row r="9" spans="1:5" x14ac:dyDescent="0.2">
      <c r="A9" s="11" t="s">
        <v>2</v>
      </c>
      <c r="B9" s="2">
        <f>SUM(MemberOfAssemblyAssemblyDistrict37General[Part of New York County Vote Results])</f>
        <v>0</v>
      </c>
      <c r="C9" s="2">
        <f>SUM(MemberOfAssemblyAssemblyDistrict37General[Part of Queens County Vote Results])</f>
        <v>7003</v>
      </c>
      <c r="D9" s="8">
        <f>SUM(MemberOfAssemblyAssemblyDistrict37General[Total Votes by Party])</f>
        <v>7003</v>
      </c>
      <c r="E9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533DE-F543-4CB8-B649-4D5D895D94E6}">
  <sheetPr>
    <pageSetUpPr fitToPage="1"/>
  </sheetPr>
  <dimension ref="A1:D9"/>
  <sheetViews>
    <sheetView workbookViewId="0">
      <selection activeCell="C19" sqref="C19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80</v>
      </c>
    </row>
    <row r="2" spans="1:4" ht="25.5" x14ac:dyDescent="0.2">
      <c r="A2" s="4" t="s">
        <v>5</v>
      </c>
      <c r="B2" s="5" t="s">
        <v>17</v>
      </c>
      <c r="C2" s="6" t="s">
        <v>3</v>
      </c>
      <c r="D2" s="7" t="s">
        <v>4</v>
      </c>
    </row>
    <row r="3" spans="1:4" x14ac:dyDescent="0.2">
      <c r="A3" s="1" t="s">
        <v>519</v>
      </c>
      <c r="B3" s="16">
        <v>185</v>
      </c>
      <c r="C3" s="8">
        <f>MemberOfAssemblyAssemblyDistrict40General[[#This Row],[Part of Queens County Vote Results]]</f>
        <v>185</v>
      </c>
      <c r="D3" s="9">
        <f>SUM(MemberOfAssemblyAssemblyDistrict40General[[#This Row],[Total Votes by Party]])</f>
        <v>185</v>
      </c>
    </row>
    <row r="4" spans="1:4" x14ac:dyDescent="0.2">
      <c r="A4" s="1" t="s">
        <v>520</v>
      </c>
      <c r="B4" s="16">
        <v>1252</v>
      </c>
      <c r="C4" s="8">
        <f>MemberOfAssemblyAssemblyDistrict40General[[#This Row],[Part of Queens County Vote Results]]</f>
        <v>1252</v>
      </c>
      <c r="D4" s="9">
        <f>SUM(MemberOfAssemblyAssemblyDistrict40General[[#This Row],[Total Votes by Party]])</f>
        <v>1252</v>
      </c>
    </row>
    <row r="5" spans="1:4" x14ac:dyDescent="0.2">
      <c r="A5" s="1" t="s">
        <v>521</v>
      </c>
      <c r="B5" s="26">
        <v>1695</v>
      </c>
      <c r="C5" s="25">
        <f>MemberOfAssemblyAssemblyDistrict40General[[#This Row],[Part of Queens County Vote Results]]</f>
        <v>1695</v>
      </c>
      <c r="D5" s="51">
        <f>SUM(MemberOfAssemblyAssemblyDistrict40General[[#This Row],[Total Votes by Party]])</f>
        <v>1695</v>
      </c>
    </row>
    <row r="6" spans="1:4" x14ac:dyDescent="0.2">
      <c r="A6" s="3" t="s">
        <v>0</v>
      </c>
      <c r="B6" s="2">
        <v>52</v>
      </c>
      <c r="C6" s="8">
        <f>MemberOfAssemblyAssemblyDistrict40General[[#This Row],[Part of Queens County Vote Results]]</f>
        <v>52</v>
      </c>
      <c r="D6" s="10"/>
    </row>
    <row r="7" spans="1:4" x14ac:dyDescent="0.2">
      <c r="A7" s="3" t="s">
        <v>1</v>
      </c>
      <c r="B7" s="2"/>
      <c r="C7" s="8">
        <f>MemberOfAssemblyAssemblyDistrict40General[[#This Row],[Part of Queens County Vote Results]]</f>
        <v>0</v>
      </c>
      <c r="D7" s="10"/>
    </row>
    <row r="8" spans="1:4" x14ac:dyDescent="0.2">
      <c r="A8" s="3" t="s">
        <v>6</v>
      </c>
      <c r="B8" s="2">
        <v>15</v>
      </c>
      <c r="C8" s="8">
        <f>MemberOfAssemblyAssemblyDistrict40General[[#This Row],[Part of Queens County Vote Results]]</f>
        <v>15</v>
      </c>
      <c r="D8" s="10"/>
    </row>
    <row r="9" spans="1:4" x14ac:dyDescent="0.2">
      <c r="A9" s="11" t="s">
        <v>2</v>
      </c>
      <c r="B9" s="2">
        <f>SUM(MemberOfAssemblyAssemblyDistrict40General[Part of Queens County Vote Results])</f>
        <v>3199</v>
      </c>
      <c r="C9" s="8">
        <f>SUM(MemberOfAssemblyAssemblyDistrict40General[Total Votes by Party])</f>
        <v>3199</v>
      </c>
      <c r="D9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916BD-A3FB-4DB3-8906-6D1E554126AC}">
  <sheetPr>
    <pageSetUpPr fitToPage="1"/>
  </sheetPr>
  <dimension ref="A1:D8"/>
  <sheetViews>
    <sheetView workbookViewId="0">
      <selection activeCell="C19" sqref="C19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81</v>
      </c>
    </row>
    <row r="2" spans="1:4" ht="25.5" x14ac:dyDescent="0.2">
      <c r="A2" s="4" t="s">
        <v>5</v>
      </c>
      <c r="B2" s="5" t="s">
        <v>18</v>
      </c>
      <c r="C2" s="6" t="s">
        <v>3</v>
      </c>
      <c r="D2" s="7" t="s">
        <v>4</v>
      </c>
    </row>
    <row r="3" spans="1:4" x14ac:dyDescent="0.2">
      <c r="A3" s="1" t="s">
        <v>641</v>
      </c>
      <c r="B3" s="52">
        <v>2790</v>
      </c>
      <c r="C3" s="25">
        <f>MemberOfAssemblyAssemblyDistrict41General[[#This Row],[Part of Kings County Vote Results]]</f>
        <v>2790</v>
      </c>
      <c r="D3" s="51">
        <f>SUM(MemberOfAssemblyAssemblyDistrict41General[[#This Row],[Total Votes by Party]])</f>
        <v>2790</v>
      </c>
    </row>
    <row r="4" spans="1:4" x14ac:dyDescent="0.2">
      <c r="A4" s="1" t="s">
        <v>366</v>
      </c>
      <c r="B4" s="16">
        <v>1136</v>
      </c>
      <c r="C4" s="8">
        <f>MemberOfAssemblyAssemblyDistrict41General[[#This Row],[Part of Kings County Vote Results]]</f>
        <v>1136</v>
      </c>
      <c r="D4" s="9">
        <f>SUM(MemberOfAssemblyAssemblyDistrict41General[[#This Row],[Total Votes by Party]])</f>
        <v>1136</v>
      </c>
    </row>
    <row r="5" spans="1:4" x14ac:dyDescent="0.2">
      <c r="A5" s="3" t="s">
        <v>0</v>
      </c>
      <c r="B5" s="15">
        <v>32</v>
      </c>
      <c r="C5" s="8">
        <f>MemberOfAssemblyAssemblyDistrict41General[[#This Row],[Part of Kings County Vote Results]]</f>
        <v>32</v>
      </c>
      <c r="D5" s="10"/>
    </row>
    <row r="6" spans="1:4" x14ac:dyDescent="0.2">
      <c r="A6" s="3" t="s">
        <v>1</v>
      </c>
      <c r="B6" s="15"/>
      <c r="C6" s="8">
        <f>MemberOfAssemblyAssemblyDistrict41General[[#This Row],[Part of Kings County Vote Results]]</f>
        <v>0</v>
      </c>
      <c r="D6" s="10"/>
    </row>
    <row r="7" spans="1:4" x14ac:dyDescent="0.2">
      <c r="A7" s="3" t="s">
        <v>6</v>
      </c>
      <c r="B7" s="15">
        <v>34</v>
      </c>
      <c r="C7" s="8">
        <f>MemberOfAssemblyAssemblyDistrict41General[[#This Row],[Part of Kings County Vote Results]]</f>
        <v>34</v>
      </c>
      <c r="D7" s="10"/>
    </row>
    <row r="8" spans="1:4" x14ac:dyDescent="0.2">
      <c r="A8" s="11" t="s">
        <v>2</v>
      </c>
      <c r="B8" s="2">
        <f>SUM(MemberOfAssemblyAssemblyDistrict41General[Part of Kings County Vote Results])</f>
        <v>3992</v>
      </c>
      <c r="C8" s="8">
        <f>SUM(MemberOfAssemblyAssemblyDistrict41General[Total Votes by Party])</f>
        <v>3992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940D7-80C1-4902-A57D-0EA9910BC28A}">
  <sheetPr>
    <pageSetUpPr fitToPage="1"/>
  </sheetPr>
  <dimension ref="A1:D9"/>
  <sheetViews>
    <sheetView workbookViewId="0">
      <selection activeCell="C16" sqref="C1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82</v>
      </c>
    </row>
    <row r="2" spans="1:4" ht="25.5" x14ac:dyDescent="0.2">
      <c r="A2" s="4" t="s">
        <v>5</v>
      </c>
      <c r="B2" s="5" t="s">
        <v>18</v>
      </c>
      <c r="C2" s="6" t="s">
        <v>3</v>
      </c>
      <c r="D2" s="7" t="s">
        <v>4</v>
      </c>
    </row>
    <row r="3" spans="1:4" x14ac:dyDescent="0.2">
      <c r="A3" s="1" t="s">
        <v>367</v>
      </c>
      <c r="B3" s="16">
        <v>228</v>
      </c>
      <c r="C3" s="8">
        <f>MemberOfAssemblyAssemblyDistrict50General[[#This Row],[Part of Kings County Vote Results]]</f>
        <v>228</v>
      </c>
      <c r="D3" s="9">
        <f>SUM(MemberOfAssemblyAssemblyDistrict50General[[#This Row],[Total Votes by Party]])</f>
        <v>228</v>
      </c>
    </row>
    <row r="4" spans="1:4" x14ac:dyDescent="0.2">
      <c r="A4" s="1" t="s">
        <v>368</v>
      </c>
      <c r="B4" s="16">
        <v>1295</v>
      </c>
      <c r="C4" s="8">
        <f>MemberOfAssemblyAssemblyDistrict50General[[#This Row],[Part of Kings County Vote Results]]</f>
        <v>1295</v>
      </c>
      <c r="D4" s="9">
        <f>SUM(MemberOfAssemblyAssemblyDistrict50General[[#This Row],[Total Votes by Party]])</f>
        <v>1295</v>
      </c>
    </row>
    <row r="5" spans="1:4" x14ac:dyDescent="0.2">
      <c r="A5" s="1" t="s">
        <v>369</v>
      </c>
      <c r="B5" s="52">
        <v>4652</v>
      </c>
      <c r="C5" s="25">
        <f>MemberOfAssemblyAssemblyDistrict50General[[#This Row],[Part of Kings County Vote Results]]</f>
        <v>4652</v>
      </c>
      <c r="D5" s="51">
        <f>SUM(MemberOfAssemblyAssemblyDistrict50General[[#This Row],[Total Votes by Party]])</f>
        <v>4652</v>
      </c>
    </row>
    <row r="6" spans="1:4" x14ac:dyDescent="0.2">
      <c r="A6" s="3" t="s">
        <v>0</v>
      </c>
      <c r="B6" s="15">
        <v>53</v>
      </c>
      <c r="C6" s="8">
        <f>MemberOfAssemblyAssemblyDistrict50General[[#This Row],[Part of Kings County Vote Results]]</f>
        <v>53</v>
      </c>
      <c r="D6" s="10"/>
    </row>
    <row r="7" spans="1:4" x14ac:dyDescent="0.2">
      <c r="A7" s="3" t="s">
        <v>1</v>
      </c>
      <c r="B7" s="15"/>
      <c r="C7" s="8">
        <f>MemberOfAssemblyAssemblyDistrict50General[[#This Row],[Part of Kings County Vote Results]]</f>
        <v>0</v>
      </c>
      <c r="D7" s="10"/>
    </row>
    <row r="8" spans="1:4" x14ac:dyDescent="0.2">
      <c r="A8" s="3" t="s">
        <v>6</v>
      </c>
      <c r="B8" s="15">
        <v>28</v>
      </c>
      <c r="C8" s="8">
        <f>MemberOfAssemblyAssemblyDistrict50General[[#This Row],[Part of Kings County Vote Results]]</f>
        <v>28</v>
      </c>
      <c r="D8" s="10"/>
    </row>
    <row r="9" spans="1:4" x14ac:dyDescent="0.2">
      <c r="A9" s="11" t="s">
        <v>2</v>
      </c>
      <c r="B9" s="2">
        <f>SUM(MemberOfAssemblyAssemblyDistrict50General[Part of Kings County Vote Results])</f>
        <v>6256</v>
      </c>
      <c r="C9" s="8">
        <f>SUM(MemberOfAssemblyAssemblyDistrict50General[Total Votes by Party])</f>
        <v>6256</v>
      </c>
      <c r="D9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31229-F0B2-41C2-AB19-6DF036C45134}">
  <sheetPr>
    <pageSetUpPr fitToPage="1"/>
  </sheetPr>
  <dimension ref="A1:D8"/>
  <sheetViews>
    <sheetView workbookViewId="0">
      <selection activeCell="B3" sqref="B3:D3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83</v>
      </c>
    </row>
    <row r="2" spans="1:4" ht="25.5" x14ac:dyDescent="0.2">
      <c r="A2" s="4" t="s">
        <v>5</v>
      </c>
      <c r="B2" s="5" t="s">
        <v>18</v>
      </c>
      <c r="C2" s="6" t="s">
        <v>3</v>
      </c>
      <c r="D2" s="7" t="s">
        <v>4</v>
      </c>
    </row>
    <row r="3" spans="1:4" x14ac:dyDescent="0.2">
      <c r="A3" s="1" t="s">
        <v>370</v>
      </c>
      <c r="B3" s="52">
        <v>9536</v>
      </c>
      <c r="C3" s="25">
        <f>MemberOfAssemblyAssemblyDistrict52General[[#This Row],[Part of Kings County Vote Results]]</f>
        <v>9536</v>
      </c>
      <c r="D3" s="51">
        <f>SUM(MemberOfAssemblyAssemblyDistrict52General[[#This Row],[Total Votes by Party]])</f>
        <v>9536</v>
      </c>
    </row>
    <row r="4" spans="1:4" x14ac:dyDescent="0.2">
      <c r="A4" s="1" t="s">
        <v>371</v>
      </c>
      <c r="B4" s="16">
        <v>2453</v>
      </c>
      <c r="C4" s="8">
        <f>MemberOfAssemblyAssemblyDistrict52General[[#This Row],[Part of Kings County Vote Results]]</f>
        <v>2453</v>
      </c>
      <c r="D4" s="9">
        <f>SUM(MemberOfAssemblyAssemblyDistrict52General[[#This Row],[Total Votes by Party]])</f>
        <v>2453</v>
      </c>
    </row>
    <row r="5" spans="1:4" x14ac:dyDescent="0.2">
      <c r="A5" s="3" t="s">
        <v>0</v>
      </c>
      <c r="B5" s="15">
        <v>187</v>
      </c>
      <c r="C5" s="8">
        <f>MemberOfAssemblyAssemblyDistrict52General[[#This Row],[Part of Kings County Vote Results]]</f>
        <v>187</v>
      </c>
      <c r="D5" s="10"/>
    </row>
    <row r="6" spans="1:4" x14ac:dyDescent="0.2">
      <c r="A6" s="3" t="s">
        <v>1</v>
      </c>
      <c r="B6" s="15"/>
      <c r="C6" s="8">
        <f>MemberOfAssemblyAssemblyDistrict52General[[#This Row],[Part of Kings County Vote Results]]</f>
        <v>0</v>
      </c>
      <c r="D6" s="10"/>
    </row>
    <row r="7" spans="1:4" x14ac:dyDescent="0.2">
      <c r="A7" s="3" t="s">
        <v>6</v>
      </c>
      <c r="B7" s="15">
        <v>59</v>
      </c>
      <c r="C7" s="8">
        <f>MemberOfAssemblyAssemblyDistrict52General[[#This Row],[Part of Kings County Vote Results]]</f>
        <v>59</v>
      </c>
      <c r="D7" s="10"/>
    </row>
    <row r="8" spans="1:4" x14ac:dyDescent="0.2">
      <c r="A8" s="11" t="s">
        <v>2</v>
      </c>
      <c r="B8" s="2">
        <f>SUM(MemberOfAssemblyAssemblyDistrict52General[Part of Kings County Vote Results])</f>
        <v>12235</v>
      </c>
      <c r="C8" s="8">
        <f>SUM(MemberOfAssemblyAssemblyDistrict52General[Total Votes by Party])</f>
        <v>12235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EA6FA-95C7-4C64-9C11-CA1E5CE014A5}">
  <sheetPr>
    <pageSetUpPr fitToPage="1"/>
  </sheetPr>
  <dimension ref="A1:D8"/>
  <sheetViews>
    <sheetView workbookViewId="0">
      <selection activeCell="B4" sqref="B4:D4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84</v>
      </c>
    </row>
    <row r="2" spans="1:4" ht="25.5" x14ac:dyDescent="0.2">
      <c r="A2" s="4" t="s">
        <v>5</v>
      </c>
      <c r="B2" s="5" t="s">
        <v>18</v>
      </c>
      <c r="C2" s="6" t="s">
        <v>3</v>
      </c>
      <c r="D2" s="7" t="s">
        <v>4</v>
      </c>
    </row>
    <row r="3" spans="1:4" x14ac:dyDescent="0.2">
      <c r="A3" s="1" t="s">
        <v>372</v>
      </c>
      <c r="B3" s="16">
        <v>4126</v>
      </c>
      <c r="C3" s="8">
        <f>MemberOfAssemblyAssemblyDistrict56General[[#This Row],[Part of Kings County Vote Results]]</f>
        <v>4126</v>
      </c>
      <c r="D3" s="9">
        <f>SUM(MemberOfAssemblyAssemblyDistrict56General[[#This Row],[Total Votes by Party]])</f>
        <v>4126</v>
      </c>
    </row>
    <row r="4" spans="1:4" x14ac:dyDescent="0.2">
      <c r="A4" s="1" t="s">
        <v>373</v>
      </c>
      <c r="B4" s="52">
        <v>4642</v>
      </c>
      <c r="C4" s="25">
        <f>MemberOfAssemblyAssemblyDistrict56General[[#This Row],[Part of Kings County Vote Results]]</f>
        <v>4642</v>
      </c>
      <c r="D4" s="51">
        <f>SUM(MemberOfAssemblyAssemblyDistrict56General[[#This Row],[Total Votes by Party]])</f>
        <v>4642</v>
      </c>
    </row>
    <row r="5" spans="1:4" x14ac:dyDescent="0.2">
      <c r="A5" s="3" t="s">
        <v>0</v>
      </c>
      <c r="B5" s="15">
        <v>46</v>
      </c>
      <c r="C5" s="8">
        <f>MemberOfAssemblyAssemblyDistrict56General[[#This Row],[Part of Kings County Vote Results]]</f>
        <v>46</v>
      </c>
      <c r="D5" s="10"/>
    </row>
    <row r="6" spans="1:4" x14ac:dyDescent="0.2">
      <c r="A6" s="3" t="s">
        <v>1</v>
      </c>
      <c r="B6" s="15"/>
      <c r="C6" s="8">
        <f>MemberOfAssemblyAssemblyDistrict56General[[#This Row],[Part of Kings County Vote Results]]</f>
        <v>0</v>
      </c>
      <c r="D6" s="10"/>
    </row>
    <row r="7" spans="1:4" x14ac:dyDescent="0.2">
      <c r="A7" s="3" t="s">
        <v>6</v>
      </c>
      <c r="B7" s="15">
        <v>32</v>
      </c>
      <c r="C7" s="8">
        <f>MemberOfAssemblyAssemblyDistrict56General[[#This Row],[Part of Kings County Vote Results]]</f>
        <v>32</v>
      </c>
      <c r="D7" s="10"/>
    </row>
    <row r="8" spans="1:4" x14ac:dyDescent="0.2">
      <c r="A8" s="11" t="s">
        <v>2</v>
      </c>
      <c r="B8" s="2">
        <f>SUM(MemberOfAssemblyAssemblyDistrict56General[Part of Kings County Vote Results])</f>
        <v>8846</v>
      </c>
      <c r="C8" s="8">
        <f>SUM(MemberOfAssemblyAssemblyDistrict56General[Total Votes by Party])</f>
        <v>8846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838-0433-4202-B3DA-C49B60E6CD05}">
  <sheetPr>
    <pageSetUpPr fitToPage="1"/>
  </sheetPr>
  <dimension ref="A1:D10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85</v>
      </c>
    </row>
    <row r="2" spans="1:4" ht="25.5" x14ac:dyDescent="0.2">
      <c r="A2" s="4" t="s">
        <v>5</v>
      </c>
      <c r="B2" s="5" t="s">
        <v>19</v>
      </c>
      <c r="C2" s="6" t="s">
        <v>3</v>
      </c>
      <c r="D2" s="7" t="s">
        <v>4</v>
      </c>
    </row>
    <row r="3" spans="1:4" x14ac:dyDescent="0.2">
      <c r="A3" s="1" t="s">
        <v>106</v>
      </c>
      <c r="B3" s="2">
        <v>989</v>
      </c>
      <c r="C3" s="8">
        <f>MemberOfAssemblyAssemblyDistrict68General[[#This Row],[Part of New York County Vote Results]]</f>
        <v>989</v>
      </c>
      <c r="D3" s="9">
        <f>SUM(MemberOfAssemblyAssemblyDistrict68General[[#This Row],[Total Votes by Party]])</f>
        <v>989</v>
      </c>
    </row>
    <row r="4" spans="1:4" x14ac:dyDescent="0.2">
      <c r="A4" s="1" t="s">
        <v>107</v>
      </c>
      <c r="B4" s="2">
        <v>375</v>
      </c>
      <c r="C4" s="8">
        <f>MemberOfAssemblyAssemblyDistrict68General[[#This Row],[Part of New York County Vote Results]]</f>
        <v>375</v>
      </c>
      <c r="D4" s="9">
        <f>SUM(MemberOfAssemblyAssemblyDistrict68General[[#This Row],[Total Votes by Party]])</f>
        <v>375</v>
      </c>
    </row>
    <row r="5" spans="1:4" x14ac:dyDescent="0.2">
      <c r="A5" s="1" t="s">
        <v>108</v>
      </c>
      <c r="B5" s="2">
        <v>1932</v>
      </c>
      <c r="C5" s="8">
        <f>MemberOfAssemblyAssemblyDistrict68General[[#This Row],[Part of New York County Vote Results]]</f>
        <v>1932</v>
      </c>
      <c r="D5" s="9">
        <f>SUM(MemberOfAssemblyAssemblyDistrict68General[[#This Row],[Total Votes by Party]])</f>
        <v>1932</v>
      </c>
    </row>
    <row r="6" spans="1:4" x14ac:dyDescent="0.2">
      <c r="A6" s="1" t="s">
        <v>109</v>
      </c>
      <c r="B6" s="26">
        <v>2450</v>
      </c>
      <c r="C6" s="25">
        <f>MemberOfAssemblyAssemblyDistrict68General[[#This Row],[Part of New York County Vote Results]]</f>
        <v>2450</v>
      </c>
      <c r="D6" s="51">
        <f>SUM(MemberOfAssemblyAssemblyDistrict68General[[#This Row],[Total Votes by Party]])</f>
        <v>2450</v>
      </c>
    </row>
    <row r="7" spans="1:4" x14ac:dyDescent="0.2">
      <c r="A7" s="3" t="s">
        <v>0</v>
      </c>
      <c r="B7" s="2">
        <v>168</v>
      </c>
      <c r="C7" s="8">
        <f>MemberOfAssemblyAssemblyDistrict68General[[#This Row],[Part of New York County Vote Results]]</f>
        <v>168</v>
      </c>
      <c r="D7" s="10"/>
    </row>
    <row r="8" spans="1:4" x14ac:dyDescent="0.2">
      <c r="A8" s="3" t="s">
        <v>1</v>
      </c>
      <c r="B8" s="2"/>
      <c r="C8" s="8">
        <f>MemberOfAssemblyAssemblyDistrict68General[[#This Row],[Part of New York County Vote Results]]</f>
        <v>0</v>
      </c>
      <c r="D8" s="10"/>
    </row>
    <row r="9" spans="1:4" x14ac:dyDescent="0.2">
      <c r="A9" s="3" t="s">
        <v>6</v>
      </c>
      <c r="B9" s="2">
        <v>35</v>
      </c>
      <c r="C9" s="8">
        <f>MemberOfAssemblyAssemblyDistrict68General[[#This Row],[Part of New York County Vote Results]]</f>
        <v>35</v>
      </c>
      <c r="D9" s="10"/>
    </row>
    <row r="10" spans="1:4" x14ac:dyDescent="0.2">
      <c r="A10" s="11" t="s">
        <v>2</v>
      </c>
      <c r="B10" s="2">
        <f>SUM(MemberOfAssemblyAssemblyDistrict68General[Part of New York County Vote Results])</f>
        <v>5949</v>
      </c>
      <c r="C10" s="8">
        <f>SUM(MemberOfAssemblyAssemblyDistrict68General[Total Votes by Party])</f>
        <v>5949</v>
      </c>
      <c r="D10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756FD-6297-4FAF-86C2-B1573FB512EA}">
  <sheetPr>
    <pageSetUpPr fitToPage="1"/>
  </sheetPr>
  <dimension ref="A1:D11"/>
  <sheetViews>
    <sheetView workbookViewId="0">
      <selection activeCell="F16" sqref="F1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86</v>
      </c>
    </row>
    <row r="2" spans="1:4" ht="25.5" x14ac:dyDescent="0.2">
      <c r="A2" s="4" t="s">
        <v>5</v>
      </c>
      <c r="B2" s="5" t="s">
        <v>19</v>
      </c>
      <c r="C2" s="6" t="s">
        <v>3</v>
      </c>
      <c r="D2" s="7" t="s">
        <v>4</v>
      </c>
    </row>
    <row r="3" spans="1:4" x14ac:dyDescent="0.2">
      <c r="A3" s="22" t="s">
        <v>110</v>
      </c>
      <c r="B3" s="53">
        <v>7410</v>
      </c>
      <c r="C3" s="54">
        <f>MemberOfAssemblyAssemblyDistrict69General[[#This Row],[Part of New York County Vote Results]]</f>
        <v>7410</v>
      </c>
      <c r="D3" s="51">
        <f>SUM(MemberOfAssemblyAssemblyDistrict69General[[#This Row],[Total Votes by Party]])</f>
        <v>7410</v>
      </c>
    </row>
    <row r="4" spans="1:4" x14ac:dyDescent="0.2">
      <c r="A4" s="22" t="s">
        <v>111</v>
      </c>
      <c r="B4" s="50">
        <v>832</v>
      </c>
      <c r="C4" s="45">
        <f>MemberOfAssemblyAssemblyDistrict69General[[#This Row],[Part of New York County Vote Results]]</f>
        <v>832</v>
      </c>
      <c r="D4" s="9">
        <f>SUM(MemberOfAssemblyAssemblyDistrict69General[[#This Row],[Total Votes by Party]])</f>
        <v>832</v>
      </c>
    </row>
    <row r="5" spans="1:4" x14ac:dyDescent="0.2">
      <c r="A5" s="22" t="s">
        <v>112</v>
      </c>
      <c r="B5" s="50">
        <v>4839</v>
      </c>
      <c r="C5" s="45">
        <f>MemberOfAssemblyAssemblyDistrict69General[[#This Row],[Part of New York County Vote Results]]</f>
        <v>4839</v>
      </c>
      <c r="D5" s="9">
        <f>SUM(MemberOfAssemblyAssemblyDistrict69General[[#This Row],[Total Votes by Party]])</f>
        <v>4839</v>
      </c>
    </row>
    <row r="6" spans="1:4" x14ac:dyDescent="0.2">
      <c r="A6" s="1" t="s">
        <v>113</v>
      </c>
      <c r="B6" s="2">
        <v>671</v>
      </c>
      <c r="C6" s="8">
        <f>MemberOfAssemblyAssemblyDistrict69General[[#This Row],[Part of New York County Vote Results]]</f>
        <v>671</v>
      </c>
      <c r="D6" s="9">
        <f>SUM(MemberOfAssemblyAssemblyDistrict69General[[#This Row],[Total Votes by Party]])</f>
        <v>671</v>
      </c>
    </row>
    <row r="7" spans="1:4" x14ac:dyDescent="0.2">
      <c r="A7" s="1" t="s">
        <v>114</v>
      </c>
      <c r="B7" s="2">
        <v>293</v>
      </c>
      <c r="C7" s="8">
        <f>MemberOfAssemblyAssemblyDistrict69General[[#This Row],[Part of New York County Vote Results]]</f>
        <v>293</v>
      </c>
      <c r="D7" s="9">
        <f>SUM(MemberOfAssemblyAssemblyDistrict69General[[#This Row],[Total Votes by Party]])</f>
        <v>293</v>
      </c>
    </row>
    <row r="8" spans="1:4" x14ac:dyDescent="0.2">
      <c r="A8" s="3" t="s">
        <v>0</v>
      </c>
      <c r="B8" s="2">
        <v>135</v>
      </c>
      <c r="C8" s="8">
        <f>MemberOfAssemblyAssemblyDistrict69General[[#This Row],[Part of New York County Vote Results]]</f>
        <v>135</v>
      </c>
      <c r="D8" s="10"/>
    </row>
    <row r="9" spans="1:4" x14ac:dyDescent="0.2">
      <c r="A9" s="3" t="s">
        <v>1</v>
      </c>
      <c r="B9" s="2"/>
      <c r="C9" s="8">
        <f>MemberOfAssemblyAssemblyDistrict69General[[#This Row],[Part of New York County Vote Results]]</f>
        <v>0</v>
      </c>
      <c r="D9" s="10"/>
    </row>
    <row r="10" spans="1:4" x14ac:dyDescent="0.2">
      <c r="A10" s="3" t="s">
        <v>6</v>
      </c>
      <c r="B10" s="2">
        <v>36</v>
      </c>
      <c r="C10" s="8">
        <f>MemberOfAssemblyAssemblyDistrict69General[[#This Row],[Part of New York County Vote Results]]</f>
        <v>36</v>
      </c>
      <c r="D10" s="10"/>
    </row>
    <row r="11" spans="1:4" x14ac:dyDescent="0.2">
      <c r="A11" s="11" t="s">
        <v>2</v>
      </c>
      <c r="B11" s="2">
        <f>SUM(MemberOfAssemblyAssemblyDistrict69General[Part of New York County Vote Results])</f>
        <v>14216</v>
      </c>
      <c r="C11" s="8">
        <f>SUM(MemberOfAssemblyAssemblyDistrict69General[Total Votes by Party])</f>
        <v>14216</v>
      </c>
      <c r="D11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38591-A4FC-4E88-9B7C-F955E10AA8D5}">
  <sheetPr>
    <pageSetUpPr fitToPage="1"/>
  </sheetPr>
  <dimension ref="A1:D10"/>
  <sheetViews>
    <sheetView workbookViewId="0">
      <selection activeCell="B4" sqref="B4:D4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87</v>
      </c>
    </row>
    <row r="2" spans="1:4" ht="25.5" x14ac:dyDescent="0.2">
      <c r="A2" s="4" t="s">
        <v>5</v>
      </c>
      <c r="B2" s="5" t="s">
        <v>19</v>
      </c>
      <c r="C2" s="6" t="s">
        <v>3</v>
      </c>
      <c r="D2" s="7" t="s">
        <v>4</v>
      </c>
    </row>
    <row r="3" spans="1:4" x14ac:dyDescent="0.2">
      <c r="A3" s="22" t="s">
        <v>115</v>
      </c>
      <c r="B3" s="2">
        <v>2589</v>
      </c>
      <c r="C3" s="8">
        <f>MemberOfAssemblyAssemblyDistrict70General[[#This Row],[Part of New York County Vote Results]]</f>
        <v>2589</v>
      </c>
      <c r="D3" s="9">
        <f>SUM(MemberOfAssemblyAssemblyDistrict70General[[#This Row],[Total Votes by Party]])</f>
        <v>2589</v>
      </c>
    </row>
    <row r="4" spans="1:4" x14ac:dyDescent="0.2">
      <c r="A4" s="22" t="s">
        <v>116</v>
      </c>
      <c r="B4" s="26">
        <v>4199</v>
      </c>
      <c r="C4" s="25">
        <f>MemberOfAssemblyAssemblyDistrict70General[[#This Row],[Part of New York County Vote Results]]</f>
        <v>4199</v>
      </c>
      <c r="D4" s="51">
        <f>SUM(MemberOfAssemblyAssemblyDistrict70General[[#This Row],[Total Votes by Party]])</f>
        <v>4199</v>
      </c>
    </row>
    <row r="5" spans="1:4" x14ac:dyDescent="0.2">
      <c r="A5" s="22" t="s">
        <v>117</v>
      </c>
      <c r="B5" s="2">
        <v>1443</v>
      </c>
      <c r="C5" s="8">
        <f>MemberOfAssemblyAssemblyDistrict70General[[#This Row],[Part of New York County Vote Results]]</f>
        <v>1443</v>
      </c>
      <c r="D5" s="9">
        <f>SUM(MemberOfAssemblyAssemblyDistrict70General[[#This Row],[Total Votes by Party]])</f>
        <v>1443</v>
      </c>
    </row>
    <row r="6" spans="1:4" x14ac:dyDescent="0.2">
      <c r="A6" s="1" t="s">
        <v>118</v>
      </c>
      <c r="B6" s="2">
        <v>427</v>
      </c>
      <c r="C6" s="8">
        <f>MemberOfAssemblyAssemblyDistrict70General[[#This Row],[Part of New York County Vote Results]]</f>
        <v>427</v>
      </c>
      <c r="D6" s="9">
        <f>SUM(MemberOfAssemblyAssemblyDistrict70General[[#This Row],[Total Votes by Party]])</f>
        <v>427</v>
      </c>
    </row>
    <row r="7" spans="1:4" x14ac:dyDescent="0.2">
      <c r="A7" s="3" t="s">
        <v>0</v>
      </c>
      <c r="B7" s="2">
        <v>184</v>
      </c>
      <c r="C7" s="8">
        <f>MemberOfAssemblyAssemblyDistrict70General[[#This Row],[Part of New York County Vote Results]]</f>
        <v>184</v>
      </c>
      <c r="D7" s="10"/>
    </row>
    <row r="8" spans="1:4" x14ac:dyDescent="0.2">
      <c r="A8" s="3" t="s">
        <v>1</v>
      </c>
      <c r="B8" s="2"/>
      <c r="C8" s="8">
        <f>MemberOfAssemblyAssemblyDistrict70General[[#This Row],[Part of New York County Vote Results]]</f>
        <v>0</v>
      </c>
      <c r="D8" s="10"/>
    </row>
    <row r="9" spans="1:4" x14ac:dyDescent="0.2">
      <c r="A9" s="3" t="s">
        <v>6</v>
      </c>
      <c r="B9" s="2">
        <v>29</v>
      </c>
      <c r="C9" s="8">
        <f>MemberOfAssemblyAssemblyDistrict70General[[#This Row],[Part of New York County Vote Results]]</f>
        <v>29</v>
      </c>
      <c r="D9" s="10"/>
    </row>
    <row r="10" spans="1:4" x14ac:dyDescent="0.2">
      <c r="A10" s="11" t="s">
        <v>2</v>
      </c>
      <c r="B10" s="2">
        <f>SUM(MemberOfAssemblyAssemblyDistrict70General[Part of New York County Vote Results])</f>
        <v>8871</v>
      </c>
      <c r="C10" s="8">
        <f>SUM(MemberOfAssemblyAssemblyDistrict70General[Total Votes by Party])</f>
        <v>8871</v>
      </c>
      <c r="D10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FCD1-ADA7-4FCA-80B9-C7957D633204}">
  <sheetPr>
    <pageSetUpPr fitToPage="1"/>
  </sheetPr>
  <dimension ref="A1:E8"/>
  <sheetViews>
    <sheetView workbookViewId="0">
      <selection activeCell="C23" sqref="C23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7" t="s">
        <v>57</v>
      </c>
    </row>
    <row r="2" spans="1:5" ht="25.5" x14ac:dyDescent="0.2">
      <c r="A2" s="4" t="s">
        <v>5</v>
      </c>
      <c r="B2" s="5" t="s">
        <v>20</v>
      </c>
      <c r="C2" s="5" t="s">
        <v>17</v>
      </c>
      <c r="D2" s="6" t="s">
        <v>3</v>
      </c>
      <c r="E2" s="7" t="s">
        <v>4</v>
      </c>
    </row>
    <row r="3" spans="1:5" x14ac:dyDescent="0.2">
      <c r="A3" s="1" t="s">
        <v>308</v>
      </c>
      <c r="B3" s="16">
        <v>1987</v>
      </c>
      <c r="C3" s="16">
        <v>2368</v>
      </c>
      <c r="D3" s="8">
        <f>SUM(RepInCongressCongressionalDistrict14General[[#This Row],[Part of Bronx County Vote Results]:[Part of Queens County Vote Results]])</f>
        <v>4355</v>
      </c>
      <c r="E3" s="9">
        <f>SUM(RepInCongressCongressionalDistrict14General[[#This Row],[Total Votes by Party]])</f>
        <v>4355</v>
      </c>
    </row>
    <row r="4" spans="1:5" x14ac:dyDescent="0.2">
      <c r="A4" s="1" t="s">
        <v>309</v>
      </c>
      <c r="B4" s="52">
        <v>8730</v>
      </c>
      <c r="C4" s="52">
        <v>11406</v>
      </c>
      <c r="D4" s="25">
        <f>SUM(RepInCongressCongressionalDistrict14General[[#This Row],[Part of Bronx County Vote Results]:[Part of Queens County Vote Results]])</f>
        <v>20136</v>
      </c>
      <c r="E4" s="51">
        <f>SUM(RepInCongressCongressionalDistrict14General[[#This Row],[Total Votes by Party]])</f>
        <v>20136</v>
      </c>
    </row>
    <row r="5" spans="1:5" x14ac:dyDescent="0.2">
      <c r="A5" s="3" t="s">
        <v>0</v>
      </c>
      <c r="B5" s="15">
        <v>124</v>
      </c>
      <c r="C5" s="15">
        <v>315</v>
      </c>
      <c r="D5" s="8">
        <f>SUM(RepInCongressCongressionalDistrict14General[[#This Row],[Part of Bronx County Vote Results]:[Part of Queens County Vote Results]])</f>
        <v>439</v>
      </c>
      <c r="E5" s="10"/>
    </row>
    <row r="6" spans="1:5" x14ac:dyDescent="0.2">
      <c r="A6" s="3" t="s">
        <v>1</v>
      </c>
      <c r="B6" s="15"/>
      <c r="C6" s="15"/>
      <c r="D6" s="8">
        <f>SUM(RepInCongressCongressionalDistrict14General[[#This Row],[Part of Bronx County Vote Results]:[Part of Queens County Vote Results]])</f>
        <v>0</v>
      </c>
      <c r="E6" s="10"/>
    </row>
    <row r="7" spans="1:5" x14ac:dyDescent="0.2">
      <c r="A7" s="3" t="s">
        <v>6</v>
      </c>
      <c r="B7" s="15">
        <v>52</v>
      </c>
      <c r="C7" s="15">
        <v>61</v>
      </c>
      <c r="D7" s="8">
        <f>SUM(RepInCongressCongressionalDistrict14General[[#This Row],[Part of Bronx County Vote Results]:[Part of Queens County Vote Results]])</f>
        <v>113</v>
      </c>
      <c r="E7" s="10"/>
    </row>
    <row r="8" spans="1:5" x14ac:dyDescent="0.2">
      <c r="A8" s="11" t="s">
        <v>2</v>
      </c>
      <c r="B8" s="2">
        <f>SUM(RepInCongressCongressionalDistrict14General[Part of Bronx County Vote Results])</f>
        <v>10893</v>
      </c>
      <c r="C8" s="2">
        <f>SUM(RepInCongressCongressionalDistrict14General[Part of Queens County Vote Results])</f>
        <v>14150</v>
      </c>
      <c r="D8" s="8">
        <f>SUM(RepInCongressCongressionalDistrict14General[Total Votes by Party])</f>
        <v>25043</v>
      </c>
      <c r="E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0859F-B80A-4D73-8B7C-4A26E0EB5CC3}">
  <sheetPr>
    <pageSetUpPr fitToPage="1"/>
  </sheetPr>
  <dimension ref="A1:D8"/>
  <sheetViews>
    <sheetView workbookViewId="0">
      <selection activeCell="D4" sqref="D4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88</v>
      </c>
    </row>
    <row r="2" spans="1:4" ht="25.5" x14ac:dyDescent="0.2">
      <c r="A2" s="4" t="s">
        <v>5</v>
      </c>
      <c r="B2" s="5" t="s">
        <v>19</v>
      </c>
      <c r="C2" s="6" t="s">
        <v>3</v>
      </c>
      <c r="D2" s="7" t="s">
        <v>4</v>
      </c>
    </row>
    <row r="3" spans="1:4" x14ac:dyDescent="0.2">
      <c r="A3" s="1" t="s">
        <v>119</v>
      </c>
      <c r="B3" s="26">
        <v>4467</v>
      </c>
      <c r="C3" s="25">
        <f>MemberOfAssemblyAssemblyDistrict71General[[#This Row],[Part of New York County Vote Results]]</f>
        <v>4467</v>
      </c>
      <c r="D3" s="51">
        <f>SUM(MemberOfAssemblyAssemblyDistrict71General[[#This Row],[Total Votes by Party]])</f>
        <v>4467</v>
      </c>
    </row>
    <row r="4" spans="1:4" x14ac:dyDescent="0.2">
      <c r="A4" s="1" t="s">
        <v>122</v>
      </c>
      <c r="B4" s="2">
        <v>1793</v>
      </c>
      <c r="C4" s="8">
        <f>MemberOfAssemblyAssemblyDistrict71General[[#This Row],[Part of New York County Vote Results]]</f>
        <v>1793</v>
      </c>
      <c r="D4" s="9">
        <f>SUM(MemberOfAssemblyAssemblyDistrict71General[[#This Row],[Total Votes by Party]])</f>
        <v>1793</v>
      </c>
    </row>
    <row r="5" spans="1:4" x14ac:dyDescent="0.2">
      <c r="A5" s="3" t="s">
        <v>0</v>
      </c>
      <c r="B5" s="2">
        <v>209</v>
      </c>
      <c r="C5" s="8">
        <f>MemberOfAssemblyAssemblyDistrict71General[[#This Row],[Part of New York County Vote Results]]</f>
        <v>209</v>
      </c>
      <c r="D5" s="10"/>
    </row>
    <row r="6" spans="1:4" x14ac:dyDescent="0.2">
      <c r="A6" s="3" t="s">
        <v>1</v>
      </c>
      <c r="B6" s="2"/>
      <c r="C6" s="8">
        <f>MemberOfAssemblyAssemblyDistrict71General[[#This Row],[Part of New York County Vote Results]]</f>
        <v>0</v>
      </c>
      <c r="D6" s="10"/>
    </row>
    <row r="7" spans="1:4" x14ac:dyDescent="0.2">
      <c r="A7" s="3" t="s">
        <v>6</v>
      </c>
      <c r="B7" s="2">
        <v>54</v>
      </c>
      <c r="C7" s="8">
        <f>MemberOfAssemblyAssemblyDistrict71General[[#This Row],[Part of New York County Vote Results]]</f>
        <v>54</v>
      </c>
      <c r="D7" s="10"/>
    </row>
    <row r="8" spans="1:4" x14ac:dyDescent="0.2">
      <c r="A8" s="11" t="s">
        <v>2</v>
      </c>
      <c r="B8" s="2">
        <f>SUM(MemberOfAssemblyAssemblyDistrict71General[Part of New York County Vote Results])</f>
        <v>6523</v>
      </c>
      <c r="C8" s="8">
        <f>SUM(MemberOfAssemblyAssemblyDistrict71General[Total Votes by Party])</f>
        <v>6523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ignoredErrors>
    <ignoredError sqref="D3:D4" calculatedColumn="1"/>
  </ignoredErrors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CB5E2-947A-4D3E-A2DF-F086FC556CCE}">
  <sheetPr>
    <pageSetUpPr fitToPage="1"/>
  </sheetPr>
  <dimension ref="A1:D8"/>
  <sheetViews>
    <sheetView workbookViewId="0">
      <selection activeCell="F18" sqref="F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89</v>
      </c>
    </row>
    <row r="2" spans="1:4" ht="25.5" x14ac:dyDescent="0.2">
      <c r="A2" s="4" t="s">
        <v>5</v>
      </c>
      <c r="B2" s="5" t="s">
        <v>19</v>
      </c>
      <c r="C2" s="6" t="s">
        <v>3</v>
      </c>
      <c r="D2" s="7" t="s">
        <v>4</v>
      </c>
    </row>
    <row r="3" spans="1:4" x14ac:dyDescent="0.2">
      <c r="A3" s="1" t="s">
        <v>120</v>
      </c>
      <c r="B3" s="2">
        <v>714</v>
      </c>
      <c r="C3" s="8">
        <f>MemberOfAssemblyAssemblyDistrict72General[[#This Row],[Part of New York County Vote Results]]</f>
        <v>714</v>
      </c>
      <c r="D3" s="9">
        <f>SUM(MemberOfAssemblyAssemblyDistrict72General[[#This Row],[Total Votes by Party]])</f>
        <v>714</v>
      </c>
    </row>
    <row r="4" spans="1:4" x14ac:dyDescent="0.2">
      <c r="A4" s="1" t="s">
        <v>121</v>
      </c>
      <c r="B4" s="26">
        <v>2937</v>
      </c>
      <c r="C4" s="25">
        <f>MemberOfAssemblyAssemblyDistrict72General[[#This Row],[Part of New York County Vote Results]]</f>
        <v>2937</v>
      </c>
      <c r="D4" s="51">
        <f>SUM(MemberOfAssemblyAssemblyDistrict72General[[#This Row],[Total Votes by Party]])</f>
        <v>2937</v>
      </c>
    </row>
    <row r="5" spans="1:4" x14ac:dyDescent="0.2">
      <c r="A5" s="3" t="s">
        <v>0</v>
      </c>
      <c r="B5" s="2">
        <v>161</v>
      </c>
      <c r="C5" s="8">
        <f>MemberOfAssemblyAssemblyDistrict72General[[#This Row],[Part of New York County Vote Results]]</f>
        <v>161</v>
      </c>
      <c r="D5" s="10"/>
    </row>
    <row r="6" spans="1:4" x14ac:dyDescent="0.2">
      <c r="A6" s="3" t="s">
        <v>1</v>
      </c>
      <c r="B6" s="2"/>
      <c r="C6" s="8">
        <f>MemberOfAssemblyAssemblyDistrict72General[[#This Row],[Part of New York County Vote Results]]</f>
        <v>0</v>
      </c>
      <c r="D6" s="10"/>
    </row>
    <row r="7" spans="1:4" x14ac:dyDescent="0.2">
      <c r="A7" s="3" t="s">
        <v>6</v>
      </c>
      <c r="B7" s="2">
        <v>50</v>
      </c>
      <c r="C7" s="8">
        <f>MemberOfAssemblyAssemblyDistrict72General[[#This Row],[Part of New York County Vote Results]]</f>
        <v>50</v>
      </c>
      <c r="D7" s="10"/>
    </row>
    <row r="8" spans="1:4" x14ac:dyDescent="0.2">
      <c r="A8" s="11" t="s">
        <v>2</v>
      </c>
      <c r="B8" s="2">
        <f>SUM(MemberOfAssemblyAssemblyDistrict72General[Part of New York County Vote Results])</f>
        <v>3862</v>
      </c>
      <c r="C8" s="8">
        <f>SUM(MemberOfAssemblyAssemblyDistrict72General[Total Votes by Party])</f>
        <v>3862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60897-61B4-476B-977A-44DA95611E43}">
  <sheetPr>
    <pageSetUpPr fitToPage="1"/>
  </sheetPr>
  <dimension ref="A1:D8"/>
  <sheetViews>
    <sheetView workbookViewId="0">
      <selection activeCell="B3" sqref="B3:D3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90</v>
      </c>
    </row>
    <row r="2" spans="1:4" ht="25.5" x14ac:dyDescent="0.2">
      <c r="A2" s="4" t="s">
        <v>5</v>
      </c>
      <c r="B2" s="5" t="s">
        <v>20</v>
      </c>
      <c r="C2" s="6" t="s">
        <v>3</v>
      </c>
      <c r="D2" s="7" t="s">
        <v>4</v>
      </c>
    </row>
    <row r="3" spans="1:4" x14ac:dyDescent="0.2">
      <c r="A3" s="1" t="s">
        <v>312</v>
      </c>
      <c r="B3" s="26">
        <v>1918</v>
      </c>
      <c r="C3" s="25">
        <f>MemberOfAssemblyAssemblyDistrict77General[[#This Row],[Part of Bronx County Vote Results]]</f>
        <v>1918</v>
      </c>
      <c r="D3" s="51">
        <f>SUM(MemberOfAssemblyAssemblyDistrict77General[[#This Row],[Total Votes by Party]])</f>
        <v>1918</v>
      </c>
    </row>
    <row r="4" spans="1:4" x14ac:dyDescent="0.2">
      <c r="A4" s="1" t="s">
        <v>313</v>
      </c>
      <c r="B4" s="2">
        <v>1338</v>
      </c>
      <c r="C4" s="8">
        <f>MemberOfAssemblyAssemblyDistrict77General[[#This Row],[Part of Bronx County Vote Results]]</f>
        <v>1338</v>
      </c>
      <c r="D4" s="9">
        <f>SUM(MemberOfAssemblyAssemblyDistrict77General[[#This Row],[Total Votes by Party]])</f>
        <v>1338</v>
      </c>
    </row>
    <row r="5" spans="1:4" x14ac:dyDescent="0.2">
      <c r="A5" s="3" t="s">
        <v>0</v>
      </c>
      <c r="B5" s="2">
        <v>81</v>
      </c>
      <c r="C5" s="8">
        <f>MemberOfAssemblyAssemblyDistrict77General[[#This Row],[Part of Bronx County Vote Results]]</f>
        <v>81</v>
      </c>
      <c r="D5" s="10"/>
    </row>
    <row r="6" spans="1:4" x14ac:dyDescent="0.2">
      <c r="A6" s="3" t="s">
        <v>1</v>
      </c>
      <c r="B6" s="2"/>
      <c r="C6" s="8">
        <f>MemberOfAssemblyAssemblyDistrict77General[[#This Row],[Part of Bronx County Vote Results]]</f>
        <v>0</v>
      </c>
      <c r="D6" s="10"/>
    </row>
    <row r="7" spans="1:4" x14ac:dyDescent="0.2">
      <c r="A7" s="3" t="s">
        <v>6</v>
      </c>
      <c r="B7" s="2">
        <v>15</v>
      </c>
      <c r="C7" s="8">
        <f>MemberOfAssemblyAssemblyDistrict77General[[#This Row],[Part of Bronx County Vote Results]]</f>
        <v>15</v>
      </c>
      <c r="D7" s="10"/>
    </row>
    <row r="8" spans="1:4" x14ac:dyDescent="0.2">
      <c r="A8" s="11" t="s">
        <v>2</v>
      </c>
      <c r="B8" s="2">
        <f>SUM(MemberOfAssemblyAssemblyDistrict77General[Part of Bronx County Vote Results])</f>
        <v>3352</v>
      </c>
      <c r="C8" s="8">
        <f>SUM(MemberOfAssemblyAssemblyDistrict77General[Total Votes by Party])</f>
        <v>3352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F644-1E21-4258-8C17-D7654F99C339}">
  <sheetPr>
    <pageSetUpPr fitToPage="1"/>
  </sheetPr>
  <dimension ref="A1:D8"/>
  <sheetViews>
    <sheetView workbookViewId="0">
      <selection activeCell="B6" sqref="B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91</v>
      </c>
    </row>
    <row r="2" spans="1:4" ht="25.5" x14ac:dyDescent="0.2">
      <c r="A2" s="4" t="s">
        <v>5</v>
      </c>
      <c r="B2" s="5" t="s">
        <v>20</v>
      </c>
      <c r="C2" s="6" t="s">
        <v>3</v>
      </c>
      <c r="D2" s="7" t="s">
        <v>4</v>
      </c>
    </row>
    <row r="3" spans="1:4" x14ac:dyDescent="0.2">
      <c r="A3" s="1" t="s">
        <v>611</v>
      </c>
      <c r="B3" s="26">
        <v>5868</v>
      </c>
      <c r="C3" s="25">
        <f>MemberOfAssemblyAssemblyDistrict82General[[#This Row],[Part of Bronx County Vote Results]]</f>
        <v>5868</v>
      </c>
      <c r="D3" s="51">
        <f>SUM(MemberOfAssemblyAssemblyDistrict82General[[#This Row],[Total Votes by Party]])</f>
        <v>5868</v>
      </c>
    </row>
    <row r="4" spans="1:4" x14ac:dyDescent="0.2">
      <c r="A4" s="1" t="s">
        <v>612</v>
      </c>
      <c r="B4" s="2">
        <v>3612</v>
      </c>
      <c r="C4" s="8">
        <f>MemberOfAssemblyAssemblyDistrict82General[[#This Row],[Part of Bronx County Vote Results]]</f>
        <v>3612</v>
      </c>
      <c r="D4" s="9">
        <f>SUM(MemberOfAssemblyAssemblyDistrict82General[[#This Row],[Total Votes by Party]])</f>
        <v>3612</v>
      </c>
    </row>
    <row r="5" spans="1:4" x14ac:dyDescent="0.2">
      <c r="A5" s="3" t="s">
        <v>0</v>
      </c>
      <c r="B5" s="2">
        <v>202</v>
      </c>
      <c r="C5" s="8">
        <f>MemberOfAssemblyAssemblyDistrict82General[[#This Row],[Part of Bronx County Vote Results]]</f>
        <v>202</v>
      </c>
      <c r="D5" s="10"/>
    </row>
    <row r="6" spans="1:4" x14ac:dyDescent="0.2">
      <c r="A6" s="3" t="s">
        <v>1</v>
      </c>
      <c r="B6" s="2"/>
      <c r="C6" s="8">
        <f>MemberOfAssemblyAssemblyDistrict82General[[#This Row],[Part of Bronx County Vote Results]]</f>
        <v>0</v>
      </c>
      <c r="D6" s="10"/>
    </row>
    <row r="7" spans="1:4" x14ac:dyDescent="0.2">
      <c r="A7" s="3" t="s">
        <v>6</v>
      </c>
      <c r="B7" s="2">
        <v>27</v>
      </c>
      <c r="C7" s="8">
        <f>MemberOfAssemblyAssemblyDistrict82General[[#This Row],[Part of Bronx County Vote Results]]</f>
        <v>27</v>
      </c>
      <c r="D7" s="10"/>
    </row>
    <row r="8" spans="1:4" x14ac:dyDescent="0.2">
      <c r="A8" s="11" t="s">
        <v>2</v>
      </c>
      <c r="B8" s="2">
        <f>SUM(MemberOfAssemblyAssemblyDistrict82General[Part of Bronx County Vote Results])</f>
        <v>9709</v>
      </c>
      <c r="C8" s="8">
        <f>SUM(MemberOfAssemblyAssemblyDistrict82General[Total Votes by Party])</f>
        <v>9709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7D084-B505-4532-A185-BEE3CCA0E1E9}">
  <sheetPr>
    <pageSetUpPr fitToPage="1"/>
  </sheetPr>
  <dimension ref="A1:D8"/>
  <sheetViews>
    <sheetView workbookViewId="0">
      <selection activeCell="B3" sqref="B3:D3"/>
    </sheetView>
  </sheetViews>
  <sheetFormatPr defaultRowHeight="12.75" x14ac:dyDescent="0.2"/>
  <cols>
    <col min="1" max="1" width="27.85546875" customWidth="1"/>
    <col min="2" max="4" width="20.5703125" customWidth="1"/>
    <col min="5" max="6" width="23.5703125" customWidth="1"/>
  </cols>
  <sheetData>
    <row r="1" spans="1:4" ht="18.75" x14ac:dyDescent="0.2">
      <c r="A1" s="17" t="s">
        <v>92</v>
      </c>
    </row>
    <row r="2" spans="1:4" ht="25.5" x14ac:dyDescent="0.2">
      <c r="A2" s="4" t="s">
        <v>5</v>
      </c>
      <c r="B2" s="5" t="s">
        <v>20</v>
      </c>
      <c r="C2" s="6" t="s">
        <v>3</v>
      </c>
      <c r="D2" s="7" t="s">
        <v>4</v>
      </c>
    </row>
    <row r="3" spans="1:4" x14ac:dyDescent="0.2">
      <c r="A3" s="1" t="s">
        <v>314</v>
      </c>
      <c r="B3" s="26">
        <v>1511</v>
      </c>
      <c r="C3" s="25">
        <f>MemberOfAssemblyAssemblyDistrict84General[[#This Row],[Part of Bronx County Vote Results]]</f>
        <v>1511</v>
      </c>
      <c r="D3" s="51">
        <f>SUM(MemberOfAssemblyAssemblyDistrict84General[[#This Row],[Total Votes by Party]])</f>
        <v>1511</v>
      </c>
    </row>
    <row r="4" spans="1:4" x14ac:dyDescent="0.2">
      <c r="A4" s="1" t="s">
        <v>315</v>
      </c>
      <c r="B4" s="2">
        <v>565</v>
      </c>
      <c r="C4" s="8">
        <f>MemberOfAssemblyAssemblyDistrict84General[[#This Row],[Part of Bronx County Vote Results]]</f>
        <v>565</v>
      </c>
      <c r="D4" s="9">
        <f>SUM(MemberOfAssemblyAssemblyDistrict84General[[#This Row],[Total Votes by Party]])</f>
        <v>565</v>
      </c>
    </row>
    <row r="5" spans="1:4" x14ac:dyDescent="0.2">
      <c r="A5" s="3" t="s">
        <v>0</v>
      </c>
      <c r="B5" s="2">
        <v>101</v>
      </c>
      <c r="C5" s="8">
        <f>MemberOfAssemblyAssemblyDistrict84General[[#This Row],[Part of Bronx County Vote Results]]</f>
        <v>101</v>
      </c>
      <c r="D5" s="10"/>
    </row>
    <row r="6" spans="1:4" x14ac:dyDescent="0.2">
      <c r="A6" s="3" t="s">
        <v>1</v>
      </c>
      <c r="B6" s="2"/>
      <c r="C6" s="8">
        <f>MemberOfAssemblyAssemblyDistrict84General[[#This Row],[Part of Bronx County Vote Results]]</f>
        <v>0</v>
      </c>
      <c r="D6" s="10"/>
    </row>
    <row r="7" spans="1:4" x14ac:dyDescent="0.2">
      <c r="A7" s="3" t="s">
        <v>6</v>
      </c>
      <c r="B7" s="2">
        <v>19</v>
      </c>
      <c r="C7" s="8">
        <f>MemberOfAssemblyAssemblyDistrict84General[[#This Row],[Part of Bronx County Vote Results]]</f>
        <v>19</v>
      </c>
      <c r="D7" s="10"/>
    </row>
    <row r="8" spans="1:4" x14ac:dyDescent="0.2">
      <c r="A8" s="11" t="s">
        <v>2</v>
      </c>
      <c r="B8" s="2">
        <f>SUM(MemberOfAssemblyAssemblyDistrict84General[Part of Bronx County Vote Results])</f>
        <v>2196</v>
      </c>
      <c r="C8" s="8">
        <f>SUM(MemberOfAssemblyAssemblyDistrict84General[Total Votes by Party])</f>
        <v>2196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F36FD-2E61-4B3C-A3BD-D5F6A5EE221E}">
  <sheetPr>
    <pageSetUpPr fitToPage="1"/>
  </sheetPr>
  <dimension ref="A1:D8"/>
  <sheetViews>
    <sheetView workbookViewId="0">
      <selection activeCell="B4" sqref="B4:D4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93</v>
      </c>
    </row>
    <row r="2" spans="1:4" ht="25.5" x14ac:dyDescent="0.2">
      <c r="A2" s="4" t="s">
        <v>5</v>
      </c>
      <c r="B2" s="5" t="s">
        <v>21</v>
      </c>
      <c r="C2" s="6" t="s">
        <v>3</v>
      </c>
      <c r="D2" s="7" t="s">
        <v>4</v>
      </c>
    </row>
    <row r="3" spans="1:4" x14ac:dyDescent="0.2">
      <c r="A3" s="1" t="s">
        <v>613</v>
      </c>
      <c r="B3" s="2">
        <v>6170</v>
      </c>
      <c r="C3" s="8">
        <f>MemberOfAssemblyAssemblyDistrict92General[[#This Row],[Part of Westchester County Vote Results]]</f>
        <v>6170</v>
      </c>
      <c r="D3" s="9">
        <f>SUM(MemberOfAssemblyAssemblyDistrict92General[[#This Row],[Total Votes by Party]])</f>
        <v>6170</v>
      </c>
    </row>
    <row r="4" spans="1:4" x14ac:dyDescent="0.2">
      <c r="A4" s="1" t="s">
        <v>614</v>
      </c>
      <c r="B4" s="26">
        <v>9216</v>
      </c>
      <c r="C4" s="25">
        <f>MemberOfAssemblyAssemblyDistrict92General[[#This Row],[Part of Westchester County Vote Results]]</f>
        <v>9216</v>
      </c>
      <c r="D4" s="51">
        <f>SUM(MemberOfAssemblyAssemblyDistrict92General[[#This Row],[Total Votes by Party]])</f>
        <v>9216</v>
      </c>
    </row>
    <row r="5" spans="1:4" x14ac:dyDescent="0.2">
      <c r="A5" s="3" t="s">
        <v>0</v>
      </c>
      <c r="B5" s="2">
        <v>912</v>
      </c>
      <c r="C5" s="8">
        <f>MemberOfAssemblyAssemblyDistrict92General[[#This Row],[Part of Westchester County Vote Results]]</f>
        <v>912</v>
      </c>
      <c r="D5" s="10"/>
    </row>
    <row r="6" spans="1:4" x14ac:dyDescent="0.2">
      <c r="A6" s="3" t="s">
        <v>1</v>
      </c>
      <c r="B6" s="2"/>
      <c r="C6" s="8">
        <f>MemberOfAssemblyAssemblyDistrict92General[[#This Row],[Part of Westchester County Vote Results]]</f>
        <v>0</v>
      </c>
      <c r="D6" s="10"/>
    </row>
    <row r="7" spans="1:4" x14ac:dyDescent="0.2">
      <c r="A7" s="3" t="s">
        <v>6</v>
      </c>
      <c r="B7" s="2">
        <v>12</v>
      </c>
      <c r="C7" s="8">
        <f>MemberOfAssemblyAssemblyDistrict92General[[#This Row],[Part of Westchester County Vote Results]]</f>
        <v>12</v>
      </c>
      <c r="D7" s="10"/>
    </row>
    <row r="8" spans="1:4" x14ac:dyDescent="0.2">
      <c r="A8" s="11" t="s">
        <v>2</v>
      </c>
      <c r="B8" s="2">
        <f>SUM(MemberOfAssemblyAssemblyDistrict92General[Part of Westchester County Vote Results])</f>
        <v>16310</v>
      </c>
      <c r="C8" s="8">
        <f>SUM(MemberOfAssemblyAssemblyDistrict92General[Total Votes by Party])</f>
        <v>16310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26C56-D3D6-4F7B-926F-2CE6E693915B}">
  <sheetPr>
    <pageSetUpPr fitToPage="1"/>
  </sheetPr>
  <dimension ref="A1:D8"/>
  <sheetViews>
    <sheetView workbookViewId="0">
      <selection activeCell="B3" sqref="B3:D3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94</v>
      </c>
    </row>
    <row r="2" spans="1:4" ht="25.5" x14ac:dyDescent="0.2">
      <c r="A2" s="4" t="s">
        <v>5</v>
      </c>
      <c r="B2" s="5" t="s">
        <v>36</v>
      </c>
      <c r="C2" s="6" t="s">
        <v>3</v>
      </c>
      <c r="D2" s="7" t="s">
        <v>4</v>
      </c>
    </row>
    <row r="3" spans="1:4" x14ac:dyDescent="0.2">
      <c r="A3" s="1" t="s">
        <v>607</v>
      </c>
      <c r="B3" s="26">
        <v>4186</v>
      </c>
      <c r="C3" s="25">
        <f>MemberOfAssemblyAssemblyDistrict97General36[[#This Row],[Part of Rockland County Vote Results]]</f>
        <v>4186</v>
      </c>
      <c r="D3" s="51">
        <f>SUM(MemberOfAssemblyAssemblyDistrict97General36[[#This Row],[Total Votes by Party]])</f>
        <v>4186</v>
      </c>
    </row>
    <row r="4" spans="1:4" x14ac:dyDescent="0.2">
      <c r="A4" s="1" t="s">
        <v>608</v>
      </c>
      <c r="B4" s="2">
        <v>1868</v>
      </c>
      <c r="C4" s="8">
        <f>MemberOfAssemblyAssemblyDistrict97General36[[#This Row],[Part of Rockland County Vote Results]]</f>
        <v>1868</v>
      </c>
      <c r="D4" s="9">
        <f>SUM(MemberOfAssemblyAssemblyDistrict97General36[[#This Row],[Total Votes by Party]])</f>
        <v>1868</v>
      </c>
    </row>
    <row r="5" spans="1:4" x14ac:dyDescent="0.2">
      <c r="A5" s="3" t="s">
        <v>0</v>
      </c>
      <c r="B5" s="2">
        <v>67</v>
      </c>
      <c r="C5" s="8">
        <f>MemberOfAssemblyAssemblyDistrict97General36[[#This Row],[Part of Rockland County Vote Results]]</f>
        <v>67</v>
      </c>
      <c r="D5" s="10"/>
    </row>
    <row r="6" spans="1:4" x14ac:dyDescent="0.2">
      <c r="A6" s="3" t="s">
        <v>1</v>
      </c>
      <c r="B6" s="2">
        <v>32</v>
      </c>
      <c r="C6" s="8">
        <f>MemberOfAssemblyAssemblyDistrict97General36[[#This Row],[Part of Rockland County Vote Results]]</f>
        <v>32</v>
      </c>
      <c r="D6" s="10"/>
    </row>
    <row r="7" spans="1:4" x14ac:dyDescent="0.2">
      <c r="A7" s="3" t="s">
        <v>6</v>
      </c>
      <c r="B7" s="2">
        <v>43</v>
      </c>
      <c r="C7" s="8">
        <f>MemberOfAssemblyAssemblyDistrict97General36[[#This Row],[Part of Rockland County Vote Results]]</f>
        <v>43</v>
      </c>
      <c r="D7" s="10"/>
    </row>
    <row r="8" spans="1:4" x14ac:dyDescent="0.2">
      <c r="A8" s="11" t="s">
        <v>2</v>
      </c>
      <c r="B8" s="2">
        <f>SUM(MemberOfAssemblyAssemblyDistrict97General36[Part of Rockland County Vote Results])</f>
        <v>6196</v>
      </c>
      <c r="C8" s="8">
        <f>SUM(MemberOfAssemblyAssemblyDistrict97General36[Total Votes by Party])</f>
        <v>6196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ADEB8-AF21-4DB3-8EB1-F39A1455220E}">
  <sheetPr>
    <pageSetUpPr fitToPage="1"/>
  </sheetPr>
  <dimension ref="A1:D8"/>
  <sheetViews>
    <sheetView workbookViewId="0">
      <selection activeCell="B4" sqref="B4:D4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101</v>
      </c>
    </row>
    <row r="2" spans="1:4" ht="25.5" x14ac:dyDescent="0.2">
      <c r="A2" s="4" t="s">
        <v>5</v>
      </c>
      <c r="B2" s="5" t="s">
        <v>36</v>
      </c>
      <c r="C2" s="6" t="s">
        <v>3</v>
      </c>
      <c r="D2" s="7" t="s">
        <v>4</v>
      </c>
    </row>
    <row r="3" spans="1:4" x14ac:dyDescent="0.2">
      <c r="A3" s="1" t="s">
        <v>609</v>
      </c>
      <c r="B3" s="2">
        <v>194</v>
      </c>
      <c r="C3" s="8">
        <f>MemberOfAssemblyAssemblyDistrict97General[[#This Row],[Part of Rockland County Vote Results]]</f>
        <v>194</v>
      </c>
      <c r="D3" s="9">
        <f>SUM(MemberOfAssemblyAssemblyDistrict97General[[#This Row],[Total Votes by Party]])</f>
        <v>194</v>
      </c>
    </row>
    <row r="4" spans="1:4" x14ac:dyDescent="0.2">
      <c r="A4" s="1" t="s">
        <v>610</v>
      </c>
      <c r="B4" s="26">
        <v>272</v>
      </c>
      <c r="C4" s="25">
        <f>MemberOfAssemblyAssemblyDistrict97General[[#This Row],[Part of Rockland County Vote Results]]</f>
        <v>272</v>
      </c>
      <c r="D4" s="51">
        <f>SUM(MemberOfAssemblyAssemblyDistrict97General[[#This Row],[Total Votes by Party]])</f>
        <v>272</v>
      </c>
    </row>
    <row r="5" spans="1:4" x14ac:dyDescent="0.2">
      <c r="A5" s="3" t="s">
        <v>0</v>
      </c>
      <c r="B5" s="2">
        <v>3</v>
      </c>
      <c r="C5" s="8">
        <f>MemberOfAssemblyAssemblyDistrict97General[[#This Row],[Part of Rockland County Vote Results]]</f>
        <v>3</v>
      </c>
      <c r="D5" s="10"/>
    </row>
    <row r="6" spans="1:4" x14ac:dyDescent="0.2">
      <c r="A6" s="3" t="s">
        <v>1</v>
      </c>
      <c r="B6" s="2">
        <v>2</v>
      </c>
      <c r="C6" s="8">
        <f>MemberOfAssemblyAssemblyDistrict97General[[#This Row],[Part of Rockland County Vote Results]]</f>
        <v>2</v>
      </c>
      <c r="D6" s="10"/>
    </row>
    <row r="7" spans="1:4" x14ac:dyDescent="0.2">
      <c r="A7" s="3" t="s">
        <v>6</v>
      </c>
      <c r="B7" s="2">
        <v>10</v>
      </c>
      <c r="C7" s="8">
        <f>MemberOfAssemblyAssemblyDistrict97General[[#This Row],[Part of Rockland County Vote Results]]</f>
        <v>10</v>
      </c>
      <c r="D7" s="10"/>
    </row>
    <row r="8" spans="1:4" x14ac:dyDescent="0.2">
      <c r="A8" s="11" t="s">
        <v>2</v>
      </c>
      <c r="B8" s="2">
        <f>SUM(MemberOfAssemblyAssemblyDistrict97General[Part of Rockland County Vote Results])</f>
        <v>481</v>
      </c>
      <c r="C8" s="8">
        <f>SUM(MemberOfAssemblyAssemblyDistrict97General[Total Votes by Party])</f>
        <v>481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9F5E8-FB70-45B7-A546-BF1A99696A48}">
  <sheetPr>
    <pageSetUpPr fitToPage="1"/>
  </sheetPr>
  <dimension ref="A1:E8"/>
  <sheetViews>
    <sheetView workbookViewId="0">
      <selection activeCell="B4" sqref="B4:E4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7" t="s">
        <v>102</v>
      </c>
    </row>
    <row r="2" spans="1:5" ht="25.5" x14ac:dyDescent="0.2">
      <c r="A2" s="4" t="s">
        <v>5</v>
      </c>
      <c r="B2" s="5" t="s">
        <v>40</v>
      </c>
      <c r="C2" s="5" t="s">
        <v>41</v>
      </c>
      <c r="D2" s="6" t="s">
        <v>3</v>
      </c>
      <c r="E2" s="7" t="s">
        <v>4</v>
      </c>
    </row>
    <row r="3" spans="1:5" x14ac:dyDescent="0.2">
      <c r="A3" s="1" t="s">
        <v>581</v>
      </c>
      <c r="B3" s="2">
        <v>98</v>
      </c>
      <c r="C3" s="2">
        <v>775</v>
      </c>
      <c r="D3" s="8">
        <f>SUM(MemberOfAssemblyAssemblyDistrict100General[[#This Row],[Part of Orange County Vote Results]:[Part of Sullivan County Vote Results]])</f>
        <v>873</v>
      </c>
      <c r="E3" s="9">
        <f>SUM(MemberOfAssemblyAssemblyDistrict100General[[#This Row],[Total Votes by Party]])</f>
        <v>873</v>
      </c>
    </row>
    <row r="4" spans="1:5" x14ac:dyDescent="0.2">
      <c r="A4" s="1" t="s">
        <v>582</v>
      </c>
      <c r="B4" s="26">
        <v>733</v>
      </c>
      <c r="C4" s="26">
        <v>589</v>
      </c>
      <c r="D4" s="25">
        <f>SUM(MemberOfAssemblyAssemblyDistrict100General[[#This Row],[Part of Orange County Vote Results]:[Part of Sullivan County Vote Results]])</f>
        <v>1322</v>
      </c>
      <c r="E4" s="51">
        <f>SUM(MemberOfAssemblyAssemblyDistrict100General[[#This Row],[Total Votes by Party]])</f>
        <v>1322</v>
      </c>
    </row>
    <row r="5" spans="1:5" x14ac:dyDescent="0.2">
      <c r="A5" s="3" t="s">
        <v>0</v>
      </c>
      <c r="B5" s="2">
        <v>2</v>
      </c>
      <c r="C5" s="2">
        <v>3</v>
      </c>
      <c r="D5" s="8">
        <f>SUM(MemberOfAssemblyAssemblyDistrict100General[[#This Row],[Part of Orange County Vote Results]:[Part of Sullivan County Vote Results]])</f>
        <v>5</v>
      </c>
      <c r="E5" s="10"/>
    </row>
    <row r="6" spans="1:5" x14ac:dyDescent="0.2">
      <c r="A6" s="3" t="s">
        <v>1</v>
      </c>
      <c r="B6" s="2">
        <v>5</v>
      </c>
      <c r="C6" s="2">
        <v>12</v>
      </c>
      <c r="D6" s="8">
        <f>SUM(MemberOfAssemblyAssemblyDistrict100General[[#This Row],[Part of Orange County Vote Results]:[Part of Sullivan County Vote Results]])</f>
        <v>17</v>
      </c>
      <c r="E6" s="10"/>
    </row>
    <row r="7" spans="1:5" x14ac:dyDescent="0.2">
      <c r="A7" s="3" t="s">
        <v>6</v>
      </c>
      <c r="B7" s="2">
        <v>0</v>
      </c>
      <c r="C7" s="2">
        <v>3</v>
      </c>
      <c r="D7" s="8">
        <f>SUM(MemberOfAssemblyAssemblyDistrict100General[[#This Row],[Part of Orange County Vote Results]:[Part of Sullivan County Vote Results]])</f>
        <v>3</v>
      </c>
      <c r="E7" s="10"/>
    </row>
    <row r="8" spans="1:5" x14ac:dyDescent="0.2">
      <c r="A8" s="11" t="s">
        <v>2</v>
      </c>
      <c r="B8" s="2">
        <f>SUM(MemberOfAssemblyAssemblyDistrict100General[Part of Orange County Vote Results])</f>
        <v>838</v>
      </c>
      <c r="C8" s="2">
        <f>SUM(MemberOfAssemblyAssemblyDistrict100General[Part of Sullivan County Vote Results])</f>
        <v>1382</v>
      </c>
      <c r="D8" s="8">
        <f>SUM(MemberOfAssemblyAssemblyDistrict100General[Total Votes by Party])</f>
        <v>2220</v>
      </c>
      <c r="E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21DB8-3E46-4D3A-B91D-134E6E679607}">
  <sheetPr>
    <pageSetUpPr fitToPage="1"/>
  </sheetPr>
  <dimension ref="A1:H8"/>
  <sheetViews>
    <sheetView workbookViewId="0">
      <pane xSplit="1" topLeftCell="B1" activePane="topRight" state="frozen"/>
      <selection pane="topRight" activeCell="F3" sqref="F3:F7"/>
    </sheetView>
  </sheetViews>
  <sheetFormatPr defaultRowHeight="12.75" x14ac:dyDescent="0.2"/>
  <cols>
    <col min="1" max="1" width="25.5703125" customWidth="1"/>
    <col min="2" max="8" width="17.7109375" customWidth="1"/>
    <col min="9" max="10" width="23.5703125" customWidth="1"/>
  </cols>
  <sheetData>
    <row r="1" spans="1:8" ht="18.75" x14ac:dyDescent="0.2">
      <c r="A1" s="57" t="s">
        <v>95</v>
      </c>
      <c r="B1" s="57"/>
      <c r="C1" s="57"/>
      <c r="D1" s="57"/>
      <c r="E1" s="57"/>
      <c r="F1" s="57"/>
    </row>
    <row r="2" spans="1:8" ht="25.5" x14ac:dyDescent="0.2">
      <c r="A2" s="18" t="s">
        <v>5</v>
      </c>
      <c r="B2" s="5" t="s">
        <v>42</v>
      </c>
      <c r="C2" s="5" t="s">
        <v>43</v>
      </c>
      <c r="D2" s="5" t="s">
        <v>44</v>
      </c>
      <c r="E2" s="5" t="s">
        <v>45</v>
      </c>
      <c r="F2" s="5" t="s">
        <v>46</v>
      </c>
      <c r="G2" s="19" t="s">
        <v>3</v>
      </c>
      <c r="H2" s="20" t="s">
        <v>4</v>
      </c>
    </row>
    <row r="3" spans="1:8" x14ac:dyDescent="0.2">
      <c r="A3" s="1" t="s">
        <v>583</v>
      </c>
      <c r="B3" s="2">
        <v>453</v>
      </c>
      <c r="C3" s="2">
        <v>167</v>
      </c>
      <c r="D3" s="2">
        <v>691</v>
      </c>
      <c r="E3" s="2">
        <v>136</v>
      </c>
      <c r="F3" s="2">
        <v>284</v>
      </c>
      <c r="G3" s="8">
        <f>SUM(MemberOfAssemblyAssemblyDistrict102General[[#This Row],[Part of Albany County Vote Results]:[Schoharie County Vote Results]])</f>
        <v>1731</v>
      </c>
      <c r="H3" s="9">
        <f>SUM(MemberOfAssemblyAssemblyDistrict102General[[#This Row],[Total Votes by Party]])</f>
        <v>1731</v>
      </c>
    </row>
    <row r="4" spans="1:8" x14ac:dyDescent="0.2">
      <c r="A4" s="1" t="s">
        <v>584</v>
      </c>
      <c r="B4" s="26">
        <v>241</v>
      </c>
      <c r="C4" s="26">
        <v>642</v>
      </c>
      <c r="D4" s="26">
        <v>418</v>
      </c>
      <c r="E4" s="26">
        <v>250</v>
      </c>
      <c r="F4" s="26">
        <v>257</v>
      </c>
      <c r="G4" s="25">
        <f>SUM(MemberOfAssemblyAssemblyDistrict102General[[#This Row],[Part of Albany County Vote Results]:[Schoharie County Vote Results]])</f>
        <v>1808</v>
      </c>
      <c r="H4" s="51">
        <f>SUM(MemberOfAssemblyAssemblyDistrict102General[[#This Row],[Total Votes by Party]])</f>
        <v>1808</v>
      </c>
    </row>
    <row r="5" spans="1:8" x14ac:dyDescent="0.2">
      <c r="A5" s="3" t="s">
        <v>0</v>
      </c>
      <c r="B5" s="2">
        <v>69</v>
      </c>
      <c r="C5" s="2">
        <v>7</v>
      </c>
      <c r="D5" s="2">
        <v>0</v>
      </c>
      <c r="E5" s="2">
        <v>1</v>
      </c>
      <c r="F5" s="2">
        <v>22</v>
      </c>
      <c r="G5" s="8">
        <f>SUM(MemberOfAssemblyAssemblyDistrict102General[[#This Row],[Part of Albany County Vote Results]:[Schoharie County Vote Results]])</f>
        <v>99</v>
      </c>
      <c r="H5" s="10"/>
    </row>
    <row r="6" spans="1:8" x14ac:dyDescent="0.2">
      <c r="A6" s="3" t="s">
        <v>1</v>
      </c>
      <c r="B6" s="2">
        <v>1</v>
      </c>
      <c r="C6" s="2">
        <v>2</v>
      </c>
      <c r="D6" s="2">
        <v>1</v>
      </c>
      <c r="E6" s="2">
        <v>2</v>
      </c>
      <c r="F6" s="2">
        <v>1</v>
      </c>
      <c r="G6" s="8">
        <f>SUM(MemberOfAssemblyAssemblyDistrict102General[[#This Row],[Part of Albany County Vote Results]:[Schoharie County Vote Results]])</f>
        <v>7</v>
      </c>
      <c r="H6" s="10"/>
    </row>
    <row r="7" spans="1:8" x14ac:dyDescent="0.2">
      <c r="A7" s="3" t="s">
        <v>6</v>
      </c>
      <c r="B7" s="2">
        <v>6</v>
      </c>
      <c r="C7" s="2">
        <v>4</v>
      </c>
      <c r="D7" s="2">
        <v>6</v>
      </c>
      <c r="E7" s="2">
        <v>0</v>
      </c>
      <c r="F7" s="2">
        <v>3</v>
      </c>
      <c r="G7" s="8">
        <f>SUM(MemberOfAssemblyAssemblyDistrict102General[[#This Row],[Part of Albany County Vote Results]:[Schoharie County Vote Results]])</f>
        <v>19</v>
      </c>
      <c r="H7" s="10"/>
    </row>
    <row r="8" spans="1:8" x14ac:dyDescent="0.2">
      <c r="A8" s="11" t="s">
        <v>2</v>
      </c>
      <c r="B8" s="2">
        <f>SUM(MemberOfAssemblyAssemblyDistrict102General[Part of Albany County Vote Results])</f>
        <v>770</v>
      </c>
      <c r="C8" s="2">
        <f>SUM(MemberOfAssemblyAssemblyDistrict102General[Part of Delaware County Vote Results])</f>
        <v>822</v>
      </c>
      <c r="D8" s="2">
        <f>SUM(MemberOfAssemblyAssemblyDistrict102General[Greene County Vote Results])</f>
        <v>1116</v>
      </c>
      <c r="E8" s="2">
        <f>SUM(MemberOfAssemblyAssemblyDistrict102General[Part of Otsego County Vote Results])</f>
        <v>389</v>
      </c>
      <c r="F8" s="2">
        <f>SUM(MemberOfAssemblyAssemblyDistrict102General[Schoharie County Vote Results])</f>
        <v>567</v>
      </c>
      <c r="G8" s="8">
        <f>SUM(MemberOfAssemblyAssemblyDistrict102General[Total Votes by Party])</f>
        <v>3664</v>
      </c>
      <c r="H8" s="10"/>
    </row>
  </sheetData>
  <mergeCells count="1">
    <mergeCell ref="A1:F1"/>
  </mergeCells>
  <pageMargins left="0.25" right="0.25" top="0.25" bottom="0.25" header="0.25" footer="0.25"/>
  <pageSetup paperSize="5" scale="94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C8681-0909-4972-9D99-267675C27B06}">
  <sheetPr>
    <pageSetUpPr fitToPage="1"/>
  </sheetPr>
  <dimension ref="A1:E8"/>
  <sheetViews>
    <sheetView tabSelected="1" workbookViewId="0">
      <selection activeCell="C16" sqref="C1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7" t="s">
        <v>58</v>
      </c>
    </row>
    <row r="2" spans="1:5" ht="25.5" x14ac:dyDescent="0.2">
      <c r="A2" s="4" t="s">
        <v>5</v>
      </c>
      <c r="B2" s="5" t="s">
        <v>20</v>
      </c>
      <c r="C2" s="5" t="s">
        <v>21</v>
      </c>
      <c r="D2" s="6" t="s">
        <v>3</v>
      </c>
      <c r="E2" s="7" t="s">
        <v>4</v>
      </c>
    </row>
    <row r="3" spans="1:5" x14ac:dyDescent="0.2">
      <c r="A3" s="1" t="s">
        <v>310</v>
      </c>
      <c r="B3" s="2">
        <v>6839</v>
      </c>
      <c r="C3" s="2">
        <v>25601</v>
      </c>
      <c r="D3" s="8">
        <f>SUM(RepInCongressCongressionalDistrict16General[[#This Row],[Part of Bronx County Vote Results]:[Part of Westchester County Vote Results]])</f>
        <v>32440</v>
      </c>
      <c r="E3" s="9">
        <f>SUM(RepInCongressCongressionalDistrict16General[[#This Row],[Total Votes by Party]])</f>
        <v>32440</v>
      </c>
    </row>
    <row r="4" spans="1:5" x14ac:dyDescent="0.2">
      <c r="A4" s="1" t="s">
        <v>311</v>
      </c>
      <c r="B4" s="26">
        <v>1355</v>
      </c>
      <c r="C4" s="26">
        <v>44554</v>
      </c>
      <c r="D4" s="25">
        <f>SUM(RepInCongressCongressionalDistrict16General[[#This Row],[Part of Bronx County Vote Results]:[Part of Westchester County Vote Results]])</f>
        <v>45909</v>
      </c>
      <c r="E4" s="51">
        <f>SUM(RepInCongressCongressionalDistrict16General[[#This Row],[Total Votes by Party]])</f>
        <v>45909</v>
      </c>
    </row>
    <row r="5" spans="1:5" x14ac:dyDescent="0.2">
      <c r="A5" s="3" t="s">
        <v>0</v>
      </c>
      <c r="B5" s="2">
        <v>85</v>
      </c>
      <c r="C5" s="2">
        <v>333</v>
      </c>
      <c r="D5" s="8">
        <f>SUM(RepInCongressCongressionalDistrict16General[[#This Row],[Part of Bronx County Vote Results]:[Part of Westchester County Vote Results]])</f>
        <v>418</v>
      </c>
      <c r="E5" s="10"/>
    </row>
    <row r="6" spans="1:5" x14ac:dyDescent="0.2">
      <c r="A6" s="3" t="s">
        <v>1</v>
      </c>
      <c r="B6" s="2"/>
      <c r="C6" s="2"/>
      <c r="D6" s="8">
        <f>SUM(RepInCongressCongressionalDistrict16General[[#This Row],[Part of Bronx County Vote Results]:[Part of Westchester County Vote Results]])</f>
        <v>0</v>
      </c>
      <c r="E6" s="10"/>
    </row>
    <row r="7" spans="1:5" x14ac:dyDescent="0.2">
      <c r="A7" s="3" t="s">
        <v>6</v>
      </c>
      <c r="B7" s="2">
        <v>9</v>
      </c>
      <c r="C7" s="2">
        <v>29</v>
      </c>
      <c r="D7" s="8">
        <f>SUM(RepInCongressCongressionalDistrict16General[[#This Row],[Part of Bronx County Vote Results]:[Part of Westchester County Vote Results]])</f>
        <v>38</v>
      </c>
      <c r="E7" s="10"/>
    </row>
    <row r="8" spans="1:5" x14ac:dyDescent="0.2">
      <c r="A8" s="11" t="s">
        <v>2</v>
      </c>
      <c r="B8" s="2">
        <f>SUM(RepInCongressCongressionalDistrict16General[Part of Bronx County Vote Results])</f>
        <v>8288</v>
      </c>
      <c r="C8" s="2">
        <f>SUM(RepInCongressCongressionalDistrict16General[Part of Westchester County Vote Results])</f>
        <v>70517</v>
      </c>
      <c r="D8" s="8">
        <f>SUM(RepInCongressCongressionalDistrict16General[Total Votes by Party])</f>
        <v>78805</v>
      </c>
      <c r="E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A3C53-3C02-4E9C-933C-B59A8481DEBF}">
  <sheetPr>
    <pageSetUpPr fitToPage="1"/>
  </sheetPr>
  <dimension ref="A1:E8"/>
  <sheetViews>
    <sheetView workbookViewId="0">
      <selection activeCell="B12" sqref="B1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7" t="s">
        <v>96</v>
      </c>
    </row>
    <row r="2" spans="1:5" ht="25.5" x14ac:dyDescent="0.2">
      <c r="A2" s="4" t="s">
        <v>5</v>
      </c>
      <c r="B2" s="5" t="s">
        <v>47</v>
      </c>
      <c r="C2" s="5" t="s">
        <v>48</v>
      </c>
      <c r="D2" s="6" t="s">
        <v>3</v>
      </c>
      <c r="E2" s="7" t="s">
        <v>4</v>
      </c>
    </row>
    <row r="3" spans="1:5" x14ac:dyDescent="0.2">
      <c r="A3" s="1" t="s">
        <v>585</v>
      </c>
      <c r="B3" s="2">
        <v>549</v>
      </c>
      <c r="C3" s="2">
        <v>4139</v>
      </c>
      <c r="D3" s="8">
        <f>SUM(MemberOfAssemblyAssemblyDistrict103General[[#This Row],[Part of Dutchess County Vote Results]:[Part of Ulster County Vote Results]])</f>
        <v>4688</v>
      </c>
      <c r="E3" s="9">
        <f>SUM(MemberOfAssemblyAssemblyDistrict103General[[#This Row],[Total Votes by Party]])</f>
        <v>4688</v>
      </c>
    </row>
    <row r="4" spans="1:5" x14ac:dyDescent="0.2">
      <c r="A4" s="3" t="s">
        <v>586</v>
      </c>
      <c r="B4" s="26">
        <v>1347</v>
      </c>
      <c r="C4" s="26">
        <v>7872</v>
      </c>
      <c r="D4" s="25">
        <f>SUM(MemberOfAssemblyAssemblyDistrict103General[[#This Row],[Part of Dutchess County Vote Results]:[Part of Ulster County Vote Results]])</f>
        <v>9219</v>
      </c>
      <c r="E4" s="51">
        <f>SUM(MemberOfAssemblyAssemblyDistrict103General[[#This Row],[Total Votes by Party]])</f>
        <v>9219</v>
      </c>
    </row>
    <row r="5" spans="1:5" x14ac:dyDescent="0.2">
      <c r="A5" s="3" t="s">
        <v>0</v>
      </c>
      <c r="B5" s="2">
        <v>0</v>
      </c>
      <c r="C5" s="2">
        <v>10</v>
      </c>
      <c r="D5" s="8">
        <f>SUM(MemberOfAssemblyAssemblyDistrict103General[[#This Row],[Part of Dutchess County Vote Results]:[Part of Ulster County Vote Results]])</f>
        <v>10</v>
      </c>
      <c r="E5" s="10"/>
    </row>
    <row r="6" spans="1:5" x14ac:dyDescent="0.2">
      <c r="A6" s="3" t="s">
        <v>1</v>
      </c>
      <c r="B6" s="2">
        <v>5</v>
      </c>
      <c r="C6" s="2">
        <v>13</v>
      </c>
      <c r="D6" s="8">
        <f>SUM(MemberOfAssemblyAssemblyDistrict103General[[#This Row],[Part of Dutchess County Vote Results]:[Part of Ulster County Vote Results]])</f>
        <v>18</v>
      </c>
      <c r="E6" s="10"/>
    </row>
    <row r="7" spans="1:5" x14ac:dyDescent="0.2">
      <c r="A7" s="3" t="s">
        <v>6</v>
      </c>
      <c r="B7" s="2">
        <v>1</v>
      </c>
      <c r="C7" s="2">
        <v>10</v>
      </c>
      <c r="D7" s="8">
        <f>SUM(MemberOfAssemblyAssemblyDistrict103General[[#This Row],[Part of Dutchess County Vote Results]:[Part of Ulster County Vote Results]])</f>
        <v>11</v>
      </c>
      <c r="E7" s="10"/>
    </row>
    <row r="8" spans="1:5" x14ac:dyDescent="0.2">
      <c r="A8" s="11" t="s">
        <v>2</v>
      </c>
      <c r="B8" s="2">
        <f>SUM(MemberOfAssemblyAssemblyDistrict103General[Part of Dutchess County Vote Results])</f>
        <v>1902</v>
      </c>
      <c r="C8" s="2">
        <f>SUM(MemberOfAssemblyAssemblyDistrict103General[Part of Ulster County Vote Results])</f>
        <v>12044</v>
      </c>
      <c r="D8" s="8">
        <f>SUM(MemberOfAssemblyAssemblyDistrict103General[Total Votes by Party])</f>
        <v>13946</v>
      </c>
      <c r="E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ignoredErrors>
    <ignoredError sqref="E3" calculatedColumn="1"/>
  </ignoredErrors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2608C-A30C-4153-B8BF-B739FBBCAE2C}">
  <sheetPr>
    <pageSetUpPr fitToPage="1"/>
  </sheetPr>
  <dimension ref="A1:E8"/>
  <sheetViews>
    <sheetView workbookViewId="0">
      <selection activeCell="B13" sqref="B13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7" t="s">
        <v>97</v>
      </c>
    </row>
    <row r="2" spans="1:5" ht="25.5" x14ac:dyDescent="0.2">
      <c r="A2" s="4" t="s">
        <v>5</v>
      </c>
      <c r="B2" s="5" t="s">
        <v>49</v>
      </c>
      <c r="C2" s="5" t="s">
        <v>47</v>
      </c>
      <c r="D2" s="6" t="s">
        <v>3</v>
      </c>
      <c r="E2" s="7" t="s">
        <v>4</v>
      </c>
    </row>
    <row r="3" spans="1:5" x14ac:dyDescent="0.2">
      <c r="A3" s="1" t="s">
        <v>587</v>
      </c>
      <c r="B3" s="26">
        <v>2477</v>
      </c>
      <c r="C3" s="26">
        <v>2351</v>
      </c>
      <c r="D3" s="25">
        <f>SUM(MemberOfAssemblyAssemblyDistrict106General[[#This Row],[Part of Columbia County Vote Results]:[Part of Dutchess County Vote Results]])</f>
        <v>4828</v>
      </c>
      <c r="E3" s="51">
        <f>SUM(MemberOfAssemblyAssemblyDistrict106General[[#This Row],[Total Votes by Party]])</f>
        <v>4828</v>
      </c>
    </row>
    <row r="4" spans="1:5" x14ac:dyDescent="0.2">
      <c r="A4" s="1" t="s">
        <v>588</v>
      </c>
      <c r="B4" s="2">
        <v>1574</v>
      </c>
      <c r="C4" s="2">
        <v>2049</v>
      </c>
      <c r="D4" s="8">
        <f>SUM(MemberOfAssemblyAssemblyDistrict106General[[#This Row],[Part of Columbia County Vote Results]:[Part of Dutchess County Vote Results]])</f>
        <v>3623</v>
      </c>
      <c r="E4" s="9">
        <f>SUM(MemberOfAssemblyAssemblyDistrict106General[[#This Row],[Total Votes by Party]])</f>
        <v>3623</v>
      </c>
    </row>
    <row r="5" spans="1:5" x14ac:dyDescent="0.2">
      <c r="A5" s="3" t="s">
        <v>0</v>
      </c>
      <c r="B5" s="2">
        <v>3</v>
      </c>
      <c r="C5" s="2">
        <v>0</v>
      </c>
      <c r="D5" s="8">
        <f>SUM(MemberOfAssemblyAssemblyDistrict106General[[#This Row],[Part of Columbia County Vote Results]:[Part of Dutchess County Vote Results]])</f>
        <v>3</v>
      </c>
      <c r="E5" s="10"/>
    </row>
    <row r="6" spans="1:5" x14ac:dyDescent="0.2">
      <c r="A6" s="3" t="s">
        <v>1</v>
      </c>
      <c r="B6" s="2">
        <v>1</v>
      </c>
      <c r="C6" s="2">
        <v>11</v>
      </c>
      <c r="D6" s="8">
        <f>SUM(MemberOfAssemblyAssemblyDistrict106General[[#This Row],[Part of Columbia County Vote Results]:[Part of Dutchess County Vote Results]])</f>
        <v>12</v>
      </c>
      <c r="E6" s="10"/>
    </row>
    <row r="7" spans="1:5" x14ac:dyDescent="0.2">
      <c r="A7" s="3" t="s">
        <v>6</v>
      </c>
      <c r="B7" s="2">
        <v>2</v>
      </c>
      <c r="C7" s="2">
        <v>1</v>
      </c>
      <c r="D7" s="8">
        <f>SUM(MemberOfAssemblyAssemblyDistrict106General[[#This Row],[Part of Columbia County Vote Results]:[Part of Dutchess County Vote Results]])</f>
        <v>3</v>
      </c>
      <c r="E7" s="10"/>
    </row>
    <row r="8" spans="1:5" x14ac:dyDescent="0.2">
      <c r="A8" s="11" t="s">
        <v>2</v>
      </c>
      <c r="B8" s="2">
        <f>SUM(MemberOfAssemblyAssemblyDistrict106General[Part of Columbia County Vote Results])</f>
        <v>4057</v>
      </c>
      <c r="C8" s="2">
        <f>SUM(MemberOfAssemblyAssemblyDistrict106General[Part of Dutchess County Vote Results])</f>
        <v>4412</v>
      </c>
      <c r="D8" s="8">
        <f>SUM(MemberOfAssemblyAssemblyDistrict106General[Total Votes by Party])</f>
        <v>8469</v>
      </c>
      <c r="E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E76B4-1BE4-4442-8B70-DE4DAED4BCAC}">
  <sheetPr>
    <pageSetUpPr fitToPage="1"/>
  </sheetPr>
  <dimension ref="A1:G8"/>
  <sheetViews>
    <sheetView workbookViewId="0">
      <selection activeCell="F21" sqref="F21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18.75" x14ac:dyDescent="0.2">
      <c r="A1" s="17" t="s">
        <v>98</v>
      </c>
    </row>
    <row r="2" spans="1:7" ht="25.5" x14ac:dyDescent="0.2">
      <c r="A2" s="4" t="s">
        <v>5</v>
      </c>
      <c r="B2" s="5" t="s">
        <v>42</v>
      </c>
      <c r="C2" s="5" t="s">
        <v>49</v>
      </c>
      <c r="D2" s="5" t="s">
        <v>50</v>
      </c>
      <c r="E2" s="5" t="s">
        <v>51</v>
      </c>
      <c r="F2" s="6" t="s">
        <v>3</v>
      </c>
      <c r="G2" s="7" t="s">
        <v>4</v>
      </c>
    </row>
    <row r="3" spans="1:7" x14ac:dyDescent="0.2">
      <c r="A3" s="1" t="s">
        <v>589</v>
      </c>
      <c r="B3" s="2">
        <v>1968</v>
      </c>
      <c r="C3" s="2">
        <v>179</v>
      </c>
      <c r="D3" s="2">
        <v>723</v>
      </c>
      <c r="E3" s="2">
        <v>142</v>
      </c>
      <c r="F3" s="8">
        <f>SUM(MemberOfAssemblyAssemblyDistrict107General[[#This Row],[Part of Albany County Vote Results]:[Part of Washington County Vote Results]])</f>
        <v>3012</v>
      </c>
      <c r="G3" s="9">
        <f>SUM(MemberOfAssemblyAssemblyDistrict107General[[#This Row],[Total Votes by Party]])</f>
        <v>3012</v>
      </c>
    </row>
    <row r="4" spans="1:7" x14ac:dyDescent="0.2">
      <c r="A4" s="1" t="s">
        <v>590</v>
      </c>
      <c r="B4" s="26">
        <v>1652</v>
      </c>
      <c r="C4" s="26">
        <v>627</v>
      </c>
      <c r="D4" s="26">
        <v>1167</v>
      </c>
      <c r="E4" s="26">
        <v>169</v>
      </c>
      <c r="F4" s="25">
        <f>SUM(MemberOfAssemblyAssemblyDistrict107General[[#This Row],[Part of Albany County Vote Results]:[Part of Washington County Vote Results]])</f>
        <v>3615</v>
      </c>
      <c r="G4" s="51">
        <f>SUM(MemberOfAssemblyAssemblyDistrict107General[[#This Row],[Total Votes by Party]])</f>
        <v>3615</v>
      </c>
    </row>
    <row r="5" spans="1:7" x14ac:dyDescent="0.2">
      <c r="A5" s="3" t="s">
        <v>0</v>
      </c>
      <c r="B5" s="2">
        <v>161</v>
      </c>
      <c r="C5" s="2">
        <v>2</v>
      </c>
      <c r="D5" s="2">
        <v>3</v>
      </c>
      <c r="E5" s="2">
        <v>1</v>
      </c>
      <c r="F5" s="8">
        <f>SUM(MemberOfAssemblyAssemblyDistrict107General[[#This Row],[Part of Albany County Vote Results]:[Part of Washington County Vote Results]])</f>
        <v>167</v>
      </c>
      <c r="G5" s="10"/>
    </row>
    <row r="6" spans="1:7" x14ac:dyDescent="0.2">
      <c r="A6" s="3" t="s">
        <v>1</v>
      </c>
      <c r="B6" s="2">
        <v>3</v>
      </c>
      <c r="C6" s="2">
        <v>1</v>
      </c>
      <c r="D6" s="2">
        <v>9</v>
      </c>
      <c r="E6" s="2">
        <v>1</v>
      </c>
      <c r="F6" s="8">
        <f>SUM(MemberOfAssemblyAssemblyDistrict107General[[#This Row],[Part of Albany County Vote Results]:[Part of Washington County Vote Results]])</f>
        <v>14</v>
      </c>
      <c r="G6" s="10"/>
    </row>
    <row r="7" spans="1:7" x14ac:dyDescent="0.2">
      <c r="A7" s="3" t="s">
        <v>6</v>
      </c>
      <c r="B7" s="2">
        <v>19</v>
      </c>
      <c r="C7" s="2">
        <v>2</v>
      </c>
      <c r="D7" s="2">
        <v>7</v>
      </c>
      <c r="E7" s="2">
        <v>0</v>
      </c>
      <c r="F7" s="8">
        <f>SUM(MemberOfAssemblyAssemblyDistrict107General[[#This Row],[Part of Albany County Vote Results]:[Part of Washington County Vote Results]])</f>
        <v>28</v>
      </c>
      <c r="G7" s="10"/>
    </row>
    <row r="8" spans="1:7" x14ac:dyDescent="0.2">
      <c r="A8" s="11" t="s">
        <v>2</v>
      </c>
      <c r="B8" s="2">
        <f>SUM(MemberOfAssemblyAssemblyDistrict107General[Part of Albany County Vote Results])</f>
        <v>3803</v>
      </c>
      <c r="C8" s="2">
        <f>SUM(MemberOfAssemblyAssemblyDistrict107General[Part of Columbia County Vote Results])</f>
        <v>811</v>
      </c>
      <c r="D8" s="2">
        <f>SUM(MemberOfAssemblyAssemblyDistrict107General[Part of Rensselaer County Vote Results])</f>
        <v>1909</v>
      </c>
      <c r="E8" s="2">
        <f>SUM(MemberOfAssemblyAssemblyDistrict107General[Part of Washington County Vote Results])</f>
        <v>313</v>
      </c>
      <c r="F8" s="8">
        <f>SUM(MemberOfAssemblyAssemblyDistrict107General[Total Votes by Party])</f>
        <v>6836</v>
      </c>
      <c r="G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1E228-0278-4314-8C11-E00CDA439DB2}">
  <sheetPr>
    <pageSetUpPr fitToPage="1"/>
  </sheetPr>
  <dimension ref="A1:D12"/>
  <sheetViews>
    <sheetView workbookViewId="0">
      <selection activeCell="B3" sqref="B3:C3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99</v>
      </c>
    </row>
    <row r="2" spans="1:4" ht="25.5" x14ac:dyDescent="0.2">
      <c r="A2" s="4" t="s">
        <v>5</v>
      </c>
      <c r="B2" s="5" t="s">
        <v>42</v>
      </c>
      <c r="C2" s="6" t="s">
        <v>3</v>
      </c>
      <c r="D2" s="7" t="s">
        <v>4</v>
      </c>
    </row>
    <row r="3" spans="1:4" x14ac:dyDescent="0.2">
      <c r="A3" s="1" t="s">
        <v>615</v>
      </c>
      <c r="B3" s="26">
        <v>3455</v>
      </c>
      <c r="C3" s="25">
        <f>MemberOfAssemblyAssemblyDistrict109General[[#This Row],[Part of Albany County Vote Results]]</f>
        <v>3455</v>
      </c>
      <c r="D3" s="51">
        <f>SUM(MemberOfAssemblyAssemblyDistrict109General[[#This Row],[Total Votes by Party]])</f>
        <v>3455</v>
      </c>
    </row>
    <row r="4" spans="1:4" x14ac:dyDescent="0.2">
      <c r="A4" s="1" t="s">
        <v>616</v>
      </c>
      <c r="B4" s="2">
        <v>1671</v>
      </c>
      <c r="C4" s="8">
        <f>MemberOfAssemblyAssemblyDistrict109General[[#This Row],[Part of Albany County Vote Results]]</f>
        <v>1671</v>
      </c>
      <c r="D4" s="9">
        <f>SUM(MemberOfAssemblyAssemblyDistrict109General[[#This Row],[Total Votes by Party]])</f>
        <v>1671</v>
      </c>
    </row>
    <row r="5" spans="1:4" x14ac:dyDescent="0.2">
      <c r="A5" s="1" t="s">
        <v>617</v>
      </c>
      <c r="B5" s="2">
        <v>2439</v>
      </c>
      <c r="C5" s="8">
        <f>MemberOfAssemblyAssemblyDistrict109General[[#This Row],[Part of Albany County Vote Results]]</f>
        <v>2439</v>
      </c>
      <c r="D5" s="9">
        <f>SUM(MemberOfAssemblyAssemblyDistrict109General[[#This Row],[Total Votes by Party]])</f>
        <v>2439</v>
      </c>
    </row>
    <row r="6" spans="1:4" x14ac:dyDescent="0.2">
      <c r="A6" s="1" t="s">
        <v>618</v>
      </c>
      <c r="B6" s="2">
        <v>1961</v>
      </c>
      <c r="C6" s="8">
        <f>MemberOfAssemblyAssemblyDistrict109General[[#This Row],[Part of Albany County Vote Results]]</f>
        <v>1961</v>
      </c>
      <c r="D6" s="9">
        <f>SUM(MemberOfAssemblyAssemblyDistrict109General[[#This Row],[Total Votes by Party]])</f>
        <v>1961</v>
      </c>
    </row>
    <row r="7" spans="1:4" x14ac:dyDescent="0.2">
      <c r="A7" s="1" t="s">
        <v>619</v>
      </c>
      <c r="B7" s="2">
        <v>1040</v>
      </c>
      <c r="C7" s="8">
        <f>MemberOfAssemblyAssemblyDistrict109General[[#This Row],[Part of Albany County Vote Results]]</f>
        <v>1040</v>
      </c>
      <c r="D7" s="9">
        <f>SUM(MemberOfAssemblyAssemblyDistrict109General[[#This Row],[Total Votes by Party]])</f>
        <v>1040</v>
      </c>
    </row>
    <row r="8" spans="1:4" x14ac:dyDescent="0.2">
      <c r="A8" s="1" t="s">
        <v>620</v>
      </c>
      <c r="B8" s="2">
        <v>923</v>
      </c>
      <c r="C8" s="8">
        <f>MemberOfAssemblyAssemblyDistrict109General[[#This Row],[Part of Albany County Vote Results]]</f>
        <v>923</v>
      </c>
      <c r="D8" s="9">
        <f>SUM(MemberOfAssemblyAssemblyDistrict109General[[#This Row],[Total Votes by Party]])</f>
        <v>923</v>
      </c>
    </row>
    <row r="9" spans="1:4" x14ac:dyDescent="0.2">
      <c r="A9" s="3" t="s">
        <v>0</v>
      </c>
      <c r="B9" s="2">
        <v>161</v>
      </c>
      <c r="C9" s="8">
        <f>MemberOfAssemblyAssemblyDistrict109General[[#This Row],[Part of Albany County Vote Results]]</f>
        <v>161</v>
      </c>
      <c r="D9" s="10"/>
    </row>
    <row r="10" spans="1:4" x14ac:dyDescent="0.2">
      <c r="A10" s="3" t="s">
        <v>1</v>
      </c>
      <c r="B10" s="2">
        <v>85</v>
      </c>
      <c r="C10" s="8">
        <f>MemberOfAssemblyAssemblyDistrict109General[[#This Row],[Part of Albany County Vote Results]]</f>
        <v>85</v>
      </c>
      <c r="D10" s="10"/>
    </row>
    <row r="11" spans="1:4" x14ac:dyDescent="0.2">
      <c r="A11" s="3" t="s">
        <v>6</v>
      </c>
      <c r="B11" s="2">
        <v>96</v>
      </c>
      <c r="C11" s="8">
        <f>MemberOfAssemblyAssemblyDistrict109General[[#This Row],[Part of Albany County Vote Results]]</f>
        <v>96</v>
      </c>
      <c r="D11" s="10"/>
    </row>
    <row r="12" spans="1:4" x14ac:dyDescent="0.2">
      <c r="A12" s="11" t="s">
        <v>2</v>
      </c>
      <c r="B12" s="2">
        <f>SUM(MemberOfAssemblyAssemblyDistrict109General[Part of Albany County Vote Results])</f>
        <v>11831</v>
      </c>
      <c r="C12" s="8">
        <f>SUM(MemberOfAssemblyAssemblyDistrict109General[Total Votes by Party])</f>
        <v>11831</v>
      </c>
      <c r="D12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224C6-B223-45A3-8CDA-F2F6DA4651F7}">
  <sheetPr>
    <pageSetUpPr fitToPage="1"/>
  </sheetPr>
  <dimension ref="A1:D8"/>
  <sheetViews>
    <sheetView workbookViewId="0">
      <selection activeCell="B11" sqref="B11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7" t="s">
        <v>100</v>
      </c>
    </row>
    <row r="2" spans="1:4" ht="25.5" x14ac:dyDescent="0.2">
      <c r="A2" s="4" t="s">
        <v>5</v>
      </c>
      <c r="B2" s="5" t="s">
        <v>54</v>
      </c>
      <c r="C2" s="6" t="s">
        <v>3</v>
      </c>
      <c r="D2" s="7" t="s">
        <v>4</v>
      </c>
    </row>
    <row r="3" spans="1:4" x14ac:dyDescent="0.2">
      <c r="A3" s="22" t="s">
        <v>621</v>
      </c>
      <c r="B3" s="2">
        <v>1765</v>
      </c>
      <c r="C3" s="8">
        <f>MemberOfAssemblyAssemblyDistrict137General[[#This Row],[Part of Monroe County Vote Results]]</f>
        <v>1765</v>
      </c>
      <c r="D3" s="9">
        <f>SUM(MemberOfAssemblyAssemblyDistrict137General[[#This Row],[Total Votes by Party]])</f>
        <v>1765</v>
      </c>
    </row>
    <row r="4" spans="1:4" x14ac:dyDescent="0.2">
      <c r="A4" s="1" t="s">
        <v>622</v>
      </c>
      <c r="B4" s="26">
        <v>3467</v>
      </c>
      <c r="C4" s="25">
        <f>MemberOfAssemblyAssemblyDistrict137General[[#This Row],[Part of Monroe County Vote Results]]</f>
        <v>3467</v>
      </c>
      <c r="D4" s="51">
        <f>SUM(MemberOfAssemblyAssemblyDistrict137General[[#This Row],[Total Votes by Party]])</f>
        <v>3467</v>
      </c>
    </row>
    <row r="5" spans="1:4" x14ac:dyDescent="0.2">
      <c r="A5" s="3" t="s">
        <v>0</v>
      </c>
      <c r="B5" s="2">
        <v>65</v>
      </c>
      <c r="C5" s="8">
        <f>MemberOfAssemblyAssemblyDistrict137General[[#This Row],[Part of Monroe County Vote Results]]</f>
        <v>65</v>
      </c>
      <c r="D5" s="10"/>
    </row>
    <row r="6" spans="1:4" x14ac:dyDescent="0.2">
      <c r="A6" s="3" t="s">
        <v>1</v>
      </c>
      <c r="B6" s="2">
        <v>28</v>
      </c>
      <c r="C6" s="8">
        <f>MemberOfAssemblyAssemblyDistrict137General[[#This Row],[Part of Monroe County Vote Results]]</f>
        <v>28</v>
      </c>
      <c r="D6" s="10"/>
    </row>
    <row r="7" spans="1:4" x14ac:dyDescent="0.2">
      <c r="A7" s="3" t="s">
        <v>6</v>
      </c>
      <c r="B7" s="2">
        <v>2</v>
      </c>
      <c r="C7" s="8">
        <f>MemberOfAssemblyAssemblyDistrict137General[[#This Row],[Part of Monroe County Vote Results]]</f>
        <v>2</v>
      </c>
      <c r="D7" s="10"/>
    </row>
    <row r="8" spans="1:4" x14ac:dyDescent="0.2">
      <c r="A8" s="11" t="s">
        <v>2</v>
      </c>
      <c r="B8" s="2">
        <f>SUM(MemberOfAssemblyAssemblyDistrict137General[Part of Monroe County Vote Results])</f>
        <v>5327</v>
      </c>
      <c r="C8" s="8">
        <f>SUM(MemberOfAssemblyAssemblyDistrict137General[Total Votes by Party])</f>
        <v>5327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5396F-677A-4C8C-9BB3-24BC6DEA42A3}">
  <sheetPr>
    <pageSetUpPr fitToPage="1"/>
  </sheetPr>
  <dimension ref="A1:E8"/>
  <sheetViews>
    <sheetView workbookViewId="0">
      <selection activeCell="C18" sqref="C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7" t="s">
        <v>103</v>
      </c>
    </row>
    <row r="2" spans="1:5" ht="25.5" x14ac:dyDescent="0.2">
      <c r="A2" s="4" t="s">
        <v>5</v>
      </c>
      <c r="B2" s="24" t="s">
        <v>52</v>
      </c>
      <c r="C2" s="5" t="s">
        <v>53</v>
      </c>
      <c r="D2" s="6" t="s">
        <v>3</v>
      </c>
      <c r="E2" s="7" t="s">
        <v>4</v>
      </c>
    </row>
    <row r="3" spans="1:5" x14ac:dyDescent="0.2">
      <c r="A3" s="1" t="s">
        <v>591</v>
      </c>
      <c r="B3" s="26">
        <v>4412</v>
      </c>
      <c r="C3" s="26">
        <v>1300</v>
      </c>
      <c r="D3" s="25">
        <f>SUM(MemberOfAssemblyAssemblyDistrict147General[[#This Row],[Part of Erie County Vote Results]:[Part of Wyoming County Vote Results]])</f>
        <v>5712</v>
      </c>
      <c r="E3" s="51">
        <f>SUM(MemberOfAssemblyAssemblyDistrict147General[[#This Row],[Total Votes by Party]])</f>
        <v>5712</v>
      </c>
    </row>
    <row r="4" spans="1:5" x14ac:dyDescent="0.2">
      <c r="A4" s="1" t="s">
        <v>592</v>
      </c>
      <c r="B4" s="2">
        <v>966</v>
      </c>
      <c r="C4" s="2">
        <v>324</v>
      </c>
      <c r="D4" s="8">
        <f>SUM(MemberOfAssemblyAssemblyDistrict147General[[#This Row],[Part of Erie County Vote Results]:[Part of Wyoming County Vote Results]])</f>
        <v>1290</v>
      </c>
      <c r="E4" s="9">
        <f>SUM(MemberOfAssemblyAssemblyDistrict147General[[#This Row],[Total Votes by Party]])</f>
        <v>1290</v>
      </c>
    </row>
    <row r="5" spans="1:5" x14ac:dyDescent="0.2">
      <c r="A5" s="3" t="s">
        <v>0</v>
      </c>
      <c r="B5" s="2">
        <v>31</v>
      </c>
      <c r="C5" s="2">
        <v>30</v>
      </c>
      <c r="D5" s="8">
        <f>SUM(MemberOfAssemblyAssemblyDistrict147General[[#This Row],[Part of Erie County Vote Results]:[Part of Wyoming County Vote Results]])</f>
        <v>61</v>
      </c>
      <c r="E5" s="10"/>
    </row>
    <row r="6" spans="1:5" x14ac:dyDescent="0.2">
      <c r="A6" s="3" t="s">
        <v>1</v>
      </c>
      <c r="B6" s="2">
        <v>12</v>
      </c>
      <c r="C6" s="2">
        <v>3</v>
      </c>
      <c r="D6" s="8">
        <f>SUM(MemberOfAssemblyAssemblyDistrict147General[[#This Row],[Part of Erie County Vote Results]:[Part of Wyoming County Vote Results]])</f>
        <v>15</v>
      </c>
      <c r="E6" s="10"/>
    </row>
    <row r="7" spans="1:5" x14ac:dyDescent="0.2">
      <c r="A7" s="3" t="s">
        <v>6</v>
      </c>
      <c r="B7" s="2">
        <v>12</v>
      </c>
      <c r="C7" s="2">
        <v>1</v>
      </c>
      <c r="D7" s="8">
        <f>SUM(MemberOfAssemblyAssemblyDistrict147General[[#This Row],[Part of Erie County Vote Results]:[Part of Wyoming County Vote Results]])</f>
        <v>13</v>
      </c>
      <c r="E7" s="10"/>
    </row>
    <row r="8" spans="1:5" x14ac:dyDescent="0.2">
      <c r="A8" s="11" t="s">
        <v>2</v>
      </c>
      <c r="B8" s="2">
        <f>SUM(MemberOfAssemblyAssemblyDistrict147General[Part of Erie County Vote Results])</f>
        <v>5433</v>
      </c>
      <c r="C8" s="2">
        <f>SUM(MemberOfAssemblyAssemblyDistrict147General[Part of Wyoming County Vote Results])</f>
        <v>1658</v>
      </c>
      <c r="D8" s="8">
        <f>SUM(MemberOfAssemblyAssemblyDistrict147General[Total Votes by Party])</f>
        <v>7091</v>
      </c>
      <c r="E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A3A7-BD7E-4120-AE11-B00BACF4FF6A}">
  <sheetPr>
    <pageSetUpPr fitToPage="1"/>
  </sheetPr>
  <dimension ref="A1:E8"/>
  <sheetViews>
    <sheetView workbookViewId="0">
      <selection activeCell="B8" sqref="B8"/>
    </sheetView>
  </sheetViews>
  <sheetFormatPr defaultRowHeight="12.75" x14ac:dyDescent="0.2"/>
  <cols>
    <col min="1" max="1" width="27.85546875" customWidth="1"/>
    <col min="2" max="2" width="22.85546875" customWidth="1"/>
    <col min="3" max="4" width="20.5703125" customWidth="1"/>
    <col min="5" max="6" width="23.5703125" customWidth="1"/>
  </cols>
  <sheetData>
    <row r="1" spans="1:5" ht="51" customHeight="1" x14ac:dyDescent="0.2">
      <c r="A1" s="58" t="s">
        <v>650</v>
      </c>
      <c r="B1" s="58"/>
      <c r="C1" s="58"/>
      <c r="D1" s="58"/>
      <c r="E1" s="58"/>
    </row>
    <row r="2" spans="1:5" ht="25.5" x14ac:dyDescent="0.2">
      <c r="A2" s="4" t="s">
        <v>5</v>
      </c>
      <c r="B2" s="5" t="s">
        <v>21</v>
      </c>
      <c r="C2" s="6" t="s">
        <v>3</v>
      </c>
      <c r="D2" s="7" t="s">
        <v>4</v>
      </c>
    </row>
    <row r="3" spans="1:5" x14ac:dyDescent="0.2">
      <c r="A3" s="1" t="s">
        <v>651</v>
      </c>
      <c r="B3" s="2">
        <v>532</v>
      </c>
      <c r="C3" s="8">
        <f>MemberOfAssemblyAssemblyDistrict84General5524[[#This Row],[Part of Westchester County Vote Results]]</f>
        <v>532</v>
      </c>
      <c r="D3" s="9">
        <f>SUM(MemberOfAssemblyAssemblyDistrict84General5524[[#This Row],[Total Votes by Party]])</f>
        <v>532</v>
      </c>
    </row>
    <row r="4" spans="1:5" x14ac:dyDescent="0.2">
      <c r="A4" s="1" t="s">
        <v>652</v>
      </c>
      <c r="B4" s="2">
        <v>1303</v>
      </c>
      <c r="C4" s="8">
        <f>MemberOfAssemblyAssemblyDistrict84General5524[[#This Row],[Part of Westchester County Vote Results]]</f>
        <v>1303</v>
      </c>
      <c r="D4" s="9">
        <f>SUM(MemberOfAssemblyAssemblyDistrict84General5524[[#This Row],[Total Votes by Party]])</f>
        <v>1303</v>
      </c>
    </row>
    <row r="5" spans="1:5" x14ac:dyDescent="0.2">
      <c r="A5" s="3" t="s">
        <v>0</v>
      </c>
      <c r="B5" s="2">
        <v>274</v>
      </c>
      <c r="C5" s="8">
        <f>MemberOfAssemblyAssemblyDistrict84General5524[[#This Row],[Part of Westchester County Vote Results]]</f>
        <v>274</v>
      </c>
      <c r="D5" s="10"/>
    </row>
    <row r="6" spans="1:5" x14ac:dyDescent="0.2">
      <c r="A6" s="3" t="s">
        <v>1</v>
      </c>
      <c r="B6" s="2"/>
      <c r="C6" s="8">
        <f>MemberOfAssemblyAssemblyDistrict84General5524[[#This Row],[Part of Westchester County Vote Results]]</f>
        <v>0</v>
      </c>
      <c r="D6" s="10"/>
    </row>
    <row r="7" spans="1:5" x14ac:dyDescent="0.2">
      <c r="A7" s="3" t="s">
        <v>6</v>
      </c>
      <c r="B7" s="2">
        <v>5</v>
      </c>
      <c r="C7" s="8">
        <f>MemberOfAssemblyAssemblyDistrict84General5524[[#This Row],[Part of Westchester County Vote Results]]</f>
        <v>5</v>
      </c>
      <c r="D7" s="10"/>
    </row>
    <row r="8" spans="1:5" x14ac:dyDescent="0.2">
      <c r="A8" s="11" t="s">
        <v>2</v>
      </c>
      <c r="B8" s="2">
        <f>SUM(MemberOfAssemblyAssemblyDistrict84General5524[Part of Westchester County Vote Results])</f>
        <v>2114</v>
      </c>
      <c r="C8" s="8">
        <f>SUM(MemberOfAssemblyAssemblyDistrict84General5524[Total Votes by Party])</f>
        <v>2114</v>
      </c>
      <c r="D8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E71E0-AB73-4595-A2F2-D6412BC80D8A}">
  <sheetPr>
    <pageSetUpPr fitToPage="1"/>
  </sheetPr>
  <dimension ref="A1:E36"/>
  <sheetViews>
    <sheetView workbookViewId="0">
      <selection activeCell="A3" sqref="A3"/>
    </sheetView>
  </sheetViews>
  <sheetFormatPr defaultRowHeight="12.75" x14ac:dyDescent="0.2"/>
  <cols>
    <col min="1" max="1" width="25.5703125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5" ht="51" customHeight="1" x14ac:dyDescent="0.2">
      <c r="A1" s="59" t="s">
        <v>137</v>
      </c>
      <c r="B1" s="59"/>
      <c r="C1" s="59"/>
      <c r="D1" s="59"/>
      <c r="E1" s="59"/>
    </row>
    <row r="2" spans="1:5" ht="25.5" x14ac:dyDescent="0.2">
      <c r="A2" s="29" t="s">
        <v>5</v>
      </c>
      <c r="B2" s="30" t="s">
        <v>19</v>
      </c>
      <c r="C2" s="31" t="s">
        <v>3</v>
      </c>
      <c r="D2" s="32" t="s">
        <v>4</v>
      </c>
    </row>
    <row r="3" spans="1:5" x14ac:dyDescent="0.2">
      <c r="A3" s="42" t="s">
        <v>643</v>
      </c>
      <c r="B3" s="34"/>
      <c r="C3" s="44">
        <f>MemberOfAssemblyAssemblyDistrict68General43[[#This Row],[Part of New York County Vote Results]]</f>
        <v>0</v>
      </c>
      <c r="D3" s="36">
        <f>SUM(MemberOfAssemblyAssemblyDistrict68General43[[#This Row],[Total Votes by Party]])</f>
        <v>0</v>
      </c>
    </row>
    <row r="4" spans="1:5" x14ac:dyDescent="0.2">
      <c r="A4" s="42" t="s">
        <v>138</v>
      </c>
      <c r="B4" s="34"/>
      <c r="C4" s="44">
        <f>MemberOfAssemblyAssemblyDistrict68General43[[#This Row],[Part of New York County Vote Results]]</f>
        <v>0</v>
      </c>
      <c r="D4" s="36">
        <f>SUM(MemberOfAssemblyAssemblyDistrict68General43[[#This Row],[Total Votes by Party]])</f>
        <v>0</v>
      </c>
    </row>
    <row r="5" spans="1:5" x14ac:dyDescent="0.2">
      <c r="A5" s="42" t="s">
        <v>139</v>
      </c>
      <c r="B5" s="34"/>
      <c r="C5" s="44">
        <f>MemberOfAssemblyAssemblyDistrict68General43[[#This Row],[Part of New York County Vote Results]]</f>
        <v>0</v>
      </c>
      <c r="D5" s="36">
        <f>SUM(MemberOfAssemblyAssemblyDistrict68General43[[#This Row],[Total Votes by Party]])</f>
        <v>0</v>
      </c>
    </row>
    <row r="6" spans="1:5" x14ac:dyDescent="0.2">
      <c r="A6" s="42" t="s">
        <v>140</v>
      </c>
      <c r="B6" s="34"/>
      <c r="C6" s="44">
        <f>MemberOfAssemblyAssemblyDistrict68General43[[#This Row],[Part of New York County Vote Results]]</f>
        <v>0</v>
      </c>
      <c r="D6" s="36">
        <f>SUM(MemberOfAssemblyAssemblyDistrict68General43[[#This Row],[Total Votes by Party]])</f>
        <v>0</v>
      </c>
    </row>
    <row r="7" spans="1:5" x14ac:dyDescent="0.2">
      <c r="A7" s="42" t="s">
        <v>141</v>
      </c>
      <c r="B7" s="34"/>
      <c r="C7" s="44">
        <f>MemberOfAssemblyAssemblyDistrict68General43[[#This Row],[Part of New York County Vote Results]]</f>
        <v>0</v>
      </c>
      <c r="D7" s="36">
        <f>SUM(MemberOfAssemblyAssemblyDistrict68General43[[#This Row],[Total Votes by Party]])</f>
        <v>0</v>
      </c>
    </row>
    <row r="8" spans="1:5" x14ac:dyDescent="0.2">
      <c r="A8" s="42" t="s">
        <v>142</v>
      </c>
      <c r="B8" s="34"/>
      <c r="C8" s="44">
        <f>MemberOfAssemblyAssemblyDistrict68General43[[#This Row],[Part of New York County Vote Results]]</f>
        <v>0</v>
      </c>
      <c r="D8" s="36">
        <f>SUM(MemberOfAssemblyAssemblyDistrict68General43[[#This Row],[Total Votes by Party]])</f>
        <v>0</v>
      </c>
    </row>
    <row r="9" spans="1:5" x14ac:dyDescent="0.2">
      <c r="A9" s="42" t="s">
        <v>143</v>
      </c>
      <c r="B9" s="34"/>
      <c r="C9" s="44">
        <f>MemberOfAssemblyAssemblyDistrict68General43[[#This Row],[Part of New York County Vote Results]]</f>
        <v>0</v>
      </c>
      <c r="D9" s="36">
        <f>SUM(MemberOfAssemblyAssemblyDistrict68General43[[#This Row],[Total Votes by Party]])</f>
        <v>0</v>
      </c>
    </row>
    <row r="10" spans="1:5" x14ac:dyDescent="0.2">
      <c r="A10" s="42" t="s">
        <v>144</v>
      </c>
      <c r="B10" s="34"/>
      <c r="C10" s="44">
        <f>MemberOfAssemblyAssemblyDistrict68General43[[#This Row],[Part of New York County Vote Results]]</f>
        <v>0</v>
      </c>
      <c r="D10" s="36">
        <f>SUM(MemberOfAssemblyAssemblyDistrict68General43[[#This Row],[Total Votes by Party]])</f>
        <v>0</v>
      </c>
    </row>
    <row r="11" spans="1:5" x14ac:dyDescent="0.2">
      <c r="A11" s="42" t="s">
        <v>145</v>
      </c>
      <c r="B11" s="34"/>
      <c r="C11" s="44">
        <f>MemberOfAssemblyAssemblyDistrict68General43[[#This Row],[Part of New York County Vote Results]]</f>
        <v>0</v>
      </c>
      <c r="D11" s="36">
        <f>SUM(MemberOfAssemblyAssemblyDistrict68General43[[#This Row],[Total Votes by Party]])</f>
        <v>0</v>
      </c>
    </row>
    <row r="12" spans="1:5" x14ac:dyDescent="0.2">
      <c r="A12" s="42" t="s">
        <v>146</v>
      </c>
      <c r="B12" s="34"/>
      <c r="C12" s="44">
        <f>MemberOfAssemblyAssemblyDistrict68General43[[#This Row],[Part of New York County Vote Results]]</f>
        <v>0</v>
      </c>
      <c r="D12" s="36">
        <f>SUM(MemberOfAssemblyAssemblyDistrict68General43[[#This Row],[Total Votes by Party]])</f>
        <v>0</v>
      </c>
    </row>
    <row r="13" spans="1:5" x14ac:dyDescent="0.2">
      <c r="A13" s="42" t="s">
        <v>147</v>
      </c>
      <c r="B13" s="34"/>
      <c r="C13" s="44">
        <f>MemberOfAssemblyAssemblyDistrict68General43[[#This Row],[Part of New York County Vote Results]]</f>
        <v>0</v>
      </c>
      <c r="D13" s="36">
        <f>SUM(MemberOfAssemblyAssemblyDistrict68General43[[#This Row],[Total Votes by Party]])</f>
        <v>0</v>
      </c>
    </row>
    <row r="14" spans="1:5" x14ac:dyDescent="0.2">
      <c r="A14" s="42" t="s">
        <v>148</v>
      </c>
      <c r="B14" s="34"/>
      <c r="C14" s="44">
        <f>MemberOfAssemblyAssemblyDistrict68General43[[#This Row],[Part of New York County Vote Results]]</f>
        <v>0</v>
      </c>
      <c r="D14" s="36">
        <f>SUM(MemberOfAssemblyAssemblyDistrict68General43[[#This Row],[Total Votes by Party]])</f>
        <v>0</v>
      </c>
    </row>
    <row r="15" spans="1:5" x14ac:dyDescent="0.2">
      <c r="A15" s="42" t="s">
        <v>149</v>
      </c>
      <c r="B15" s="34"/>
      <c r="C15" s="44">
        <f>MemberOfAssemblyAssemblyDistrict68General43[[#This Row],[Part of New York County Vote Results]]</f>
        <v>0</v>
      </c>
      <c r="D15" s="36">
        <f>SUM(MemberOfAssemblyAssemblyDistrict68General43[[#This Row],[Total Votes by Party]])</f>
        <v>0</v>
      </c>
    </row>
    <row r="16" spans="1:5" x14ac:dyDescent="0.2">
      <c r="A16" s="42" t="s">
        <v>150</v>
      </c>
      <c r="B16" s="34"/>
      <c r="C16" s="44">
        <f>MemberOfAssemblyAssemblyDistrict68General43[[#This Row],[Part of New York County Vote Results]]</f>
        <v>0</v>
      </c>
      <c r="D16" s="36">
        <f>SUM(MemberOfAssemblyAssemblyDistrict68General43[[#This Row],[Total Votes by Party]])</f>
        <v>0</v>
      </c>
    </row>
    <row r="17" spans="1:4" x14ac:dyDescent="0.2">
      <c r="A17" s="42" t="s">
        <v>151</v>
      </c>
      <c r="B17" s="34"/>
      <c r="C17" s="44">
        <f>MemberOfAssemblyAssemblyDistrict68General43[[#This Row],[Part of New York County Vote Results]]</f>
        <v>0</v>
      </c>
      <c r="D17" s="36">
        <f>SUM(MemberOfAssemblyAssemblyDistrict68General43[[#This Row],[Total Votes by Party]])</f>
        <v>0</v>
      </c>
    </row>
    <row r="18" spans="1:4" x14ac:dyDescent="0.2">
      <c r="A18" s="42" t="s">
        <v>152</v>
      </c>
      <c r="B18" s="34"/>
      <c r="C18" s="44">
        <f>MemberOfAssemblyAssemblyDistrict68General43[[#This Row],[Part of New York County Vote Results]]</f>
        <v>0</v>
      </c>
      <c r="D18" s="36">
        <f>SUM(MemberOfAssemblyAssemblyDistrict68General43[[#This Row],[Total Votes by Party]])</f>
        <v>0</v>
      </c>
    </row>
    <row r="19" spans="1:4" x14ac:dyDescent="0.2">
      <c r="A19" s="42" t="s">
        <v>153</v>
      </c>
      <c r="B19" s="34"/>
      <c r="C19" s="44">
        <f>MemberOfAssemblyAssemblyDistrict68General43[[#This Row],[Part of New York County Vote Results]]</f>
        <v>0</v>
      </c>
      <c r="D19" s="36">
        <f>SUM(MemberOfAssemblyAssemblyDistrict68General43[[#This Row],[Total Votes by Party]])</f>
        <v>0</v>
      </c>
    </row>
    <row r="20" spans="1:4" x14ac:dyDescent="0.2">
      <c r="A20" s="42" t="s">
        <v>154</v>
      </c>
      <c r="B20" s="34"/>
      <c r="C20" s="44">
        <f>MemberOfAssemblyAssemblyDistrict68General43[[#This Row],[Part of New York County Vote Results]]</f>
        <v>0</v>
      </c>
      <c r="D20" s="36">
        <f>SUM(MemberOfAssemblyAssemblyDistrict68General43[[#This Row],[Total Votes by Party]])</f>
        <v>0</v>
      </c>
    </row>
    <row r="21" spans="1:4" x14ac:dyDescent="0.2">
      <c r="A21" s="42" t="s">
        <v>155</v>
      </c>
      <c r="B21" s="34"/>
      <c r="C21" s="44">
        <f>MemberOfAssemblyAssemblyDistrict68General43[[#This Row],[Part of New York County Vote Results]]</f>
        <v>0</v>
      </c>
      <c r="D21" s="36">
        <f>SUM(MemberOfAssemblyAssemblyDistrict68General43[[#This Row],[Total Votes by Party]])</f>
        <v>0</v>
      </c>
    </row>
    <row r="22" spans="1:4" x14ac:dyDescent="0.2">
      <c r="A22" s="42" t="s">
        <v>156</v>
      </c>
      <c r="B22" s="34"/>
      <c r="C22" s="44">
        <f>MemberOfAssemblyAssemblyDistrict68General43[[#This Row],[Part of New York County Vote Results]]</f>
        <v>0</v>
      </c>
      <c r="D22" s="36">
        <f>SUM(MemberOfAssemblyAssemblyDistrict68General43[[#This Row],[Total Votes by Party]])</f>
        <v>0</v>
      </c>
    </row>
    <row r="23" spans="1:4" x14ac:dyDescent="0.2">
      <c r="A23" s="42" t="s">
        <v>157</v>
      </c>
      <c r="B23" s="34"/>
      <c r="C23" s="44">
        <f>MemberOfAssemblyAssemblyDistrict68General43[[#This Row],[Part of New York County Vote Results]]</f>
        <v>0</v>
      </c>
      <c r="D23" s="36">
        <f>SUM(MemberOfAssemblyAssemblyDistrict68General43[[#This Row],[Total Votes by Party]])</f>
        <v>0</v>
      </c>
    </row>
    <row r="24" spans="1:4" x14ac:dyDescent="0.2">
      <c r="A24" s="42" t="s">
        <v>158</v>
      </c>
      <c r="B24" s="34"/>
      <c r="C24" s="44">
        <f>MemberOfAssemblyAssemblyDistrict68General43[[#This Row],[Part of New York County Vote Results]]</f>
        <v>0</v>
      </c>
      <c r="D24" s="36">
        <f>SUM(MemberOfAssemblyAssemblyDistrict68General43[[#This Row],[Total Votes by Party]])</f>
        <v>0</v>
      </c>
    </row>
    <row r="25" spans="1:4" x14ac:dyDescent="0.2">
      <c r="A25" s="42" t="s">
        <v>159</v>
      </c>
      <c r="B25" s="34"/>
      <c r="C25" s="44">
        <f>MemberOfAssemblyAssemblyDistrict68General43[[#This Row],[Part of New York County Vote Results]]</f>
        <v>0</v>
      </c>
      <c r="D25" s="36">
        <f>SUM(MemberOfAssemblyAssemblyDistrict68General43[[#This Row],[Total Votes by Party]])</f>
        <v>0</v>
      </c>
    </row>
    <row r="26" spans="1:4" x14ac:dyDescent="0.2">
      <c r="A26" s="42" t="s">
        <v>160</v>
      </c>
      <c r="B26" s="34"/>
      <c r="C26" s="44">
        <f>MemberOfAssemblyAssemblyDistrict68General43[[#This Row],[Part of New York County Vote Results]]</f>
        <v>0</v>
      </c>
      <c r="D26" s="36">
        <f>SUM(MemberOfAssemblyAssemblyDistrict68General43[[#This Row],[Total Votes by Party]])</f>
        <v>0</v>
      </c>
    </row>
    <row r="27" spans="1:4" x14ac:dyDescent="0.2">
      <c r="A27" s="42" t="s">
        <v>161</v>
      </c>
      <c r="B27" s="34"/>
      <c r="C27" s="44">
        <f>MemberOfAssemblyAssemblyDistrict68General43[[#This Row],[Part of New York County Vote Results]]</f>
        <v>0</v>
      </c>
      <c r="D27" s="36">
        <f>SUM(MemberOfAssemblyAssemblyDistrict68General43[[#This Row],[Total Votes by Party]])</f>
        <v>0</v>
      </c>
    </row>
    <row r="28" spans="1:4" x14ac:dyDescent="0.2">
      <c r="A28" s="42" t="s">
        <v>162</v>
      </c>
      <c r="B28" s="34"/>
      <c r="C28" s="44">
        <f>MemberOfAssemblyAssemblyDistrict68General43[[#This Row],[Part of New York County Vote Results]]</f>
        <v>0</v>
      </c>
      <c r="D28" s="36">
        <f>SUM(MemberOfAssemblyAssemblyDistrict68General43[[#This Row],[Total Votes by Party]])</f>
        <v>0</v>
      </c>
    </row>
    <row r="29" spans="1:4" x14ac:dyDescent="0.2">
      <c r="A29" s="42" t="s">
        <v>163</v>
      </c>
      <c r="B29" s="34"/>
      <c r="C29" s="43">
        <f>MemberOfAssemblyAssemblyDistrict68General43[[#This Row],[Part of New York County Vote Results]]</f>
        <v>0</v>
      </c>
      <c r="D29" s="36">
        <f>SUM(MemberOfAssemblyAssemblyDistrict68General43[[#This Row],[Total Votes by Party]])</f>
        <v>0</v>
      </c>
    </row>
    <row r="30" spans="1:4" x14ac:dyDescent="0.2">
      <c r="A30" s="42" t="s">
        <v>164</v>
      </c>
      <c r="B30" s="34"/>
      <c r="C30" s="43">
        <f>MemberOfAssemblyAssemblyDistrict68General43[[#This Row],[Part of New York County Vote Results]]</f>
        <v>0</v>
      </c>
      <c r="D30" s="36">
        <f>SUM(MemberOfAssemblyAssemblyDistrict68General43[[#This Row],[Total Votes by Party]])</f>
        <v>0</v>
      </c>
    </row>
    <row r="31" spans="1:4" x14ac:dyDescent="0.2">
      <c r="A31" s="33" t="s">
        <v>165</v>
      </c>
      <c r="B31" s="34"/>
      <c r="C31" s="35">
        <f>MemberOfAssemblyAssemblyDistrict68General43[[#This Row],[Part of New York County Vote Results]]</f>
        <v>0</v>
      </c>
      <c r="D31" s="36">
        <f>SUM(MemberOfAssemblyAssemblyDistrict68General43[[#This Row],[Total Votes by Party]])</f>
        <v>0</v>
      </c>
    </row>
    <row r="32" spans="1:4" x14ac:dyDescent="0.2">
      <c r="A32" s="33" t="s">
        <v>166</v>
      </c>
      <c r="B32" s="34"/>
      <c r="C32" s="35">
        <f>MemberOfAssemblyAssemblyDistrict68General43[[#This Row],[Part of New York County Vote Results]]</f>
        <v>0</v>
      </c>
      <c r="D32" s="36">
        <f>SUM(MemberOfAssemblyAssemblyDistrict68General43[[#This Row],[Total Votes by Party]])</f>
        <v>0</v>
      </c>
    </row>
    <row r="33" spans="1:4" x14ac:dyDescent="0.2">
      <c r="A33" s="37" t="s">
        <v>0</v>
      </c>
      <c r="B33" s="34"/>
      <c r="C33" s="35">
        <f>MemberOfAssemblyAssemblyDistrict68General43[[#This Row],[Part of New York County Vote Results]]</f>
        <v>0</v>
      </c>
      <c r="D33" s="38"/>
    </row>
    <row r="34" spans="1:4" x14ac:dyDescent="0.2">
      <c r="A34" s="37" t="s">
        <v>1</v>
      </c>
      <c r="B34" s="34"/>
      <c r="C34" s="35">
        <f>MemberOfAssemblyAssemblyDistrict68General43[[#This Row],[Part of New York County Vote Results]]</f>
        <v>0</v>
      </c>
      <c r="D34" s="38"/>
    </row>
    <row r="35" spans="1:4" x14ac:dyDescent="0.2">
      <c r="A35" s="37" t="s">
        <v>6</v>
      </c>
      <c r="B35" s="34"/>
      <c r="C35" s="35">
        <f>MemberOfAssemblyAssemblyDistrict68General43[[#This Row],[Part of New York County Vote Results]]</f>
        <v>0</v>
      </c>
      <c r="D35" s="38"/>
    </row>
    <row r="36" spans="1:4" x14ac:dyDescent="0.2">
      <c r="A36" s="11" t="s">
        <v>2</v>
      </c>
      <c r="B36" s="2">
        <f>SUM(MemberOfAssemblyAssemblyDistrict68General43[Part of New York County Vote Results])</f>
        <v>0</v>
      </c>
      <c r="C36" s="8">
        <f>SUM(MemberOfAssemblyAssemblyDistrict68General43[Total Votes by Party])</f>
        <v>0</v>
      </c>
      <c r="D36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85AAD-52D5-43B9-93E3-3701F0594421}">
  <sheetPr>
    <pageSetUpPr fitToPage="1"/>
  </sheetPr>
  <dimension ref="A1:F26"/>
  <sheetViews>
    <sheetView workbookViewId="0">
      <selection activeCell="A3" sqref="A3:A22"/>
    </sheetView>
  </sheetViews>
  <sheetFormatPr defaultRowHeight="12.75" x14ac:dyDescent="0.2"/>
  <cols>
    <col min="1" max="1" width="25.5703125" style="28" customWidth="1"/>
    <col min="2" max="4" width="20.5703125" style="28" customWidth="1"/>
    <col min="5" max="5" width="23.5703125" style="28" customWidth="1"/>
    <col min="6" max="6" width="4" style="28" customWidth="1"/>
    <col min="7" max="16384" width="9.140625" style="28"/>
  </cols>
  <sheetData>
    <row r="1" spans="1:6" ht="51" customHeight="1" x14ac:dyDescent="0.2">
      <c r="A1" s="59" t="s">
        <v>168</v>
      </c>
      <c r="B1" s="59"/>
      <c r="C1" s="59"/>
      <c r="D1" s="59"/>
      <c r="E1" s="59"/>
      <c r="F1" s="59"/>
    </row>
    <row r="2" spans="1:6" ht="25.5" x14ac:dyDescent="0.2">
      <c r="A2" s="29" t="s">
        <v>5</v>
      </c>
      <c r="B2" s="30" t="s">
        <v>19</v>
      </c>
      <c r="C2" s="31" t="s">
        <v>3</v>
      </c>
      <c r="D2" s="32" t="s">
        <v>4</v>
      </c>
    </row>
    <row r="3" spans="1:6" x14ac:dyDescent="0.2">
      <c r="A3" s="42" t="s">
        <v>253</v>
      </c>
      <c r="B3" s="34"/>
      <c r="C3" s="44">
        <f>MemberOfAssemblyAssemblyDistrict68General4344[[#This Row],[Part of New York County Vote Results]]</f>
        <v>0</v>
      </c>
      <c r="D3" s="36">
        <f>SUM(MemberOfAssemblyAssemblyDistrict68General4344[[#This Row],[Total Votes by Party]])</f>
        <v>0</v>
      </c>
    </row>
    <row r="4" spans="1:6" x14ac:dyDescent="0.2">
      <c r="A4" s="42" t="s">
        <v>254</v>
      </c>
      <c r="B4" s="34"/>
      <c r="C4" s="44">
        <f>MemberOfAssemblyAssemblyDistrict68General4344[[#This Row],[Part of New York County Vote Results]]</f>
        <v>0</v>
      </c>
      <c r="D4" s="36">
        <f>SUM(MemberOfAssemblyAssemblyDistrict68General4344[[#This Row],[Total Votes by Party]])</f>
        <v>0</v>
      </c>
    </row>
    <row r="5" spans="1:6" x14ac:dyDescent="0.2">
      <c r="A5" s="42" t="s">
        <v>255</v>
      </c>
      <c r="B5" s="34"/>
      <c r="C5" s="44">
        <f>MemberOfAssemblyAssemblyDistrict68General4344[[#This Row],[Part of New York County Vote Results]]</f>
        <v>0</v>
      </c>
      <c r="D5" s="36">
        <f>SUM(MemberOfAssemblyAssemblyDistrict68General4344[[#This Row],[Total Votes by Party]])</f>
        <v>0</v>
      </c>
    </row>
    <row r="6" spans="1:6" x14ac:dyDescent="0.2">
      <c r="A6" s="42" t="s">
        <v>256</v>
      </c>
      <c r="B6" s="34"/>
      <c r="C6" s="44">
        <f>MemberOfAssemblyAssemblyDistrict68General4344[[#This Row],[Part of New York County Vote Results]]</f>
        <v>0</v>
      </c>
      <c r="D6" s="36">
        <f>SUM(MemberOfAssemblyAssemblyDistrict68General4344[[#This Row],[Total Votes by Party]])</f>
        <v>0</v>
      </c>
    </row>
    <row r="7" spans="1:6" x14ac:dyDescent="0.2">
      <c r="A7" s="42" t="s">
        <v>257</v>
      </c>
      <c r="B7" s="34"/>
      <c r="C7" s="44">
        <f>MemberOfAssemblyAssemblyDistrict68General4344[[#This Row],[Part of New York County Vote Results]]</f>
        <v>0</v>
      </c>
      <c r="D7" s="36">
        <f>SUM(MemberOfAssemblyAssemblyDistrict68General4344[[#This Row],[Total Votes by Party]])</f>
        <v>0</v>
      </c>
    </row>
    <row r="8" spans="1:6" x14ac:dyDescent="0.2">
      <c r="A8" s="42" t="s">
        <v>258</v>
      </c>
      <c r="B8" s="34"/>
      <c r="C8" s="44">
        <f>MemberOfAssemblyAssemblyDistrict68General4344[[#This Row],[Part of New York County Vote Results]]</f>
        <v>0</v>
      </c>
      <c r="D8" s="36">
        <f>SUM(MemberOfAssemblyAssemblyDistrict68General4344[[#This Row],[Total Votes by Party]])</f>
        <v>0</v>
      </c>
    </row>
    <row r="9" spans="1:6" x14ac:dyDescent="0.2">
      <c r="A9" s="42" t="s">
        <v>259</v>
      </c>
      <c r="B9" s="34"/>
      <c r="C9" s="44">
        <f>MemberOfAssemblyAssemblyDistrict68General4344[[#This Row],[Part of New York County Vote Results]]</f>
        <v>0</v>
      </c>
      <c r="D9" s="36">
        <f>SUM(MemberOfAssemblyAssemblyDistrict68General4344[[#This Row],[Total Votes by Party]])</f>
        <v>0</v>
      </c>
    </row>
    <row r="10" spans="1:6" x14ac:dyDescent="0.2">
      <c r="A10" s="42" t="s">
        <v>260</v>
      </c>
      <c r="B10" s="34"/>
      <c r="C10" s="44">
        <f>MemberOfAssemblyAssemblyDistrict68General4344[[#This Row],[Part of New York County Vote Results]]</f>
        <v>0</v>
      </c>
      <c r="D10" s="36">
        <f>SUM(MemberOfAssemblyAssemblyDistrict68General4344[[#This Row],[Total Votes by Party]])</f>
        <v>0</v>
      </c>
    </row>
    <row r="11" spans="1:6" x14ac:dyDescent="0.2">
      <c r="A11" s="42" t="s">
        <v>261</v>
      </c>
      <c r="B11" s="34"/>
      <c r="C11" s="44">
        <f>MemberOfAssemblyAssemblyDistrict68General4344[[#This Row],[Part of New York County Vote Results]]</f>
        <v>0</v>
      </c>
      <c r="D11" s="36">
        <f>SUM(MemberOfAssemblyAssemblyDistrict68General4344[[#This Row],[Total Votes by Party]])</f>
        <v>0</v>
      </c>
    </row>
    <row r="12" spans="1:6" x14ac:dyDescent="0.2">
      <c r="A12" s="42" t="s">
        <v>262</v>
      </c>
      <c r="B12" s="34"/>
      <c r="C12" s="44">
        <f>MemberOfAssemblyAssemblyDistrict68General4344[[#This Row],[Part of New York County Vote Results]]</f>
        <v>0</v>
      </c>
      <c r="D12" s="36">
        <f>SUM(MemberOfAssemblyAssemblyDistrict68General4344[[#This Row],[Total Votes by Party]])</f>
        <v>0</v>
      </c>
    </row>
    <row r="13" spans="1:6" x14ac:dyDescent="0.2">
      <c r="A13" s="42" t="s">
        <v>263</v>
      </c>
      <c r="B13" s="34"/>
      <c r="C13" s="44">
        <f>MemberOfAssemblyAssemblyDistrict68General4344[[#This Row],[Part of New York County Vote Results]]</f>
        <v>0</v>
      </c>
      <c r="D13" s="36">
        <f>SUM(MemberOfAssemblyAssemblyDistrict68General4344[[#This Row],[Total Votes by Party]])</f>
        <v>0</v>
      </c>
    </row>
    <row r="14" spans="1:6" x14ac:dyDescent="0.2">
      <c r="A14" s="42" t="s">
        <v>264</v>
      </c>
      <c r="B14" s="34"/>
      <c r="C14" s="44">
        <f>MemberOfAssemblyAssemblyDistrict68General4344[[#This Row],[Part of New York County Vote Results]]</f>
        <v>0</v>
      </c>
      <c r="D14" s="36">
        <f>SUM(MemberOfAssemblyAssemblyDistrict68General4344[[#This Row],[Total Votes by Party]])</f>
        <v>0</v>
      </c>
    </row>
    <row r="15" spans="1:6" x14ac:dyDescent="0.2">
      <c r="A15" s="42" t="s">
        <v>265</v>
      </c>
      <c r="B15" s="34"/>
      <c r="C15" s="44">
        <f>MemberOfAssemblyAssemblyDistrict68General4344[[#This Row],[Part of New York County Vote Results]]</f>
        <v>0</v>
      </c>
      <c r="D15" s="36">
        <f>SUM(MemberOfAssemblyAssemblyDistrict68General4344[[#This Row],[Total Votes by Party]])</f>
        <v>0</v>
      </c>
    </row>
    <row r="16" spans="1:6" x14ac:dyDescent="0.2">
      <c r="A16" s="42" t="s">
        <v>266</v>
      </c>
      <c r="B16" s="34"/>
      <c r="C16" s="44">
        <f>MemberOfAssemblyAssemblyDistrict68General4344[[#This Row],[Part of New York County Vote Results]]</f>
        <v>0</v>
      </c>
      <c r="D16" s="36">
        <f>SUM(MemberOfAssemblyAssemblyDistrict68General4344[[#This Row],[Total Votes by Party]])</f>
        <v>0</v>
      </c>
    </row>
    <row r="17" spans="1:4" x14ac:dyDescent="0.2">
      <c r="A17" s="42" t="s">
        <v>267</v>
      </c>
      <c r="B17" s="34"/>
      <c r="C17" s="44">
        <f>MemberOfAssemblyAssemblyDistrict68General4344[[#This Row],[Part of New York County Vote Results]]</f>
        <v>0</v>
      </c>
      <c r="D17" s="36">
        <f>SUM(MemberOfAssemblyAssemblyDistrict68General4344[[#This Row],[Total Votes by Party]])</f>
        <v>0</v>
      </c>
    </row>
    <row r="18" spans="1:4" x14ac:dyDescent="0.2">
      <c r="A18" s="42" t="s">
        <v>268</v>
      </c>
      <c r="B18" s="34"/>
      <c r="C18" s="44">
        <f>MemberOfAssemblyAssemblyDistrict68General4344[[#This Row],[Part of New York County Vote Results]]</f>
        <v>0</v>
      </c>
      <c r="D18" s="36">
        <f>SUM(MemberOfAssemblyAssemblyDistrict68General4344[[#This Row],[Total Votes by Party]])</f>
        <v>0</v>
      </c>
    </row>
    <row r="19" spans="1:4" x14ac:dyDescent="0.2">
      <c r="A19" s="42" t="s">
        <v>269</v>
      </c>
      <c r="B19" s="34"/>
      <c r="C19" s="44">
        <f>MemberOfAssemblyAssemblyDistrict68General4344[[#This Row],[Part of New York County Vote Results]]</f>
        <v>0</v>
      </c>
      <c r="D19" s="36">
        <f>SUM(MemberOfAssemblyAssemblyDistrict68General4344[[#This Row],[Total Votes by Party]])</f>
        <v>0</v>
      </c>
    </row>
    <row r="20" spans="1:4" x14ac:dyDescent="0.2">
      <c r="A20" s="42" t="s">
        <v>270</v>
      </c>
      <c r="B20" s="34"/>
      <c r="C20" s="44">
        <f>MemberOfAssemblyAssemblyDistrict68General4344[[#This Row],[Part of New York County Vote Results]]</f>
        <v>0</v>
      </c>
      <c r="D20" s="36">
        <f>SUM(MemberOfAssemblyAssemblyDistrict68General4344[[#This Row],[Total Votes by Party]])</f>
        <v>0</v>
      </c>
    </row>
    <row r="21" spans="1:4" x14ac:dyDescent="0.2">
      <c r="A21" s="42" t="s">
        <v>271</v>
      </c>
      <c r="B21" s="34"/>
      <c r="C21" s="44">
        <f>MemberOfAssemblyAssemblyDistrict68General4344[[#This Row],[Part of New York County Vote Results]]</f>
        <v>0</v>
      </c>
      <c r="D21" s="36">
        <f>SUM(MemberOfAssemblyAssemblyDistrict68General4344[[#This Row],[Total Votes by Party]])</f>
        <v>0</v>
      </c>
    </row>
    <row r="22" spans="1:4" x14ac:dyDescent="0.2">
      <c r="A22" s="42" t="s">
        <v>272</v>
      </c>
      <c r="B22" s="34"/>
      <c r="C22" s="44">
        <f>MemberOfAssemblyAssemblyDistrict68General4344[[#This Row],[Part of New York County Vote Results]]</f>
        <v>0</v>
      </c>
      <c r="D22" s="36">
        <f>SUM(MemberOfAssemblyAssemblyDistrict68General4344[[#This Row],[Total Votes by Party]])</f>
        <v>0</v>
      </c>
    </row>
    <row r="23" spans="1:4" x14ac:dyDescent="0.2">
      <c r="A23" s="37" t="s">
        <v>0</v>
      </c>
      <c r="B23" s="34"/>
      <c r="C23" s="35">
        <f>MemberOfAssemblyAssemblyDistrict68General4344[[#This Row],[Part of New York County Vote Results]]</f>
        <v>0</v>
      </c>
      <c r="D23" s="38"/>
    </row>
    <row r="24" spans="1:4" x14ac:dyDescent="0.2">
      <c r="A24" s="37" t="s">
        <v>1</v>
      </c>
      <c r="B24" s="34"/>
      <c r="C24" s="35">
        <f>MemberOfAssemblyAssemblyDistrict68General4344[[#This Row],[Part of New York County Vote Results]]</f>
        <v>0</v>
      </c>
      <c r="D24" s="38"/>
    </row>
    <row r="25" spans="1:4" x14ac:dyDescent="0.2">
      <c r="A25" s="37" t="s">
        <v>6</v>
      </c>
      <c r="B25" s="34"/>
      <c r="C25" s="35">
        <f>MemberOfAssemblyAssemblyDistrict68General4344[[#This Row],[Part of New York County Vote Results]]</f>
        <v>0</v>
      </c>
      <c r="D25" s="38"/>
    </row>
    <row r="26" spans="1:4" x14ac:dyDescent="0.2">
      <c r="A26" s="11" t="s">
        <v>2</v>
      </c>
      <c r="B26" s="2">
        <f>SUM(MemberOfAssemblyAssemblyDistrict68General4344[Part of New York County Vote Results])</f>
        <v>0</v>
      </c>
      <c r="C26" s="8">
        <f>SUM(MemberOfAssemblyAssemblyDistrict68General4344[Total Votes by Party])</f>
        <v>0</v>
      </c>
      <c r="D26" s="10"/>
    </row>
  </sheetData>
  <mergeCells count="1">
    <mergeCell ref="A1:F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58E1-F453-401E-B88A-72B2BBB0DEDA}">
  <sheetPr>
    <pageSetUpPr fitToPage="1"/>
  </sheetPr>
  <dimension ref="A1:F31"/>
  <sheetViews>
    <sheetView workbookViewId="0">
      <selection activeCell="C39" sqref="C39"/>
    </sheetView>
  </sheetViews>
  <sheetFormatPr defaultRowHeight="12.75" x14ac:dyDescent="0.2"/>
  <cols>
    <col min="1" max="1" width="25.5703125" style="28" customWidth="1"/>
    <col min="2" max="4" width="20.5703125" style="28" customWidth="1"/>
    <col min="5" max="5" width="23.5703125" style="28" customWidth="1"/>
    <col min="6" max="6" width="12.28515625" style="28" customWidth="1"/>
    <col min="7" max="16384" width="9.140625" style="28"/>
  </cols>
  <sheetData>
    <row r="1" spans="1:6" ht="51" customHeight="1" x14ac:dyDescent="0.2">
      <c r="A1" s="59" t="s">
        <v>167</v>
      </c>
      <c r="B1" s="59"/>
      <c r="C1" s="59"/>
      <c r="D1" s="59"/>
      <c r="E1" s="59"/>
      <c r="F1" s="59"/>
    </row>
    <row r="2" spans="1:6" ht="25.5" x14ac:dyDescent="0.2">
      <c r="A2" s="29" t="s">
        <v>5</v>
      </c>
      <c r="B2" s="30" t="s">
        <v>19</v>
      </c>
      <c r="C2" s="31" t="s">
        <v>3</v>
      </c>
      <c r="D2" s="32" t="s">
        <v>4</v>
      </c>
    </row>
    <row r="3" spans="1:6" x14ac:dyDescent="0.2">
      <c r="A3" s="42" t="s">
        <v>111</v>
      </c>
      <c r="B3" s="49">
        <v>6070</v>
      </c>
      <c r="C3" s="43">
        <f>MemberOfAssemblyAssemblyDistrict69General4546[[#This Row],[Part of New York County Vote Results]]</f>
        <v>6070</v>
      </c>
      <c r="D3" s="55">
        <f>SUM(MemberOfAssemblyAssemblyDistrict69General4546[[#This Row],[Total Votes by Party]])</f>
        <v>6070</v>
      </c>
    </row>
    <row r="4" spans="1:6" x14ac:dyDescent="0.2">
      <c r="A4" s="42" t="s">
        <v>169</v>
      </c>
      <c r="B4" s="34">
        <v>3122</v>
      </c>
      <c r="C4" s="44">
        <f>MemberOfAssemblyAssemblyDistrict69General4546[[#This Row],[Part of New York County Vote Results]]</f>
        <v>3122</v>
      </c>
      <c r="D4" s="36">
        <f>SUM(MemberOfAssemblyAssemblyDistrict69General4546[[#This Row],[Total Votes by Party]])</f>
        <v>3122</v>
      </c>
    </row>
    <row r="5" spans="1:6" x14ac:dyDescent="0.2">
      <c r="A5" s="42" t="s">
        <v>170</v>
      </c>
      <c r="B5" s="49">
        <v>5158</v>
      </c>
      <c r="C5" s="43">
        <f>MemberOfAssemblyAssemblyDistrict69General4546[[#This Row],[Part of New York County Vote Results]]</f>
        <v>5158</v>
      </c>
      <c r="D5" s="55">
        <f>SUM(MemberOfAssemblyAssemblyDistrict69General4546[[#This Row],[Total Votes by Party]])</f>
        <v>5158</v>
      </c>
    </row>
    <row r="6" spans="1:6" x14ac:dyDescent="0.2">
      <c r="A6" s="42" t="s">
        <v>171</v>
      </c>
      <c r="B6" s="34">
        <v>4156</v>
      </c>
      <c r="C6" s="44">
        <f>MemberOfAssemblyAssemblyDistrict69General4546[[#This Row],[Part of New York County Vote Results]]</f>
        <v>4156</v>
      </c>
      <c r="D6" s="36">
        <f>SUM(MemberOfAssemblyAssemblyDistrict69General4546[[#This Row],[Total Votes by Party]])</f>
        <v>4156</v>
      </c>
    </row>
    <row r="7" spans="1:6" x14ac:dyDescent="0.2">
      <c r="A7" s="42" t="s">
        <v>172</v>
      </c>
      <c r="B7" s="49">
        <v>5074</v>
      </c>
      <c r="C7" s="43">
        <f>MemberOfAssemblyAssemblyDistrict69General4546[[#This Row],[Part of New York County Vote Results]]</f>
        <v>5074</v>
      </c>
      <c r="D7" s="55">
        <f>SUM(MemberOfAssemblyAssemblyDistrict69General4546[[#This Row],[Total Votes by Party]])</f>
        <v>5074</v>
      </c>
    </row>
    <row r="8" spans="1:6" x14ac:dyDescent="0.2">
      <c r="A8" s="42" t="s">
        <v>173</v>
      </c>
      <c r="B8" s="34">
        <v>2860</v>
      </c>
      <c r="C8" s="44">
        <f>MemberOfAssemblyAssemblyDistrict69General4546[[#This Row],[Part of New York County Vote Results]]</f>
        <v>2860</v>
      </c>
      <c r="D8" s="36">
        <f>SUM(MemberOfAssemblyAssemblyDistrict69General4546[[#This Row],[Total Votes by Party]])</f>
        <v>2860</v>
      </c>
    </row>
    <row r="9" spans="1:6" x14ac:dyDescent="0.2">
      <c r="A9" s="42" t="s">
        <v>174</v>
      </c>
      <c r="B9" s="34">
        <v>3525</v>
      </c>
      <c r="C9" s="44">
        <f>MemberOfAssemblyAssemblyDistrict69General4546[[#This Row],[Part of New York County Vote Results]]</f>
        <v>3525</v>
      </c>
      <c r="D9" s="36">
        <f>SUM(MemberOfAssemblyAssemblyDistrict69General4546[[#This Row],[Total Votes by Party]])</f>
        <v>3525</v>
      </c>
    </row>
    <row r="10" spans="1:6" x14ac:dyDescent="0.2">
      <c r="A10" s="42" t="s">
        <v>175</v>
      </c>
      <c r="B10" s="34">
        <v>3397</v>
      </c>
      <c r="C10" s="44">
        <f>MemberOfAssemblyAssemblyDistrict69General4546[[#This Row],[Part of New York County Vote Results]]</f>
        <v>3397</v>
      </c>
      <c r="D10" s="36">
        <f>SUM(MemberOfAssemblyAssemblyDistrict69General4546[[#This Row],[Total Votes by Party]])</f>
        <v>3397</v>
      </c>
    </row>
    <row r="11" spans="1:6" x14ac:dyDescent="0.2">
      <c r="A11" s="42" t="s">
        <v>176</v>
      </c>
      <c r="B11" s="34">
        <v>2771</v>
      </c>
      <c r="C11" s="44">
        <f>MemberOfAssemblyAssemblyDistrict69General4546[[#This Row],[Part of New York County Vote Results]]</f>
        <v>2771</v>
      </c>
      <c r="D11" s="36">
        <f>SUM(MemberOfAssemblyAssemblyDistrict69General4546[[#This Row],[Total Votes by Party]])</f>
        <v>2771</v>
      </c>
    </row>
    <row r="12" spans="1:6" x14ac:dyDescent="0.2">
      <c r="A12" s="42" t="s">
        <v>177</v>
      </c>
      <c r="B12" s="49">
        <v>4707</v>
      </c>
      <c r="C12" s="43">
        <f>MemberOfAssemblyAssemblyDistrict69General4546[[#This Row],[Part of New York County Vote Results]]</f>
        <v>4707</v>
      </c>
      <c r="D12" s="55">
        <f>SUM(MemberOfAssemblyAssemblyDistrict69General4546[[#This Row],[Total Votes by Party]])</f>
        <v>4707</v>
      </c>
    </row>
    <row r="13" spans="1:6" x14ac:dyDescent="0.2">
      <c r="A13" s="42" t="s">
        <v>178</v>
      </c>
      <c r="B13" s="49">
        <v>6302</v>
      </c>
      <c r="C13" s="43">
        <f>MemberOfAssemblyAssemblyDistrict69General4546[[#This Row],[Part of New York County Vote Results]]</f>
        <v>6302</v>
      </c>
      <c r="D13" s="55">
        <f>SUM(MemberOfAssemblyAssemblyDistrict69General4546[[#This Row],[Total Votes by Party]])</f>
        <v>6302</v>
      </c>
    </row>
    <row r="14" spans="1:6" x14ac:dyDescent="0.2">
      <c r="A14" s="42" t="s">
        <v>179</v>
      </c>
      <c r="B14" s="49">
        <v>5970</v>
      </c>
      <c r="C14" s="43">
        <f>MemberOfAssemblyAssemblyDistrict69General4546[[#This Row],[Part of New York County Vote Results]]</f>
        <v>5970</v>
      </c>
      <c r="D14" s="55">
        <f>SUM(MemberOfAssemblyAssemblyDistrict69General4546[[#This Row],[Total Votes by Party]])</f>
        <v>5970</v>
      </c>
    </row>
    <row r="15" spans="1:6" x14ac:dyDescent="0.2">
      <c r="A15" s="42" t="s">
        <v>180</v>
      </c>
      <c r="B15" s="49">
        <v>7105</v>
      </c>
      <c r="C15" s="43">
        <f>MemberOfAssemblyAssemblyDistrict69General4546[[#This Row],[Part of New York County Vote Results]]</f>
        <v>7105</v>
      </c>
      <c r="D15" s="55">
        <f>SUM(MemberOfAssemblyAssemblyDistrict69General4546[[#This Row],[Total Votes by Party]])</f>
        <v>7105</v>
      </c>
    </row>
    <row r="16" spans="1:6" x14ac:dyDescent="0.2">
      <c r="A16" s="42" t="s">
        <v>181</v>
      </c>
      <c r="B16" s="49">
        <v>4753</v>
      </c>
      <c r="C16" s="43">
        <f>MemberOfAssemblyAssemblyDistrict69General4546[[#This Row],[Part of New York County Vote Results]]</f>
        <v>4753</v>
      </c>
      <c r="D16" s="55">
        <f>SUM(MemberOfAssemblyAssemblyDistrict69General4546[[#This Row],[Total Votes by Party]])</f>
        <v>4753</v>
      </c>
    </row>
    <row r="17" spans="1:4" x14ac:dyDescent="0.2">
      <c r="A17" s="42" t="s">
        <v>182</v>
      </c>
      <c r="B17" s="49">
        <v>6141</v>
      </c>
      <c r="C17" s="43">
        <f>MemberOfAssemblyAssemblyDistrict69General4546[[#This Row],[Part of New York County Vote Results]]</f>
        <v>6141</v>
      </c>
      <c r="D17" s="55">
        <f>SUM(MemberOfAssemblyAssemblyDistrict69General4546[[#This Row],[Total Votes by Party]])</f>
        <v>6141</v>
      </c>
    </row>
    <row r="18" spans="1:4" x14ac:dyDescent="0.2">
      <c r="A18" s="42" t="s">
        <v>183</v>
      </c>
      <c r="B18" s="49">
        <v>5184</v>
      </c>
      <c r="C18" s="43">
        <f>MemberOfAssemblyAssemblyDistrict69General4546[[#This Row],[Part of New York County Vote Results]]</f>
        <v>5184</v>
      </c>
      <c r="D18" s="55">
        <f>SUM(MemberOfAssemblyAssemblyDistrict69General4546[[#This Row],[Total Votes by Party]])</f>
        <v>5184</v>
      </c>
    </row>
    <row r="19" spans="1:4" x14ac:dyDescent="0.2">
      <c r="A19" s="42" t="s">
        <v>184</v>
      </c>
      <c r="B19" s="49">
        <v>5457</v>
      </c>
      <c r="C19" s="43">
        <f>MemberOfAssemblyAssemblyDistrict69General4546[[#This Row],[Part of New York County Vote Results]]</f>
        <v>5457</v>
      </c>
      <c r="D19" s="55">
        <f>SUM(MemberOfAssemblyAssemblyDistrict69General4546[[#This Row],[Total Votes by Party]])</f>
        <v>5457</v>
      </c>
    </row>
    <row r="20" spans="1:4" x14ac:dyDescent="0.2">
      <c r="A20" s="42" t="s">
        <v>185</v>
      </c>
      <c r="B20" s="34">
        <v>4464</v>
      </c>
      <c r="C20" s="44">
        <f>MemberOfAssemblyAssemblyDistrict69General4546[[#This Row],[Part of New York County Vote Results]]</f>
        <v>4464</v>
      </c>
      <c r="D20" s="36">
        <f>SUM(MemberOfAssemblyAssemblyDistrict69General4546[[#This Row],[Total Votes by Party]])</f>
        <v>4464</v>
      </c>
    </row>
    <row r="21" spans="1:4" x14ac:dyDescent="0.2">
      <c r="A21" s="42" t="s">
        <v>186</v>
      </c>
      <c r="B21" s="49">
        <v>6353</v>
      </c>
      <c r="C21" s="43">
        <f>MemberOfAssemblyAssemblyDistrict69General4546[[#This Row],[Part of New York County Vote Results]]</f>
        <v>6353</v>
      </c>
      <c r="D21" s="55">
        <f>SUM(MemberOfAssemblyAssemblyDistrict69General4546[[#This Row],[Total Votes by Party]])</f>
        <v>6353</v>
      </c>
    </row>
    <row r="22" spans="1:4" x14ac:dyDescent="0.2">
      <c r="A22" s="42" t="s">
        <v>187</v>
      </c>
      <c r="B22" s="34">
        <v>3587</v>
      </c>
      <c r="C22" s="44">
        <f>MemberOfAssemblyAssemblyDistrict69General4546[[#This Row],[Part of New York County Vote Results]]</f>
        <v>3587</v>
      </c>
      <c r="D22" s="36">
        <f>SUM(MemberOfAssemblyAssemblyDistrict69General4546[[#This Row],[Total Votes by Party]])</f>
        <v>3587</v>
      </c>
    </row>
    <row r="23" spans="1:4" x14ac:dyDescent="0.2">
      <c r="A23" s="42" t="s">
        <v>188</v>
      </c>
      <c r="B23" s="49">
        <v>5365</v>
      </c>
      <c r="C23" s="43">
        <f>MemberOfAssemblyAssemblyDistrict69General4546[[#This Row],[Part of New York County Vote Results]]</f>
        <v>5365</v>
      </c>
      <c r="D23" s="55">
        <f>SUM(MemberOfAssemblyAssemblyDistrict69General4546[[#This Row],[Total Votes by Party]])</f>
        <v>5365</v>
      </c>
    </row>
    <row r="24" spans="1:4" x14ac:dyDescent="0.2">
      <c r="A24" s="42" t="s">
        <v>189</v>
      </c>
      <c r="B24" s="34">
        <v>4398</v>
      </c>
      <c r="C24" s="44">
        <f>MemberOfAssemblyAssemblyDistrict69General4546[[#This Row],[Part of New York County Vote Results]]</f>
        <v>4398</v>
      </c>
      <c r="D24" s="36">
        <f>SUM(MemberOfAssemblyAssemblyDistrict69General4546[[#This Row],[Total Votes by Party]])</f>
        <v>4398</v>
      </c>
    </row>
    <row r="25" spans="1:4" x14ac:dyDescent="0.2">
      <c r="A25" s="42" t="s">
        <v>190</v>
      </c>
      <c r="B25" s="49">
        <v>5703</v>
      </c>
      <c r="C25" s="43">
        <f>MemberOfAssemblyAssemblyDistrict69General4546[[#This Row],[Part of New York County Vote Results]]</f>
        <v>5703</v>
      </c>
      <c r="D25" s="55">
        <f>SUM(MemberOfAssemblyAssemblyDistrict69General4546[[#This Row],[Total Votes by Party]])</f>
        <v>5703</v>
      </c>
    </row>
    <row r="26" spans="1:4" x14ac:dyDescent="0.2">
      <c r="A26" s="42" t="s">
        <v>191</v>
      </c>
      <c r="B26" s="49">
        <v>5781</v>
      </c>
      <c r="C26" s="43">
        <f>MemberOfAssemblyAssemblyDistrict69General4546[[#This Row],[Part of New York County Vote Results]]</f>
        <v>5781</v>
      </c>
      <c r="D26" s="55">
        <f>SUM(MemberOfAssemblyAssemblyDistrict69General4546[[#This Row],[Total Votes by Party]])</f>
        <v>5781</v>
      </c>
    </row>
    <row r="27" spans="1:4" x14ac:dyDescent="0.2">
      <c r="A27" s="42" t="s">
        <v>192</v>
      </c>
      <c r="B27" s="49">
        <v>6388</v>
      </c>
      <c r="C27" s="43">
        <f>MemberOfAssemblyAssemblyDistrict69General4546[[#This Row],[Part of New York County Vote Results]]</f>
        <v>6388</v>
      </c>
      <c r="D27" s="55">
        <f>SUM(MemberOfAssemblyAssemblyDistrict69General4546[[#This Row],[Total Votes by Party]])</f>
        <v>6388</v>
      </c>
    </row>
    <row r="28" spans="1:4" x14ac:dyDescent="0.2">
      <c r="A28" s="37" t="s">
        <v>0</v>
      </c>
      <c r="B28" s="34">
        <v>103232</v>
      </c>
      <c r="C28" s="35">
        <f>MemberOfAssemblyAssemblyDistrict69General4546[[#This Row],[Part of New York County Vote Results]]</f>
        <v>103232</v>
      </c>
      <c r="D28" s="38"/>
    </row>
    <row r="29" spans="1:4" x14ac:dyDescent="0.2">
      <c r="A29" s="37" t="s">
        <v>1</v>
      </c>
      <c r="B29" s="34"/>
      <c r="C29" s="35">
        <f>MemberOfAssemblyAssemblyDistrict69General4546[[#This Row],[Part of New York County Vote Results]]</f>
        <v>0</v>
      </c>
      <c r="D29" s="38"/>
    </row>
    <row r="30" spans="1:4" x14ac:dyDescent="0.2">
      <c r="A30" s="37" t="s">
        <v>6</v>
      </c>
      <c r="B30" s="34">
        <v>433</v>
      </c>
      <c r="C30" s="35">
        <f>MemberOfAssemblyAssemblyDistrict69General4546[[#This Row],[Part of New York County Vote Results]]</f>
        <v>433</v>
      </c>
      <c r="D30" s="38"/>
    </row>
    <row r="31" spans="1:4" x14ac:dyDescent="0.2">
      <c r="A31" s="11" t="s">
        <v>2</v>
      </c>
      <c r="B31" s="2">
        <f>SUM(MemberOfAssemblyAssemblyDistrict69General4546[Part of New York County Vote Results])</f>
        <v>227456</v>
      </c>
      <c r="C31" s="8">
        <f>SUM(MemberOfAssemblyAssemblyDistrict69General4546[Total Votes by Party])</f>
        <v>227456</v>
      </c>
      <c r="D31" s="10"/>
    </row>
  </sheetData>
  <mergeCells count="1">
    <mergeCell ref="A1:F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F75DB-BB47-45B1-A0A8-557E2E88EE14}">
  <sheetPr>
    <pageSetUpPr fitToPage="1"/>
  </sheetPr>
  <dimension ref="A1:G8"/>
  <sheetViews>
    <sheetView workbookViewId="0">
      <selection activeCell="C16" sqref="C16"/>
    </sheetView>
  </sheetViews>
  <sheetFormatPr defaultRowHeight="12.75" x14ac:dyDescent="0.2"/>
  <cols>
    <col min="1" max="1" width="27.28515625" customWidth="1"/>
    <col min="2" max="7" width="23.140625" customWidth="1"/>
    <col min="8" max="9" width="20.5703125" customWidth="1"/>
    <col min="10" max="11" width="23.5703125" customWidth="1"/>
  </cols>
  <sheetData>
    <row r="1" spans="1:7" ht="24.75" customHeight="1" x14ac:dyDescent="0.2">
      <c r="A1" s="17" t="s">
        <v>60</v>
      </c>
    </row>
    <row r="2" spans="1:7" ht="33" customHeight="1" x14ac:dyDescent="0.2">
      <c r="A2" s="4" t="s">
        <v>5</v>
      </c>
      <c r="B2" s="5" t="s">
        <v>23</v>
      </c>
      <c r="C2" s="5" t="s">
        <v>24</v>
      </c>
      <c r="D2" s="5" t="s">
        <v>25</v>
      </c>
      <c r="E2" s="5" t="s">
        <v>26</v>
      </c>
      <c r="F2" s="6" t="s">
        <v>3</v>
      </c>
      <c r="G2" s="7" t="s">
        <v>4</v>
      </c>
    </row>
    <row r="3" spans="1:7" x14ac:dyDescent="0.2">
      <c r="A3" s="1" t="s">
        <v>571</v>
      </c>
      <c r="B3" s="26">
        <v>4</v>
      </c>
      <c r="C3" s="26">
        <v>2</v>
      </c>
      <c r="D3" s="26">
        <v>275</v>
      </c>
      <c r="E3" s="26">
        <v>6</v>
      </c>
      <c r="F3" s="25">
        <f>SUM(RepInCongressCongressionalDistrict17General[[#This Row],[Part of Dutchess County
Vote Results]:[Part of Westchester County 
Vote Results]])</f>
        <v>287</v>
      </c>
      <c r="G3" s="51">
        <f>SUM(RepInCongressCongressionalDistrict17General[[#This Row],[Total Votes by Party]])</f>
        <v>287</v>
      </c>
    </row>
    <row r="4" spans="1:7" x14ac:dyDescent="0.2">
      <c r="A4" s="1" t="s">
        <v>572</v>
      </c>
      <c r="B4" s="2">
        <v>1</v>
      </c>
      <c r="C4" s="2">
        <v>21</v>
      </c>
      <c r="D4" s="2">
        <v>100</v>
      </c>
      <c r="E4" s="2">
        <v>75</v>
      </c>
      <c r="F4" s="8">
        <f>SUM(RepInCongressCongressionalDistrict17General[[#This Row],[Part of Dutchess County
Vote Results]:[Part of Westchester County 
Vote Results]])</f>
        <v>197</v>
      </c>
      <c r="G4" s="9">
        <f>SUM(RepInCongressCongressionalDistrict17General[[#This Row],[Total Votes by Party]])</f>
        <v>197</v>
      </c>
    </row>
    <row r="5" spans="1:7" x14ac:dyDescent="0.2">
      <c r="A5" s="3" t="s">
        <v>0</v>
      </c>
      <c r="B5" s="2">
        <v>0</v>
      </c>
      <c r="C5" s="2">
        <v>0</v>
      </c>
      <c r="D5" s="2">
        <v>6</v>
      </c>
      <c r="E5" s="2">
        <v>0</v>
      </c>
      <c r="F5" s="8">
        <f>SUM(RepInCongressCongressionalDistrict17General[[#This Row],[Part of Dutchess County
Vote Results]:[Part of Westchester County 
Vote Results]])</f>
        <v>6</v>
      </c>
      <c r="G5" s="10"/>
    </row>
    <row r="6" spans="1:7" x14ac:dyDescent="0.2">
      <c r="A6" s="3" t="s">
        <v>1</v>
      </c>
      <c r="B6" s="2">
        <v>0</v>
      </c>
      <c r="C6" s="2">
        <v>0</v>
      </c>
      <c r="D6" s="2">
        <v>2</v>
      </c>
      <c r="E6" s="2"/>
      <c r="F6" s="8">
        <f>SUM(RepInCongressCongressionalDistrict17General[[#This Row],[Part of Dutchess County
Vote Results]:[Part of Westchester County 
Vote Results]])</f>
        <v>2</v>
      </c>
      <c r="G6" s="10"/>
    </row>
    <row r="7" spans="1:7" x14ac:dyDescent="0.2">
      <c r="A7" s="3" t="s">
        <v>6</v>
      </c>
      <c r="B7" s="2">
        <v>0</v>
      </c>
      <c r="C7" s="2">
        <v>3</v>
      </c>
      <c r="D7" s="2">
        <v>3</v>
      </c>
      <c r="E7" s="2">
        <v>0</v>
      </c>
      <c r="F7" s="8">
        <f>SUM(RepInCongressCongressionalDistrict17General[[#This Row],[Part of Dutchess County
Vote Results]:[Part of Westchester County 
Vote Results]])</f>
        <v>6</v>
      </c>
      <c r="G7" s="10"/>
    </row>
    <row r="8" spans="1:7" x14ac:dyDescent="0.2">
      <c r="A8" s="11" t="s">
        <v>2</v>
      </c>
      <c r="B8" s="2">
        <f>SUM(RepInCongressCongressionalDistrict17General[Part of Dutchess County
Vote Results])</f>
        <v>5</v>
      </c>
      <c r="C8" s="2">
        <f>SUM(RepInCongressCongressionalDistrict17General[Putnam County
Vote Results])</f>
        <v>26</v>
      </c>
      <c r="D8" s="2">
        <f>SUM(RepInCongressCongressionalDistrict17General[Rockland County 
Vote Results])</f>
        <v>386</v>
      </c>
      <c r="E8" s="2">
        <f>SUM(RepInCongressCongressionalDistrict17General[Part of Westchester County 
Vote Results])</f>
        <v>81</v>
      </c>
      <c r="F8" s="8">
        <f>SUM(RepInCongressCongressionalDistrict17General[Total Votes by Party])</f>
        <v>498</v>
      </c>
      <c r="G8" s="10"/>
    </row>
  </sheetData>
  <phoneticPr fontId="6" type="noConversion"/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8418A-5ABD-4C4A-970A-DCA6756743F2}">
  <sheetPr>
    <pageSetUpPr fitToPage="1"/>
  </sheetPr>
  <dimension ref="A1:E30"/>
  <sheetViews>
    <sheetView workbookViewId="0">
      <selection activeCell="B26" sqref="B26:D26"/>
    </sheetView>
  </sheetViews>
  <sheetFormatPr defaultRowHeight="12.75" x14ac:dyDescent="0.2"/>
  <cols>
    <col min="1" max="1" width="25.5703125" customWidth="1"/>
    <col min="2" max="4" width="20.5703125" customWidth="1"/>
    <col min="5" max="5" width="23.5703125" customWidth="1"/>
  </cols>
  <sheetData>
    <row r="1" spans="1:5" ht="51" customHeight="1" x14ac:dyDescent="0.2">
      <c r="A1" s="58" t="s">
        <v>193</v>
      </c>
      <c r="B1" s="58"/>
      <c r="C1" s="58"/>
      <c r="D1" s="58"/>
      <c r="E1" s="58"/>
    </row>
    <row r="2" spans="1:5" ht="25.5" x14ac:dyDescent="0.2">
      <c r="A2" s="4" t="s">
        <v>5</v>
      </c>
      <c r="B2" s="5" t="s">
        <v>19</v>
      </c>
      <c r="C2" s="6" t="s">
        <v>3</v>
      </c>
      <c r="D2" s="7" t="s">
        <v>4</v>
      </c>
    </row>
    <row r="3" spans="1:5" x14ac:dyDescent="0.2">
      <c r="A3" s="22" t="s">
        <v>194</v>
      </c>
      <c r="B3" s="2">
        <v>1656</v>
      </c>
      <c r="C3" s="45">
        <f>MemberOfAssemblyAssemblyDistrict70General47[[#This Row],[Part of New York County Vote Results]]</f>
        <v>1656</v>
      </c>
      <c r="D3" s="9">
        <f>SUM(MemberOfAssemblyAssemblyDistrict70General47[[#This Row],[Total Votes by Party]])</f>
        <v>1656</v>
      </c>
    </row>
    <row r="4" spans="1:5" x14ac:dyDescent="0.2">
      <c r="A4" s="22" t="s">
        <v>195</v>
      </c>
      <c r="B4" s="2">
        <v>2477</v>
      </c>
      <c r="C4" s="45">
        <f>MemberOfAssemblyAssemblyDistrict70General47[[#This Row],[Part of New York County Vote Results]]</f>
        <v>2477</v>
      </c>
      <c r="D4" s="9">
        <f>SUM(MemberOfAssemblyAssemblyDistrict70General47[[#This Row],[Total Votes by Party]])</f>
        <v>2477</v>
      </c>
    </row>
    <row r="5" spans="1:5" x14ac:dyDescent="0.2">
      <c r="A5" s="22" t="s">
        <v>196</v>
      </c>
      <c r="B5" s="26">
        <v>3066</v>
      </c>
      <c r="C5" s="54">
        <f>MemberOfAssemblyAssemblyDistrict70General47[[#This Row],[Part of New York County Vote Results]]</f>
        <v>3066</v>
      </c>
      <c r="D5" s="51">
        <f>SUM(MemberOfAssemblyAssemblyDistrict70General47[[#This Row],[Total Votes by Party]])</f>
        <v>3066</v>
      </c>
    </row>
    <row r="6" spans="1:5" x14ac:dyDescent="0.2">
      <c r="A6" s="22" t="s">
        <v>644</v>
      </c>
      <c r="B6" s="2">
        <v>1507</v>
      </c>
      <c r="C6" s="45">
        <f>MemberOfAssemblyAssemblyDistrict70General47[[#This Row],[Part of New York County Vote Results]]</f>
        <v>1507</v>
      </c>
      <c r="D6" s="9">
        <f>SUM(MemberOfAssemblyAssemblyDistrict70General47[[#This Row],[Total Votes by Party]])</f>
        <v>1507</v>
      </c>
    </row>
    <row r="7" spans="1:5" x14ac:dyDescent="0.2">
      <c r="A7" s="22" t="s">
        <v>197</v>
      </c>
      <c r="B7" s="2">
        <v>2318</v>
      </c>
      <c r="C7" s="45">
        <f>MemberOfAssemblyAssemblyDistrict70General47[[#This Row],[Part of New York County Vote Results]]</f>
        <v>2318</v>
      </c>
      <c r="D7" s="9">
        <f>SUM(MemberOfAssemblyAssemblyDistrict70General47[[#This Row],[Total Votes by Party]])</f>
        <v>2318</v>
      </c>
    </row>
    <row r="8" spans="1:5" x14ac:dyDescent="0.2">
      <c r="A8" s="22" t="s">
        <v>198</v>
      </c>
      <c r="B8" s="2">
        <v>2123</v>
      </c>
      <c r="C8" s="45">
        <f>MemberOfAssemblyAssemblyDistrict70General47[[#This Row],[Part of New York County Vote Results]]</f>
        <v>2123</v>
      </c>
      <c r="D8" s="9">
        <f>SUM(MemberOfAssemblyAssemblyDistrict70General47[[#This Row],[Total Votes by Party]])</f>
        <v>2123</v>
      </c>
    </row>
    <row r="9" spans="1:5" x14ac:dyDescent="0.2">
      <c r="A9" s="22" t="s">
        <v>199</v>
      </c>
      <c r="B9" s="26">
        <v>3341</v>
      </c>
      <c r="C9" s="54">
        <f>MemberOfAssemblyAssemblyDistrict70General47[[#This Row],[Part of New York County Vote Results]]</f>
        <v>3341</v>
      </c>
      <c r="D9" s="51">
        <f>SUM(MemberOfAssemblyAssemblyDistrict70General47[[#This Row],[Total Votes by Party]])</f>
        <v>3341</v>
      </c>
    </row>
    <row r="10" spans="1:5" x14ac:dyDescent="0.2">
      <c r="A10" s="22" t="s">
        <v>200</v>
      </c>
      <c r="B10" s="2">
        <v>1420</v>
      </c>
      <c r="C10" s="45">
        <f>MemberOfAssemblyAssemblyDistrict70General47[[#This Row],[Part of New York County Vote Results]]</f>
        <v>1420</v>
      </c>
      <c r="D10" s="9">
        <f>SUM(MemberOfAssemblyAssemblyDistrict70General47[[#This Row],[Total Votes by Party]])</f>
        <v>1420</v>
      </c>
    </row>
    <row r="11" spans="1:5" x14ac:dyDescent="0.2">
      <c r="A11" s="22" t="s">
        <v>201</v>
      </c>
      <c r="B11" s="26">
        <v>2523</v>
      </c>
      <c r="C11" s="54">
        <f>MemberOfAssemblyAssemblyDistrict70General47[[#This Row],[Part of New York County Vote Results]]</f>
        <v>2523</v>
      </c>
      <c r="D11" s="51">
        <f>SUM(MemberOfAssemblyAssemblyDistrict70General47[[#This Row],[Total Votes by Party]])</f>
        <v>2523</v>
      </c>
    </row>
    <row r="12" spans="1:5" x14ac:dyDescent="0.2">
      <c r="A12" s="22" t="s">
        <v>202</v>
      </c>
      <c r="B12" s="2">
        <v>1889</v>
      </c>
      <c r="C12" s="45">
        <f>MemberOfAssemblyAssemblyDistrict70General47[[#This Row],[Part of New York County Vote Results]]</f>
        <v>1889</v>
      </c>
      <c r="D12" s="9">
        <f>SUM(MemberOfAssemblyAssemblyDistrict70General47[[#This Row],[Total Votes by Party]])</f>
        <v>1889</v>
      </c>
    </row>
    <row r="13" spans="1:5" x14ac:dyDescent="0.2">
      <c r="A13" s="22" t="s">
        <v>203</v>
      </c>
      <c r="B13" s="2">
        <v>2001</v>
      </c>
      <c r="C13" s="45">
        <f>MemberOfAssemblyAssemblyDistrict70General47[[#This Row],[Part of New York County Vote Results]]</f>
        <v>2001</v>
      </c>
      <c r="D13" s="9">
        <f>SUM(MemberOfAssemblyAssemblyDistrict70General47[[#This Row],[Total Votes by Party]])</f>
        <v>2001</v>
      </c>
    </row>
    <row r="14" spans="1:5" x14ac:dyDescent="0.2">
      <c r="A14" s="22" t="s">
        <v>204</v>
      </c>
      <c r="B14" s="2">
        <v>1436</v>
      </c>
      <c r="C14" s="45">
        <f>MemberOfAssemblyAssemblyDistrict70General47[[#This Row],[Part of New York County Vote Results]]</f>
        <v>1436</v>
      </c>
      <c r="D14" s="9">
        <f>SUM(MemberOfAssemblyAssemblyDistrict70General47[[#This Row],[Total Votes by Party]])</f>
        <v>1436</v>
      </c>
    </row>
    <row r="15" spans="1:5" x14ac:dyDescent="0.2">
      <c r="A15" s="22" t="s">
        <v>205</v>
      </c>
      <c r="B15" s="26">
        <v>4828</v>
      </c>
      <c r="C15" s="54">
        <f>MemberOfAssemblyAssemblyDistrict70General47[[#This Row],[Part of New York County Vote Results]]</f>
        <v>4828</v>
      </c>
      <c r="D15" s="51">
        <f>SUM(MemberOfAssemblyAssemblyDistrict70General47[[#This Row],[Total Votes by Party]])</f>
        <v>4828</v>
      </c>
    </row>
    <row r="16" spans="1:5" x14ac:dyDescent="0.2">
      <c r="A16" s="22" t="s">
        <v>206</v>
      </c>
      <c r="B16" s="2">
        <v>2477</v>
      </c>
      <c r="C16" s="45">
        <f>MemberOfAssemblyAssemblyDistrict70General47[[#This Row],[Part of New York County Vote Results]]</f>
        <v>2477</v>
      </c>
      <c r="D16" s="9">
        <f>SUM(MemberOfAssemblyAssemblyDistrict70General47[[#This Row],[Total Votes by Party]])</f>
        <v>2477</v>
      </c>
    </row>
    <row r="17" spans="1:4" x14ac:dyDescent="0.2">
      <c r="A17" s="22" t="s">
        <v>207</v>
      </c>
      <c r="B17" s="26">
        <v>3451</v>
      </c>
      <c r="C17" s="54">
        <f>MemberOfAssemblyAssemblyDistrict70General47[[#This Row],[Part of New York County Vote Results]]</f>
        <v>3451</v>
      </c>
      <c r="D17" s="51">
        <f>SUM(MemberOfAssemblyAssemblyDistrict70General47[[#This Row],[Total Votes by Party]])</f>
        <v>3451</v>
      </c>
    </row>
    <row r="18" spans="1:4" x14ac:dyDescent="0.2">
      <c r="A18" s="22" t="s">
        <v>208</v>
      </c>
      <c r="B18" s="26">
        <v>3054</v>
      </c>
      <c r="C18" s="54">
        <f>MemberOfAssemblyAssemblyDistrict70General47[[#This Row],[Part of New York County Vote Results]]</f>
        <v>3054</v>
      </c>
      <c r="D18" s="51">
        <f>SUM(MemberOfAssemblyAssemblyDistrict70General47[[#This Row],[Total Votes by Party]])</f>
        <v>3054</v>
      </c>
    </row>
    <row r="19" spans="1:4" x14ac:dyDescent="0.2">
      <c r="A19" s="22" t="s">
        <v>209</v>
      </c>
      <c r="B19" s="26">
        <v>3941</v>
      </c>
      <c r="C19" s="54">
        <f>MemberOfAssemblyAssemblyDistrict70General47[[#This Row],[Part of New York County Vote Results]]</f>
        <v>3941</v>
      </c>
      <c r="D19" s="51">
        <f>SUM(MemberOfAssemblyAssemblyDistrict70General47[[#This Row],[Total Votes by Party]])</f>
        <v>3941</v>
      </c>
    </row>
    <row r="20" spans="1:4" x14ac:dyDescent="0.2">
      <c r="A20" s="22" t="s">
        <v>210</v>
      </c>
      <c r="B20" s="26">
        <v>3201</v>
      </c>
      <c r="C20" s="54">
        <f>MemberOfAssemblyAssemblyDistrict70General47[[#This Row],[Part of New York County Vote Results]]</f>
        <v>3201</v>
      </c>
      <c r="D20" s="51">
        <f>SUM(MemberOfAssemblyAssemblyDistrict70General47[[#This Row],[Total Votes by Party]])</f>
        <v>3201</v>
      </c>
    </row>
    <row r="21" spans="1:4" x14ac:dyDescent="0.2">
      <c r="A21" s="22" t="s">
        <v>211</v>
      </c>
      <c r="B21" s="2">
        <v>2265</v>
      </c>
      <c r="C21" s="45">
        <f>MemberOfAssemblyAssemblyDistrict70General47[[#This Row],[Part of New York County Vote Results]]</f>
        <v>2265</v>
      </c>
      <c r="D21" s="9">
        <f>SUM(MemberOfAssemblyAssemblyDistrict70General47[[#This Row],[Total Votes by Party]])</f>
        <v>2265</v>
      </c>
    </row>
    <row r="22" spans="1:4" x14ac:dyDescent="0.2">
      <c r="A22" s="22" t="s">
        <v>212</v>
      </c>
      <c r="B22" s="26">
        <v>4531</v>
      </c>
      <c r="C22" s="54">
        <f>MemberOfAssemblyAssemblyDistrict70General47[[#This Row],[Part of New York County Vote Results]]</f>
        <v>4531</v>
      </c>
      <c r="D22" s="51">
        <f>SUM(MemberOfAssemblyAssemblyDistrict70General47[[#This Row],[Total Votes by Party]])</f>
        <v>4531</v>
      </c>
    </row>
    <row r="23" spans="1:4" x14ac:dyDescent="0.2">
      <c r="A23" s="22" t="s">
        <v>213</v>
      </c>
      <c r="B23" s="26">
        <v>3441</v>
      </c>
      <c r="C23" s="54">
        <f>MemberOfAssemblyAssemblyDistrict70General47[[#This Row],[Part of New York County Vote Results]]</f>
        <v>3441</v>
      </c>
      <c r="D23" s="51">
        <f>SUM(MemberOfAssemblyAssemblyDistrict70General47[[#This Row],[Total Votes by Party]])</f>
        <v>3441</v>
      </c>
    </row>
    <row r="24" spans="1:4" x14ac:dyDescent="0.2">
      <c r="A24" s="22" t="s">
        <v>214</v>
      </c>
      <c r="B24" s="2">
        <v>2415</v>
      </c>
      <c r="C24" s="45">
        <f>MemberOfAssemblyAssemblyDistrict70General47[[#This Row],[Part of New York County Vote Results]]</f>
        <v>2415</v>
      </c>
      <c r="D24" s="9">
        <f>SUM(MemberOfAssemblyAssemblyDistrict70General47[[#This Row],[Total Votes by Party]])</f>
        <v>2415</v>
      </c>
    </row>
    <row r="25" spans="1:4" x14ac:dyDescent="0.2">
      <c r="A25" s="22" t="s">
        <v>215</v>
      </c>
      <c r="B25" s="26">
        <v>2822</v>
      </c>
      <c r="C25" s="54">
        <f>MemberOfAssemblyAssemblyDistrict70General47[[#This Row],[Part of New York County Vote Results]]</f>
        <v>2822</v>
      </c>
      <c r="D25" s="51">
        <f>SUM(MemberOfAssemblyAssemblyDistrict70General47[[#This Row],[Total Votes by Party]])</f>
        <v>2822</v>
      </c>
    </row>
    <row r="26" spans="1:4" x14ac:dyDescent="0.2">
      <c r="A26" s="22" t="s">
        <v>645</v>
      </c>
      <c r="B26" s="26">
        <v>4530</v>
      </c>
      <c r="C26" s="54">
        <f>MemberOfAssemblyAssemblyDistrict70General47[[#This Row],[Part of New York County Vote Results]]</f>
        <v>4530</v>
      </c>
      <c r="D26" s="51">
        <f>SUM(MemberOfAssemblyAssemblyDistrict70General47[[#This Row],[Total Votes by Party]])</f>
        <v>4530</v>
      </c>
    </row>
    <row r="27" spans="1:4" x14ac:dyDescent="0.2">
      <c r="A27" s="3" t="s">
        <v>0</v>
      </c>
      <c r="B27" s="2">
        <v>39463</v>
      </c>
      <c r="C27" s="8">
        <f>MemberOfAssemblyAssemblyDistrict70General47[[#This Row],[Part of New York County Vote Results]]</f>
        <v>39463</v>
      </c>
      <c r="D27" s="10"/>
    </row>
    <row r="28" spans="1:4" x14ac:dyDescent="0.2">
      <c r="A28" s="3" t="s">
        <v>1</v>
      </c>
      <c r="B28" s="2"/>
      <c r="C28" s="8">
        <f>MemberOfAssemblyAssemblyDistrict70General47[[#This Row],[Part of New York County Vote Results]]</f>
        <v>0</v>
      </c>
      <c r="D28" s="10"/>
    </row>
    <row r="29" spans="1:4" x14ac:dyDescent="0.2">
      <c r="A29" s="3" t="s">
        <v>6</v>
      </c>
      <c r="B29" s="2">
        <v>276</v>
      </c>
      <c r="C29" s="8">
        <f>MemberOfAssemblyAssemblyDistrict70General47[[#This Row],[Part of New York County Vote Results]]</f>
        <v>276</v>
      </c>
      <c r="D29" s="10"/>
    </row>
    <row r="30" spans="1:4" x14ac:dyDescent="0.2">
      <c r="A30" s="11" t="s">
        <v>2</v>
      </c>
      <c r="B30" s="2">
        <f>SUM(MemberOfAssemblyAssemblyDistrict70General47[Part of New York County Vote Results])</f>
        <v>106452</v>
      </c>
      <c r="C30" s="8">
        <f>SUM(MemberOfAssemblyAssemblyDistrict70General47[Total Votes by Party])</f>
        <v>106452</v>
      </c>
      <c r="D30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8E289-C8C0-4F64-85A3-F60A1413391A}">
  <sheetPr>
    <pageSetUpPr fitToPage="1"/>
  </sheetPr>
  <dimension ref="A1:E28"/>
  <sheetViews>
    <sheetView workbookViewId="0">
      <selection activeCell="D41" sqref="D41"/>
    </sheetView>
  </sheetViews>
  <sheetFormatPr defaultRowHeight="12.75" x14ac:dyDescent="0.2"/>
  <cols>
    <col min="1" max="1" width="26.7109375" style="28" customWidth="1"/>
    <col min="2" max="4" width="20.5703125" style="28" customWidth="1"/>
    <col min="5" max="5" width="23.5703125" style="28" customWidth="1"/>
    <col min="6" max="16384" width="9.140625" style="28"/>
  </cols>
  <sheetData>
    <row r="1" spans="1:5" ht="51" customHeight="1" x14ac:dyDescent="0.2">
      <c r="A1" s="59" t="s">
        <v>217</v>
      </c>
      <c r="B1" s="59"/>
      <c r="C1" s="59"/>
      <c r="D1" s="59"/>
      <c r="E1" s="59"/>
    </row>
    <row r="2" spans="1:5" ht="25.5" x14ac:dyDescent="0.2">
      <c r="A2" s="29" t="s">
        <v>5</v>
      </c>
      <c r="B2" s="30" t="s">
        <v>19</v>
      </c>
      <c r="C2" s="31" t="s">
        <v>3</v>
      </c>
      <c r="D2" s="32" t="s">
        <v>4</v>
      </c>
    </row>
    <row r="3" spans="1:5" x14ac:dyDescent="0.2">
      <c r="A3" s="42" t="s">
        <v>218</v>
      </c>
      <c r="B3" s="49">
        <v>3300</v>
      </c>
      <c r="C3" s="43">
        <f>MemberOfAssemblyAssemblyDistrict71General49[[#This Row],[Part of New York County Vote Results]]</f>
        <v>3300</v>
      </c>
      <c r="D3" s="55">
        <f>SUM(MemberOfAssemblyAssemblyDistrict71General49[[#This Row],[Total Votes by Party]])</f>
        <v>3300</v>
      </c>
    </row>
    <row r="4" spans="1:5" x14ac:dyDescent="0.2">
      <c r="A4" s="42" t="s">
        <v>219</v>
      </c>
      <c r="B4" s="49">
        <v>2469</v>
      </c>
      <c r="C4" s="43">
        <f>MemberOfAssemblyAssemblyDistrict71General49[[#This Row],[Part of New York County Vote Results]]</f>
        <v>2469</v>
      </c>
      <c r="D4" s="55">
        <f>SUM(MemberOfAssemblyAssemblyDistrict71General49[[#This Row],[Total Votes by Party]])</f>
        <v>2469</v>
      </c>
    </row>
    <row r="5" spans="1:5" x14ac:dyDescent="0.2">
      <c r="A5" s="42" t="s">
        <v>633</v>
      </c>
      <c r="B5" s="49">
        <v>2802</v>
      </c>
      <c r="C5" s="43">
        <f>MemberOfAssemblyAssemblyDistrict71General49[[#This Row],[Part of New York County Vote Results]]</f>
        <v>2802</v>
      </c>
      <c r="D5" s="55">
        <f>SUM(MemberOfAssemblyAssemblyDistrict71General49[[#This Row],[Total Votes by Party]])</f>
        <v>2802</v>
      </c>
    </row>
    <row r="6" spans="1:5" x14ac:dyDescent="0.2">
      <c r="A6" s="42" t="s">
        <v>220</v>
      </c>
      <c r="B6" s="49">
        <v>3060</v>
      </c>
      <c r="C6" s="43">
        <f>MemberOfAssemblyAssemblyDistrict71General49[[#This Row],[Part of New York County Vote Results]]</f>
        <v>3060</v>
      </c>
      <c r="D6" s="55">
        <f>SUM(MemberOfAssemblyAssemblyDistrict71General49[[#This Row],[Total Votes by Party]])</f>
        <v>3060</v>
      </c>
    </row>
    <row r="7" spans="1:5" x14ac:dyDescent="0.2">
      <c r="A7" s="42" t="s">
        <v>221</v>
      </c>
      <c r="B7" s="49">
        <v>2732</v>
      </c>
      <c r="C7" s="43">
        <f>MemberOfAssemblyAssemblyDistrict71General49[[#This Row],[Part of New York County Vote Results]]</f>
        <v>2732</v>
      </c>
      <c r="D7" s="55">
        <f>SUM(MemberOfAssemblyAssemblyDistrict71General49[[#This Row],[Total Votes by Party]])</f>
        <v>2732</v>
      </c>
    </row>
    <row r="8" spans="1:5" x14ac:dyDescent="0.2">
      <c r="A8" s="42" t="s">
        <v>222</v>
      </c>
      <c r="B8" s="49">
        <v>3088</v>
      </c>
      <c r="C8" s="43">
        <f>MemberOfAssemblyAssemblyDistrict71General49[[#This Row],[Part of New York County Vote Results]]</f>
        <v>3088</v>
      </c>
      <c r="D8" s="55">
        <f>SUM(MemberOfAssemblyAssemblyDistrict71General49[[#This Row],[Total Votes by Party]])</f>
        <v>3088</v>
      </c>
    </row>
    <row r="9" spans="1:5" x14ac:dyDescent="0.2">
      <c r="A9" s="42" t="s">
        <v>223</v>
      </c>
      <c r="B9" s="49">
        <v>3117</v>
      </c>
      <c r="C9" s="43">
        <f>MemberOfAssemblyAssemblyDistrict71General49[[#This Row],[Part of New York County Vote Results]]</f>
        <v>3117</v>
      </c>
      <c r="D9" s="55">
        <f>SUM(MemberOfAssemblyAssemblyDistrict71General49[[#This Row],[Total Votes by Party]])</f>
        <v>3117</v>
      </c>
    </row>
    <row r="10" spans="1:5" x14ac:dyDescent="0.2">
      <c r="A10" s="42" t="s">
        <v>224</v>
      </c>
      <c r="B10" s="49">
        <v>2047</v>
      </c>
      <c r="C10" s="43">
        <f>MemberOfAssemblyAssemblyDistrict71General49[[#This Row],[Part of New York County Vote Results]]</f>
        <v>2047</v>
      </c>
      <c r="D10" s="55">
        <f>SUM(MemberOfAssemblyAssemblyDistrict71General49[[#This Row],[Total Votes by Party]])</f>
        <v>2047</v>
      </c>
    </row>
    <row r="11" spans="1:5" x14ac:dyDescent="0.2">
      <c r="A11" s="42" t="s">
        <v>225</v>
      </c>
      <c r="B11" s="49">
        <v>2229</v>
      </c>
      <c r="C11" s="43">
        <f>MemberOfAssemblyAssemblyDistrict71General49[[#This Row],[Part of New York County Vote Results]]</f>
        <v>2229</v>
      </c>
      <c r="D11" s="55">
        <f>SUM(MemberOfAssemblyAssemblyDistrict71General49[[#This Row],[Total Votes by Party]])</f>
        <v>2229</v>
      </c>
    </row>
    <row r="12" spans="1:5" x14ac:dyDescent="0.2">
      <c r="A12" s="42" t="s">
        <v>649</v>
      </c>
      <c r="B12" s="49">
        <v>2780</v>
      </c>
      <c r="C12" s="43">
        <f>MemberOfAssemblyAssemblyDistrict71General49[[#This Row],[Part of New York County Vote Results]]</f>
        <v>2780</v>
      </c>
      <c r="D12" s="55">
        <f>SUM(MemberOfAssemblyAssemblyDistrict71General49[[#This Row],[Total Votes by Party]])</f>
        <v>2780</v>
      </c>
    </row>
    <row r="13" spans="1:5" x14ac:dyDescent="0.2">
      <c r="A13" s="42" t="s">
        <v>634</v>
      </c>
      <c r="B13" s="49">
        <v>2121</v>
      </c>
      <c r="C13" s="43">
        <f>MemberOfAssemblyAssemblyDistrict71General49[[#This Row],[Part of New York County Vote Results]]</f>
        <v>2121</v>
      </c>
      <c r="D13" s="55">
        <f>SUM(MemberOfAssemblyAssemblyDistrict71General49[[#This Row],[Total Votes by Party]])</f>
        <v>2121</v>
      </c>
    </row>
    <row r="14" spans="1:5" x14ac:dyDescent="0.2">
      <c r="A14" s="42" t="s">
        <v>226</v>
      </c>
      <c r="B14" s="34">
        <v>1539</v>
      </c>
      <c r="C14" s="44">
        <f>MemberOfAssemblyAssemblyDistrict71General49[[#This Row],[Part of New York County Vote Results]]</f>
        <v>1539</v>
      </c>
      <c r="D14" s="36">
        <f>SUM(MemberOfAssemblyAssemblyDistrict71General49[[#This Row],[Total Votes by Party]])</f>
        <v>1539</v>
      </c>
    </row>
    <row r="15" spans="1:5" x14ac:dyDescent="0.2">
      <c r="A15" s="42" t="s">
        <v>227</v>
      </c>
      <c r="B15" s="34">
        <v>1283</v>
      </c>
      <c r="C15" s="44">
        <f>MemberOfAssemblyAssemblyDistrict71General49[[#This Row],[Part of New York County Vote Results]]</f>
        <v>1283</v>
      </c>
      <c r="D15" s="36">
        <f>SUM(MemberOfAssemblyAssemblyDistrict71General49[[#This Row],[Total Votes by Party]])</f>
        <v>1283</v>
      </c>
    </row>
    <row r="16" spans="1:5" x14ac:dyDescent="0.2">
      <c r="A16" s="42" t="s">
        <v>228</v>
      </c>
      <c r="B16" s="34">
        <v>1525</v>
      </c>
      <c r="C16" s="44">
        <f>MemberOfAssemblyAssemblyDistrict71General49[[#This Row],[Part of New York County Vote Results]]</f>
        <v>1525</v>
      </c>
      <c r="D16" s="36">
        <f>SUM(MemberOfAssemblyAssemblyDistrict71General49[[#This Row],[Total Votes by Party]])</f>
        <v>1525</v>
      </c>
    </row>
    <row r="17" spans="1:4" x14ac:dyDescent="0.2">
      <c r="A17" s="42" t="s">
        <v>229</v>
      </c>
      <c r="B17" s="34">
        <v>1203</v>
      </c>
      <c r="C17" s="44">
        <f>MemberOfAssemblyAssemblyDistrict71General49[[#This Row],[Part of New York County Vote Results]]</f>
        <v>1203</v>
      </c>
      <c r="D17" s="36">
        <f>SUM(MemberOfAssemblyAssemblyDistrict71General49[[#This Row],[Total Votes by Party]])</f>
        <v>1203</v>
      </c>
    </row>
    <row r="18" spans="1:4" x14ac:dyDescent="0.2">
      <c r="A18" s="42" t="s">
        <v>635</v>
      </c>
      <c r="B18" s="34">
        <v>1585</v>
      </c>
      <c r="C18" s="44">
        <f>MemberOfAssemblyAssemblyDistrict71General49[[#This Row],[Part of New York County Vote Results]]</f>
        <v>1585</v>
      </c>
      <c r="D18" s="36">
        <f>SUM(MemberOfAssemblyAssemblyDistrict71General49[[#This Row],[Total Votes by Party]])</f>
        <v>1585</v>
      </c>
    </row>
    <row r="19" spans="1:4" x14ac:dyDescent="0.2">
      <c r="A19" s="42" t="s">
        <v>230</v>
      </c>
      <c r="B19" s="34">
        <v>1490</v>
      </c>
      <c r="C19" s="44">
        <f>MemberOfAssemblyAssemblyDistrict71General49[[#This Row],[Part of New York County Vote Results]]</f>
        <v>1490</v>
      </c>
      <c r="D19" s="36">
        <f>SUM(MemberOfAssemblyAssemblyDistrict71General49[[#This Row],[Total Votes by Party]])</f>
        <v>1490</v>
      </c>
    </row>
    <row r="20" spans="1:4" x14ac:dyDescent="0.2">
      <c r="A20" s="42" t="s">
        <v>231</v>
      </c>
      <c r="B20" s="34">
        <v>1200</v>
      </c>
      <c r="C20" s="44">
        <f>MemberOfAssemblyAssemblyDistrict71General49[[#This Row],[Part of New York County Vote Results]]</f>
        <v>1200</v>
      </c>
      <c r="D20" s="36">
        <f>SUM(MemberOfAssemblyAssemblyDistrict71General49[[#This Row],[Total Votes by Party]])</f>
        <v>1200</v>
      </c>
    </row>
    <row r="21" spans="1:4" x14ac:dyDescent="0.2">
      <c r="A21" s="42" t="s">
        <v>232</v>
      </c>
      <c r="B21" s="34">
        <v>1479</v>
      </c>
      <c r="C21" s="44">
        <f>MemberOfAssemblyAssemblyDistrict71General49[[#This Row],[Part of New York County Vote Results]]</f>
        <v>1479</v>
      </c>
      <c r="D21" s="36">
        <f>SUM(MemberOfAssemblyAssemblyDistrict71General49[[#This Row],[Total Votes by Party]])</f>
        <v>1479</v>
      </c>
    </row>
    <row r="22" spans="1:4" x14ac:dyDescent="0.2">
      <c r="A22" s="42" t="s">
        <v>233</v>
      </c>
      <c r="B22" s="34">
        <v>722</v>
      </c>
      <c r="C22" s="44">
        <f>MemberOfAssemblyAssemblyDistrict71General49[[#This Row],[Part of New York County Vote Results]]</f>
        <v>722</v>
      </c>
      <c r="D22" s="36">
        <f>SUM(MemberOfAssemblyAssemblyDistrict71General49[[#This Row],[Total Votes by Party]])</f>
        <v>722</v>
      </c>
    </row>
    <row r="23" spans="1:4" x14ac:dyDescent="0.2">
      <c r="A23" s="42" t="s">
        <v>234</v>
      </c>
      <c r="B23" s="34">
        <v>1026</v>
      </c>
      <c r="C23" s="44">
        <f>MemberOfAssemblyAssemblyDistrict71General49[[#This Row],[Part of New York County Vote Results]]</f>
        <v>1026</v>
      </c>
      <c r="D23" s="36">
        <f>SUM(MemberOfAssemblyAssemblyDistrict71General49[[#This Row],[Total Votes by Party]])</f>
        <v>1026</v>
      </c>
    </row>
    <row r="24" spans="1:4" x14ac:dyDescent="0.2">
      <c r="A24" s="42" t="s">
        <v>235</v>
      </c>
      <c r="B24" s="34">
        <v>1177</v>
      </c>
      <c r="C24" s="44">
        <f>MemberOfAssemblyAssemblyDistrict71General49[[#This Row],[Part of New York County Vote Results]]</f>
        <v>1177</v>
      </c>
      <c r="D24" s="36">
        <f>SUM(MemberOfAssemblyAssemblyDistrict71General49[[#This Row],[Total Votes by Party]])</f>
        <v>1177</v>
      </c>
    </row>
    <row r="25" spans="1:4" x14ac:dyDescent="0.2">
      <c r="A25" s="37" t="s">
        <v>0</v>
      </c>
      <c r="B25" s="34">
        <v>27603</v>
      </c>
      <c r="C25" s="35">
        <f>MemberOfAssemblyAssemblyDistrict71General49[[#This Row],[Part of New York County Vote Results]]</f>
        <v>27603</v>
      </c>
      <c r="D25" s="38"/>
    </row>
    <row r="26" spans="1:4" x14ac:dyDescent="0.2">
      <c r="A26" s="37" t="s">
        <v>1</v>
      </c>
      <c r="B26" s="34"/>
      <c r="C26" s="35">
        <f>MemberOfAssemblyAssemblyDistrict71General49[[#This Row],[Part of New York County Vote Results]]</f>
        <v>0</v>
      </c>
      <c r="D26" s="38"/>
    </row>
    <row r="27" spans="1:4" x14ac:dyDescent="0.2">
      <c r="A27" s="37" t="s">
        <v>6</v>
      </c>
      <c r="B27" s="34">
        <v>176</v>
      </c>
      <c r="C27" s="35">
        <f>MemberOfAssemblyAssemblyDistrict71General49[[#This Row],[Part of New York County Vote Results]]</f>
        <v>176</v>
      </c>
      <c r="D27" s="38"/>
    </row>
    <row r="28" spans="1:4" x14ac:dyDescent="0.2">
      <c r="A28" s="11" t="s">
        <v>2</v>
      </c>
      <c r="B28" s="2">
        <f>SUM(MemberOfAssemblyAssemblyDistrict71General49[Part of New York County Vote Results])</f>
        <v>71753</v>
      </c>
      <c r="C28" s="8">
        <f>SUM(MemberOfAssemblyAssemblyDistrict71General49[Total Votes by Party])</f>
        <v>71753</v>
      </c>
      <c r="D28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4CA4A-FDC3-4487-A913-459D6E01F6DD}">
  <sheetPr>
    <pageSetUpPr fitToPage="1"/>
  </sheetPr>
  <dimension ref="A1:F27"/>
  <sheetViews>
    <sheetView workbookViewId="0">
      <selection activeCell="D41" sqref="D41"/>
    </sheetView>
  </sheetViews>
  <sheetFormatPr defaultRowHeight="12.75" x14ac:dyDescent="0.2"/>
  <cols>
    <col min="1" max="1" width="25.5703125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6" ht="51" customHeight="1" x14ac:dyDescent="0.2">
      <c r="A1" s="59" t="s">
        <v>216</v>
      </c>
      <c r="B1" s="59"/>
      <c r="C1" s="59"/>
      <c r="D1" s="59"/>
      <c r="E1" s="59"/>
      <c r="F1" s="59"/>
    </row>
    <row r="2" spans="1:6" ht="25.5" x14ac:dyDescent="0.2">
      <c r="A2" s="29" t="s">
        <v>5</v>
      </c>
      <c r="B2" s="30" t="s">
        <v>19</v>
      </c>
      <c r="C2" s="31" t="s">
        <v>3</v>
      </c>
      <c r="D2" s="32" t="s">
        <v>4</v>
      </c>
    </row>
    <row r="3" spans="1:6" x14ac:dyDescent="0.2">
      <c r="A3" s="42" t="s">
        <v>273</v>
      </c>
      <c r="B3" s="49">
        <v>2733</v>
      </c>
      <c r="C3" s="43">
        <f>MemberOfAssemblyAssemblyDistrict71General4950[[#This Row],[Part of New York County Vote Results]]</f>
        <v>2733</v>
      </c>
      <c r="D3" s="55">
        <f>SUM(MemberOfAssemblyAssemblyDistrict71General4950[[#This Row],[Total Votes by Party]])</f>
        <v>2733</v>
      </c>
    </row>
    <row r="4" spans="1:6" x14ac:dyDescent="0.2">
      <c r="A4" s="42" t="s">
        <v>274</v>
      </c>
      <c r="B4" s="49">
        <v>2005</v>
      </c>
      <c r="C4" s="43">
        <f>MemberOfAssemblyAssemblyDistrict71General4950[[#This Row],[Part of New York County Vote Results]]</f>
        <v>2005</v>
      </c>
      <c r="D4" s="55">
        <f>SUM(MemberOfAssemblyAssemblyDistrict71General4950[[#This Row],[Total Votes by Party]])</f>
        <v>2005</v>
      </c>
    </row>
    <row r="5" spans="1:6" x14ac:dyDescent="0.2">
      <c r="A5" s="42" t="s">
        <v>275</v>
      </c>
      <c r="B5" s="49">
        <v>2429</v>
      </c>
      <c r="C5" s="43">
        <f>MemberOfAssemblyAssemblyDistrict71General4950[[#This Row],[Part of New York County Vote Results]]</f>
        <v>2429</v>
      </c>
      <c r="D5" s="55">
        <f>SUM(MemberOfAssemblyAssemblyDistrict71General4950[[#This Row],[Total Votes by Party]])</f>
        <v>2429</v>
      </c>
    </row>
    <row r="6" spans="1:6" x14ac:dyDescent="0.2">
      <c r="A6" s="42" t="s">
        <v>276</v>
      </c>
      <c r="B6" s="49">
        <v>2532</v>
      </c>
      <c r="C6" s="43">
        <f>MemberOfAssemblyAssemblyDistrict71General4950[[#This Row],[Part of New York County Vote Results]]</f>
        <v>2532</v>
      </c>
      <c r="D6" s="55">
        <f>SUM(MemberOfAssemblyAssemblyDistrict71General4950[[#This Row],[Total Votes by Party]])</f>
        <v>2532</v>
      </c>
    </row>
    <row r="7" spans="1:6" x14ac:dyDescent="0.2">
      <c r="A7" s="42" t="s">
        <v>277</v>
      </c>
      <c r="B7" s="49">
        <v>1927</v>
      </c>
      <c r="C7" s="43">
        <f>MemberOfAssemblyAssemblyDistrict71General4950[[#This Row],[Part of New York County Vote Results]]</f>
        <v>1927</v>
      </c>
      <c r="D7" s="55">
        <f>SUM(MemberOfAssemblyAssemblyDistrict71General4950[[#This Row],[Total Votes by Party]])</f>
        <v>1927</v>
      </c>
    </row>
    <row r="8" spans="1:6" x14ac:dyDescent="0.2">
      <c r="A8" s="42" t="s">
        <v>278</v>
      </c>
      <c r="B8" s="49">
        <v>2142</v>
      </c>
      <c r="C8" s="43">
        <f>MemberOfAssemblyAssemblyDistrict71General4950[[#This Row],[Part of New York County Vote Results]]</f>
        <v>2142</v>
      </c>
      <c r="D8" s="55">
        <f>SUM(MemberOfAssemblyAssemblyDistrict71General4950[[#This Row],[Total Votes by Party]])</f>
        <v>2142</v>
      </c>
    </row>
    <row r="9" spans="1:6" x14ac:dyDescent="0.2">
      <c r="A9" s="42" t="s">
        <v>279</v>
      </c>
      <c r="B9" s="49">
        <v>2508</v>
      </c>
      <c r="C9" s="43">
        <f>MemberOfAssemblyAssemblyDistrict71General4950[[#This Row],[Part of New York County Vote Results]]</f>
        <v>2508</v>
      </c>
      <c r="D9" s="55">
        <f>SUM(MemberOfAssemblyAssemblyDistrict71General4950[[#This Row],[Total Votes by Party]])</f>
        <v>2508</v>
      </c>
    </row>
    <row r="10" spans="1:6" x14ac:dyDescent="0.2">
      <c r="A10" s="42" t="s">
        <v>647</v>
      </c>
      <c r="B10" s="49">
        <v>1963</v>
      </c>
      <c r="C10" s="43">
        <f>MemberOfAssemblyAssemblyDistrict71General4950[[#This Row],[Part of New York County Vote Results]]</f>
        <v>1963</v>
      </c>
      <c r="D10" s="55">
        <f>SUM(MemberOfAssemblyAssemblyDistrict71General4950[[#This Row],[Total Votes by Party]])</f>
        <v>1963</v>
      </c>
    </row>
    <row r="11" spans="1:6" x14ac:dyDescent="0.2">
      <c r="A11" s="42" t="s">
        <v>280</v>
      </c>
      <c r="B11" s="49">
        <v>1978</v>
      </c>
      <c r="C11" s="43">
        <f>MemberOfAssemblyAssemblyDistrict71General4950[[#This Row],[Part of New York County Vote Results]]</f>
        <v>1978</v>
      </c>
      <c r="D11" s="55">
        <f>SUM(MemberOfAssemblyAssemblyDistrict71General4950[[#This Row],[Total Votes by Party]])</f>
        <v>1978</v>
      </c>
    </row>
    <row r="12" spans="1:6" x14ac:dyDescent="0.2">
      <c r="A12" s="42" t="s">
        <v>281</v>
      </c>
      <c r="B12" s="49">
        <v>2429</v>
      </c>
      <c r="C12" s="43">
        <f>MemberOfAssemblyAssemblyDistrict71General4950[[#This Row],[Part of New York County Vote Results]]</f>
        <v>2429</v>
      </c>
      <c r="D12" s="55">
        <f>SUM(MemberOfAssemblyAssemblyDistrict71General4950[[#This Row],[Total Votes by Party]])</f>
        <v>2429</v>
      </c>
    </row>
    <row r="13" spans="1:6" x14ac:dyDescent="0.2">
      <c r="A13" s="42" t="s">
        <v>282</v>
      </c>
      <c r="B13" s="49">
        <v>1862</v>
      </c>
      <c r="C13" s="43">
        <f>MemberOfAssemblyAssemblyDistrict71General4950[[#This Row],[Part of New York County Vote Results]]</f>
        <v>1862</v>
      </c>
      <c r="D13" s="55">
        <f>SUM(MemberOfAssemblyAssemblyDistrict71General4950[[#This Row],[Total Votes by Party]])</f>
        <v>1862</v>
      </c>
    </row>
    <row r="14" spans="1:6" x14ac:dyDescent="0.2">
      <c r="A14" s="42" t="s">
        <v>283</v>
      </c>
      <c r="B14" s="34">
        <v>1283</v>
      </c>
      <c r="C14" s="44">
        <f>MemberOfAssemblyAssemblyDistrict71General4950[[#This Row],[Part of New York County Vote Results]]</f>
        <v>1283</v>
      </c>
      <c r="D14" s="36">
        <f>SUM(MemberOfAssemblyAssemblyDistrict71General4950[[#This Row],[Total Votes by Party]])</f>
        <v>1283</v>
      </c>
    </row>
    <row r="15" spans="1:6" x14ac:dyDescent="0.2">
      <c r="A15" s="42" t="s">
        <v>640</v>
      </c>
      <c r="B15" s="34">
        <v>894</v>
      </c>
      <c r="C15" s="44">
        <f>MemberOfAssemblyAssemblyDistrict71General4950[[#This Row],[Part of New York County Vote Results]]</f>
        <v>894</v>
      </c>
      <c r="D15" s="36">
        <f>SUM(MemberOfAssemblyAssemblyDistrict71General4950[[#This Row],[Total Votes by Party]])</f>
        <v>894</v>
      </c>
    </row>
    <row r="16" spans="1:6" x14ac:dyDescent="0.2">
      <c r="A16" s="42" t="s">
        <v>284</v>
      </c>
      <c r="B16" s="34">
        <v>1693</v>
      </c>
      <c r="C16" s="44">
        <f>MemberOfAssemblyAssemblyDistrict71General4950[[#This Row],[Part of New York County Vote Results]]</f>
        <v>1693</v>
      </c>
      <c r="D16" s="36">
        <f>SUM(MemberOfAssemblyAssemblyDistrict71General4950[[#This Row],[Total Votes by Party]])</f>
        <v>1693</v>
      </c>
    </row>
    <row r="17" spans="1:4" x14ac:dyDescent="0.2">
      <c r="A17" s="42" t="s">
        <v>285</v>
      </c>
      <c r="B17" s="34">
        <v>1058</v>
      </c>
      <c r="C17" s="44">
        <f>MemberOfAssemblyAssemblyDistrict71General4950[[#This Row],[Part of New York County Vote Results]]</f>
        <v>1058</v>
      </c>
      <c r="D17" s="36">
        <f>SUM(MemberOfAssemblyAssemblyDistrict71General4950[[#This Row],[Total Votes by Party]])</f>
        <v>1058</v>
      </c>
    </row>
    <row r="18" spans="1:4" x14ac:dyDescent="0.2">
      <c r="A18" s="42" t="s">
        <v>286</v>
      </c>
      <c r="B18" s="34">
        <v>1282</v>
      </c>
      <c r="C18" s="44">
        <f>MemberOfAssemblyAssemblyDistrict71General4950[[#This Row],[Part of New York County Vote Results]]</f>
        <v>1282</v>
      </c>
      <c r="D18" s="36">
        <f>SUM(MemberOfAssemblyAssemblyDistrict71General4950[[#This Row],[Total Votes by Party]])</f>
        <v>1282</v>
      </c>
    </row>
    <row r="19" spans="1:4" x14ac:dyDescent="0.2">
      <c r="A19" s="42" t="s">
        <v>287</v>
      </c>
      <c r="B19" s="34">
        <v>1059</v>
      </c>
      <c r="C19" s="44">
        <f>MemberOfAssemblyAssemblyDistrict71General4950[[#This Row],[Part of New York County Vote Results]]</f>
        <v>1059</v>
      </c>
      <c r="D19" s="36">
        <f>SUM(MemberOfAssemblyAssemblyDistrict71General4950[[#This Row],[Total Votes by Party]])</f>
        <v>1059</v>
      </c>
    </row>
    <row r="20" spans="1:4" x14ac:dyDescent="0.2">
      <c r="A20" s="42" t="s">
        <v>288</v>
      </c>
      <c r="B20" s="34">
        <v>962</v>
      </c>
      <c r="C20" s="44">
        <f>MemberOfAssemblyAssemblyDistrict71General4950[[#This Row],[Part of New York County Vote Results]]</f>
        <v>962</v>
      </c>
      <c r="D20" s="36">
        <f>SUM(MemberOfAssemblyAssemblyDistrict71General4950[[#This Row],[Total Votes by Party]])</f>
        <v>962</v>
      </c>
    </row>
    <row r="21" spans="1:4" x14ac:dyDescent="0.2">
      <c r="A21" s="42" t="s">
        <v>289</v>
      </c>
      <c r="B21" s="34">
        <v>1386</v>
      </c>
      <c r="C21" s="44">
        <f>MemberOfAssemblyAssemblyDistrict71General4950[[#This Row],[Part of New York County Vote Results]]</f>
        <v>1386</v>
      </c>
      <c r="D21" s="36">
        <f>SUM(MemberOfAssemblyAssemblyDistrict71General4950[[#This Row],[Total Votes by Party]])</f>
        <v>1386</v>
      </c>
    </row>
    <row r="22" spans="1:4" x14ac:dyDescent="0.2">
      <c r="A22" s="42" t="s">
        <v>290</v>
      </c>
      <c r="B22" s="34">
        <v>962</v>
      </c>
      <c r="C22" s="44">
        <f>MemberOfAssemblyAssemblyDistrict71General4950[[#This Row],[Part of New York County Vote Results]]</f>
        <v>962</v>
      </c>
      <c r="D22" s="36">
        <f>SUM(MemberOfAssemblyAssemblyDistrict71General4950[[#This Row],[Total Votes by Party]])</f>
        <v>962</v>
      </c>
    </row>
    <row r="23" spans="1:4" x14ac:dyDescent="0.2">
      <c r="A23" s="33" t="s">
        <v>291</v>
      </c>
      <c r="B23" s="34">
        <v>1094</v>
      </c>
      <c r="C23" s="35">
        <f>MemberOfAssemblyAssemblyDistrict71General4950[[#This Row],[Part of New York County Vote Results]]</f>
        <v>1094</v>
      </c>
      <c r="D23" s="36">
        <f>SUM(MemberOfAssemblyAssemblyDistrict71General4950[[#This Row],[Total Votes by Party]])</f>
        <v>1094</v>
      </c>
    </row>
    <row r="24" spans="1:4" x14ac:dyDescent="0.2">
      <c r="A24" s="37" t="s">
        <v>0</v>
      </c>
      <c r="B24" s="34">
        <v>35456</v>
      </c>
      <c r="C24" s="35">
        <f>MemberOfAssemblyAssemblyDistrict71General4950[[#This Row],[Part of New York County Vote Results]]</f>
        <v>35456</v>
      </c>
      <c r="D24" s="38"/>
    </row>
    <row r="25" spans="1:4" x14ac:dyDescent="0.2">
      <c r="A25" s="37" t="s">
        <v>1</v>
      </c>
      <c r="B25" s="34"/>
      <c r="C25" s="35">
        <f>MemberOfAssemblyAssemblyDistrict71General4950[[#This Row],[Part of New York County Vote Results]]</f>
        <v>0</v>
      </c>
      <c r="D25" s="38"/>
    </row>
    <row r="26" spans="1:4" x14ac:dyDescent="0.2">
      <c r="A26" s="37" t="s">
        <v>6</v>
      </c>
      <c r="B26" s="34">
        <v>116</v>
      </c>
      <c r="C26" s="35">
        <f>MemberOfAssemblyAssemblyDistrict71General4950[[#This Row],[Part of New York County Vote Results]]</f>
        <v>116</v>
      </c>
      <c r="D26" s="38"/>
    </row>
    <row r="27" spans="1:4" x14ac:dyDescent="0.2">
      <c r="A27" s="11" t="s">
        <v>2</v>
      </c>
      <c r="B27" s="2">
        <f>SUM(MemberOfAssemblyAssemblyDistrict71General4950[Part of New York County Vote Results])</f>
        <v>71753</v>
      </c>
      <c r="C27" s="8">
        <f>SUM(MemberOfAssemblyAssemblyDistrict71General4950[Total Votes by Party])</f>
        <v>71753</v>
      </c>
      <c r="D27" s="10"/>
    </row>
  </sheetData>
  <mergeCells count="1">
    <mergeCell ref="A1:F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ignoredErrors>
    <ignoredError sqref="D3:D23" calculatedColumn="1"/>
  </ignoredErrors>
  <tableParts count="1"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4C157-3614-4751-8864-1B7B045BFA25}">
  <sheetPr>
    <pageSetUpPr fitToPage="1"/>
  </sheetPr>
  <dimension ref="A1:E22"/>
  <sheetViews>
    <sheetView workbookViewId="0">
      <selection activeCell="D41" sqref="D41"/>
    </sheetView>
  </sheetViews>
  <sheetFormatPr defaultRowHeight="12.75" x14ac:dyDescent="0.2"/>
  <cols>
    <col min="1" max="1" width="25.5703125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5" ht="51" customHeight="1" x14ac:dyDescent="0.2">
      <c r="A1" s="59" t="s">
        <v>236</v>
      </c>
      <c r="B1" s="59"/>
      <c r="C1" s="59"/>
      <c r="D1" s="59"/>
      <c r="E1" s="59"/>
    </row>
    <row r="2" spans="1:5" ht="25.5" x14ac:dyDescent="0.2">
      <c r="A2" s="29" t="s">
        <v>5</v>
      </c>
      <c r="B2" s="30" t="s">
        <v>19</v>
      </c>
      <c r="C2" s="31" t="s">
        <v>3</v>
      </c>
      <c r="D2" s="32" t="s">
        <v>4</v>
      </c>
    </row>
    <row r="3" spans="1:5" x14ac:dyDescent="0.2">
      <c r="A3" s="42" t="s">
        <v>238</v>
      </c>
      <c r="B3" s="49">
        <v>1383</v>
      </c>
      <c r="C3" s="43">
        <f>MemberOfAssemblyAssemblyDistrict72General51[[#This Row],[Part of New York County Vote Results]]</f>
        <v>1383</v>
      </c>
      <c r="D3" s="55">
        <f>SUM(MemberOfAssemblyAssemblyDistrict72General51[[#This Row],[Total Votes by Party]])</f>
        <v>1383</v>
      </c>
    </row>
    <row r="4" spans="1:5" x14ac:dyDescent="0.2">
      <c r="A4" s="42" t="s">
        <v>239</v>
      </c>
      <c r="B4" s="49">
        <v>1167</v>
      </c>
      <c r="C4" s="43">
        <f>MemberOfAssemblyAssemblyDistrict72General51[[#This Row],[Part of New York County Vote Results]]</f>
        <v>1167</v>
      </c>
      <c r="D4" s="55">
        <f>SUM(MemberOfAssemblyAssemblyDistrict72General51[[#This Row],[Total Votes by Party]])</f>
        <v>1167</v>
      </c>
    </row>
    <row r="5" spans="1:5" x14ac:dyDescent="0.2">
      <c r="A5" s="42" t="s">
        <v>240</v>
      </c>
      <c r="B5" s="49">
        <v>1103</v>
      </c>
      <c r="C5" s="43">
        <f>MemberOfAssemblyAssemblyDistrict72General51[[#This Row],[Part of New York County Vote Results]]</f>
        <v>1103</v>
      </c>
      <c r="D5" s="55">
        <f>SUM(MemberOfAssemblyAssemblyDistrict72General51[[#This Row],[Total Votes by Party]])</f>
        <v>1103</v>
      </c>
    </row>
    <row r="6" spans="1:5" x14ac:dyDescent="0.2">
      <c r="A6" s="42" t="s">
        <v>241</v>
      </c>
      <c r="B6" s="49">
        <v>1270</v>
      </c>
      <c r="C6" s="43">
        <f>MemberOfAssemblyAssemblyDistrict72General51[[#This Row],[Part of New York County Vote Results]]</f>
        <v>1270</v>
      </c>
      <c r="D6" s="55">
        <f>SUM(MemberOfAssemblyAssemblyDistrict72General51[[#This Row],[Total Votes by Party]])</f>
        <v>1270</v>
      </c>
    </row>
    <row r="7" spans="1:5" x14ac:dyDescent="0.2">
      <c r="A7" s="42" t="s">
        <v>242</v>
      </c>
      <c r="B7" s="34">
        <v>1050</v>
      </c>
      <c r="C7" s="44">
        <f>MemberOfAssemblyAssemblyDistrict72General51[[#This Row],[Part of New York County Vote Results]]</f>
        <v>1050</v>
      </c>
      <c r="D7" s="36">
        <f>SUM(MemberOfAssemblyAssemblyDistrict72General51[[#This Row],[Total Votes by Party]])</f>
        <v>1050</v>
      </c>
    </row>
    <row r="8" spans="1:5" x14ac:dyDescent="0.2">
      <c r="A8" s="42" t="s">
        <v>243</v>
      </c>
      <c r="B8" s="49">
        <v>1131</v>
      </c>
      <c r="C8" s="43">
        <f>MemberOfAssemblyAssemblyDistrict72General51[[#This Row],[Part of New York County Vote Results]]</f>
        <v>1131</v>
      </c>
      <c r="D8" s="55">
        <f>SUM(MemberOfAssemblyAssemblyDistrict72General51[[#This Row],[Total Votes by Party]])</f>
        <v>1131</v>
      </c>
    </row>
    <row r="9" spans="1:5" x14ac:dyDescent="0.2">
      <c r="A9" s="42" t="s">
        <v>244</v>
      </c>
      <c r="B9" s="49">
        <v>1162</v>
      </c>
      <c r="C9" s="43">
        <f>MemberOfAssemblyAssemblyDistrict72General51[[#This Row],[Part of New York County Vote Results]]</f>
        <v>1162</v>
      </c>
      <c r="D9" s="55">
        <f>SUM(MemberOfAssemblyAssemblyDistrict72General51[[#This Row],[Total Votes by Party]])</f>
        <v>1162</v>
      </c>
    </row>
    <row r="10" spans="1:5" x14ac:dyDescent="0.2">
      <c r="A10" s="42" t="s">
        <v>245</v>
      </c>
      <c r="B10" s="34">
        <v>1065</v>
      </c>
      <c r="C10" s="44">
        <f>MemberOfAssemblyAssemblyDistrict72General51[[#This Row],[Part of New York County Vote Results]]</f>
        <v>1065</v>
      </c>
      <c r="D10" s="36">
        <f>SUM(MemberOfAssemblyAssemblyDistrict72General51[[#This Row],[Total Votes by Party]])</f>
        <v>1065</v>
      </c>
    </row>
    <row r="11" spans="1:5" x14ac:dyDescent="0.2">
      <c r="A11" s="42" t="s">
        <v>246</v>
      </c>
      <c r="B11" s="49">
        <v>2400</v>
      </c>
      <c r="C11" s="43">
        <f>MemberOfAssemblyAssemblyDistrict72General51[[#This Row],[Part of New York County Vote Results]]</f>
        <v>2400</v>
      </c>
      <c r="D11" s="55">
        <f>SUM(MemberOfAssemblyAssemblyDistrict72General51[[#This Row],[Total Votes by Party]])</f>
        <v>2400</v>
      </c>
    </row>
    <row r="12" spans="1:5" x14ac:dyDescent="0.2">
      <c r="A12" s="42" t="s">
        <v>247</v>
      </c>
      <c r="B12" s="34">
        <v>857</v>
      </c>
      <c r="C12" s="44">
        <f>MemberOfAssemblyAssemblyDistrict72General51[[#This Row],[Part of New York County Vote Results]]</f>
        <v>857</v>
      </c>
      <c r="D12" s="36">
        <f>SUM(MemberOfAssemblyAssemblyDistrict72General51[[#This Row],[Total Votes by Party]])</f>
        <v>857</v>
      </c>
    </row>
    <row r="13" spans="1:5" x14ac:dyDescent="0.2">
      <c r="A13" s="42" t="s">
        <v>248</v>
      </c>
      <c r="B13" s="34">
        <v>947</v>
      </c>
      <c r="C13" s="44">
        <f>MemberOfAssemblyAssemblyDistrict72General51[[#This Row],[Part of New York County Vote Results]]</f>
        <v>947</v>
      </c>
      <c r="D13" s="36">
        <f>SUM(MemberOfAssemblyAssemblyDistrict72General51[[#This Row],[Total Votes by Party]])</f>
        <v>947</v>
      </c>
    </row>
    <row r="14" spans="1:5" x14ac:dyDescent="0.2">
      <c r="A14" s="42" t="s">
        <v>646</v>
      </c>
      <c r="B14" s="34">
        <v>1074</v>
      </c>
      <c r="C14" s="44">
        <f>MemberOfAssemblyAssemblyDistrict72General51[[#This Row],[Part of New York County Vote Results]]</f>
        <v>1074</v>
      </c>
      <c r="D14" s="36">
        <f>SUM(MemberOfAssemblyAssemblyDistrict72General51[[#This Row],[Total Votes by Party]])</f>
        <v>1074</v>
      </c>
    </row>
    <row r="15" spans="1:5" x14ac:dyDescent="0.2">
      <c r="A15" s="42" t="s">
        <v>249</v>
      </c>
      <c r="B15" s="34">
        <v>1036</v>
      </c>
      <c r="C15" s="44">
        <f>MemberOfAssemblyAssemblyDistrict72General51[[#This Row],[Part of New York County Vote Results]]</f>
        <v>1036</v>
      </c>
      <c r="D15" s="36">
        <f>SUM(MemberOfAssemblyAssemblyDistrict72General51[[#This Row],[Total Votes by Party]])</f>
        <v>1036</v>
      </c>
    </row>
    <row r="16" spans="1:5" x14ac:dyDescent="0.2">
      <c r="A16" s="42" t="s">
        <v>250</v>
      </c>
      <c r="B16" s="49">
        <v>1104</v>
      </c>
      <c r="C16" s="43">
        <f>MemberOfAssemblyAssemblyDistrict72General51[[#This Row],[Part of New York County Vote Results]]</f>
        <v>1104</v>
      </c>
      <c r="D16" s="55">
        <f>SUM(MemberOfAssemblyAssemblyDistrict72General51[[#This Row],[Total Votes by Party]])</f>
        <v>1104</v>
      </c>
    </row>
    <row r="17" spans="1:4" x14ac:dyDescent="0.2">
      <c r="A17" s="42" t="s">
        <v>251</v>
      </c>
      <c r="B17" s="34">
        <v>929</v>
      </c>
      <c r="C17" s="44">
        <f>MemberOfAssemblyAssemblyDistrict72General51[[#This Row],[Part of New York County Vote Results]]</f>
        <v>929</v>
      </c>
      <c r="D17" s="36">
        <f>SUM(MemberOfAssemblyAssemblyDistrict72General51[[#This Row],[Total Votes by Party]])</f>
        <v>929</v>
      </c>
    </row>
    <row r="18" spans="1:4" x14ac:dyDescent="0.2">
      <c r="A18" s="33" t="s">
        <v>252</v>
      </c>
      <c r="B18" s="34">
        <v>1080</v>
      </c>
      <c r="C18" s="35">
        <f>MemberOfAssemblyAssemblyDistrict72General51[[#This Row],[Part of New York County Vote Results]]</f>
        <v>1080</v>
      </c>
      <c r="D18" s="36">
        <f>SUM(MemberOfAssemblyAssemblyDistrict72General51[[#This Row],[Total Votes by Party]])</f>
        <v>1080</v>
      </c>
    </row>
    <row r="19" spans="1:4" x14ac:dyDescent="0.2">
      <c r="A19" s="37" t="s">
        <v>0</v>
      </c>
      <c r="B19" s="34">
        <v>12073</v>
      </c>
      <c r="C19" s="35">
        <f>MemberOfAssemblyAssemblyDistrict72General51[[#This Row],[Part of New York County Vote Results]]</f>
        <v>12073</v>
      </c>
      <c r="D19" s="38"/>
    </row>
    <row r="20" spans="1:4" x14ac:dyDescent="0.2">
      <c r="A20" s="37" t="s">
        <v>1</v>
      </c>
      <c r="B20" s="34"/>
      <c r="C20" s="35">
        <f>MemberOfAssemblyAssemblyDistrict72General51[[#This Row],[Part of New York County Vote Results]]</f>
        <v>0</v>
      </c>
      <c r="D20" s="38"/>
    </row>
    <row r="21" spans="1:4" x14ac:dyDescent="0.2">
      <c r="A21" s="37" t="s">
        <v>6</v>
      </c>
      <c r="B21" s="34">
        <v>65</v>
      </c>
      <c r="C21" s="35">
        <f>MemberOfAssemblyAssemblyDistrict72General51[[#This Row],[Part of New York County Vote Results]]</f>
        <v>65</v>
      </c>
      <c r="D21" s="38"/>
    </row>
    <row r="22" spans="1:4" x14ac:dyDescent="0.2">
      <c r="A22" s="11" t="s">
        <v>2</v>
      </c>
      <c r="B22" s="2">
        <f>SUM(MemberOfAssemblyAssemblyDistrict72General51[Part of New York County Vote Results])</f>
        <v>30896</v>
      </c>
      <c r="C22" s="8">
        <f>SUM(MemberOfAssemblyAssemblyDistrict72General51[Total Votes by Party])</f>
        <v>30896</v>
      </c>
      <c r="D22" s="10"/>
    </row>
  </sheetData>
  <sortState xmlns:xlrd2="http://schemas.microsoft.com/office/spreadsheetml/2017/richdata2" ref="F3:F18">
    <sortCondition descending="1" ref="F3:F18"/>
  </sortState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30836-E7DC-40DF-A397-79883901D72A}">
  <sheetPr>
    <pageSetUpPr fitToPage="1"/>
  </sheetPr>
  <dimension ref="A1:F22"/>
  <sheetViews>
    <sheetView workbookViewId="0">
      <selection activeCell="C30" sqref="C30"/>
    </sheetView>
  </sheetViews>
  <sheetFormatPr defaultRowHeight="12.75" x14ac:dyDescent="0.2"/>
  <cols>
    <col min="1" max="1" width="25.5703125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6" ht="51" customHeight="1" x14ac:dyDescent="0.2">
      <c r="A1" s="59" t="s">
        <v>237</v>
      </c>
      <c r="B1" s="59"/>
      <c r="C1" s="59"/>
      <c r="D1" s="59"/>
      <c r="E1" s="59"/>
      <c r="F1" s="59"/>
    </row>
    <row r="2" spans="1:6" ht="25.5" x14ac:dyDescent="0.2">
      <c r="A2" s="29" t="s">
        <v>5</v>
      </c>
      <c r="B2" s="30" t="s">
        <v>19</v>
      </c>
      <c r="C2" s="31" t="s">
        <v>3</v>
      </c>
      <c r="D2" s="32" t="s">
        <v>4</v>
      </c>
    </row>
    <row r="3" spans="1:6" x14ac:dyDescent="0.2">
      <c r="A3" s="42" t="s">
        <v>292</v>
      </c>
      <c r="B3" s="34"/>
      <c r="C3" s="44">
        <f>MemberOfAssemblyAssemblyDistrict72General5152[[#This Row],[Part of New York County Vote Results]]</f>
        <v>0</v>
      </c>
      <c r="D3" s="36">
        <f>SUM(MemberOfAssemblyAssemblyDistrict72General5152[[#This Row],[Total Votes by Party]])</f>
        <v>0</v>
      </c>
    </row>
    <row r="4" spans="1:6" x14ac:dyDescent="0.2">
      <c r="A4" s="42" t="s">
        <v>293</v>
      </c>
      <c r="B4" s="34"/>
      <c r="C4" s="44">
        <f>MemberOfAssemblyAssemblyDistrict72General5152[[#This Row],[Part of New York County Vote Results]]</f>
        <v>0</v>
      </c>
      <c r="D4" s="36">
        <f>SUM(MemberOfAssemblyAssemblyDistrict72General5152[[#This Row],[Total Votes by Party]])</f>
        <v>0</v>
      </c>
    </row>
    <row r="5" spans="1:6" x14ac:dyDescent="0.2">
      <c r="A5" s="42" t="s">
        <v>294</v>
      </c>
      <c r="B5" s="34"/>
      <c r="C5" s="44">
        <f>MemberOfAssemblyAssemblyDistrict72General5152[[#This Row],[Part of New York County Vote Results]]</f>
        <v>0</v>
      </c>
      <c r="D5" s="36">
        <f>SUM(MemberOfAssemblyAssemblyDistrict72General5152[[#This Row],[Total Votes by Party]])</f>
        <v>0</v>
      </c>
    </row>
    <row r="6" spans="1:6" x14ac:dyDescent="0.2">
      <c r="A6" s="42" t="s">
        <v>295</v>
      </c>
      <c r="B6" s="34"/>
      <c r="C6" s="44">
        <f>MemberOfAssemblyAssemblyDistrict72General5152[[#This Row],[Part of New York County Vote Results]]</f>
        <v>0</v>
      </c>
      <c r="D6" s="36">
        <f>SUM(MemberOfAssemblyAssemblyDistrict72General5152[[#This Row],[Total Votes by Party]])</f>
        <v>0</v>
      </c>
    </row>
    <row r="7" spans="1:6" x14ac:dyDescent="0.2">
      <c r="A7" s="42" t="s">
        <v>296</v>
      </c>
      <c r="B7" s="34"/>
      <c r="C7" s="44">
        <f>MemberOfAssemblyAssemblyDistrict72General5152[[#This Row],[Part of New York County Vote Results]]</f>
        <v>0</v>
      </c>
      <c r="D7" s="36">
        <f>SUM(MemberOfAssemblyAssemblyDistrict72General5152[[#This Row],[Total Votes by Party]])</f>
        <v>0</v>
      </c>
    </row>
    <row r="8" spans="1:6" x14ac:dyDescent="0.2">
      <c r="A8" s="42" t="s">
        <v>297</v>
      </c>
      <c r="B8" s="34"/>
      <c r="C8" s="44">
        <f>MemberOfAssemblyAssemblyDistrict72General5152[[#This Row],[Part of New York County Vote Results]]</f>
        <v>0</v>
      </c>
      <c r="D8" s="36">
        <f>SUM(MemberOfAssemblyAssemblyDistrict72General5152[[#This Row],[Total Votes by Party]])</f>
        <v>0</v>
      </c>
    </row>
    <row r="9" spans="1:6" x14ac:dyDescent="0.2">
      <c r="A9" s="42" t="s">
        <v>298</v>
      </c>
      <c r="B9" s="34"/>
      <c r="C9" s="44">
        <f>MemberOfAssemblyAssemblyDistrict72General5152[[#This Row],[Part of New York County Vote Results]]</f>
        <v>0</v>
      </c>
      <c r="D9" s="36">
        <f>SUM(MemberOfAssemblyAssemblyDistrict72General5152[[#This Row],[Total Votes by Party]])</f>
        <v>0</v>
      </c>
    </row>
    <row r="10" spans="1:6" x14ac:dyDescent="0.2">
      <c r="A10" s="42" t="s">
        <v>299</v>
      </c>
      <c r="B10" s="34"/>
      <c r="C10" s="44">
        <f>MemberOfAssemblyAssemblyDistrict72General5152[[#This Row],[Part of New York County Vote Results]]</f>
        <v>0</v>
      </c>
      <c r="D10" s="36">
        <f>SUM(MemberOfAssemblyAssemblyDistrict72General5152[[#This Row],[Total Votes by Party]])</f>
        <v>0</v>
      </c>
    </row>
    <row r="11" spans="1:6" x14ac:dyDescent="0.2">
      <c r="A11" s="42" t="s">
        <v>300</v>
      </c>
      <c r="B11" s="34"/>
      <c r="C11" s="44">
        <f>MemberOfAssemblyAssemblyDistrict72General5152[[#This Row],[Part of New York County Vote Results]]</f>
        <v>0</v>
      </c>
      <c r="D11" s="36">
        <f>SUM(MemberOfAssemblyAssemblyDistrict72General5152[[#This Row],[Total Votes by Party]])</f>
        <v>0</v>
      </c>
    </row>
    <row r="12" spans="1:6" x14ac:dyDescent="0.2">
      <c r="A12" s="42" t="s">
        <v>301</v>
      </c>
      <c r="B12" s="34"/>
      <c r="C12" s="44">
        <f>MemberOfAssemblyAssemblyDistrict72General5152[[#This Row],[Part of New York County Vote Results]]</f>
        <v>0</v>
      </c>
      <c r="D12" s="36">
        <f>SUM(MemberOfAssemblyAssemblyDistrict72General5152[[#This Row],[Total Votes by Party]])</f>
        <v>0</v>
      </c>
    </row>
    <row r="13" spans="1:6" x14ac:dyDescent="0.2">
      <c r="A13" s="42" t="s">
        <v>302</v>
      </c>
      <c r="B13" s="34"/>
      <c r="C13" s="44">
        <f>MemberOfAssemblyAssemblyDistrict72General5152[[#This Row],[Part of New York County Vote Results]]</f>
        <v>0</v>
      </c>
      <c r="D13" s="36">
        <f>SUM(MemberOfAssemblyAssemblyDistrict72General5152[[#This Row],[Total Votes by Party]])</f>
        <v>0</v>
      </c>
    </row>
    <row r="14" spans="1:6" x14ac:dyDescent="0.2">
      <c r="A14" s="42" t="s">
        <v>303</v>
      </c>
      <c r="B14" s="34"/>
      <c r="C14" s="44">
        <f>MemberOfAssemblyAssemblyDistrict72General5152[[#This Row],[Part of New York County Vote Results]]</f>
        <v>0</v>
      </c>
      <c r="D14" s="36">
        <f>SUM(MemberOfAssemblyAssemblyDistrict72General5152[[#This Row],[Total Votes by Party]])</f>
        <v>0</v>
      </c>
    </row>
    <row r="15" spans="1:6" x14ac:dyDescent="0.2">
      <c r="A15" s="42" t="s">
        <v>304</v>
      </c>
      <c r="B15" s="34"/>
      <c r="C15" s="44">
        <f>MemberOfAssemblyAssemblyDistrict72General5152[[#This Row],[Part of New York County Vote Results]]</f>
        <v>0</v>
      </c>
      <c r="D15" s="36">
        <f>SUM(MemberOfAssemblyAssemblyDistrict72General5152[[#This Row],[Total Votes by Party]])</f>
        <v>0</v>
      </c>
    </row>
    <row r="16" spans="1:6" x14ac:dyDescent="0.2">
      <c r="A16" s="42" t="s">
        <v>305</v>
      </c>
      <c r="B16" s="34"/>
      <c r="C16" s="44">
        <f>MemberOfAssemblyAssemblyDistrict72General5152[[#This Row],[Part of New York County Vote Results]]</f>
        <v>0</v>
      </c>
      <c r="D16" s="36">
        <f>SUM(MemberOfAssemblyAssemblyDistrict72General5152[[#This Row],[Total Votes by Party]])</f>
        <v>0</v>
      </c>
    </row>
    <row r="17" spans="1:4" x14ac:dyDescent="0.2">
      <c r="A17" s="42" t="s">
        <v>306</v>
      </c>
      <c r="B17" s="34"/>
      <c r="C17" s="44">
        <f>MemberOfAssemblyAssemblyDistrict72General5152[[#This Row],[Part of New York County Vote Results]]</f>
        <v>0</v>
      </c>
      <c r="D17" s="36">
        <f>SUM(MemberOfAssemblyAssemblyDistrict72General5152[[#This Row],[Total Votes by Party]])</f>
        <v>0</v>
      </c>
    </row>
    <row r="18" spans="1:4" x14ac:dyDescent="0.2">
      <c r="A18" s="33" t="s">
        <v>307</v>
      </c>
      <c r="B18" s="34"/>
      <c r="C18" s="35">
        <f>MemberOfAssemblyAssemblyDistrict72General5152[[#This Row],[Part of New York County Vote Results]]</f>
        <v>0</v>
      </c>
      <c r="D18" s="36">
        <f>SUM(MemberOfAssemblyAssemblyDistrict72General5152[[#This Row],[Total Votes by Party]])</f>
        <v>0</v>
      </c>
    </row>
    <row r="19" spans="1:4" x14ac:dyDescent="0.2">
      <c r="A19" s="37" t="s">
        <v>0</v>
      </c>
      <c r="B19" s="34"/>
      <c r="C19" s="35">
        <f>MemberOfAssemblyAssemblyDistrict72General5152[[#This Row],[Part of New York County Vote Results]]</f>
        <v>0</v>
      </c>
      <c r="D19" s="38"/>
    </row>
    <row r="20" spans="1:4" x14ac:dyDescent="0.2">
      <c r="A20" s="37" t="s">
        <v>1</v>
      </c>
      <c r="B20" s="34"/>
      <c r="C20" s="35">
        <f>MemberOfAssemblyAssemblyDistrict72General5152[[#This Row],[Part of New York County Vote Results]]</f>
        <v>0</v>
      </c>
      <c r="D20" s="38"/>
    </row>
    <row r="21" spans="1:4" x14ac:dyDescent="0.2">
      <c r="A21" s="37" t="s">
        <v>6</v>
      </c>
      <c r="B21" s="34"/>
      <c r="C21" s="35">
        <f>MemberOfAssemblyAssemblyDistrict72General5152[[#This Row],[Part of New York County Vote Results]]</f>
        <v>0</v>
      </c>
      <c r="D21" s="38"/>
    </row>
    <row r="22" spans="1:4" x14ac:dyDescent="0.2">
      <c r="A22" s="11" t="s">
        <v>2</v>
      </c>
      <c r="B22" s="2">
        <f>SUM(MemberOfAssemblyAssemblyDistrict72General5152[Part of New York County Vote Results])</f>
        <v>0</v>
      </c>
      <c r="C22" s="8">
        <f>SUM(MemberOfAssemblyAssemblyDistrict72General5152[Total Votes by Party])</f>
        <v>0</v>
      </c>
      <c r="D22" s="10"/>
    </row>
  </sheetData>
  <mergeCells count="1">
    <mergeCell ref="A1:F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7320-6B1F-4F4C-9BCB-D28090A83B99}">
  <sheetPr>
    <pageSetUpPr fitToPage="1"/>
  </sheetPr>
  <dimension ref="A1:E28"/>
  <sheetViews>
    <sheetView workbookViewId="0">
      <selection activeCell="C30" sqref="C30"/>
    </sheetView>
  </sheetViews>
  <sheetFormatPr defaultRowHeight="12.75" x14ac:dyDescent="0.2"/>
  <cols>
    <col min="1" max="1" width="26.85546875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5" ht="51" customHeight="1" x14ac:dyDescent="0.2">
      <c r="A1" s="59" t="s">
        <v>401</v>
      </c>
      <c r="B1" s="59"/>
      <c r="C1" s="59"/>
      <c r="D1" s="59"/>
      <c r="E1" s="59"/>
    </row>
    <row r="2" spans="1:5" ht="25.5" x14ac:dyDescent="0.2">
      <c r="A2" s="29" t="s">
        <v>5</v>
      </c>
      <c r="B2" s="30" t="s">
        <v>18</v>
      </c>
      <c r="C2" s="31" t="s">
        <v>3</v>
      </c>
      <c r="D2" s="32" t="s">
        <v>4</v>
      </c>
    </row>
    <row r="3" spans="1:5" x14ac:dyDescent="0.2">
      <c r="A3" s="33" t="s">
        <v>402</v>
      </c>
      <c r="B3" s="56">
        <v>1981</v>
      </c>
      <c r="C3" s="40">
        <f>MemberOfAssemblyAssemblyDistrict43General65[[#This Row],[Part of Kings County Vote Results]]</f>
        <v>1981</v>
      </c>
      <c r="D3" s="55">
        <f>SUM(MemberOfAssemblyAssemblyDistrict43General65[[#This Row],[Total Votes by Party]])</f>
        <v>1981</v>
      </c>
    </row>
    <row r="4" spans="1:5" x14ac:dyDescent="0.2">
      <c r="A4" s="33" t="s">
        <v>403</v>
      </c>
      <c r="B4" s="56">
        <v>2129</v>
      </c>
      <c r="C4" s="40">
        <f>MemberOfAssemblyAssemblyDistrict43General65[[#This Row],[Part of Kings County Vote Results]]</f>
        <v>2129</v>
      </c>
      <c r="D4" s="55">
        <f>SUM(MemberOfAssemblyAssemblyDistrict43General65[[#This Row],[Total Votes by Party]])</f>
        <v>2129</v>
      </c>
    </row>
    <row r="5" spans="1:5" x14ac:dyDescent="0.2">
      <c r="A5" s="33" t="s">
        <v>404</v>
      </c>
      <c r="B5" s="56">
        <v>2175</v>
      </c>
      <c r="C5" s="40">
        <f>MemberOfAssemblyAssemblyDistrict43General65[[#This Row],[Part of Kings County Vote Results]]</f>
        <v>2175</v>
      </c>
      <c r="D5" s="55">
        <f>SUM(MemberOfAssemblyAssemblyDistrict43General65[[#This Row],[Total Votes by Party]])</f>
        <v>2175</v>
      </c>
    </row>
    <row r="6" spans="1:5" x14ac:dyDescent="0.2">
      <c r="A6" s="33" t="s">
        <v>405</v>
      </c>
      <c r="B6" s="56">
        <v>2755</v>
      </c>
      <c r="C6" s="40">
        <f>MemberOfAssemblyAssemblyDistrict43General65[[#This Row],[Part of Kings County Vote Results]]</f>
        <v>2755</v>
      </c>
      <c r="D6" s="55">
        <f>SUM(MemberOfAssemblyAssemblyDistrict43General65[[#This Row],[Total Votes by Party]])</f>
        <v>2755</v>
      </c>
    </row>
    <row r="7" spans="1:5" x14ac:dyDescent="0.2">
      <c r="A7" s="33" t="s">
        <v>406</v>
      </c>
      <c r="B7" s="56">
        <v>2428</v>
      </c>
      <c r="C7" s="40">
        <f>MemberOfAssemblyAssemblyDistrict43General65[[#This Row],[Part of Kings County Vote Results]]</f>
        <v>2428</v>
      </c>
      <c r="D7" s="55">
        <f>SUM(MemberOfAssemblyAssemblyDistrict43General65[[#This Row],[Total Votes by Party]])</f>
        <v>2428</v>
      </c>
    </row>
    <row r="8" spans="1:5" x14ac:dyDescent="0.2">
      <c r="A8" s="33" t="s">
        <v>407</v>
      </c>
      <c r="B8" s="46">
        <v>1339</v>
      </c>
      <c r="C8" s="35">
        <f>MemberOfAssemblyAssemblyDistrict43General65[[#This Row],[Part of Kings County Vote Results]]</f>
        <v>1339</v>
      </c>
      <c r="D8" s="36">
        <f>SUM(MemberOfAssemblyAssemblyDistrict43General65[[#This Row],[Total Votes by Party]])</f>
        <v>1339</v>
      </c>
    </row>
    <row r="9" spans="1:5" x14ac:dyDescent="0.2">
      <c r="A9" s="33" t="s">
        <v>408</v>
      </c>
      <c r="B9" s="56">
        <v>1816</v>
      </c>
      <c r="C9" s="40">
        <f>MemberOfAssemblyAssemblyDistrict43General65[[#This Row],[Part of Kings County Vote Results]]</f>
        <v>1816</v>
      </c>
      <c r="D9" s="55">
        <f>SUM(MemberOfAssemblyAssemblyDistrict43General65[[#This Row],[Total Votes by Party]])</f>
        <v>1816</v>
      </c>
    </row>
    <row r="10" spans="1:5" x14ac:dyDescent="0.2">
      <c r="A10" s="33" t="s">
        <v>409</v>
      </c>
      <c r="B10" s="46">
        <v>1539</v>
      </c>
      <c r="C10" s="35">
        <f>MemberOfAssemblyAssemblyDistrict43General65[[#This Row],[Part of Kings County Vote Results]]</f>
        <v>1539</v>
      </c>
      <c r="D10" s="36">
        <f>SUM(MemberOfAssemblyAssemblyDistrict43General65[[#This Row],[Total Votes by Party]])</f>
        <v>1539</v>
      </c>
    </row>
    <row r="11" spans="1:5" x14ac:dyDescent="0.2">
      <c r="A11" s="33" t="s">
        <v>410</v>
      </c>
      <c r="B11" s="56">
        <v>1757</v>
      </c>
      <c r="C11" s="40">
        <f>MemberOfAssemblyAssemblyDistrict43General65[[#This Row],[Part of Kings County Vote Results]]</f>
        <v>1757</v>
      </c>
      <c r="D11" s="55">
        <f>SUM(MemberOfAssemblyAssemblyDistrict43General65[[#This Row],[Total Votes by Party]])</f>
        <v>1757</v>
      </c>
    </row>
    <row r="12" spans="1:5" x14ac:dyDescent="0.2">
      <c r="A12" s="33" t="s">
        <v>411</v>
      </c>
      <c r="B12" s="56">
        <v>2129</v>
      </c>
      <c r="C12" s="40">
        <f>MemberOfAssemblyAssemblyDistrict43General65[[#This Row],[Part of Kings County Vote Results]]</f>
        <v>2129</v>
      </c>
      <c r="D12" s="55">
        <f>SUM(MemberOfAssemblyAssemblyDistrict43General65[[#This Row],[Total Votes by Party]])</f>
        <v>2129</v>
      </c>
    </row>
    <row r="13" spans="1:5" x14ac:dyDescent="0.2">
      <c r="A13" s="33" t="s">
        <v>412</v>
      </c>
      <c r="B13" s="46">
        <v>1469</v>
      </c>
      <c r="C13" s="35">
        <f>MemberOfAssemblyAssemblyDistrict43General65[[#This Row],[Part of Kings County Vote Results]]</f>
        <v>1469</v>
      </c>
      <c r="D13" s="36">
        <f>SUM(MemberOfAssemblyAssemblyDistrict43General65[[#This Row],[Total Votes by Party]])</f>
        <v>1469</v>
      </c>
    </row>
    <row r="14" spans="1:5" x14ac:dyDescent="0.2">
      <c r="A14" s="33" t="s">
        <v>413</v>
      </c>
      <c r="B14" s="56">
        <v>2489</v>
      </c>
      <c r="C14" s="40">
        <f>MemberOfAssemblyAssemblyDistrict43General65[[#This Row],[Part of Kings County Vote Results]]</f>
        <v>2489</v>
      </c>
      <c r="D14" s="55">
        <f>SUM(MemberOfAssemblyAssemblyDistrict43General65[[#This Row],[Total Votes by Party]])</f>
        <v>2489</v>
      </c>
    </row>
    <row r="15" spans="1:5" x14ac:dyDescent="0.2">
      <c r="A15" s="33" t="s">
        <v>414</v>
      </c>
      <c r="B15" s="46">
        <v>1670</v>
      </c>
      <c r="C15" s="35">
        <f>MemberOfAssemblyAssemblyDistrict43General65[[#This Row],[Part of Kings County Vote Results]]</f>
        <v>1670</v>
      </c>
      <c r="D15" s="36">
        <f>SUM(MemberOfAssemblyAssemblyDistrict43General65[[#This Row],[Total Votes by Party]])</f>
        <v>1670</v>
      </c>
    </row>
    <row r="16" spans="1:5" x14ac:dyDescent="0.2">
      <c r="A16" s="33" t="s">
        <v>415</v>
      </c>
      <c r="B16" s="56">
        <v>2134</v>
      </c>
      <c r="C16" s="40">
        <f>MemberOfAssemblyAssemblyDistrict43General65[[#This Row],[Part of Kings County Vote Results]]</f>
        <v>2134</v>
      </c>
      <c r="D16" s="55">
        <f>SUM(MemberOfAssemblyAssemblyDistrict43General65[[#This Row],[Total Votes by Party]])</f>
        <v>2134</v>
      </c>
    </row>
    <row r="17" spans="1:4" x14ac:dyDescent="0.2">
      <c r="A17" s="33" t="s">
        <v>416</v>
      </c>
      <c r="B17" s="56">
        <v>2351</v>
      </c>
      <c r="C17" s="40">
        <f>MemberOfAssemblyAssemblyDistrict43General65[[#This Row],[Part of Kings County Vote Results]]</f>
        <v>2351</v>
      </c>
      <c r="D17" s="55">
        <f>SUM(MemberOfAssemblyAssemblyDistrict43General65[[#This Row],[Total Votes by Party]])</f>
        <v>2351</v>
      </c>
    </row>
    <row r="18" spans="1:4" x14ac:dyDescent="0.2">
      <c r="A18" s="33" t="s">
        <v>417</v>
      </c>
      <c r="B18" s="46">
        <v>1566</v>
      </c>
      <c r="C18" s="35">
        <f>MemberOfAssemblyAssemblyDistrict43General65[[#This Row],[Part of Kings County Vote Results]]</f>
        <v>1566</v>
      </c>
      <c r="D18" s="36">
        <f>SUM(MemberOfAssemblyAssemblyDistrict43General65[[#This Row],[Total Votes by Party]])</f>
        <v>1566</v>
      </c>
    </row>
    <row r="19" spans="1:4" x14ac:dyDescent="0.2">
      <c r="A19" s="33" t="s">
        <v>418</v>
      </c>
      <c r="B19" s="46">
        <v>1427</v>
      </c>
      <c r="C19" s="35">
        <f>MemberOfAssemblyAssemblyDistrict43General65[[#This Row],[Part of Kings County Vote Results]]</f>
        <v>1427</v>
      </c>
      <c r="D19" s="36">
        <f>SUM(MemberOfAssemblyAssemblyDistrict43General65[[#This Row],[Total Votes by Party]])</f>
        <v>1427</v>
      </c>
    </row>
    <row r="20" spans="1:4" x14ac:dyDescent="0.2">
      <c r="A20" s="33" t="s">
        <v>419</v>
      </c>
      <c r="B20" s="46">
        <v>1206</v>
      </c>
      <c r="C20" s="35">
        <f>MemberOfAssemblyAssemblyDistrict43General65[[#This Row],[Part of Kings County Vote Results]]</f>
        <v>1206</v>
      </c>
      <c r="D20" s="36">
        <f>SUM(MemberOfAssemblyAssemblyDistrict43General65[[#This Row],[Total Votes by Party]])</f>
        <v>1206</v>
      </c>
    </row>
    <row r="21" spans="1:4" x14ac:dyDescent="0.2">
      <c r="A21" s="33" t="s">
        <v>420</v>
      </c>
      <c r="B21" s="46">
        <v>1514</v>
      </c>
      <c r="C21" s="35">
        <f>MemberOfAssemblyAssemblyDistrict43General65[[#This Row],[Part of Kings County Vote Results]]</f>
        <v>1514</v>
      </c>
      <c r="D21" s="36">
        <f>SUM(MemberOfAssemblyAssemblyDistrict43General65[[#This Row],[Total Votes by Party]])</f>
        <v>1514</v>
      </c>
    </row>
    <row r="22" spans="1:4" x14ac:dyDescent="0.2">
      <c r="A22" s="33" t="s">
        <v>421</v>
      </c>
      <c r="B22" s="46">
        <v>1696</v>
      </c>
      <c r="C22" s="35">
        <f>MemberOfAssemblyAssemblyDistrict43General65[[#This Row],[Part of Kings County Vote Results]]</f>
        <v>1696</v>
      </c>
      <c r="D22" s="36">
        <f>SUM(MemberOfAssemblyAssemblyDistrict43General65[[#This Row],[Total Votes by Party]])</f>
        <v>1696</v>
      </c>
    </row>
    <row r="23" spans="1:4" x14ac:dyDescent="0.2">
      <c r="A23" s="33" t="s">
        <v>422</v>
      </c>
      <c r="B23" s="46">
        <v>1395</v>
      </c>
      <c r="C23" s="35">
        <f>MemberOfAssemblyAssemblyDistrict43General65[[#This Row],[Part of Kings County Vote Results]]</f>
        <v>1395</v>
      </c>
      <c r="D23" s="36">
        <f>SUM(MemberOfAssemblyAssemblyDistrict43General65[[#This Row],[Total Votes by Party]])</f>
        <v>1395</v>
      </c>
    </row>
    <row r="24" spans="1:4" x14ac:dyDescent="0.2">
      <c r="A24" s="33" t="s">
        <v>423</v>
      </c>
      <c r="B24" s="46">
        <v>1312</v>
      </c>
      <c r="C24" s="35">
        <f>MemberOfAssemblyAssemblyDistrict43General65[[#This Row],[Part of Kings County Vote Results]]</f>
        <v>1312</v>
      </c>
      <c r="D24" s="36">
        <f>SUM(MemberOfAssemblyAssemblyDistrict43General65[[#This Row],[Total Votes by Party]])</f>
        <v>1312</v>
      </c>
    </row>
    <row r="25" spans="1:4" x14ac:dyDescent="0.2">
      <c r="A25" s="37" t="s">
        <v>0</v>
      </c>
      <c r="B25" s="46">
        <v>16173</v>
      </c>
      <c r="C25" s="35">
        <f>MemberOfAssemblyAssemblyDistrict43General65[[#This Row],[Part of Kings County Vote Results]]</f>
        <v>16173</v>
      </c>
      <c r="D25" s="38"/>
    </row>
    <row r="26" spans="1:4" x14ac:dyDescent="0.2">
      <c r="A26" s="37" t="s">
        <v>1</v>
      </c>
      <c r="B26" s="47"/>
      <c r="C26" s="35">
        <f>MemberOfAssemblyAssemblyDistrict43General65[[#This Row],[Part of Kings County Vote Results]]</f>
        <v>0</v>
      </c>
      <c r="D26" s="38"/>
    </row>
    <row r="27" spans="1:4" x14ac:dyDescent="0.2">
      <c r="A27" s="37" t="s">
        <v>6</v>
      </c>
      <c r="B27" s="47">
        <v>167</v>
      </c>
      <c r="C27" s="35">
        <f>MemberOfAssemblyAssemblyDistrict43General65[[#This Row],[Part of Kings County Vote Results]]</f>
        <v>167</v>
      </c>
      <c r="D27" s="38"/>
    </row>
    <row r="28" spans="1:4" x14ac:dyDescent="0.2">
      <c r="A28" s="11" t="s">
        <v>2</v>
      </c>
      <c r="B28" s="2">
        <f>SUM(MemberOfAssemblyAssemblyDistrict43General65[Part of Kings County Vote Results])</f>
        <v>56617</v>
      </c>
      <c r="C28" s="8">
        <f>SUM(MemberOfAssemblyAssemblyDistrict43General65[Total Votes by Party])</f>
        <v>56617</v>
      </c>
      <c r="D28" s="10"/>
    </row>
  </sheetData>
  <sortState xmlns:xlrd2="http://schemas.microsoft.com/office/spreadsheetml/2017/richdata2" ref="F3:F24">
    <sortCondition descending="1" ref="F3:F24"/>
  </sortState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7350-F2ED-4276-B8BD-60310CC481C3}">
  <sheetPr>
    <pageSetUpPr fitToPage="1"/>
  </sheetPr>
  <dimension ref="A1:F18"/>
  <sheetViews>
    <sheetView workbookViewId="0">
      <selection activeCell="C30" sqref="C30"/>
    </sheetView>
  </sheetViews>
  <sheetFormatPr defaultRowHeight="12.75" x14ac:dyDescent="0.2"/>
  <cols>
    <col min="1" max="1" width="26.85546875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6" ht="51" customHeight="1" x14ac:dyDescent="0.2">
      <c r="A1" s="59" t="s">
        <v>465</v>
      </c>
      <c r="B1" s="59"/>
      <c r="C1" s="59"/>
      <c r="D1" s="59"/>
      <c r="E1" s="59"/>
      <c r="F1" s="59"/>
    </row>
    <row r="2" spans="1:6" ht="25.5" x14ac:dyDescent="0.2">
      <c r="A2" s="29" t="s">
        <v>5</v>
      </c>
      <c r="B2" s="30" t="s">
        <v>18</v>
      </c>
      <c r="C2" s="31" t="s">
        <v>3</v>
      </c>
      <c r="D2" s="32" t="s">
        <v>4</v>
      </c>
    </row>
    <row r="3" spans="1:6" x14ac:dyDescent="0.2">
      <c r="A3" s="33" t="s">
        <v>466</v>
      </c>
      <c r="B3" s="56">
        <v>2434</v>
      </c>
      <c r="C3" s="40">
        <f>MemberOfAssemblyAssemblyDistrict43General6569[[#This Row],[Part of Kings County Vote Results]]</f>
        <v>2434</v>
      </c>
      <c r="D3" s="55">
        <f>SUM(MemberOfAssemblyAssemblyDistrict43General6569[[#This Row],[Total Votes by Party]])</f>
        <v>2434</v>
      </c>
    </row>
    <row r="4" spans="1:6" x14ac:dyDescent="0.2">
      <c r="A4" s="33" t="s">
        <v>467</v>
      </c>
      <c r="B4" s="56">
        <v>2535</v>
      </c>
      <c r="C4" s="40">
        <f>MemberOfAssemblyAssemblyDistrict43General6569[[#This Row],[Part of Kings County Vote Results]]</f>
        <v>2535</v>
      </c>
      <c r="D4" s="55">
        <f>SUM(MemberOfAssemblyAssemblyDistrict43General6569[[#This Row],[Total Votes by Party]])</f>
        <v>2535</v>
      </c>
    </row>
    <row r="5" spans="1:6" x14ac:dyDescent="0.2">
      <c r="A5" s="33" t="s">
        <v>468</v>
      </c>
      <c r="B5" s="56">
        <v>2837</v>
      </c>
      <c r="C5" s="40">
        <f>MemberOfAssemblyAssemblyDistrict43General6569[[#This Row],[Part of Kings County Vote Results]]</f>
        <v>2837</v>
      </c>
      <c r="D5" s="55">
        <f>SUM(MemberOfAssemblyAssemblyDistrict43General6569[[#This Row],[Total Votes by Party]])</f>
        <v>2837</v>
      </c>
    </row>
    <row r="6" spans="1:6" x14ac:dyDescent="0.2">
      <c r="A6" s="33" t="s">
        <v>469</v>
      </c>
      <c r="B6" s="56">
        <v>2461</v>
      </c>
      <c r="C6" s="40">
        <f>MemberOfAssemblyAssemblyDistrict43General6569[[#This Row],[Part of Kings County Vote Results]]</f>
        <v>2461</v>
      </c>
      <c r="D6" s="55">
        <f>SUM(MemberOfAssemblyAssemblyDistrict43General6569[[#This Row],[Total Votes by Party]])</f>
        <v>2461</v>
      </c>
    </row>
    <row r="7" spans="1:6" x14ac:dyDescent="0.2">
      <c r="A7" s="33" t="s">
        <v>639</v>
      </c>
      <c r="B7" s="56">
        <v>2878</v>
      </c>
      <c r="C7" s="40">
        <f>MemberOfAssemblyAssemblyDistrict43General6569[[#This Row],[Part of Kings County Vote Results]]</f>
        <v>2878</v>
      </c>
      <c r="D7" s="55">
        <f>SUM(MemberOfAssemblyAssemblyDistrict43General6569[[#This Row],[Total Votes by Party]])</f>
        <v>2878</v>
      </c>
    </row>
    <row r="8" spans="1:6" x14ac:dyDescent="0.2">
      <c r="A8" s="33" t="s">
        <v>470</v>
      </c>
      <c r="B8" s="56">
        <v>2474</v>
      </c>
      <c r="C8" s="40">
        <f>MemberOfAssemblyAssemblyDistrict43General6569[[#This Row],[Part of Kings County Vote Results]]</f>
        <v>2474</v>
      </c>
      <c r="D8" s="55">
        <f>SUM(MemberOfAssemblyAssemblyDistrict43General6569[[#This Row],[Total Votes by Party]])</f>
        <v>2474</v>
      </c>
    </row>
    <row r="9" spans="1:6" x14ac:dyDescent="0.2">
      <c r="A9" s="33" t="s">
        <v>471</v>
      </c>
      <c r="B9" s="56">
        <v>2733</v>
      </c>
      <c r="C9" s="40">
        <f>MemberOfAssemblyAssemblyDistrict43General6569[[#This Row],[Part of Kings County Vote Results]]</f>
        <v>2733</v>
      </c>
      <c r="D9" s="55">
        <f>SUM(MemberOfAssemblyAssemblyDistrict43General6569[[#This Row],[Total Votes by Party]])</f>
        <v>2733</v>
      </c>
    </row>
    <row r="10" spans="1:6" x14ac:dyDescent="0.2">
      <c r="A10" s="33" t="s">
        <v>472</v>
      </c>
      <c r="B10" s="56">
        <v>2416</v>
      </c>
      <c r="C10" s="40">
        <f>MemberOfAssemblyAssemblyDistrict43General6569[[#This Row],[Part of Kings County Vote Results]]</f>
        <v>2416</v>
      </c>
      <c r="D10" s="55">
        <f>SUM(MemberOfAssemblyAssemblyDistrict43General6569[[#This Row],[Total Votes by Party]])</f>
        <v>2416</v>
      </c>
    </row>
    <row r="11" spans="1:6" x14ac:dyDescent="0.2">
      <c r="A11" s="33" t="s">
        <v>473</v>
      </c>
      <c r="B11" s="56">
        <v>2508</v>
      </c>
      <c r="C11" s="40">
        <f>MemberOfAssemblyAssemblyDistrict43General6569[[#This Row],[Part of Kings County Vote Results]]</f>
        <v>2508</v>
      </c>
      <c r="D11" s="55">
        <f>SUM(MemberOfAssemblyAssemblyDistrict43General6569[[#This Row],[Total Votes by Party]])</f>
        <v>2508</v>
      </c>
    </row>
    <row r="12" spans="1:6" x14ac:dyDescent="0.2">
      <c r="A12" s="33" t="s">
        <v>474</v>
      </c>
      <c r="B12" s="56">
        <v>2460</v>
      </c>
      <c r="C12" s="40">
        <f>MemberOfAssemblyAssemblyDistrict43General6569[[#This Row],[Part of Kings County Vote Results]]</f>
        <v>2460</v>
      </c>
      <c r="D12" s="55">
        <f>SUM(MemberOfAssemblyAssemblyDistrict43General6569[[#This Row],[Total Votes by Party]])</f>
        <v>2460</v>
      </c>
    </row>
    <row r="13" spans="1:6" x14ac:dyDescent="0.2">
      <c r="A13" s="33" t="s">
        <v>475</v>
      </c>
      <c r="B13" s="56">
        <v>2732</v>
      </c>
      <c r="C13" s="40">
        <f>MemberOfAssemblyAssemblyDistrict43General6569[[#This Row],[Part of Kings County Vote Results]]</f>
        <v>2732</v>
      </c>
      <c r="D13" s="55">
        <f>SUM(MemberOfAssemblyAssemblyDistrict43General6569[[#This Row],[Total Votes by Party]])</f>
        <v>2732</v>
      </c>
    </row>
    <row r="14" spans="1:6" x14ac:dyDescent="0.2">
      <c r="A14" s="33" t="s">
        <v>476</v>
      </c>
      <c r="B14" s="46">
        <v>1737</v>
      </c>
      <c r="C14" s="35">
        <f>MemberOfAssemblyAssemblyDistrict43General6569[[#This Row],[Part of Kings County Vote Results]]</f>
        <v>1737</v>
      </c>
      <c r="D14" s="36">
        <f>SUM(MemberOfAssemblyAssemblyDistrict43General6569[[#This Row],[Total Votes by Party]])</f>
        <v>1737</v>
      </c>
    </row>
    <row r="15" spans="1:6" x14ac:dyDescent="0.2">
      <c r="A15" s="37" t="s">
        <v>0</v>
      </c>
      <c r="B15" s="46">
        <v>26116</v>
      </c>
      <c r="C15" s="35">
        <f>MemberOfAssemblyAssemblyDistrict43General6569[[#This Row],[Part of Kings County Vote Results]]</f>
        <v>26116</v>
      </c>
      <c r="D15" s="38"/>
    </row>
    <row r="16" spans="1:6" x14ac:dyDescent="0.2">
      <c r="A16" s="37" t="s">
        <v>1</v>
      </c>
      <c r="B16" s="47"/>
      <c r="C16" s="35">
        <f>MemberOfAssemblyAssemblyDistrict43General6569[[#This Row],[Part of Kings County Vote Results]]</f>
        <v>0</v>
      </c>
      <c r="D16" s="38"/>
    </row>
    <row r="17" spans="1:4" x14ac:dyDescent="0.2">
      <c r="A17" s="37" t="s">
        <v>6</v>
      </c>
      <c r="B17" s="47">
        <v>296</v>
      </c>
      <c r="C17" s="35">
        <f>MemberOfAssemblyAssemblyDistrict43General6569[[#This Row],[Part of Kings County Vote Results]]</f>
        <v>296</v>
      </c>
      <c r="D17" s="38"/>
    </row>
    <row r="18" spans="1:4" x14ac:dyDescent="0.2">
      <c r="A18" s="11" t="s">
        <v>2</v>
      </c>
      <c r="B18" s="2">
        <f>SUM(MemberOfAssemblyAssemblyDistrict43General6569[Part of Kings County Vote Results])</f>
        <v>56617</v>
      </c>
      <c r="C18" s="8">
        <f>SUM(MemberOfAssemblyAssemblyDistrict43General6569[Total Votes by Party])</f>
        <v>56617</v>
      </c>
      <c r="D18" s="10"/>
    </row>
  </sheetData>
  <sortState xmlns:xlrd2="http://schemas.microsoft.com/office/spreadsheetml/2017/richdata2" ref="F3:F14">
    <sortCondition descending="1" ref="F3:F14"/>
  </sortState>
  <mergeCells count="1">
    <mergeCell ref="A1:F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D766E-AD8A-4561-B33C-4C7744337392}">
  <sheetPr>
    <pageSetUpPr fitToPage="1"/>
  </sheetPr>
  <dimension ref="A1:E18"/>
  <sheetViews>
    <sheetView workbookViewId="0">
      <selection activeCell="A14" sqref="A14"/>
    </sheetView>
  </sheetViews>
  <sheetFormatPr defaultRowHeight="12.75" x14ac:dyDescent="0.2"/>
  <cols>
    <col min="1" max="1" width="25.5703125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5" ht="51" customHeight="1" x14ac:dyDescent="0.2">
      <c r="A1" s="59" t="s">
        <v>424</v>
      </c>
      <c r="B1" s="59"/>
      <c r="C1" s="59"/>
      <c r="D1" s="59"/>
      <c r="E1" s="59"/>
    </row>
    <row r="2" spans="1:5" ht="25.5" x14ac:dyDescent="0.2">
      <c r="A2" s="29" t="s">
        <v>5</v>
      </c>
      <c r="B2" s="30" t="s">
        <v>18</v>
      </c>
      <c r="C2" s="31" t="s">
        <v>3</v>
      </c>
      <c r="D2" s="32" t="s">
        <v>4</v>
      </c>
    </row>
    <row r="3" spans="1:5" x14ac:dyDescent="0.2">
      <c r="A3" s="33" t="s">
        <v>425</v>
      </c>
      <c r="B3" s="46"/>
      <c r="C3" s="35">
        <f>MemberOfAssemblyAssemblyDistrict46General66[[#This Row],[Part of Kings County Vote Results]]</f>
        <v>0</v>
      </c>
      <c r="D3" s="36">
        <f>SUM(MemberOfAssemblyAssemblyDistrict46General66[[#This Row],[Total Votes by Party]])</f>
        <v>0</v>
      </c>
    </row>
    <row r="4" spans="1:5" x14ac:dyDescent="0.2">
      <c r="A4" s="33" t="s">
        <v>426</v>
      </c>
      <c r="B4" s="46"/>
      <c r="C4" s="35">
        <f>MemberOfAssemblyAssemblyDistrict46General66[[#This Row],[Part of Kings County Vote Results]]</f>
        <v>0</v>
      </c>
      <c r="D4" s="36">
        <f>SUM(MemberOfAssemblyAssemblyDistrict46General66[[#This Row],[Total Votes by Party]])</f>
        <v>0</v>
      </c>
    </row>
    <row r="5" spans="1:5" x14ac:dyDescent="0.2">
      <c r="A5" s="33" t="s">
        <v>427</v>
      </c>
      <c r="B5" s="46"/>
      <c r="C5" s="35">
        <f>MemberOfAssemblyAssemblyDistrict46General66[[#This Row],[Part of Kings County Vote Results]]</f>
        <v>0</v>
      </c>
      <c r="D5" s="36">
        <f>SUM(MemberOfAssemblyAssemblyDistrict46General66[[#This Row],[Total Votes by Party]])</f>
        <v>0</v>
      </c>
    </row>
    <row r="6" spans="1:5" x14ac:dyDescent="0.2">
      <c r="A6" s="33" t="s">
        <v>428</v>
      </c>
      <c r="B6" s="46"/>
      <c r="C6" s="35">
        <f>MemberOfAssemblyAssemblyDistrict46General66[[#This Row],[Part of Kings County Vote Results]]</f>
        <v>0</v>
      </c>
      <c r="D6" s="36">
        <f>SUM(MemberOfAssemblyAssemblyDistrict46General66[[#This Row],[Total Votes by Party]])</f>
        <v>0</v>
      </c>
    </row>
    <row r="7" spans="1:5" x14ac:dyDescent="0.2">
      <c r="A7" s="33" t="s">
        <v>429</v>
      </c>
      <c r="B7" s="46"/>
      <c r="C7" s="35">
        <f>MemberOfAssemblyAssemblyDistrict46General66[[#This Row],[Part of Kings County Vote Results]]</f>
        <v>0</v>
      </c>
      <c r="D7" s="36">
        <f>SUM(MemberOfAssemblyAssemblyDistrict46General66[[#This Row],[Total Votes by Party]])</f>
        <v>0</v>
      </c>
    </row>
    <row r="8" spans="1:5" x14ac:dyDescent="0.2">
      <c r="A8" s="33" t="s">
        <v>430</v>
      </c>
      <c r="B8" s="46"/>
      <c r="C8" s="35">
        <f>MemberOfAssemblyAssemblyDistrict46General66[[#This Row],[Part of Kings County Vote Results]]</f>
        <v>0</v>
      </c>
      <c r="D8" s="36">
        <f>SUM(MemberOfAssemblyAssemblyDistrict46General66[[#This Row],[Total Votes by Party]])</f>
        <v>0</v>
      </c>
    </row>
    <row r="9" spans="1:5" x14ac:dyDescent="0.2">
      <c r="A9" s="33" t="s">
        <v>431</v>
      </c>
      <c r="B9" s="46"/>
      <c r="C9" s="35">
        <f>MemberOfAssemblyAssemblyDistrict46General66[[#This Row],[Part of Kings County Vote Results]]</f>
        <v>0</v>
      </c>
      <c r="D9" s="36">
        <f>SUM(MemberOfAssemblyAssemblyDistrict46General66[[#This Row],[Total Votes by Party]])</f>
        <v>0</v>
      </c>
    </row>
    <row r="10" spans="1:5" x14ac:dyDescent="0.2">
      <c r="A10" s="33" t="s">
        <v>432</v>
      </c>
      <c r="B10" s="46"/>
      <c r="C10" s="35">
        <f>MemberOfAssemblyAssemblyDistrict46General66[[#This Row],[Part of Kings County Vote Results]]</f>
        <v>0</v>
      </c>
      <c r="D10" s="36">
        <f>SUM(MemberOfAssemblyAssemblyDistrict46General66[[#This Row],[Total Votes by Party]])</f>
        <v>0</v>
      </c>
    </row>
    <row r="11" spans="1:5" x14ac:dyDescent="0.2">
      <c r="A11" s="33" t="s">
        <v>433</v>
      </c>
      <c r="B11" s="46"/>
      <c r="C11" s="35">
        <f>MemberOfAssemblyAssemblyDistrict46General66[[#This Row],[Part of Kings County Vote Results]]</f>
        <v>0</v>
      </c>
      <c r="D11" s="36">
        <f>SUM(MemberOfAssemblyAssemblyDistrict46General66[[#This Row],[Total Votes by Party]])</f>
        <v>0</v>
      </c>
    </row>
    <row r="12" spans="1:5" x14ac:dyDescent="0.2">
      <c r="A12" s="33" t="s">
        <v>434</v>
      </c>
      <c r="B12" s="46"/>
      <c r="C12" s="35">
        <f>MemberOfAssemblyAssemblyDistrict46General66[[#This Row],[Part of Kings County Vote Results]]</f>
        <v>0</v>
      </c>
      <c r="D12" s="36">
        <f>SUM(MemberOfAssemblyAssemblyDistrict46General66[[#This Row],[Total Votes by Party]])</f>
        <v>0</v>
      </c>
    </row>
    <row r="13" spans="1:5" x14ac:dyDescent="0.2">
      <c r="A13" s="33" t="s">
        <v>435</v>
      </c>
      <c r="B13" s="46"/>
      <c r="C13" s="35">
        <f>MemberOfAssemblyAssemblyDistrict46General66[[#This Row],[Part of Kings County Vote Results]]</f>
        <v>0</v>
      </c>
      <c r="D13" s="36">
        <f>SUM(MemberOfAssemblyAssemblyDistrict46General66[[#This Row],[Total Votes by Party]])</f>
        <v>0</v>
      </c>
    </row>
    <row r="14" spans="1:5" x14ac:dyDescent="0.2">
      <c r="A14" s="33" t="s">
        <v>648</v>
      </c>
      <c r="B14" s="46"/>
      <c r="C14" s="35">
        <f>MemberOfAssemblyAssemblyDistrict46General66[[#This Row],[Part of Kings County Vote Results]]</f>
        <v>0</v>
      </c>
      <c r="D14" s="36">
        <f>SUM(MemberOfAssemblyAssemblyDistrict46General66[[#This Row],[Total Votes by Party]])</f>
        <v>0</v>
      </c>
    </row>
    <row r="15" spans="1:5" x14ac:dyDescent="0.2">
      <c r="A15" s="37" t="s">
        <v>0</v>
      </c>
      <c r="B15" s="47"/>
      <c r="C15" s="35">
        <f>MemberOfAssemblyAssemblyDistrict46General66[[#This Row],[Part of Kings County Vote Results]]</f>
        <v>0</v>
      </c>
      <c r="D15" s="38"/>
    </row>
    <row r="16" spans="1:5" x14ac:dyDescent="0.2">
      <c r="A16" s="37" t="s">
        <v>1</v>
      </c>
      <c r="B16" s="47"/>
      <c r="C16" s="35">
        <f>MemberOfAssemblyAssemblyDistrict46General66[[#This Row],[Part of Kings County Vote Results]]</f>
        <v>0</v>
      </c>
      <c r="D16" s="38"/>
    </row>
    <row r="17" spans="1:4" x14ac:dyDescent="0.2">
      <c r="A17" s="37" t="s">
        <v>6</v>
      </c>
      <c r="B17" s="47"/>
      <c r="C17" s="35">
        <f>MemberOfAssemblyAssemblyDistrict46General66[[#This Row],[Part of Kings County Vote Results]]</f>
        <v>0</v>
      </c>
      <c r="D17" s="38"/>
    </row>
    <row r="18" spans="1:4" x14ac:dyDescent="0.2">
      <c r="A18" s="11" t="s">
        <v>2</v>
      </c>
      <c r="B18" s="2">
        <f>SUM(MemberOfAssemblyAssemblyDistrict46General66[Part of Kings County Vote Results])</f>
        <v>0</v>
      </c>
      <c r="C18" s="8">
        <f>SUM(MemberOfAssemblyAssemblyDistrict46General66[Total Votes by Party])</f>
        <v>0</v>
      </c>
      <c r="D18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AFDD-F5A2-471E-95EA-F3A054D5422D}">
  <sheetPr>
    <pageSetUpPr fitToPage="1"/>
  </sheetPr>
  <dimension ref="A1:F17"/>
  <sheetViews>
    <sheetView workbookViewId="0">
      <selection activeCell="A14" sqref="A14"/>
    </sheetView>
  </sheetViews>
  <sheetFormatPr defaultRowHeight="12.75" x14ac:dyDescent="0.2"/>
  <cols>
    <col min="1" max="1" width="25.5703125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6" ht="51" customHeight="1" x14ac:dyDescent="0.2">
      <c r="A1" s="59" t="s">
        <v>477</v>
      </c>
      <c r="B1" s="59"/>
      <c r="C1" s="59"/>
      <c r="D1" s="59"/>
      <c r="E1" s="59"/>
      <c r="F1" s="59"/>
    </row>
    <row r="2" spans="1:6" ht="25.5" x14ac:dyDescent="0.2">
      <c r="A2" s="29" t="s">
        <v>5</v>
      </c>
      <c r="B2" s="30" t="s">
        <v>18</v>
      </c>
      <c r="C2" s="31" t="s">
        <v>3</v>
      </c>
      <c r="D2" s="32" t="s">
        <v>4</v>
      </c>
    </row>
    <row r="3" spans="1:6" x14ac:dyDescent="0.2">
      <c r="A3" s="33" t="s">
        <v>478</v>
      </c>
      <c r="B3" s="46">
        <v>1200</v>
      </c>
      <c r="C3" s="35">
        <f>MemberOfAssemblyAssemblyDistrict46General6670[[#This Row],[Part of Kings County Vote Results]]</f>
        <v>1200</v>
      </c>
      <c r="D3" s="36">
        <f>SUM(MemberOfAssemblyAssemblyDistrict46General6670[[#This Row],[Total Votes by Party]])</f>
        <v>1200</v>
      </c>
    </row>
    <row r="4" spans="1:6" x14ac:dyDescent="0.2">
      <c r="A4" s="33" t="s">
        <v>479</v>
      </c>
      <c r="B4" s="46">
        <v>1078</v>
      </c>
      <c r="C4" s="35">
        <f>MemberOfAssemblyAssemblyDistrict46General6670[[#This Row],[Part of Kings County Vote Results]]</f>
        <v>1078</v>
      </c>
      <c r="D4" s="36">
        <f>SUM(MemberOfAssemblyAssemblyDistrict46General6670[[#This Row],[Total Votes by Party]])</f>
        <v>1078</v>
      </c>
    </row>
    <row r="5" spans="1:6" x14ac:dyDescent="0.2">
      <c r="A5" s="33" t="s">
        <v>480</v>
      </c>
      <c r="B5" s="46">
        <v>844</v>
      </c>
      <c r="C5" s="35">
        <f>MemberOfAssemblyAssemblyDistrict46General6670[[#This Row],[Part of Kings County Vote Results]]</f>
        <v>844</v>
      </c>
      <c r="D5" s="36">
        <f>SUM(MemberOfAssemblyAssemblyDistrict46General6670[[#This Row],[Total Votes by Party]])</f>
        <v>844</v>
      </c>
    </row>
    <row r="6" spans="1:6" x14ac:dyDescent="0.2">
      <c r="A6" s="33" t="s">
        <v>481</v>
      </c>
      <c r="B6" s="46">
        <v>875</v>
      </c>
      <c r="C6" s="35">
        <f>MemberOfAssemblyAssemblyDistrict46General6670[[#This Row],[Part of Kings County Vote Results]]</f>
        <v>875</v>
      </c>
      <c r="D6" s="36">
        <f>SUM(MemberOfAssemblyAssemblyDistrict46General6670[[#This Row],[Total Votes by Party]])</f>
        <v>875</v>
      </c>
    </row>
    <row r="7" spans="1:6" x14ac:dyDescent="0.2">
      <c r="A7" s="33" t="s">
        <v>482</v>
      </c>
      <c r="B7" s="46">
        <v>1075</v>
      </c>
      <c r="C7" s="35">
        <f>MemberOfAssemblyAssemblyDistrict46General6670[[#This Row],[Part of Kings County Vote Results]]</f>
        <v>1075</v>
      </c>
      <c r="D7" s="36">
        <f>SUM(MemberOfAssemblyAssemblyDistrict46General6670[[#This Row],[Total Votes by Party]])</f>
        <v>1075</v>
      </c>
    </row>
    <row r="8" spans="1:6" x14ac:dyDescent="0.2">
      <c r="A8" s="33" t="s">
        <v>483</v>
      </c>
      <c r="B8" s="56">
        <v>1745</v>
      </c>
      <c r="C8" s="40">
        <f>MemberOfAssemblyAssemblyDistrict46General6670[[#This Row],[Part of Kings County Vote Results]]</f>
        <v>1745</v>
      </c>
      <c r="D8" s="55">
        <f>SUM(MemberOfAssemblyAssemblyDistrict46General6670[[#This Row],[Total Votes by Party]])</f>
        <v>1745</v>
      </c>
    </row>
    <row r="9" spans="1:6" x14ac:dyDescent="0.2">
      <c r="A9" s="33" t="s">
        <v>484</v>
      </c>
      <c r="B9" s="56">
        <v>1286</v>
      </c>
      <c r="C9" s="40">
        <f>MemberOfAssemblyAssemblyDistrict46General6670[[#This Row],[Part of Kings County Vote Results]]</f>
        <v>1286</v>
      </c>
      <c r="D9" s="55">
        <f>SUM(MemberOfAssemblyAssemblyDistrict46General6670[[#This Row],[Total Votes by Party]])</f>
        <v>1286</v>
      </c>
    </row>
    <row r="10" spans="1:6" x14ac:dyDescent="0.2">
      <c r="A10" s="33" t="s">
        <v>485</v>
      </c>
      <c r="B10" s="56">
        <v>1504</v>
      </c>
      <c r="C10" s="40">
        <f>MemberOfAssemblyAssemblyDistrict46General6670[[#This Row],[Part of Kings County Vote Results]]</f>
        <v>1504</v>
      </c>
      <c r="D10" s="55">
        <f>SUM(MemberOfAssemblyAssemblyDistrict46General6670[[#This Row],[Total Votes by Party]])</f>
        <v>1504</v>
      </c>
    </row>
    <row r="11" spans="1:6" x14ac:dyDescent="0.2">
      <c r="A11" s="33" t="s">
        <v>486</v>
      </c>
      <c r="B11" s="56">
        <v>1271</v>
      </c>
      <c r="C11" s="40">
        <f>MemberOfAssemblyAssemblyDistrict46General6670[[#This Row],[Part of Kings County Vote Results]]</f>
        <v>1271</v>
      </c>
      <c r="D11" s="55">
        <f>SUM(MemberOfAssemblyAssemblyDistrict46General6670[[#This Row],[Total Votes by Party]])</f>
        <v>1271</v>
      </c>
    </row>
    <row r="12" spans="1:6" x14ac:dyDescent="0.2">
      <c r="A12" s="33" t="s">
        <v>487</v>
      </c>
      <c r="B12" s="56">
        <v>1496</v>
      </c>
      <c r="C12" s="40">
        <f>MemberOfAssemblyAssemblyDistrict46General6670[[#This Row],[Part of Kings County Vote Results]]</f>
        <v>1496</v>
      </c>
      <c r="D12" s="55">
        <f>SUM(MemberOfAssemblyAssemblyDistrict46General6670[[#This Row],[Total Votes by Party]])</f>
        <v>1496</v>
      </c>
    </row>
    <row r="13" spans="1:6" x14ac:dyDescent="0.2">
      <c r="A13" s="33" t="s">
        <v>638</v>
      </c>
      <c r="B13" s="56">
        <v>1427</v>
      </c>
      <c r="C13" s="40">
        <f>MemberOfAssemblyAssemblyDistrict46General6670[[#This Row],[Part of Kings County Vote Results]]</f>
        <v>1427</v>
      </c>
      <c r="D13" s="55">
        <f>SUM(MemberOfAssemblyAssemblyDistrict46General6670[[#This Row],[Total Votes by Party]])</f>
        <v>1427</v>
      </c>
    </row>
    <row r="14" spans="1:6" x14ac:dyDescent="0.2">
      <c r="A14" s="37" t="s">
        <v>0</v>
      </c>
      <c r="B14" s="46">
        <v>6173</v>
      </c>
      <c r="C14" s="35">
        <f>MemberOfAssemblyAssemblyDistrict46General6670[[#This Row],[Part of Kings County Vote Results]]</f>
        <v>6173</v>
      </c>
      <c r="D14" s="38"/>
    </row>
    <row r="15" spans="1:6" x14ac:dyDescent="0.2">
      <c r="A15" s="37" t="s">
        <v>1</v>
      </c>
      <c r="B15" s="47"/>
      <c r="C15" s="35">
        <f>MemberOfAssemblyAssemblyDistrict46General6670[[#This Row],[Part of Kings County Vote Results]]</f>
        <v>0</v>
      </c>
      <c r="D15" s="38"/>
    </row>
    <row r="16" spans="1:6" x14ac:dyDescent="0.2">
      <c r="A16" s="37" t="s">
        <v>6</v>
      </c>
      <c r="B16" s="47">
        <v>60</v>
      </c>
      <c r="C16" s="35">
        <f>MemberOfAssemblyAssemblyDistrict46General6670[[#This Row],[Part of Kings County Vote Results]]</f>
        <v>60</v>
      </c>
      <c r="D16" s="38"/>
    </row>
    <row r="17" spans="1:4" x14ac:dyDescent="0.2">
      <c r="A17" s="11" t="s">
        <v>2</v>
      </c>
      <c r="B17" s="2">
        <f>SUM(MemberOfAssemblyAssemblyDistrict46General6670[Part of Kings County Vote Results])</f>
        <v>20034</v>
      </c>
      <c r="C17" s="8">
        <f>SUM(MemberOfAssemblyAssemblyDistrict46General6670[Total Votes by Party])</f>
        <v>20034</v>
      </c>
      <c r="D17" s="10"/>
    </row>
  </sheetData>
  <sortState xmlns:xlrd2="http://schemas.microsoft.com/office/spreadsheetml/2017/richdata2" ref="F3:F13">
    <sortCondition descending="1" ref="F3:F13"/>
  </sortState>
  <mergeCells count="1">
    <mergeCell ref="A1:F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7B6D-742F-4060-BF8B-C9233A17E568}">
  <sheetPr>
    <pageSetUpPr fitToPage="1"/>
  </sheetPr>
  <dimension ref="A1:E14"/>
  <sheetViews>
    <sheetView workbookViewId="0">
      <selection activeCell="B23" sqref="B23"/>
    </sheetView>
  </sheetViews>
  <sheetFormatPr defaultRowHeight="12.75" x14ac:dyDescent="0.2"/>
  <cols>
    <col min="1" max="1" width="25.5703125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5" ht="51" customHeight="1" x14ac:dyDescent="0.2">
      <c r="A1" s="59" t="s">
        <v>436</v>
      </c>
      <c r="B1" s="59"/>
      <c r="C1" s="59"/>
      <c r="D1" s="59"/>
      <c r="E1" s="59"/>
    </row>
    <row r="2" spans="1:5" ht="25.5" x14ac:dyDescent="0.2">
      <c r="A2" s="29" t="s">
        <v>5</v>
      </c>
      <c r="B2" s="30" t="s">
        <v>18</v>
      </c>
      <c r="C2" s="31" t="s">
        <v>3</v>
      </c>
      <c r="D2" s="32" t="s">
        <v>4</v>
      </c>
    </row>
    <row r="3" spans="1:5" x14ac:dyDescent="0.2">
      <c r="A3" s="33" t="s">
        <v>437</v>
      </c>
      <c r="B3" s="46"/>
      <c r="C3" s="35">
        <f>MemberOfAssemblyAssemblyDistrict49General[[#This Row],[Part of Kings County Vote Results]]</f>
        <v>0</v>
      </c>
      <c r="D3" s="36">
        <f>SUM(MemberOfAssemblyAssemblyDistrict49General[[#This Row],[Total Votes by Party]])</f>
        <v>0</v>
      </c>
    </row>
    <row r="4" spans="1:5" x14ac:dyDescent="0.2">
      <c r="A4" s="33" t="s">
        <v>438</v>
      </c>
      <c r="B4" s="46"/>
      <c r="C4" s="35">
        <f>MemberOfAssemblyAssemblyDistrict49General[[#This Row],[Part of Kings County Vote Results]]</f>
        <v>0</v>
      </c>
      <c r="D4" s="36">
        <f>SUM(MemberOfAssemblyAssemblyDistrict49General[[#This Row],[Total Votes by Party]])</f>
        <v>0</v>
      </c>
    </row>
    <row r="5" spans="1:5" x14ac:dyDescent="0.2">
      <c r="A5" s="33" t="s">
        <v>439</v>
      </c>
      <c r="B5" s="46"/>
      <c r="C5" s="35">
        <f>MemberOfAssemblyAssemblyDistrict49General[[#This Row],[Part of Kings County Vote Results]]</f>
        <v>0</v>
      </c>
      <c r="D5" s="36">
        <f>SUM(MemberOfAssemblyAssemblyDistrict49General[[#This Row],[Total Votes by Party]])</f>
        <v>0</v>
      </c>
    </row>
    <row r="6" spans="1:5" x14ac:dyDescent="0.2">
      <c r="A6" s="33" t="s">
        <v>440</v>
      </c>
      <c r="B6" s="46"/>
      <c r="C6" s="35">
        <f>MemberOfAssemblyAssemblyDistrict49General[[#This Row],[Part of Kings County Vote Results]]</f>
        <v>0</v>
      </c>
      <c r="D6" s="36">
        <f>SUM(MemberOfAssemblyAssemblyDistrict49General[[#This Row],[Total Votes by Party]])</f>
        <v>0</v>
      </c>
    </row>
    <row r="7" spans="1:5" x14ac:dyDescent="0.2">
      <c r="A7" s="33" t="s">
        <v>441</v>
      </c>
      <c r="B7" s="46"/>
      <c r="C7" s="35">
        <f>MemberOfAssemblyAssemblyDistrict49General[[#This Row],[Part of Kings County Vote Results]]</f>
        <v>0</v>
      </c>
      <c r="D7" s="36">
        <f>SUM(MemberOfAssemblyAssemblyDistrict49General[[#This Row],[Total Votes by Party]])</f>
        <v>0</v>
      </c>
    </row>
    <row r="8" spans="1:5" x14ac:dyDescent="0.2">
      <c r="A8" s="33" t="s">
        <v>636</v>
      </c>
      <c r="B8" s="46"/>
      <c r="C8" s="35">
        <f>MemberOfAssemblyAssemblyDistrict49General[[#This Row],[Part of Kings County Vote Results]]</f>
        <v>0</v>
      </c>
      <c r="D8" s="36">
        <f>SUM(MemberOfAssemblyAssemblyDistrict49General[[#This Row],[Total Votes by Party]])</f>
        <v>0</v>
      </c>
    </row>
    <row r="9" spans="1:5" x14ac:dyDescent="0.2">
      <c r="A9" s="33" t="s">
        <v>442</v>
      </c>
      <c r="B9" s="46"/>
      <c r="C9" s="35">
        <f>MemberOfAssemblyAssemblyDistrict49General[[#This Row],[Part of Kings County Vote Results]]</f>
        <v>0</v>
      </c>
      <c r="D9" s="36">
        <f>SUM(MemberOfAssemblyAssemblyDistrict49General[[#This Row],[Total Votes by Party]])</f>
        <v>0</v>
      </c>
    </row>
    <row r="10" spans="1:5" x14ac:dyDescent="0.2">
      <c r="A10" s="33" t="s">
        <v>443</v>
      </c>
      <c r="B10" s="46"/>
      <c r="C10" s="35">
        <f>MemberOfAssemblyAssemblyDistrict49General[[#This Row],[Part of Kings County Vote Results]]</f>
        <v>0</v>
      </c>
      <c r="D10" s="36">
        <f>SUM(MemberOfAssemblyAssemblyDistrict49General[[#This Row],[Total Votes by Party]])</f>
        <v>0</v>
      </c>
    </row>
    <row r="11" spans="1:5" x14ac:dyDescent="0.2">
      <c r="A11" s="37" t="s">
        <v>0</v>
      </c>
      <c r="B11" s="47"/>
      <c r="C11" s="35">
        <f>MemberOfAssemblyAssemblyDistrict49General[[#This Row],[Part of Kings County Vote Results]]</f>
        <v>0</v>
      </c>
      <c r="D11" s="38"/>
    </row>
    <row r="12" spans="1:5" x14ac:dyDescent="0.2">
      <c r="A12" s="37" t="s">
        <v>1</v>
      </c>
      <c r="B12" s="47"/>
      <c r="C12" s="35">
        <f>MemberOfAssemblyAssemblyDistrict49General[[#This Row],[Part of Kings County Vote Results]]</f>
        <v>0</v>
      </c>
      <c r="D12" s="38"/>
    </row>
    <row r="13" spans="1:5" x14ac:dyDescent="0.2">
      <c r="A13" s="37" t="s">
        <v>6</v>
      </c>
      <c r="B13" s="47"/>
      <c r="C13" s="35">
        <f>MemberOfAssemblyAssemblyDistrict49General[[#This Row],[Part of Kings County Vote Results]]</f>
        <v>0</v>
      </c>
      <c r="D13" s="38"/>
    </row>
    <row r="14" spans="1:5" x14ac:dyDescent="0.2">
      <c r="A14" s="11" t="s">
        <v>2</v>
      </c>
      <c r="B14" s="2">
        <f>SUM(MemberOfAssemblyAssemblyDistrict49General[Part of Kings County Vote Results])</f>
        <v>0</v>
      </c>
      <c r="C14" s="8">
        <f>SUM(MemberOfAssemblyAssemblyDistrict49General[Total Votes by Party])</f>
        <v>0</v>
      </c>
      <c r="D14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FF37-0B7D-4D5C-8DFA-567C3BEFAE80}">
  <sheetPr>
    <pageSetUpPr fitToPage="1"/>
  </sheetPr>
  <dimension ref="A1:H8"/>
  <sheetViews>
    <sheetView zoomScaleNormal="100" zoomScaleSheetLayoutView="90" workbookViewId="0">
      <pane xSplit="1" topLeftCell="B1" activePane="topRight" state="frozen"/>
      <selection activeCell="A29" sqref="A29"/>
      <selection pane="topRight" activeCell="C6" sqref="C6"/>
    </sheetView>
  </sheetViews>
  <sheetFormatPr defaultRowHeight="12.75" x14ac:dyDescent="0.2"/>
  <cols>
    <col min="1" max="1" width="25.5703125" customWidth="1"/>
    <col min="2" max="8" width="17.7109375" customWidth="1"/>
    <col min="9" max="10" width="23.5703125" customWidth="1"/>
  </cols>
  <sheetData>
    <row r="1" spans="1:8" ht="24.75" customHeight="1" x14ac:dyDescent="0.2">
      <c r="A1" s="17" t="s">
        <v>59</v>
      </c>
    </row>
    <row r="2" spans="1:8" s="21" customFormat="1" ht="25.5" x14ac:dyDescent="0.2">
      <c r="A2" s="18" t="s">
        <v>5</v>
      </c>
      <c r="B2" s="5" t="s">
        <v>30</v>
      </c>
      <c r="C2" s="5" t="s">
        <v>28</v>
      </c>
      <c r="D2" s="5" t="s">
        <v>8</v>
      </c>
      <c r="E2" s="5" t="s">
        <v>29</v>
      </c>
      <c r="F2" s="5" t="s">
        <v>7</v>
      </c>
      <c r="G2" s="19" t="s">
        <v>3</v>
      </c>
      <c r="H2" s="20" t="s">
        <v>4</v>
      </c>
    </row>
    <row r="3" spans="1:8" x14ac:dyDescent="0.2">
      <c r="A3" s="1" t="s">
        <v>573</v>
      </c>
      <c r="B3" s="2">
        <v>468</v>
      </c>
      <c r="C3" s="2">
        <v>558</v>
      </c>
      <c r="D3" s="2">
        <v>1236</v>
      </c>
      <c r="E3" s="2">
        <v>2343</v>
      </c>
      <c r="F3" s="2">
        <v>5768</v>
      </c>
      <c r="G3" s="8">
        <f t="shared" ref="G3:G7" si="0">SUM(B3,C3,D3,E3,F3)</f>
        <v>10373</v>
      </c>
      <c r="H3" s="9">
        <f>SUM(RepInCongressCongressionalDistrict22General[[#This Row],[Total Votes by Party]])</f>
        <v>10373</v>
      </c>
    </row>
    <row r="4" spans="1:8" x14ac:dyDescent="0.2">
      <c r="A4" s="1" t="s">
        <v>574</v>
      </c>
      <c r="B4" s="26">
        <v>1093</v>
      </c>
      <c r="C4" s="26">
        <v>529</v>
      </c>
      <c r="D4" s="26">
        <v>794</v>
      </c>
      <c r="E4" s="26">
        <v>875</v>
      </c>
      <c r="F4" s="26">
        <v>13333</v>
      </c>
      <c r="G4" s="25">
        <f t="shared" si="0"/>
        <v>16624</v>
      </c>
      <c r="H4" s="51">
        <f>SUM(RepInCongressCongressionalDistrict22General[[#This Row],[Total Votes by Party]])</f>
        <v>16624</v>
      </c>
    </row>
    <row r="5" spans="1:8" x14ac:dyDescent="0.2">
      <c r="A5" s="3" t="s">
        <v>0</v>
      </c>
      <c r="B5" s="2">
        <v>6</v>
      </c>
      <c r="C5" s="2">
        <v>0</v>
      </c>
      <c r="D5" s="2">
        <v>0</v>
      </c>
      <c r="E5" s="2">
        <v>7</v>
      </c>
      <c r="F5" s="2">
        <v>77</v>
      </c>
      <c r="G5" s="8">
        <f t="shared" si="0"/>
        <v>90</v>
      </c>
      <c r="H5" s="10"/>
    </row>
    <row r="6" spans="1:8" x14ac:dyDescent="0.2">
      <c r="A6" s="3" t="s">
        <v>1</v>
      </c>
      <c r="B6" s="2">
        <v>1</v>
      </c>
      <c r="C6" s="2">
        <v>0</v>
      </c>
      <c r="D6" s="2">
        <v>2</v>
      </c>
      <c r="E6" s="2">
        <v>6</v>
      </c>
      <c r="F6" s="2">
        <v>52</v>
      </c>
      <c r="G6" s="8">
        <f t="shared" si="0"/>
        <v>61</v>
      </c>
      <c r="H6" s="10"/>
    </row>
    <row r="7" spans="1:8" x14ac:dyDescent="0.2">
      <c r="A7" s="3" t="s">
        <v>6</v>
      </c>
      <c r="B7" s="2">
        <v>1</v>
      </c>
      <c r="C7" s="2">
        <v>1</v>
      </c>
      <c r="D7" s="2">
        <v>3</v>
      </c>
      <c r="E7" s="2">
        <v>7</v>
      </c>
      <c r="F7" s="2">
        <v>35</v>
      </c>
      <c r="G7" s="8">
        <f t="shared" si="0"/>
        <v>47</v>
      </c>
      <c r="H7" s="10"/>
    </row>
    <row r="8" spans="1:8" x14ac:dyDescent="0.2">
      <c r="A8" s="11" t="s">
        <v>2</v>
      </c>
      <c r="B8" s="2">
        <f>SUM(RepInCongressCongressionalDistrict22General[Part of Cayuga County Vote Results])</f>
        <v>1569</v>
      </c>
      <c r="C8" s="2">
        <f>SUM(RepInCongressCongressionalDistrict22General[Part of Cortland County Vote Results])</f>
        <v>1088</v>
      </c>
      <c r="D8" s="2">
        <f>SUM(RepInCongressCongressionalDistrict22General[Madison County Vote Results])</f>
        <v>2035</v>
      </c>
      <c r="E8" s="2">
        <f>SUM(RepInCongressCongressionalDistrict22General[Part of Oneida County Vote Results])</f>
        <v>3238</v>
      </c>
      <c r="F8" s="2">
        <f>SUM(RepInCongressCongressionalDistrict22General[Onondaga County Vote Results])</f>
        <v>19265</v>
      </c>
      <c r="G8" s="8">
        <f>SUM(RepInCongressCongressionalDistrict22General[Total Votes by Party])</f>
        <v>27195</v>
      </c>
      <c r="H8" s="10"/>
    </row>
  </sheetData>
  <phoneticPr fontId="6" type="noConversion"/>
  <pageMargins left="0.25" right="0.25" top="0.25" bottom="0.25" header="0.25" footer="0.25"/>
  <pageSetup paperSize="5" scale="84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D21F1-B0B2-4B5B-A332-2C88D1F41BB7}">
  <sheetPr>
    <pageSetUpPr fitToPage="1"/>
  </sheetPr>
  <dimension ref="A1:F14"/>
  <sheetViews>
    <sheetView workbookViewId="0">
      <selection activeCell="B23" sqref="B23"/>
    </sheetView>
  </sheetViews>
  <sheetFormatPr defaultRowHeight="12.75" x14ac:dyDescent="0.2"/>
  <cols>
    <col min="1" max="1" width="25.5703125" style="28" customWidth="1"/>
    <col min="2" max="4" width="20.5703125" style="28" customWidth="1"/>
    <col min="5" max="5" width="23.5703125" style="28" customWidth="1"/>
    <col min="6" max="6" width="14.140625" style="28" customWidth="1"/>
    <col min="7" max="16384" width="9.140625" style="28"/>
  </cols>
  <sheetData>
    <row r="1" spans="1:6" ht="51" customHeight="1" x14ac:dyDescent="0.2">
      <c r="A1" s="59" t="s">
        <v>488</v>
      </c>
      <c r="B1" s="59"/>
      <c r="C1" s="59"/>
      <c r="D1" s="59"/>
      <c r="E1" s="59"/>
      <c r="F1" s="59"/>
    </row>
    <row r="2" spans="1:6" ht="25.5" x14ac:dyDescent="0.2">
      <c r="A2" s="29" t="s">
        <v>5</v>
      </c>
      <c r="B2" s="30" t="s">
        <v>18</v>
      </c>
      <c r="C2" s="31" t="s">
        <v>3</v>
      </c>
      <c r="D2" s="32" t="s">
        <v>4</v>
      </c>
    </row>
    <row r="3" spans="1:6" x14ac:dyDescent="0.2">
      <c r="A3" s="33" t="s">
        <v>489</v>
      </c>
      <c r="B3" s="56">
        <v>366</v>
      </c>
      <c r="C3" s="40">
        <f>MemberOfAssemblyAssemblyDistrict49General71[[#This Row],[Part of Kings County Vote Results]]</f>
        <v>366</v>
      </c>
      <c r="D3" s="55">
        <f>SUM(MemberOfAssemblyAssemblyDistrict49General71[[#This Row],[Total Votes by Party]])</f>
        <v>366</v>
      </c>
    </row>
    <row r="4" spans="1:6" x14ac:dyDescent="0.2">
      <c r="A4" s="33" t="s">
        <v>490</v>
      </c>
      <c r="B4" s="56">
        <v>310</v>
      </c>
      <c r="C4" s="40">
        <f>MemberOfAssemblyAssemblyDistrict49General71[[#This Row],[Part of Kings County Vote Results]]</f>
        <v>310</v>
      </c>
      <c r="D4" s="55">
        <f>SUM(MemberOfAssemblyAssemblyDistrict49General71[[#This Row],[Total Votes by Party]])</f>
        <v>310</v>
      </c>
    </row>
    <row r="5" spans="1:6" x14ac:dyDescent="0.2">
      <c r="A5" s="33" t="s">
        <v>491</v>
      </c>
      <c r="B5" s="56">
        <v>470</v>
      </c>
      <c r="C5" s="40">
        <f>MemberOfAssemblyAssemblyDistrict49General71[[#This Row],[Part of Kings County Vote Results]]</f>
        <v>470</v>
      </c>
      <c r="D5" s="55">
        <f>SUM(MemberOfAssemblyAssemblyDistrict49General71[[#This Row],[Total Votes by Party]])</f>
        <v>470</v>
      </c>
    </row>
    <row r="6" spans="1:6" x14ac:dyDescent="0.2">
      <c r="A6" s="33" t="s">
        <v>492</v>
      </c>
      <c r="B6" s="46">
        <v>242</v>
      </c>
      <c r="C6" s="35">
        <f>MemberOfAssemblyAssemblyDistrict49General71[[#This Row],[Part of Kings County Vote Results]]</f>
        <v>242</v>
      </c>
      <c r="D6" s="36">
        <f>SUM(MemberOfAssemblyAssemblyDistrict49General71[[#This Row],[Total Votes by Party]])</f>
        <v>242</v>
      </c>
    </row>
    <row r="7" spans="1:6" x14ac:dyDescent="0.2">
      <c r="A7" s="33" t="s">
        <v>493</v>
      </c>
      <c r="B7" s="56">
        <v>467</v>
      </c>
      <c r="C7" s="40">
        <f>MemberOfAssemblyAssemblyDistrict49General71[[#This Row],[Part of Kings County Vote Results]]</f>
        <v>467</v>
      </c>
      <c r="D7" s="55">
        <f>SUM(MemberOfAssemblyAssemblyDistrict49General71[[#This Row],[Total Votes by Party]])</f>
        <v>467</v>
      </c>
    </row>
    <row r="8" spans="1:6" x14ac:dyDescent="0.2">
      <c r="A8" s="33" t="s">
        <v>494</v>
      </c>
      <c r="B8" s="46">
        <v>223</v>
      </c>
      <c r="C8" s="35">
        <f>MemberOfAssemblyAssemblyDistrict49General71[[#This Row],[Part of Kings County Vote Results]]</f>
        <v>223</v>
      </c>
      <c r="D8" s="36">
        <f>SUM(MemberOfAssemblyAssemblyDistrict49General71[[#This Row],[Total Votes by Party]])</f>
        <v>223</v>
      </c>
    </row>
    <row r="9" spans="1:6" x14ac:dyDescent="0.2">
      <c r="A9" s="33" t="s">
        <v>495</v>
      </c>
      <c r="B9" s="46">
        <v>152</v>
      </c>
      <c r="C9" s="35">
        <f>MemberOfAssemblyAssemblyDistrict49General71[[#This Row],[Part of Kings County Vote Results]]</f>
        <v>152</v>
      </c>
      <c r="D9" s="36">
        <f>SUM(MemberOfAssemblyAssemblyDistrict49General71[[#This Row],[Total Votes by Party]])</f>
        <v>152</v>
      </c>
    </row>
    <row r="10" spans="1:6" x14ac:dyDescent="0.2">
      <c r="A10" s="33" t="s">
        <v>496</v>
      </c>
      <c r="B10" s="46">
        <v>242</v>
      </c>
      <c r="C10" s="35">
        <f>MemberOfAssemblyAssemblyDistrict49General71[[#This Row],[Part of Kings County Vote Results]]</f>
        <v>242</v>
      </c>
      <c r="D10" s="36">
        <f>SUM(MemberOfAssemblyAssemblyDistrict49General71[[#This Row],[Total Votes by Party]])</f>
        <v>242</v>
      </c>
    </row>
    <row r="11" spans="1:6" x14ac:dyDescent="0.2">
      <c r="A11" s="37" t="s">
        <v>0</v>
      </c>
      <c r="B11" s="47">
        <v>913</v>
      </c>
      <c r="C11" s="35">
        <f>MemberOfAssemblyAssemblyDistrict49General71[[#This Row],[Part of Kings County Vote Results]]</f>
        <v>913</v>
      </c>
      <c r="D11" s="38"/>
    </row>
    <row r="12" spans="1:6" x14ac:dyDescent="0.2">
      <c r="A12" s="37" t="s">
        <v>1</v>
      </c>
      <c r="B12" s="47"/>
      <c r="C12" s="35">
        <f>MemberOfAssemblyAssemblyDistrict49General71[[#This Row],[Part of Kings County Vote Results]]</f>
        <v>0</v>
      </c>
      <c r="D12" s="38"/>
    </row>
    <row r="13" spans="1:6" x14ac:dyDescent="0.2">
      <c r="A13" s="37" t="s">
        <v>6</v>
      </c>
      <c r="B13" s="47">
        <v>23</v>
      </c>
      <c r="C13" s="35">
        <f>MemberOfAssemblyAssemblyDistrict49General71[[#This Row],[Part of Kings County Vote Results]]</f>
        <v>23</v>
      </c>
      <c r="D13" s="38"/>
    </row>
    <row r="14" spans="1:6" x14ac:dyDescent="0.2">
      <c r="A14" s="11" t="s">
        <v>2</v>
      </c>
      <c r="B14" s="2">
        <f>SUM(MemberOfAssemblyAssemblyDistrict49General71[Part of Kings County Vote Results])</f>
        <v>3408</v>
      </c>
      <c r="C14" s="8">
        <f>SUM(MemberOfAssemblyAssemblyDistrict49General71[Total Votes by Party])</f>
        <v>3408</v>
      </c>
      <c r="D14" s="10"/>
    </row>
  </sheetData>
  <sortState xmlns:xlrd2="http://schemas.microsoft.com/office/spreadsheetml/2017/richdata2" ref="F3:F10">
    <sortCondition descending="1" ref="F3:F10"/>
  </sortState>
  <mergeCells count="1">
    <mergeCell ref="A1:F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2DD0-64A2-4FE8-B335-AB15EF7987A0}">
  <sheetPr>
    <pageSetUpPr fitToPage="1"/>
  </sheetPr>
  <dimension ref="A1:E26"/>
  <sheetViews>
    <sheetView workbookViewId="0">
      <selection activeCell="B23" sqref="B23"/>
    </sheetView>
  </sheetViews>
  <sheetFormatPr defaultRowHeight="12.75" x14ac:dyDescent="0.2"/>
  <cols>
    <col min="1" max="1" width="25.5703125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5" ht="51" customHeight="1" x14ac:dyDescent="0.2">
      <c r="A1" s="59" t="s">
        <v>444</v>
      </c>
      <c r="B1" s="59"/>
      <c r="C1" s="59"/>
      <c r="D1" s="59"/>
      <c r="E1" s="59"/>
    </row>
    <row r="2" spans="1:5" ht="25.5" x14ac:dyDescent="0.2">
      <c r="A2" s="29" t="s">
        <v>5</v>
      </c>
      <c r="B2" s="30" t="s">
        <v>18</v>
      </c>
      <c r="C2" s="31" t="s">
        <v>3</v>
      </c>
      <c r="D2" s="32" t="s">
        <v>4</v>
      </c>
    </row>
    <row r="3" spans="1:5" x14ac:dyDescent="0.2">
      <c r="A3" s="33" t="s">
        <v>445</v>
      </c>
      <c r="B3" s="56">
        <v>1376</v>
      </c>
      <c r="C3" s="40">
        <f>MemberOfAssemblyAssemblyDistrict58General[[#This Row],[Part of Kings County Vote Results]]</f>
        <v>1376</v>
      </c>
      <c r="D3" s="55">
        <f>SUM(MemberOfAssemblyAssemblyDistrict58General[[#This Row],[Total Votes by Party]])</f>
        <v>1376</v>
      </c>
    </row>
    <row r="4" spans="1:5" x14ac:dyDescent="0.2">
      <c r="A4" s="33" t="s">
        <v>446</v>
      </c>
      <c r="B4" s="56">
        <v>1628</v>
      </c>
      <c r="C4" s="40">
        <f>MemberOfAssemblyAssemblyDistrict58General[[#This Row],[Part of Kings County Vote Results]]</f>
        <v>1628</v>
      </c>
      <c r="D4" s="55">
        <f>SUM(MemberOfAssemblyAssemblyDistrict58General[[#This Row],[Total Votes by Party]])</f>
        <v>1628</v>
      </c>
    </row>
    <row r="5" spans="1:5" x14ac:dyDescent="0.2">
      <c r="A5" s="33" t="s">
        <v>447</v>
      </c>
      <c r="B5" s="56">
        <v>1196</v>
      </c>
      <c r="C5" s="40">
        <f>MemberOfAssemblyAssemblyDistrict58General[[#This Row],[Part of Kings County Vote Results]]</f>
        <v>1196</v>
      </c>
      <c r="D5" s="55">
        <f>SUM(MemberOfAssemblyAssemblyDistrict58General[[#This Row],[Total Votes by Party]])</f>
        <v>1196</v>
      </c>
    </row>
    <row r="6" spans="1:5" x14ac:dyDescent="0.2">
      <c r="A6" s="33" t="s">
        <v>448</v>
      </c>
      <c r="B6" s="56">
        <v>1937</v>
      </c>
      <c r="C6" s="40">
        <f>MemberOfAssemblyAssemblyDistrict58General[[#This Row],[Part of Kings County Vote Results]]</f>
        <v>1937</v>
      </c>
      <c r="D6" s="55">
        <f>SUM(MemberOfAssemblyAssemblyDistrict58General[[#This Row],[Total Votes by Party]])</f>
        <v>1937</v>
      </c>
    </row>
    <row r="7" spans="1:5" x14ac:dyDescent="0.2">
      <c r="A7" s="33" t="s">
        <v>449</v>
      </c>
      <c r="B7" s="56">
        <v>1439</v>
      </c>
      <c r="C7" s="40">
        <f>MemberOfAssemblyAssemblyDistrict58General[[#This Row],[Part of Kings County Vote Results]]</f>
        <v>1439</v>
      </c>
      <c r="D7" s="55">
        <f>SUM(MemberOfAssemblyAssemblyDistrict58General[[#This Row],[Total Votes by Party]])</f>
        <v>1439</v>
      </c>
    </row>
    <row r="8" spans="1:5" x14ac:dyDescent="0.2">
      <c r="A8" s="33" t="s">
        <v>450</v>
      </c>
      <c r="B8" s="46">
        <v>1026</v>
      </c>
      <c r="C8" s="35">
        <f>MemberOfAssemblyAssemblyDistrict58General[[#This Row],[Part of Kings County Vote Results]]</f>
        <v>1026</v>
      </c>
      <c r="D8" s="36">
        <f>SUM(MemberOfAssemblyAssemblyDistrict58General[[#This Row],[Total Votes by Party]])</f>
        <v>1026</v>
      </c>
    </row>
    <row r="9" spans="1:5" x14ac:dyDescent="0.2">
      <c r="A9" s="33" t="s">
        <v>451</v>
      </c>
      <c r="B9" s="56">
        <v>1989</v>
      </c>
      <c r="C9" s="40">
        <f>MemberOfAssemblyAssemblyDistrict58General[[#This Row],[Part of Kings County Vote Results]]</f>
        <v>1989</v>
      </c>
      <c r="D9" s="55">
        <f>SUM(MemberOfAssemblyAssemblyDistrict58General[[#This Row],[Total Votes by Party]])</f>
        <v>1989</v>
      </c>
    </row>
    <row r="10" spans="1:5" x14ac:dyDescent="0.2">
      <c r="A10" s="33" t="s">
        <v>452</v>
      </c>
      <c r="B10" s="46">
        <v>717</v>
      </c>
      <c r="C10" s="35">
        <f>MemberOfAssemblyAssemblyDistrict58General[[#This Row],[Part of Kings County Vote Results]]</f>
        <v>717</v>
      </c>
      <c r="D10" s="36">
        <f>SUM(MemberOfAssemblyAssemblyDistrict58General[[#This Row],[Total Votes by Party]])</f>
        <v>717</v>
      </c>
    </row>
    <row r="11" spans="1:5" x14ac:dyDescent="0.2">
      <c r="A11" s="33" t="s">
        <v>453</v>
      </c>
      <c r="B11" s="56">
        <v>1295</v>
      </c>
      <c r="C11" s="40">
        <f>MemberOfAssemblyAssemblyDistrict58General[[#This Row],[Part of Kings County Vote Results]]</f>
        <v>1295</v>
      </c>
      <c r="D11" s="55">
        <f>SUM(MemberOfAssemblyAssemblyDistrict58General[[#This Row],[Total Votes by Party]])</f>
        <v>1295</v>
      </c>
    </row>
    <row r="12" spans="1:5" x14ac:dyDescent="0.2">
      <c r="A12" s="33" t="s">
        <v>454</v>
      </c>
      <c r="B12" s="46">
        <v>1068</v>
      </c>
      <c r="C12" s="35">
        <f>MemberOfAssemblyAssemblyDistrict58General[[#This Row],[Part of Kings County Vote Results]]</f>
        <v>1068</v>
      </c>
      <c r="D12" s="36">
        <f>SUM(MemberOfAssemblyAssemblyDistrict58General[[#This Row],[Total Votes by Party]])</f>
        <v>1068</v>
      </c>
    </row>
    <row r="13" spans="1:5" x14ac:dyDescent="0.2">
      <c r="A13" s="33" t="s">
        <v>455</v>
      </c>
      <c r="B13" s="56">
        <v>1419</v>
      </c>
      <c r="C13" s="40">
        <f>MemberOfAssemblyAssemblyDistrict58General[[#This Row],[Part of Kings County Vote Results]]</f>
        <v>1419</v>
      </c>
      <c r="D13" s="55">
        <f>SUM(MemberOfAssemblyAssemblyDistrict58General[[#This Row],[Total Votes by Party]])</f>
        <v>1419</v>
      </c>
    </row>
    <row r="14" spans="1:5" x14ac:dyDescent="0.2">
      <c r="A14" s="33" t="s">
        <v>456</v>
      </c>
      <c r="B14" s="56">
        <v>1984</v>
      </c>
      <c r="C14" s="40">
        <f>MemberOfAssemblyAssemblyDistrict58General[[#This Row],[Part of Kings County Vote Results]]</f>
        <v>1984</v>
      </c>
      <c r="D14" s="55">
        <f>SUM(MemberOfAssemblyAssemblyDistrict58General[[#This Row],[Total Votes by Party]])</f>
        <v>1984</v>
      </c>
    </row>
    <row r="15" spans="1:5" x14ac:dyDescent="0.2">
      <c r="A15" s="33" t="s">
        <v>457</v>
      </c>
      <c r="B15" s="46">
        <v>1138</v>
      </c>
      <c r="C15" s="35">
        <f>MemberOfAssemblyAssemblyDistrict58General[[#This Row],[Part of Kings County Vote Results]]</f>
        <v>1138</v>
      </c>
      <c r="D15" s="36">
        <f>SUM(MemberOfAssemblyAssemblyDistrict58General[[#This Row],[Total Votes by Party]])</f>
        <v>1138</v>
      </c>
    </row>
    <row r="16" spans="1:5" x14ac:dyDescent="0.2">
      <c r="A16" s="33" t="s">
        <v>458</v>
      </c>
      <c r="B16" s="46">
        <v>973</v>
      </c>
      <c r="C16" s="35">
        <f>MemberOfAssemblyAssemblyDistrict58General[[#This Row],[Part of Kings County Vote Results]]</f>
        <v>973</v>
      </c>
      <c r="D16" s="36">
        <f>SUM(MemberOfAssemblyAssemblyDistrict58General[[#This Row],[Total Votes by Party]])</f>
        <v>973</v>
      </c>
    </row>
    <row r="17" spans="1:4" x14ac:dyDescent="0.2">
      <c r="A17" s="33" t="s">
        <v>459</v>
      </c>
      <c r="B17" s="46">
        <v>1065</v>
      </c>
      <c r="C17" s="35">
        <f>MemberOfAssemblyAssemblyDistrict58General[[#This Row],[Part of Kings County Vote Results]]</f>
        <v>1065</v>
      </c>
      <c r="D17" s="36">
        <f>SUM(MemberOfAssemblyAssemblyDistrict58General[[#This Row],[Total Votes by Party]])</f>
        <v>1065</v>
      </c>
    </row>
    <row r="18" spans="1:4" x14ac:dyDescent="0.2">
      <c r="A18" s="33" t="s">
        <v>460</v>
      </c>
      <c r="B18" s="56">
        <v>1194</v>
      </c>
      <c r="C18" s="40">
        <f>MemberOfAssemblyAssemblyDistrict58General[[#This Row],[Part of Kings County Vote Results]]</f>
        <v>1194</v>
      </c>
      <c r="D18" s="55">
        <f>SUM(MemberOfAssemblyAssemblyDistrict58General[[#This Row],[Total Votes by Party]])</f>
        <v>1194</v>
      </c>
    </row>
    <row r="19" spans="1:4" x14ac:dyDescent="0.2">
      <c r="A19" s="33" t="s">
        <v>461</v>
      </c>
      <c r="B19" s="46">
        <v>593</v>
      </c>
      <c r="C19" s="35">
        <f>MemberOfAssemblyAssemblyDistrict58General[[#This Row],[Part of Kings County Vote Results]]</f>
        <v>593</v>
      </c>
      <c r="D19" s="36">
        <f>SUM(MemberOfAssemblyAssemblyDistrict58General[[#This Row],[Total Votes by Party]])</f>
        <v>593</v>
      </c>
    </row>
    <row r="20" spans="1:4" x14ac:dyDescent="0.2">
      <c r="A20" s="33" t="s">
        <v>462</v>
      </c>
      <c r="B20" s="46">
        <v>660</v>
      </c>
      <c r="C20" s="35">
        <f>MemberOfAssemblyAssemblyDistrict58General[[#This Row],[Part of Kings County Vote Results]]</f>
        <v>660</v>
      </c>
      <c r="D20" s="36">
        <f>SUM(MemberOfAssemblyAssemblyDistrict58General[[#This Row],[Total Votes by Party]])</f>
        <v>660</v>
      </c>
    </row>
    <row r="21" spans="1:4" x14ac:dyDescent="0.2">
      <c r="A21" s="33" t="s">
        <v>463</v>
      </c>
      <c r="B21" s="46">
        <v>740</v>
      </c>
      <c r="C21" s="35">
        <f>MemberOfAssemblyAssemblyDistrict58General[[#This Row],[Part of Kings County Vote Results]]</f>
        <v>740</v>
      </c>
      <c r="D21" s="36">
        <f>SUM(MemberOfAssemblyAssemblyDistrict58General[[#This Row],[Total Votes by Party]])</f>
        <v>740</v>
      </c>
    </row>
    <row r="22" spans="1:4" x14ac:dyDescent="0.2">
      <c r="A22" s="33" t="s">
        <v>464</v>
      </c>
      <c r="B22" s="46">
        <v>655</v>
      </c>
      <c r="C22" s="35">
        <f>MemberOfAssemblyAssemblyDistrict58General[[#This Row],[Part of Kings County Vote Results]]</f>
        <v>655</v>
      </c>
      <c r="D22" s="36">
        <f>SUM(MemberOfAssemblyAssemblyDistrict58General[[#This Row],[Total Votes by Party]])</f>
        <v>655</v>
      </c>
    </row>
    <row r="23" spans="1:4" x14ac:dyDescent="0.2">
      <c r="A23" s="37" t="s">
        <v>0</v>
      </c>
      <c r="B23" s="46">
        <v>6610</v>
      </c>
      <c r="C23" s="35">
        <f>MemberOfAssemblyAssemblyDistrict58General[[#This Row],[Part of Kings County Vote Results]]</f>
        <v>6610</v>
      </c>
      <c r="D23" s="38"/>
    </row>
    <row r="24" spans="1:4" x14ac:dyDescent="0.2">
      <c r="A24" s="37" t="s">
        <v>1</v>
      </c>
      <c r="B24" s="47"/>
      <c r="C24" s="35">
        <f>MemberOfAssemblyAssemblyDistrict58General[[#This Row],[Part of Kings County Vote Results]]</f>
        <v>0</v>
      </c>
      <c r="D24" s="38"/>
    </row>
    <row r="25" spans="1:4" x14ac:dyDescent="0.2">
      <c r="A25" s="37" t="s">
        <v>6</v>
      </c>
      <c r="B25" s="47">
        <v>78</v>
      </c>
      <c r="C25" s="35">
        <f>MemberOfAssemblyAssemblyDistrict58General[[#This Row],[Part of Kings County Vote Results]]</f>
        <v>78</v>
      </c>
      <c r="D25" s="38"/>
    </row>
    <row r="26" spans="1:4" x14ac:dyDescent="0.2">
      <c r="A26" s="11" t="s">
        <v>2</v>
      </c>
      <c r="B26" s="2">
        <f>SUM(MemberOfAssemblyAssemblyDistrict58General[Part of Kings County Vote Results])</f>
        <v>30780</v>
      </c>
      <c r="C26" s="8">
        <f>SUM(MemberOfAssemblyAssemblyDistrict58General[Total Votes by Party])</f>
        <v>30780</v>
      </c>
      <c r="D26" s="10"/>
    </row>
  </sheetData>
  <sortState xmlns:xlrd2="http://schemas.microsoft.com/office/spreadsheetml/2017/richdata2" ref="F3:F22">
    <sortCondition descending="1" ref="F3:F22"/>
  </sortState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9159-C021-4A37-A6AD-F1B99935D6C0}">
  <sheetPr>
    <pageSetUpPr fitToPage="1"/>
  </sheetPr>
  <dimension ref="A1:F26"/>
  <sheetViews>
    <sheetView workbookViewId="0">
      <selection activeCell="A3" sqref="A3:A14"/>
    </sheetView>
  </sheetViews>
  <sheetFormatPr defaultRowHeight="12.75" x14ac:dyDescent="0.2"/>
  <cols>
    <col min="1" max="1" width="30.28515625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6" ht="51" customHeight="1" x14ac:dyDescent="0.2">
      <c r="A1" s="59" t="s">
        <v>497</v>
      </c>
      <c r="B1" s="59"/>
      <c r="C1" s="59"/>
      <c r="D1" s="59"/>
      <c r="E1" s="59"/>
      <c r="F1" s="59"/>
    </row>
    <row r="2" spans="1:6" ht="25.5" x14ac:dyDescent="0.2">
      <c r="A2" s="29" t="s">
        <v>5</v>
      </c>
      <c r="B2" s="30" t="s">
        <v>18</v>
      </c>
      <c r="C2" s="31" t="s">
        <v>3</v>
      </c>
      <c r="D2" s="32" t="s">
        <v>4</v>
      </c>
    </row>
    <row r="3" spans="1:6" x14ac:dyDescent="0.2">
      <c r="A3" s="33" t="s">
        <v>498</v>
      </c>
      <c r="B3" s="46"/>
      <c r="C3" s="35">
        <f>MemberOfAssemblyAssemblyDistrict58General72[[#This Row],[Part of Kings County Vote Results]]</f>
        <v>0</v>
      </c>
      <c r="D3" s="36">
        <f>SUM(MemberOfAssemblyAssemblyDistrict58General72[[#This Row],[Total Votes by Party]])</f>
        <v>0</v>
      </c>
    </row>
    <row r="4" spans="1:6" x14ac:dyDescent="0.2">
      <c r="A4" s="33" t="s">
        <v>499</v>
      </c>
      <c r="B4" s="46"/>
      <c r="C4" s="35">
        <f>MemberOfAssemblyAssemblyDistrict58General72[[#This Row],[Part of Kings County Vote Results]]</f>
        <v>0</v>
      </c>
      <c r="D4" s="36">
        <f>SUM(MemberOfAssemblyAssemblyDistrict58General72[[#This Row],[Total Votes by Party]])</f>
        <v>0</v>
      </c>
    </row>
    <row r="5" spans="1:6" x14ac:dyDescent="0.2">
      <c r="A5" s="33" t="s">
        <v>464</v>
      </c>
      <c r="B5" s="46"/>
      <c r="C5" s="35">
        <f>MemberOfAssemblyAssemblyDistrict58General72[[#This Row],[Part of Kings County Vote Results]]</f>
        <v>0</v>
      </c>
      <c r="D5" s="36">
        <f>SUM(MemberOfAssemblyAssemblyDistrict58General72[[#This Row],[Total Votes by Party]])</f>
        <v>0</v>
      </c>
    </row>
    <row r="6" spans="1:6" x14ac:dyDescent="0.2">
      <c r="A6" s="33" t="s">
        <v>500</v>
      </c>
      <c r="B6" s="46"/>
      <c r="C6" s="35">
        <f>MemberOfAssemblyAssemblyDistrict58General72[[#This Row],[Part of Kings County Vote Results]]</f>
        <v>0</v>
      </c>
      <c r="D6" s="36">
        <f>SUM(MemberOfAssemblyAssemblyDistrict58General72[[#This Row],[Total Votes by Party]])</f>
        <v>0</v>
      </c>
    </row>
    <row r="7" spans="1:6" x14ac:dyDescent="0.2">
      <c r="A7" s="33" t="s">
        <v>501</v>
      </c>
      <c r="B7" s="46"/>
      <c r="C7" s="35">
        <f>MemberOfAssemblyAssemblyDistrict58General72[[#This Row],[Part of Kings County Vote Results]]</f>
        <v>0</v>
      </c>
      <c r="D7" s="36">
        <f>SUM(MemberOfAssemblyAssemblyDistrict58General72[[#This Row],[Total Votes by Party]])</f>
        <v>0</v>
      </c>
    </row>
    <row r="8" spans="1:6" x14ac:dyDescent="0.2">
      <c r="A8" s="33" t="s">
        <v>502</v>
      </c>
      <c r="B8" s="46"/>
      <c r="C8" s="35">
        <f>MemberOfAssemblyAssemblyDistrict58General72[[#This Row],[Part of Kings County Vote Results]]</f>
        <v>0</v>
      </c>
      <c r="D8" s="36">
        <f>SUM(MemberOfAssemblyAssemblyDistrict58General72[[#This Row],[Total Votes by Party]])</f>
        <v>0</v>
      </c>
    </row>
    <row r="9" spans="1:6" x14ac:dyDescent="0.2">
      <c r="A9" s="33" t="s">
        <v>503</v>
      </c>
      <c r="B9" s="46"/>
      <c r="C9" s="35">
        <f>MemberOfAssemblyAssemblyDistrict58General72[[#This Row],[Part of Kings County Vote Results]]</f>
        <v>0</v>
      </c>
      <c r="D9" s="36">
        <f>SUM(MemberOfAssemblyAssemblyDistrict58General72[[#This Row],[Total Votes by Party]])</f>
        <v>0</v>
      </c>
    </row>
    <row r="10" spans="1:6" x14ac:dyDescent="0.2">
      <c r="A10" s="33" t="s">
        <v>637</v>
      </c>
      <c r="B10" s="46"/>
      <c r="C10" s="35">
        <f>MemberOfAssemblyAssemblyDistrict58General72[[#This Row],[Part of Kings County Vote Results]]</f>
        <v>0</v>
      </c>
      <c r="D10" s="36">
        <f>SUM(MemberOfAssemblyAssemblyDistrict58General72[[#This Row],[Total Votes by Party]])</f>
        <v>0</v>
      </c>
    </row>
    <row r="11" spans="1:6" x14ac:dyDescent="0.2">
      <c r="A11" s="33" t="s">
        <v>504</v>
      </c>
      <c r="B11" s="46"/>
      <c r="C11" s="35">
        <f>MemberOfAssemblyAssemblyDistrict58General72[[#This Row],[Part of Kings County Vote Results]]</f>
        <v>0</v>
      </c>
      <c r="D11" s="36">
        <f>SUM(MemberOfAssemblyAssemblyDistrict58General72[[#This Row],[Total Votes by Party]])</f>
        <v>0</v>
      </c>
    </row>
    <row r="12" spans="1:6" x14ac:dyDescent="0.2">
      <c r="A12" s="33" t="s">
        <v>505</v>
      </c>
      <c r="B12" s="46"/>
      <c r="C12" s="35">
        <f>MemberOfAssemblyAssemblyDistrict58General72[[#This Row],[Part of Kings County Vote Results]]</f>
        <v>0</v>
      </c>
      <c r="D12" s="36">
        <f>SUM(MemberOfAssemblyAssemblyDistrict58General72[[#This Row],[Total Votes by Party]])</f>
        <v>0</v>
      </c>
    </row>
    <row r="13" spans="1:6" x14ac:dyDescent="0.2">
      <c r="A13" s="33" t="s">
        <v>506</v>
      </c>
      <c r="B13" s="46"/>
      <c r="C13" s="35">
        <f>MemberOfAssemblyAssemblyDistrict58General72[[#This Row],[Part of Kings County Vote Results]]</f>
        <v>0</v>
      </c>
      <c r="D13" s="36">
        <f>SUM(MemberOfAssemblyAssemblyDistrict58General72[[#This Row],[Total Votes by Party]])</f>
        <v>0</v>
      </c>
    </row>
    <row r="14" spans="1:6" x14ac:dyDescent="0.2">
      <c r="A14" s="33" t="s">
        <v>507</v>
      </c>
      <c r="B14" s="46"/>
      <c r="C14" s="35">
        <f>MemberOfAssemblyAssemblyDistrict58General72[[#This Row],[Part of Kings County Vote Results]]</f>
        <v>0</v>
      </c>
      <c r="D14" s="36">
        <f>SUM(MemberOfAssemblyAssemblyDistrict58General72[[#This Row],[Total Votes by Party]])</f>
        <v>0</v>
      </c>
    </row>
    <row r="15" spans="1:6" x14ac:dyDescent="0.2">
      <c r="A15" s="33" t="s">
        <v>508</v>
      </c>
      <c r="B15" s="46"/>
      <c r="C15" s="35">
        <f>MemberOfAssemblyAssemblyDistrict58General72[[#This Row],[Part of Kings County Vote Results]]</f>
        <v>0</v>
      </c>
      <c r="D15" s="36">
        <f>SUM(MemberOfAssemblyAssemblyDistrict58General72[[#This Row],[Total Votes by Party]])</f>
        <v>0</v>
      </c>
    </row>
    <row r="16" spans="1:6" x14ac:dyDescent="0.2">
      <c r="A16" s="33" t="s">
        <v>509</v>
      </c>
      <c r="B16" s="46"/>
      <c r="C16" s="35">
        <f>MemberOfAssemblyAssemblyDistrict58General72[[#This Row],[Part of Kings County Vote Results]]</f>
        <v>0</v>
      </c>
      <c r="D16" s="36">
        <f>SUM(MemberOfAssemblyAssemblyDistrict58General72[[#This Row],[Total Votes by Party]])</f>
        <v>0</v>
      </c>
    </row>
    <row r="17" spans="1:4" x14ac:dyDescent="0.2">
      <c r="A17" s="33" t="s">
        <v>510</v>
      </c>
      <c r="B17" s="46"/>
      <c r="C17" s="35">
        <f>MemberOfAssemblyAssemblyDistrict58General72[[#This Row],[Part of Kings County Vote Results]]</f>
        <v>0</v>
      </c>
      <c r="D17" s="36">
        <f>SUM(MemberOfAssemblyAssemblyDistrict58General72[[#This Row],[Total Votes by Party]])</f>
        <v>0</v>
      </c>
    </row>
    <row r="18" spans="1:4" x14ac:dyDescent="0.2">
      <c r="A18" s="33" t="s">
        <v>512</v>
      </c>
      <c r="B18" s="46"/>
      <c r="C18" s="35">
        <f>MemberOfAssemblyAssemblyDistrict58General72[[#This Row],[Part of Kings County Vote Results]]</f>
        <v>0</v>
      </c>
      <c r="D18" s="36">
        <f>SUM(MemberOfAssemblyAssemblyDistrict58General72[[#This Row],[Total Votes by Party]])</f>
        <v>0</v>
      </c>
    </row>
    <row r="19" spans="1:4" x14ac:dyDescent="0.2">
      <c r="A19" s="33" t="s">
        <v>511</v>
      </c>
      <c r="B19" s="46"/>
      <c r="C19" s="35">
        <f>MemberOfAssemblyAssemblyDistrict58General72[[#This Row],[Part of Kings County Vote Results]]</f>
        <v>0</v>
      </c>
      <c r="D19" s="36">
        <f>SUM(MemberOfAssemblyAssemblyDistrict58General72[[#This Row],[Total Votes by Party]])</f>
        <v>0</v>
      </c>
    </row>
    <row r="20" spans="1:4" x14ac:dyDescent="0.2">
      <c r="A20" s="33" t="s">
        <v>447</v>
      </c>
      <c r="B20" s="46"/>
      <c r="C20" s="35">
        <f>MemberOfAssemblyAssemblyDistrict58General72[[#This Row],[Part of Kings County Vote Results]]</f>
        <v>0</v>
      </c>
      <c r="D20" s="36">
        <f>SUM(MemberOfAssemblyAssemblyDistrict58General72[[#This Row],[Total Votes by Party]])</f>
        <v>0</v>
      </c>
    </row>
    <row r="21" spans="1:4" x14ac:dyDescent="0.2">
      <c r="A21" s="33" t="s">
        <v>513</v>
      </c>
      <c r="B21" s="46"/>
      <c r="C21" s="35">
        <f>MemberOfAssemblyAssemblyDistrict58General72[[#This Row],[Part of Kings County Vote Results]]</f>
        <v>0</v>
      </c>
      <c r="D21" s="36">
        <f>SUM(MemberOfAssemblyAssemblyDistrict58General72[[#This Row],[Total Votes by Party]])</f>
        <v>0</v>
      </c>
    </row>
    <row r="22" spans="1:4" x14ac:dyDescent="0.2">
      <c r="A22" s="33" t="s">
        <v>514</v>
      </c>
      <c r="B22" s="46"/>
      <c r="C22" s="35">
        <f>MemberOfAssemblyAssemblyDistrict58General72[[#This Row],[Part of Kings County Vote Results]]</f>
        <v>0</v>
      </c>
      <c r="D22" s="36">
        <f>SUM(MemberOfAssemblyAssemblyDistrict58General72[[#This Row],[Total Votes by Party]])</f>
        <v>0</v>
      </c>
    </row>
    <row r="23" spans="1:4" x14ac:dyDescent="0.2">
      <c r="A23" s="37" t="s">
        <v>0</v>
      </c>
      <c r="B23" s="47"/>
      <c r="C23" s="35">
        <f>MemberOfAssemblyAssemblyDistrict58General72[[#This Row],[Part of Kings County Vote Results]]</f>
        <v>0</v>
      </c>
      <c r="D23" s="38"/>
    </row>
    <row r="24" spans="1:4" x14ac:dyDescent="0.2">
      <c r="A24" s="37" t="s">
        <v>1</v>
      </c>
      <c r="B24" s="47"/>
      <c r="C24" s="35">
        <f>MemberOfAssemblyAssemblyDistrict58General72[[#This Row],[Part of Kings County Vote Results]]</f>
        <v>0</v>
      </c>
      <c r="D24" s="38"/>
    </row>
    <row r="25" spans="1:4" x14ac:dyDescent="0.2">
      <c r="A25" s="37" t="s">
        <v>6</v>
      </c>
      <c r="B25" s="47"/>
      <c r="C25" s="35">
        <f>MemberOfAssemblyAssemblyDistrict58General72[[#This Row],[Part of Kings County Vote Results]]</f>
        <v>0</v>
      </c>
      <c r="D25" s="38"/>
    </row>
    <row r="26" spans="1:4" x14ac:dyDescent="0.2">
      <c r="A26" s="11" t="s">
        <v>2</v>
      </c>
      <c r="B26" s="2">
        <f>SUM(MemberOfAssemblyAssemblyDistrict58General72[Part of Kings County Vote Results])</f>
        <v>0</v>
      </c>
      <c r="C26" s="8">
        <f>SUM(MemberOfAssemblyAssemblyDistrict58General72[Total Votes by Party])</f>
        <v>0</v>
      </c>
      <c r="D26" s="10"/>
    </row>
  </sheetData>
  <mergeCells count="1">
    <mergeCell ref="A1:F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905C4-CE00-4D8D-A0CE-72CDEDA2ECF9}">
  <sheetPr>
    <pageSetUpPr fitToPage="1"/>
  </sheetPr>
  <dimension ref="A1:E22"/>
  <sheetViews>
    <sheetView workbookViewId="0">
      <selection activeCell="A3" sqref="A3:A14"/>
    </sheetView>
  </sheetViews>
  <sheetFormatPr defaultRowHeight="12.75" x14ac:dyDescent="0.2"/>
  <cols>
    <col min="1" max="1" width="27.42578125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5" ht="51" customHeight="1" x14ac:dyDescent="0.2">
      <c r="A1" s="59" t="s">
        <v>539</v>
      </c>
      <c r="B1" s="59"/>
      <c r="C1" s="59"/>
      <c r="D1" s="59"/>
      <c r="E1" s="59"/>
    </row>
    <row r="2" spans="1:5" ht="25.5" x14ac:dyDescent="0.2">
      <c r="A2" s="29" t="s">
        <v>5</v>
      </c>
      <c r="B2" s="30" t="s">
        <v>17</v>
      </c>
      <c r="C2" s="31" t="s">
        <v>3</v>
      </c>
      <c r="D2" s="32" t="s">
        <v>4</v>
      </c>
    </row>
    <row r="3" spans="1:5" x14ac:dyDescent="0.2">
      <c r="A3" s="33" t="s">
        <v>540</v>
      </c>
      <c r="B3" s="56">
        <v>1608</v>
      </c>
      <c r="C3" s="40">
        <f>MemberOfAssemblyAssemblyDistrict28General77[[#This Row],[Part of Queens County Vote Results]]</f>
        <v>1608</v>
      </c>
      <c r="D3" s="55">
        <f>SUM(MemberOfAssemblyAssemblyDistrict28General77[[#This Row],[Total Votes by Party]])</f>
        <v>1608</v>
      </c>
    </row>
    <row r="4" spans="1:5" x14ac:dyDescent="0.2">
      <c r="A4" s="33" t="s">
        <v>541</v>
      </c>
      <c r="B4" s="56">
        <v>1586</v>
      </c>
      <c r="C4" s="40">
        <f>MemberOfAssemblyAssemblyDistrict28General77[[#This Row],[Part of Queens County Vote Results]]</f>
        <v>1586</v>
      </c>
      <c r="D4" s="55">
        <f>SUM(MemberOfAssemblyAssemblyDistrict28General77[[#This Row],[Total Votes by Party]])</f>
        <v>1586</v>
      </c>
    </row>
    <row r="5" spans="1:5" x14ac:dyDescent="0.2">
      <c r="A5" s="33" t="s">
        <v>542</v>
      </c>
      <c r="B5" s="46">
        <v>1392</v>
      </c>
      <c r="C5" s="35">
        <f>MemberOfAssemblyAssemblyDistrict28General77[[#This Row],[Part of Queens County Vote Results]]</f>
        <v>1392</v>
      </c>
      <c r="D5" s="36">
        <f>SUM(MemberOfAssemblyAssemblyDistrict28General77[[#This Row],[Total Votes by Party]])</f>
        <v>1392</v>
      </c>
    </row>
    <row r="6" spans="1:5" x14ac:dyDescent="0.2">
      <c r="A6" s="33" t="s">
        <v>543</v>
      </c>
      <c r="B6" s="46">
        <v>1428</v>
      </c>
      <c r="C6" s="35">
        <f>MemberOfAssemblyAssemblyDistrict28General77[[#This Row],[Part of Queens County Vote Results]]</f>
        <v>1428</v>
      </c>
      <c r="D6" s="36">
        <f>SUM(MemberOfAssemblyAssemblyDistrict28General77[[#This Row],[Total Votes by Party]])</f>
        <v>1428</v>
      </c>
    </row>
    <row r="7" spans="1:5" x14ac:dyDescent="0.2">
      <c r="A7" s="33" t="s">
        <v>544</v>
      </c>
      <c r="B7" s="46">
        <v>1469</v>
      </c>
      <c r="C7" s="35">
        <f>MemberOfAssemblyAssemblyDistrict28General77[[#This Row],[Part of Queens County Vote Results]]</f>
        <v>1469</v>
      </c>
      <c r="D7" s="36">
        <f>SUM(MemberOfAssemblyAssemblyDistrict28General77[[#This Row],[Total Votes by Party]])</f>
        <v>1469</v>
      </c>
    </row>
    <row r="8" spans="1:5" x14ac:dyDescent="0.2">
      <c r="A8" s="33" t="s">
        <v>545</v>
      </c>
      <c r="B8" s="46">
        <v>1314</v>
      </c>
      <c r="C8" s="35">
        <f>MemberOfAssemblyAssemblyDistrict28General77[[#This Row],[Part of Queens County Vote Results]]</f>
        <v>1314</v>
      </c>
      <c r="D8" s="36">
        <f>SUM(MemberOfAssemblyAssemblyDistrict28General77[[#This Row],[Total Votes by Party]])</f>
        <v>1314</v>
      </c>
    </row>
    <row r="9" spans="1:5" x14ac:dyDescent="0.2">
      <c r="A9" s="33" t="s">
        <v>546</v>
      </c>
      <c r="B9" s="46">
        <v>1305</v>
      </c>
      <c r="C9" s="35">
        <f>MemberOfAssemblyAssemblyDistrict28General77[[#This Row],[Part of Queens County Vote Results]]</f>
        <v>1305</v>
      </c>
      <c r="D9" s="36">
        <f>SUM(MemberOfAssemblyAssemblyDistrict28General77[[#This Row],[Total Votes by Party]])</f>
        <v>1305</v>
      </c>
    </row>
    <row r="10" spans="1:5" x14ac:dyDescent="0.2">
      <c r="A10" s="33" t="s">
        <v>547</v>
      </c>
      <c r="B10" s="46">
        <v>1134</v>
      </c>
      <c r="C10" s="35">
        <f>MemberOfAssemblyAssemblyDistrict28General77[[#This Row],[Part of Queens County Vote Results]]</f>
        <v>1134</v>
      </c>
      <c r="D10" s="36">
        <f>SUM(MemberOfAssemblyAssemblyDistrict28General77[[#This Row],[Total Votes by Party]])</f>
        <v>1134</v>
      </c>
    </row>
    <row r="11" spans="1:5" x14ac:dyDescent="0.2">
      <c r="A11" s="33" t="s">
        <v>548</v>
      </c>
      <c r="B11" s="56">
        <v>2115</v>
      </c>
      <c r="C11" s="40">
        <f>MemberOfAssemblyAssemblyDistrict28General77[[#This Row],[Part of Queens County Vote Results]]</f>
        <v>2115</v>
      </c>
      <c r="D11" s="55">
        <f>SUM(MemberOfAssemblyAssemblyDistrict28General77[[#This Row],[Total Votes by Party]])</f>
        <v>2115</v>
      </c>
    </row>
    <row r="12" spans="1:5" x14ac:dyDescent="0.2">
      <c r="A12" s="33" t="s">
        <v>549</v>
      </c>
      <c r="B12" s="56">
        <v>1567</v>
      </c>
      <c r="C12" s="40">
        <f>MemberOfAssemblyAssemblyDistrict28General77[[#This Row],[Part of Queens County Vote Results]]</f>
        <v>1567</v>
      </c>
      <c r="D12" s="55">
        <f>SUM(MemberOfAssemblyAssemblyDistrict28General77[[#This Row],[Total Votes by Party]])</f>
        <v>1567</v>
      </c>
    </row>
    <row r="13" spans="1:5" x14ac:dyDescent="0.2">
      <c r="A13" s="33" t="s">
        <v>550</v>
      </c>
      <c r="B13" s="46">
        <v>1269</v>
      </c>
      <c r="C13" s="35">
        <f>MemberOfAssemblyAssemblyDistrict28General77[[#This Row],[Part of Queens County Vote Results]]</f>
        <v>1269</v>
      </c>
      <c r="D13" s="36">
        <f>SUM(MemberOfAssemblyAssemblyDistrict28General77[[#This Row],[Total Votes by Party]])</f>
        <v>1269</v>
      </c>
    </row>
    <row r="14" spans="1:5" x14ac:dyDescent="0.2">
      <c r="A14" s="33" t="s">
        <v>551</v>
      </c>
      <c r="B14" s="46">
        <v>1393</v>
      </c>
      <c r="C14" s="35">
        <f>MemberOfAssemblyAssemblyDistrict28General77[[#This Row],[Part of Queens County Vote Results]]</f>
        <v>1393</v>
      </c>
      <c r="D14" s="36">
        <f>SUM(MemberOfAssemblyAssemblyDistrict28General77[[#This Row],[Total Votes by Party]])</f>
        <v>1393</v>
      </c>
    </row>
    <row r="15" spans="1:5" x14ac:dyDescent="0.2">
      <c r="A15" s="33" t="s">
        <v>552</v>
      </c>
      <c r="B15" s="56">
        <v>1742</v>
      </c>
      <c r="C15" s="40">
        <f>MemberOfAssemblyAssemblyDistrict28General77[[#This Row],[Part of Queens County Vote Results]]</f>
        <v>1742</v>
      </c>
      <c r="D15" s="55">
        <f>SUM(MemberOfAssemblyAssemblyDistrict28General77[[#This Row],[Total Votes by Party]])</f>
        <v>1742</v>
      </c>
    </row>
    <row r="16" spans="1:5" x14ac:dyDescent="0.2">
      <c r="A16" s="33" t="s">
        <v>553</v>
      </c>
      <c r="B16" s="56">
        <v>1701</v>
      </c>
      <c r="C16" s="40">
        <f>MemberOfAssemblyAssemblyDistrict28General77[[#This Row],[Part of Queens County Vote Results]]</f>
        <v>1701</v>
      </c>
      <c r="D16" s="55">
        <f>SUM(MemberOfAssemblyAssemblyDistrict28General77[[#This Row],[Total Votes by Party]])</f>
        <v>1701</v>
      </c>
    </row>
    <row r="17" spans="1:4" x14ac:dyDescent="0.2">
      <c r="A17" s="33" t="s">
        <v>554</v>
      </c>
      <c r="B17" s="56">
        <v>1531</v>
      </c>
      <c r="C17" s="40">
        <f>MemberOfAssemblyAssemblyDistrict28General77[[#This Row],[Part of Queens County Vote Results]]</f>
        <v>1531</v>
      </c>
      <c r="D17" s="55">
        <f>SUM(MemberOfAssemblyAssemblyDistrict28General77[[#This Row],[Total Votes by Party]])</f>
        <v>1531</v>
      </c>
    </row>
    <row r="18" spans="1:4" x14ac:dyDescent="0.2">
      <c r="A18" s="33" t="s">
        <v>555</v>
      </c>
      <c r="B18" s="56">
        <v>1502</v>
      </c>
      <c r="C18" s="40">
        <f>MemberOfAssemblyAssemblyDistrict28General77[[#This Row],[Part of Queens County Vote Results]]</f>
        <v>1502</v>
      </c>
      <c r="D18" s="55">
        <f>SUM(MemberOfAssemblyAssemblyDistrict28General77[[#This Row],[Total Votes by Party]])</f>
        <v>1502</v>
      </c>
    </row>
    <row r="19" spans="1:4" x14ac:dyDescent="0.2">
      <c r="A19" s="37" t="s">
        <v>0</v>
      </c>
      <c r="B19" s="34">
        <v>8123</v>
      </c>
      <c r="C19" s="35">
        <f>MemberOfAssemblyAssemblyDistrict28General77[[#This Row],[Part of Queens County Vote Results]]</f>
        <v>8123</v>
      </c>
      <c r="D19" s="38"/>
    </row>
    <row r="20" spans="1:4" x14ac:dyDescent="0.2">
      <c r="A20" s="37" t="s">
        <v>1</v>
      </c>
      <c r="B20" s="34"/>
      <c r="C20" s="35">
        <f>MemberOfAssemblyAssemblyDistrict28General77[[#This Row],[Part of Queens County Vote Results]]</f>
        <v>0</v>
      </c>
      <c r="D20" s="38"/>
    </row>
    <row r="21" spans="1:4" x14ac:dyDescent="0.2">
      <c r="A21" s="37" t="s">
        <v>6</v>
      </c>
      <c r="B21" s="34">
        <v>101</v>
      </c>
      <c r="C21" s="35">
        <f>MemberOfAssemblyAssemblyDistrict28General77[[#This Row],[Part of Queens County Vote Results]]</f>
        <v>101</v>
      </c>
      <c r="D21" s="38"/>
    </row>
    <row r="22" spans="1:4" x14ac:dyDescent="0.2">
      <c r="A22" s="11" t="s">
        <v>2</v>
      </c>
      <c r="B22" s="2">
        <f>SUM(MemberOfAssemblyAssemblyDistrict28General77[Part of Queens County Vote Results])</f>
        <v>32280</v>
      </c>
      <c r="C22" s="8">
        <f>SUM(MemberOfAssemblyAssemblyDistrict28General77[Total Votes by Party])</f>
        <v>32280</v>
      </c>
      <c r="D22" s="10"/>
    </row>
  </sheetData>
  <sortState xmlns:xlrd2="http://schemas.microsoft.com/office/spreadsheetml/2017/richdata2" ref="F3:F18">
    <sortCondition descending="1" ref="F3:F18"/>
  </sortState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3DB15-84A4-4708-AB45-60E1A35D5E44}">
  <sheetPr>
    <pageSetUpPr fitToPage="1"/>
  </sheetPr>
  <dimension ref="A1:F18"/>
  <sheetViews>
    <sheetView workbookViewId="0">
      <selection activeCell="A3" sqref="A3:A14"/>
    </sheetView>
  </sheetViews>
  <sheetFormatPr defaultRowHeight="12.75" x14ac:dyDescent="0.2"/>
  <cols>
    <col min="1" max="1" width="27.42578125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6" ht="51" customHeight="1" x14ac:dyDescent="0.2">
      <c r="A1" s="59" t="s">
        <v>556</v>
      </c>
      <c r="B1" s="59"/>
      <c r="C1" s="59"/>
      <c r="D1" s="59"/>
      <c r="E1" s="59"/>
      <c r="F1" s="59"/>
    </row>
    <row r="2" spans="1:6" ht="25.5" x14ac:dyDescent="0.2">
      <c r="A2" s="29" t="s">
        <v>5</v>
      </c>
      <c r="B2" s="30" t="s">
        <v>17</v>
      </c>
      <c r="C2" s="31" t="s">
        <v>3</v>
      </c>
      <c r="D2" s="32" t="s">
        <v>4</v>
      </c>
    </row>
    <row r="3" spans="1:6" x14ac:dyDescent="0.2">
      <c r="A3" s="33" t="s">
        <v>557</v>
      </c>
      <c r="B3" s="46"/>
      <c r="C3" s="35">
        <f>MemberOfAssemblyAssemblyDistrict28General7778[[#This Row],[Part of Queens County Vote Results]]</f>
        <v>0</v>
      </c>
      <c r="D3" s="36">
        <f>SUM(MemberOfAssemblyAssemblyDistrict28General7778[[#This Row],[Total Votes by Party]])</f>
        <v>0</v>
      </c>
    </row>
    <row r="4" spans="1:6" x14ac:dyDescent="0.2">
      <c r="A4" s="33" t="s">
        <v>558</v>
      </c>
      <c r="B4" s="46"/>
      <c r="C4" s="35">
        <f>MemberOfAssemblyAssemblyDistrict28General7778[[#This Row],[Part of Queens County Vote Results]]</f>
        <v>0</v>
      </c>
      <c r="D4" s="36">
        <f>SUM(MemberOfAssemblyAssemblyDistrict28General7778[[#This Row],[Total Votes by Party]])</f>
        <v>0</v>
      </c>
    </row>
    <row r="5" spans="1:6" x14ac:dyDescent="0.2">
      <c r="A5" s="33" t="s">
        <v>559</v>
      </c>
      <c r="B5" s="46"/>
      <c r="C5" s="35">
        <f>MemberOfAssemblyAssemblyDistrict28General7778[[#This Row],[Part of Queens County Vote Results]]</f>
        <v>0</v>
      </c>
      <c r="D5" s="36">
        <f>SUM(MemberOfAssemblyAssemblyDistrict28General7778[[#This Row],[Total Votes by Party]])</f>
        <v>0</v>
      </c>
    </row>
    <row r="6" spans="1:6" x14ac:dyDescent="0.2">
      <c r="A6" s="33" t="s">
        <v>560</v>
      </c>
      <c r="B6" s="46"/>
      <c r="C6" s="35">
        <f>MemberOfAssemblyAssemblyDistrict28General7778[[#This Row],[Part of Queens County Vote Results]]</f>
        <v>0</v>
      </c>
      <c r="D6" s="36">
        <f>SUM(MemberOfAssemblyAssemblyDistrict28General7778[[#This Row],[Total Votes by Party]])</f>
        <v>0</v>
      </c>
    </row>
    <row r="7" spans="1:6" x14ac:dyDescent="0.2">
      <c r="A7" s="33" t="s">
        <v>561</v>
      </c>
      <c r="B7" s="46"/>
      <c r="C7" s="35">
        <f>MemberOfAssemblyAssemblyDistrict28General7778[[#This Row],[Part of Queens County Vote Results]]</f>
        <v>0</v>
      </c>
      <c r="D7" s="36">
        <f>SUM(MemberOfAssemblyAssemblyDistrict28General7778[[#This Row],[Total Votes by Party]])</f>
        <v>0</v>
      </c>
    </row>
    <row r="8" spans="1:6" x14ac:dyDescent="0.2">
      <c r="A8" s="33" t="s">
        <v>562</v>
      </c>
      <c r="B8" s="46"/>
      <c r="C8" s="35">
        <f>MemberOfAssemblyAssemblyDistrict28General7778[[#This Row],[Part of Queens County Vote Results]]</f>
        <v>0</v>
      </c>
      <c r="D8" s="36">
        <f>SUM(MemberOfAssemblyAssemblyDistrict28General7778[[#This Row],[Total Votes by Party]])</f>
        <v>0</v>
      </c>
    </row>
    <row r="9" spans="1:6" x14ac:dyDescent="0.2">
      <c r="A9" s="33" t="s">
        <v>563</v>
      </c>
      <c r="B9" s="46"/>
      <c r="C9" s="35">
        <f>MemberOfAssemblyAssemblyDistrict28General7778[[#This Row],[Part of Queens County Vote Results]]</f>
        <v>0</v>
      </c>
      <c r="D9" s="36">
        <f>SUM(MemberOfAssemblyAssemblyDistrict28General7778[[#This Row],[Total Votes by Party]])</f>
        <v>0</v>
      </c>
    </row>
    <row r="10" spans="1:6" x14ac:dyDescent="0.2">
      <c r="A10" s="33" t="s">
        <v>564</v>
      </c>
      <c r="B10" s="46"/>
      <c r="C10" s="35">
        <f>MemberOfAssemblyAssemblyDistrict28General7778[[#This Row],[Part of Queens County Vote Results]]</f>
        <v>0</v>
      </c>
      <c r="D10" s="36">
        <f>SUM(MemberOfAssemblyAssemblyDistrict28General7778[[#This Row],[Total Votes by Party]])</f>
        <v>0</v>
      </c>
    </row>
    <row r="11" spans="1:6" x14ac:dyDescent="0.2">
      <c r="A11" s="33" t="s">
        <v>565</v>
      </c>
      <c r="B11" s="46"/>
      <c r="C11" s="35">
        <f>MemberOfAssemblyAssemblyDistrict28General7778[[#This Row],[Part of Queens County Vote Results]]</f>
        <v>0</v>
      </c>
      <c r="D11" s="36">
        <f>SUM(MemberOfAssemblyAssemblyDistrict28General7778[[#This Row],[Total Votes by Party]])</f>
        <v>0</v>
      </c>
    </row>
    <row r="12" spans="1:6" x14ac:dyDescent="0.2">
      <c r="A12" s="33" t="s">
        <v>566</v>
      </c>
      <c r="B12" s="46"/>
      <c r="C12" s="35">
        <f>MemberOfAssemblyAssemblyDistrict28General7778[[#This Row],[Part of Queens County Vote Results]]</f>
        <v>0</v>
      </c>
      <c r="D12" s="36">
        <f>SUM(MemberOfAssemblyAssemblyDistrict28General7778[[#This Row],[Total Votes by Party]])</f>
        <v>0</v>
      </c>
    </row>
    <row r="13" spans="1:6" x14ac:dyDescent="0.2">
      <c r="A13" s="33" t="s">
        <v>567</v>
      </c>
      <c r="B13" s="46"/>
      <c r="C13" s="35">
        <f>MemberOfAssemblyAssemblyDistrict28General7778[[#This Row],[Part of Queens County Vote Results]]</f>
        <v>0</v>
      </c>
      <c r="D13" s="36">
        <f>SUM(MemberOfAssemblyAssemblyDistrict28General7778[[#This Row],[Total Votes by Party]])</f>
        <v>0</v>
      </c>
    </row>
    <row r="14" spans="1:6" x14ac:dyDescent="0.2">
      <c r="A14" s="33" t="s">
        <v>568</v>
      </c>
      <c r="B14" s="46"/>
      <c r="C14" s="35">
        <f>MemberOfAssemblyAssemblyDistrict28General7778[[#This Row],[Part of Queens County Vote Results]]</f>
        <v>0</v>
      </c>
      <c r="D14" s="36">
        <f>SUM(MemberOfAssemblyAssemblyDistrict28General7778[[#This Row],[Total Votes by Party]])</f>
        <v>0</v>
      </c>
    </row>
    <row r="15" spans="1:6" x14ac:dyDescent="0.2">
      <c r="A15" s="37" t="s">
        <v>0</v>
      </c>
      <c r="B15" s="34"/>
      <c r="C15" s="35">
        <f>MemberOfAssemblyAssemblyDistrict28General7778[[#This Row],[Part of Queens County Vote Results]]</f>
        <v>0</v>
      </c>
      <c r="D15" s="38"/>
    </row>
    <row r="16" spans="1:6" x14ac:dyDescent="0.2">
      <c r="A16" s="37" t="s">
        <v>1</v>
      </c>
      <c r="B16" s="34"/>
      <c r="C16" s="35">
        <f>MemberOfAssemblyAssemblyDistrict28General7778[[#This Row],[Part of Queens County Vote Results]]</f>
        <v>0</v>
      </c>
      <c r="D16" s="38"/>
    </row>
    <row r="17" spans="1:4" x14ac:dyDescent="0.2">
      <c r="A17" s="37" t="s">
        <v>6</v>
      </c>
      <c r="B17" s="34"/>
      <c r="C17" s="35">
        <f>MemberOfAssemblyAssemblyDistrict28General7778[[#This Row],[Part of Queens County Vote Results]]</f>
        <v>0</v>
      </c>
      <c r="D17" s="38"/>
    </row>
    <row r="18" spans="1:4" x14ac:dyDescent="0.2">
      <c r="A18" s="11" t="s">
        <v>2</v>
      </c>
      <c r="B18" s="2">
        <f>SUM(MemberOfAssemblyAssemblyDistrict28General7778[Part of Queens County Vote Results])</f>
        <v>0</v>
      </c>
      <c r="C18" s="8">
        <f>SUM(MemberOfAssemblyAssemblyDistrict28General7778[Total Votes by Party])</f>
        <v>0</v>
      </c>
      <c r="D18" s="10"/>
    </row>
  </sheetData>
  <mergeCells count="1">
    <mergeCell ref="A1:F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8316C-3801-49FA-AF71-45EFC2B2C41E}">
  <sheetPr>
    <pageSetUpPr fitToPage="1"/>
  </sheetPr>
  <dimension ref="A1:F24"/>
  <sheetViews>
    <sheetView workbookViewId="0">
      <selection activeCell="E4" sqref="E4"/>
    </sheetView>
  </sheetViews>
  <sheetFormatPr defaultRowHeight="12.75" x14ac:dyDescent="0.2"/>
  <cols>
    <col min="1" max="1" width="27.7109375" customWidth="1"/>
    <col min="2" max="4" width="20.5703125" customWidth="1"/>
    <col min="5" max="6" width="23.5703125" customWidth="1"/>
  </cols>
  <sheetData>
    <row r="1" spans="1:6" ht="51" customHeight="1" x14ac:dyDescent="0.2">
      <c r="A1" s="58" t="s">
        <v>329</v>
      </c>
      <c r="B1" s="58"/>
      <c r="C1" s="58"/>
      <c r="D1" s="58"/>
      <c r="E1" s="58"/>
      <c r="F1" s="58"/>
    </row>
    <row r="2" spans="1:6" ht="25.5" x14ac:dyDescent="0.2">
      <c r="A2" s="4" t="s">
        <v>5</v>
      </c>
      <c r="B2" s="5" t="s">
        <v>20</v>
      </c>
      <c r="C2" s="6" t="s">
        <v>3</v>
      </c>
      <c r="D2" s="7" t="s">
        <v>4</v>
      </c>
    </row>
    <row r="3" spans="1:6" x14ac:dyDescent="0.2">
      <c r="A3" s="22" t="s">
        <v>330</v>
      </c>
      <c r="B3" s="26">
        <v>2671</v>
      </c>
      <c r="C3" s="54">
        <f>MemberOfAssemblyAssemblyDistrict81General56[[#This Row],[Part of Bronx County Vote Results]]</f>
        <v>2671</v>
      </c>
      <c r="D3" s="51">
        <f>SUM(MemberOfAssemblyAssemblyDistrict81General56[[#This Row],[Total Votes by Party]])</f>
        <v>2671</v>
      </c>
    </row>
    <row r="4" spans="1:6" x14ac:dyDescent="0.2">
      <c r="A4" s="22" t="s">
        <v>331</v>
      </c>
      <c r="B4" s="2">
        <v>2316</v>
      </c>
      <c r="C4" s="45">
        <f>MemberOfAssemblyAssemblyDistrict81General56[[#This Row],[Part of Bronx County Vote Results]]</f>
        <v>2316</v>
      </c>
      <c r="D4" s="9">
        <f>SUM(MemberOfAssemblyAssemblyDistrict81General56[[#This Row],[Total Votes by Party]])</f>
        <v>2316</v>
      </c>
    </row>
    <row r="5" spans="1:6" x14ac:dyDescent="0.2">
      <c r="A5" s="22" t="s">
        <v>332</v>
      </c>
      <c r="B5" s="2">
        <v>2259</v>
      </c>
      <c r="C5" s="45">
        <f>MemberOfAssemblyAssemblyDistrict81General56[[#This Row],[Part of Bronx County Vote Results]]</f>
        <v>2259</v>
      </c>
      <c r="D5" s="9">
        <f>SUM(MemberOfAssemblyAssemblyDistrict81General56[[#This Row],[Total Votes by Party]])</f>
        <v>2259</v>
      </c>
    </row>
    <row r="6" spans="1:6" x14ac:dyDescent="0.2">
      <c r="A6" s="22" t="s">
        <v>333</v>
      </c>
      <c r="B6" s="2">
        <v>2201</v>
      </c>
      <c r="C6" s="45">
        <f>MemberOfAssemblyAssemblyDistrict81General56[[#This Row],[Part of Bronx County Vote Results]]</f>
        <v>2201</v>
      </c>
      <c r="D6" s="9">
        <f>SUM(MemberOfAssemblyAssemblyDistrict81General56[[#This Row],[Total Votes by Party]])</f>
        <v>2201</v>
      </c>
    </row>
    <row r="7" spans="1:6" x14ac:dyDescent="0.2">
      <c r="A7" s="22" t="s">
        <v>334</v>
      </c>
      <c r="B7" s="2">
        <v>1584</v>
      </c>
      <c r="C7" s="45">
        <f>MemberOfAssemblyAssemblyDistrict81General56[[#This Row],[Part of Bronx County Vote Results]]</f>
        <v>1584</v>
      </c>
      <c r="D7" s="9">
        <f>SUM(MemberOfAssemblyAssemblyDistrict81General56[[#This Row],[Total Votes by Party]])</f>
        <v>1584</v>
      </c>
    </row>
    <row r="8" spans="1:6" x14ac:dyDescent="0.2">
      <c r="A8" s="22" t="s">
        <v>335</v>
      </c>
      <c r="B8" s="2">
        <v>2524</v>
      </c>
      <c r="C8" s="45">
        <f>MemberOfAssemblyAssemblyDistrict81General56[[#This Row],[Part of Bronx County Vote Results]]</f>
        <v>2524</v>
      </c>
      <c r="D8" s="9">
        <f>SUM(MemberOfAssemblyAssemblyDistrict81General56[[#This Row],[Total Votes by Party]])</f>
        <v>2524</v>
      </c>
    </row>
    <row r="9" spans="1:6" x14ac:dyDescent="0.2">
      <c r="A9" s="22" t="s">
        <v>336</v>
      </c>
      <c r="B9" s="2">
        <v>1805</v>
      </c>
      <c r="C9" s="45">
        <f>MemberOfAssemblyAssemblyDistrict81General56[[#This Row],[Part of Bronx County Vote Results]]</f>
        <v>1805</v>
      </c>
      <c r="D9" s="9">
        <f>SUM(MemberOfAssemblyAssemblyDistrict81General56[[#This Row],[Total Votes by Party]])</f>
        <v>1805</v>
      </c>
    </row>
    <row r="10" spans="1:6" x14ac:dyDescent="0.2">
      <c r="A10" s="22" t="s">
        <v>337</v>
      </c>
      <c r="B10" s="2">
        <v>1935</v>
      </c>
      <c r="C10" s="45">
        <f>MemberOfAssemblyAssemblyDistrict81General56[[#This Row],[Part of Bronx County Vote Results]]</f>
        <v>1935</v>
      </c>
      <c r="D10" s="9">
        <f>SUM(MemberOfAssemblyAssemblyDistrict81General56[[#This Row],[Total Votes by Party]])</f>
        <v>1935</v>
      </c>
    </row>
    <row r="11" spans="1:6" x14ac:dyDescent="0.2">
      <c r="A11" s="22" t="s">
        <v>338</v>
      </c>
      <c r="B11" s="2">
        <v>2218</v>
      </c>
      <c r="C11" s="45">
        <f>MemberOfAssemblyAssemblyDistrict81General56[[#This Row],[Part of Bronx County Vote Results]]</f>
        <v>2218</v>
      </c>
      <c r="D11" s="9">
        <f>SUM(MemberOfAssemblyAssemblyDistrict81General56[[#This Row],[Total Votes by Party]])</f>
        <v>2218</v>
      </c>
    </row>
    <row r="12" spans="1:6" x14ac:dyDescent="0.2">
      <c r="A12" s="22" t="s">
        <v>339</v>
      </c>
      <c r="B12" s="26">
        <v>3867</v>
      </c>
      <c r="C12" s="54">
        <f>MemberOfAssemblyAssemblyDistrict81General56[[#This Row],[Part of Bronx County Vote Results]]</f>
        <v>3867</v>
      </c>
      <c r="D12" s="51">
        <f>SUM(MemberOfAssemblyAssemblyDistrict81General56[[#This Row],[Total Votes by Party]])</f>
        <v>3867</v>
      </c>
    </row>
    <row r="13" spans="1:6" x14ac:dyDescent="0.2">
      <c r="A13" s="22" t="s">
        <v>340</v>
      </c>
      <c r="B13" s="26">
        <v>3116</v>
      </c>
      <c r="C13" s="54">
        <f>MemberOfAssemblyAssemblyDistrict81General56[[#This Row],[Part of Bronx County Vote Results]]</f>
        <v>3116</v>
      </c>
      <c r="D13" s="51">
        <f>SUM(MemberOfAssemblyAssemblyDistrict81General56[[#This Row],[Total Votes by Party]])</f>
        <v>3116</v>
      </c>
    </row>
    <row r="14" spans="1:6" x14ac:dyDescent="0.2">
      <c r="A14" s="22" t="s">
        <v>341</v>
      </c>
      <c r="B14" s="26">
        <v>2766</v>
      </c>
      <c r="C14" s="54">
        <f>MemberOfAssemblyAssemblyDistrict81General56[[#This Row],[Part of Bronx County Vote Results]]</f>
        <v>2766</v>
      </c>
      <c r="D14" s="51">
        <f>SUM(MemberOfAssemblyAssemblyDistrict81General56[[#This Row],[Total Votes by Party]])</f>
        <v>2766</v>
      </c>
    </row>
    <row r="15" spans="1:6" x14ac:dyDescent="0.2">
      <c r="A15" s="22" t="s">
        <v>342</v>
      </c>
      <c r="B15" s="26">
        <v>2642</v>
      </c>
      <c r="C15" s="54">
        <f>MemberOfAssemblyAssemblyDistrict81General56[[#This Row],[Part of Bronx County Vote Results]]</f>
        <v>2642</v>
      </c>
      <c r="D15" s="51">
        <f>SUM(MemberOfAssemblyAssemblyDistrict81General56[[#This Row],[Total Votes by Party]])</f>
        <v>2642</v>
      </c>
    </row>
    <row r="16" spans="1:6" x14ac:dyDescent="0.2">
      <c r="A16" s="22" t="s">
        <v>343</v>
      </c>
      <c r="B16" s="26">
        <v>2598</v>
      </c>
      <c r="C16" s="54">
        <f>MemberOfAssemblyAssemblyDistrict81General56[[#This Row],[Part of Bronx County Vote Results]]</f>
        <v>2598</v>
      </c>
      <c r="D16" s="51">
        <f>SUM(MemberOfAssemblyAssemblyDistrict81General56[[#This Row],[Total Votes by Party]])</f>
        <v>2598</v>
      </c>
    </row>
    <row r="17" spans="1:4" x14ac:dyDescent="0.2">
      <c r="A17" s="22" t="s">
        <v>344</v>
      </c>
      <c r="B17" s="26">
        <v>2608</v>
      </c>
      <c r="C17" s="54">
        <f>MemberOfAssemblyAssemblyDistrict81General56[[#This Row],[Part of Bronx County Vote Results]]</f>
        <v>2608</v>
      </c>
      <c r="D17" s="51">
        <f>SUM(MemberOfAssemblyAssemblyDistrict81General56[[#This Row],[Total Votes by Party]])</f>
        <v>2608</v>
      </c>
    </row>
    <row r="18" spans="1:4" x14ac:dyDescent="0.2">
      <c r="A18" s="1" t="s">
        <v>345</v>
      </c>
      <c r="B18" s="26">
        <v>3017</v>
      </c>
      <c r="C18" s="25">
        <f>MemberOfAssemblyAssemblyDistrict81General56[[#This Row],[Part of Bronx County Vote Results]]</f>
        <v>3017</v>
      </c>
      <c r="D18" s="51">
        <f>SUM(MemberOfAssemblyAssemblyDistrict81General56[[#This Row],[Total Votes by Party]])</f>
        <v>3017</v>
      </c>
    </row>
    <row r="19" spans="1:4" x14ac:dyDescent="0.2">
      <c r="A19" s="1" t="s">
        <v>346</v>
      </c>
      <c r="B19" s="2">
        <v>2449</v>
      </c>
      <c r="C19" s="8">
        <f>MemberOfAssemblyAssemblyDistrict81General56[[#This Row],[Part of Bronx County Vote Results]]</f>
        <v>2449</v>
      </c>
      <c r="D19" s="9">
        <f>SUM(MemberOfAssemblyAssemblyDistrict81General56[[#This Row],[Total Votes by Party]])</f>
        <v>2449</v>
      </c>
    </row>
    <row r="20" spans="1:4" x14ac:dyDescent="0.2">
      <c r="A20" s="1" t="s">
        <v>347</v>
      </c>
      <c r="B20" s="26">
        <v>4483</v>
      </c>
      <c r="C20" s="25">
        <f>MemberOfAssemblyAssemblyDistrict81General56[[#This Row],[Part of Bronx County Vote Results]]</f>
        <v>4483</v>
      </c>
      <c r="D20" s="51">
        <f>SUM(MemberOfAssemblyAssemblyDistrict81General56[[#This Row],[Total Votes by Party]])</f>
        <v>4483</v>
      </c>
    </row>
    <row r="21" spans="1:4" x14ac:dyDescent="0.2">
      <c r="A21" s="3" t="s">
        <v>0</v>
      </c>
      <c r="B21" s="2">
        <v>16699</v>
      </c>
      <c r="C21" s="8">
        <f>MemberOfAssemblyAssemblyDistrict81General56[[#This Row],[Part of Bronx County Vote Results]]</f>
        <v>16699</v>
      </c>
      <c r="D21" s="10"/>
    </row>
    <row r="22" spans="1:4" x14ac:dyDescent="0.2">
      <c r="A22" s="3" t="s">
        <v>1</v>
      </c>
      <c r="B22" s="2"/>
      <c r="C22" s="8">
        <f>MemberOfAssemblyAssemblyDistrict81General56[[#This Row],[Part of Bronx County Vote Results]]</f>
        <v>0</v>
      </c>
      <c r="D22" s="10"/>
    </row>
    <row r="23" spans="1:4" x14ac:dyDescent="0.2">
      <c r="A23" s="3" t="s">
        <v>6</v>
      </c>
      <c r="B23" s="2">
        <v>178</v>
      </c>
      <c r="C23" s="8">
        <f>MemberOfAssemblyAssemblyDistrict81General56[[#This Row],[Part of Bronx County Vote Results]]</f>
        <v>178</v>
      </c>
      <c r="D23" s="10"/>
    </row>
    <row r="24" spans="1:4" x14ac:dyDescent="0.2">
      <c r="A24" s="11" t="s">
        <v>2</v>
      </c>
      <c r="B24" s="2">
        <f>SUM(MemberOfAssemblyAssemblyDistrict81General56[Part of Bronx County Vote Results])</f>
        <v>63936</v>
      </c>
      <c r="C24" s="8">
        <f>SUM(MemberOfAssemblyAssemblyDistrict81General56[Total Votes by Party])</f>
        <v>63936</v>
      </c>
      <c r="D24" s="10"/>
    </row>
  </sheetData>
  <sortState xmlns:xlrd2="http://schemas.microsoft.com/office/spreadsheetml/2017/richdata2" ref="F3:F20">
    <sortCondition descending="1" ref="F3:F20"/>
  </sortState>
  <mergeCells count="1">
    <mergeCell ref="A1:F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5019-A054-444F-BB4C-93DB7B764FC0}">
  <sheetPr>
    <pageSetUpPr fitToPage="1"/>
  </sheetPr>
  <dimension ref="A1:F24"/>
  <sheetViews>
    <sheetView workbookViewId="0">
      <selection activeCell="E4" sqref="E4"/>
    </sheetView>
  </sheetViews>
  <sheetFormatPr defaultRowHeight="12.75" x14ac:dyDescent="0.2"/>
  <cols>
    <col min="1" max="1" width="25.5703125" customWidth="1"/>
    <col min="2" max="4" width="20.5703125" customWidth="1"/>
    <col min="5" max="5" width="23.5703125" customWidth="1"/>
    <col min="6" max="6" width="9.7109375" customWidth="1"/>
  </cols>
  <sheetData>
    <row r="1" spans="1:6" ht="51" customHeight="1" x14ac:dyDescent="0.2">
      <c r="A1" s="58" t="s">
        <v>348</v>
      </c>
      <c r="B1" s="58"/>
      <c r="C1" s="58"/>
      <c r="D1" s="58"/>
      <c r="E1" s="58"/>
      <c r="F1" s="58"/>
    </row>
    <row r="2" spans="1:6" ht="25.5" x14ac:dyDescent="0.2">
      <c r="A2" s="4" t="s">
        <v>5</v>
      </c>
      <c r="B2" s="5" t="s">
        <v>20</v>
      </c>
      <c r="C2" s="6" t="s">
        <v>3</v>
      </c>
      <c r="D2" s="7" t="s">
        <v>4</v>
      </c>
    </row>
    <row r="3" spans="1:6" x14ac:dyDescent="0.2">
      <c r="A3" s="22" t="s">
        <v>349</v>
      </c>
      <c r="B3" s="26">
        <v>3253</v>
      </c>
      <c r="C3" s="54">
        <f>MemberOfAssemblyAssemblyDistrict81General5657[[#This Row],[Part of Bronx County Vote Results]]</f>
        <v>3253</v>
      </c>
      <c r="D3" s="51">
        <f>SUM(MemberOfAssemblyAssemblyDistrict81General5657[[#This Row],[Total Votes by Party]])</f>
        <v>3253</v>
      </c>
    </row>
    <row r="4" spans="1:6" x14ac:dyDescent="0.2">
      <c r="A4" s="22" t="s">
        <v>350</v>
      </c>
      <c r="B4" s="2">
        <v>2330</v>
      </c>
      <c r="C4" s="45">
        <f>MemberOfAssemblyAssemblyDistrict81General5657[[#This Row],[Part of Bronx County Vote Results]]</f>
        <v>2330</v>
      </c>
      <c r="D4" s="9">
        <f>SUM(MemberOfAssemblyAssemblyDistrict81General5657[[#This Row],[Total Votes by Party]])</f>
        <v>2330</v>
      </c>
    </row>
    <row r="5" spans="1:6" x14ac:dyDescent="0.2">
      <c r="A5" s="22" t="s">
        <v>351</v>
      </c>
      <c r="B5" s="2">
        <v>1671</v>
      </c>
      <c r="C5" s="45">
        <f>MemberOfAssemblyAssemblyDistrict81General5657[[#This Row],[Part of Bronx County Vote Results]]</f>
        <v>1671</v>
      </c>
      <c r="D5" s="9">
        <f>SUM(MemberOfAssemblyAssemblyDistrict81General5657[[#This Row],[Total Votes by Party]])</f>
        <v>1671</v>
      </c>
    </row>
    <row r="6" spans="1:6" x14ac:dyDescent="0.2">
      <c r="A6" s="22" t="s">
        <v>352</v>
      </c>
      <c r="B6" s="2">
        <v>1907</v>
      </c>
      <c r="C6" s="45">
        <f>MemberOfAssemblyAssemblyDistrict81General5657[[#This Row],[Part of Bronx County Vote Results]]</f>
        <v>1907</v>
      </c>
      <c r="D6" s="9">
        <f>SUM(MemberOfAssemblyAssemblyDistrict81General5657[[#This Row],[Total Votes by Party]])</f>
        <v>1907</v>
      </c>
    </row>
    <row r="7" spans="1:6" x14ac:dyDescent="0.2">
      <c r="A7" s="22" t="s">
        <v>353</v>
      </c>
      <c r="B7" s="2">
        <v>2074</v>
      </c>
      <c r="C7" s="45">
        <f>MemberOfAssemblyAssemblyDistrict81General5657[[#This Row],[Part of Bronx County Vote Results]]</f>
        <v>2074</v>
      </c>
      <c r="D7" s="9">
        <f>SUM(MemberOfAssemblyAssemblyDistrict81General5657[[#This Row],[Total Votes by Party]])</f>
        <v>2074</v>
      </c>
    </row>
    <row r="8" spans="1:6" x14ac:dyDescent="0.2">
      <c r="A8" s="22" t="s">
        <v>354</v>
      </c>
      <c r="B8" s="2">
        <v>2332</v>
      </c>
      <c r="C8" s="45">
        <f>MemberOfAssemblyAssemblyDistrict81General5657[[#This Row],[Part of Bronx County Vote Results]]</f>
        <v>2332</v>
      </c>
      <c r="D8" s="9">
        <f>SUM(MemberOfAssemblyAssemblyDistrict81General5657[[#This Row],[Total Votes by Party]])</f>
        <v>2332</v>
      </c>
    </row>
    <row r="9" spans="1:6" x14ac:dyDescent="0.2">
      <c r="A9" s="22" t="s">
        <v>355</v>
      </c>
      <c r="B9" s="2">
        <v>1557</v>
      </c>
      <c r="C9" s="45">
        <f>MemberOfAssemblyAssemblyDistrict81General5657[[#This Row],[Part of Bronx County Vote Results]]</f>
        <v>1557</v>
      </c>
      <c r="D9" s="9">
        <f>SUM(MemberOfAssemblyAssemblyDistrict81General5657[[#This Row],[Total Votes by Party]])</f>
        <v>1557</v>
      </c>
    </row>
    <row r="10" spans="1:6" x14ac:dyDescent="0.2">
      <c r="A10" s="22" t="s">
        <v>356</v>
      </c>
      <c r="B10" s="2">
        <v>1541</v>
      </c>
      <c r="C10" s="45">
        <f>MemberOfAssemblyAssemblyDistrict81General5657[[#This Row],[Part of Bronx County Vote Results]]</f>
        <v>1541</v>
      </c>
      <c r="D10" s="9">
        <f>SUM(MemberOfAssemblyAssemblyDistrict81General5657[[#This Row],[Total Votes by Party]])</f>
        <v>1541</v>
      </c>
    </row>
    <row r="11" spans="1:6" x14ac:dyDescent="0.2">
      <c r="A11" s="22" t="s">
        <v>357</v>
      </c>
      <c r="B11" s="2">
        <v>1834</v>
      </c>
      <c r="C11" s="45">
        <f>MemberOfAssemblyAssemblyDistrict81General5657[[#This Row],[Part of Bronx County Vote Results]]</f>
        <v>1834</v>
      </c>
      <c r="D11" s="9">
        <f>SUM(MemberOfAssemblyAssemblyDistrict81General5657[[#This Row],[Total Votes by Party]])</f>
        <v>1834</v>
      </c>
    </row>
    <row r="12" spans="1:6" x14ac:dyDescent="0.2">
      <c r="A12" s="22" t="s">
        <v>358</v>
      </c>
      <c r="B12" s="26">
        <v>4435</v>
      </c>
      <c r="C12" s="54">
        <f>MemberOfAssemblyAssemblyDistrict81General5657[[#This Row],[Part of Bronx County Vote Results]]</f>
        <v>4435</v>
      </c>
      <c r="D12" s="51">
        <f>SUM(MemberOfAssemblyAssemblyDistrict81General5657[[#This Row],[Total Votes by Party]])</f>
        <v>4435</v>
      </c>
    </row>
    <row r="13" spans="1:6" x14ac:dyDescent="0.2">
      <c r="A13" s="22" t="s">
        <v>359</v>
      </c>
      <c r="B13" s="26">
        <v>2573</v>
      </c>
      <c r="C13" s="54">
        <f>MemberOfAssemblyAssemblyDistrict81General5657[[#This Row],[Part of Bronx County Vote Results]]</f>
        <v>2573</v>
      </c>
      <c r="D13" s="51">
        <f>SUM(MemberOfAssemblyAssemblyDistrict81General5657[[#This Row],[Total Votes by Party]])</f>
        <v>2573</v>
      </c>
    </row>
    <row r="14" spans="1:6" x14ac:dyDescent="0.2">
      <c r="A14" s="22" t="s">
        <v>360</v>
      </c>
      <c r="B14" s="26">
        <v>3067</v>
      </c>
      <c r="C14" s="54">
        <f>MemberOfAssemblyAssemblyDistrict81General5657[[#This Row],[Part of Bronx County Vote Results]]</f>
        <v>3067</v>
      </c>
      <c r="D14" s="51">
        <f>SUM(MemberOfAssemblyAssemblyDistrict81General5657[[#This Row],[Total Votes by Party]])</f>
        <v>3067</v>
      </c>
    </row>
    <row r="15" spans="1:6" x14ac:dyDescent="0.2">
      <c r="A15" s="22" t="s">
        <v>642</v>
      </c>
      <c r="B15" s="26">
        <v>2439</v>
      </c>
      <c r="C15" s="54">
        <f>MemberOfAssemblyAssemblyDistrict81General5657[[#This Row],[Part of Bronx County Vote Results]]</f>
        <v>2439</v>
      </c>
      <c r="D15" s="51">
        <f>SUM(MemberOfAssemblyAssemblyDistrict81General5657[[#This Row],[Total Votes by Party]])</f>
        <v>2439</v>
      </c>
    </row>
    <row r="16" spans="1:6" x14ac:dyDescent="0.2">
      <c r="A16" s="22" t="s">
        <v>361</v>
      </c>
      <c r="B16" s="26">
        <v>2729</v>
      </c>
      <c r="C16" s="54">
        <f>MemberOfAssemblyAssemblyDistrict81General5657[[#This Row],[Part of Bronx County Vote Results]]</f>
        <v>2729</v>
      </c>
      <c r="D16" s="51">
        <f>SUM(MemberOfAssemblyAssemblyDistrict81General5657[[#This Row],[Total Votes by Party]])</f>
        <v>2729</v>
      </c>
    </row>
    <row r="17" spans="1:4" x14ac:dyDescent="0.2">
      <c r="A17" s="22" t="s">
        <v>362</v>
      </c>
      <c r="B17" s="26">
        <v>2443</v>
      </c>
      <c r="C17" s="54">
        <f>MemberOfAssemblyAssemblyDistrict81General5657[[#This Row],[Part of Bronx County Vote Results]]</f>
        <v>2443</v>
      </c>
      <c r="D17" s="51">
        <f>SUM(MemberOfAssemblyAssemblyDistrict81General5657[[#This Row],[Total Votes by Party]])</f>
        <v>2443</v>
      </c>
    </row>
    <row r="18" spans="1:4" x14ac:dyDescent="0.2">
      <c r="A18" s="1" t="s">
        <v>363</v>
      </c>
      <c r="B18" s="2">
        <v>2363</v>
      </c>
      <c r="C18" s="8">
        <f>MemberOfAssemblyAssemblyDistrict81General5657[[#This Row],[Part of Bronx County Vote Results]]</f>
        <v>2363</v>
      </c>
      <c r="D18" s="9">
        <f>SUM(MemberOfAssemblyAssemblyDistrict81General5657[[#This Row],[Total Votes by Party]])</f>
        <v>2363</v>
      </c>
    </row>
    <row r="19" spans="1:4" x14ac:dyDescent="0.2">
      <c r="A19" s="1" t="s">
        <v>364</v>
      </c>
      <c r="B19" s="26">
        <v>2776</v>
      </c>
      <c r="C19" s="25">
        <f>MemberOfAssemblyAssemblyDistrict81General5657[[#This Row],[Part of Bronx County Vote Results]]</f>
        <v>2776</v>
      </c>
      <c r="D19" s="51">
        <f>SUM(MemberOfAssemblyAssemblyDistrict81General5657[[#This Row],[Total Votes by Party]])</f>
        <v>2776</v>
      </c>
    </row>
    <row r="20" spans="1:4" x14ac:dyDescent="0.2">
      <c r="A20" s="1" t="s">
        <v>365</v>
      </c>
      <c r="B20" s="26">
        <v>2929</v>
      </c>
      <c r="C20" s="25">
        <f>MemberOfAssemblyAssemblyDistrict81General5657[[#This Row],[Part of Bronx County Vote Results]]</f>
        <v>2929</v>
      </c>
      <c r="D20" s="51">
        <f>SUM(MemberOfAssemblyAssemblyDistrict81General5657[[#This Row],[Total Votes by Party]])</f>
        <v>2929</v>
      </c>
    </row>
    <row r="21" spans="1:4" x14ac:dyDescent="0.2">
      <c r="A21" s="3" t="s">
        <v>0</v>
      </c>
      <c r="B21" s="2">
        <v>19540</v>
      </c>
      <c r="C21" s="8">
        <f>MemberOfAssemblyAssemblyDistrict81General5657[[#This Row],[Part of Bronx County Vote Results]]</f>
        <v>19540</v>
      </c>
      <c r="D21" s="10"/>
    </row>
    <row r="22" spans="1:4" x14ac:dyDescent="0.2">
      <c r="A22" s="3" t="s">
        <v>1</v>
      </c>
      <c r="B22" s="2"/>
      <c r="C22" s="8">
        <f>MemberOfAssemblyAssemblyDistrict81General5657[[#This Row],[Part of Bronx County Vote Results]]</f>
        <v>0</v>
      </c>
      <c r="D22" s="10"/>
    </row>
    <row r="23" spans="1:4" x14ac:dyDescent="0.2">
      <c r="A23" s="3" t="s">
        <v>6</v>
      </c>
      <c r="B23" s="2">
        <v>143</v>
      </c>
      <c r="C23" s="8">
        <f>MemberOfAssemblyAssemblyDistrict81General5657[[#This Row],[Part of Bronx County Vote Results]]</f>
        <v>143</v>
      </c>
      <c r="D23" s="10"/>
    </row>
    <row r="24" spans="1:4" x14ac:dyDescent="0.2">
      <c r="A24" s="11" t="s">
        <v>2</v>
      </c>
      <c r="B24" s="2">
        <f>SUM(MemberOfAssemblyAssemblyDistrict81General5657[Part of Bronx County Vote Results])</f>
        <v>63936</v>
      </c>
      <c r="C24" s="8">
        <f>SUM(MemberOfAssemblyAssemblyDistrict81General5657[Total Votes by Party])</f>
        <v>63936</v>
      </c>
      <c r="D24" s="10"/>
    </row>
  </sheetData>
  <sortState xmlns:xlrd2="http://schemas.microsoft.com/office/spreadsheetml/2017/richdata2" ref="G3:G20">
    <sortCondition descending="1" ref="G3:G20"/>
  </sortState>
  <mergeCells count="1">
    <mergeCell ref="A1:F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CD5D-B0BC-4047-826D-70F68D24C797}">
  <sheetPr>
    <pageSetUpPr fitToPage="1"/>
  </sheetPr>
  <dimension ref="A1:E9"/>
  <sheetViews>
    <sheetView workbookViewId="0">
      <selection activeCell="B17" sqref="B17"/>
    </sheetView>
  </sheetViews>
  <sheetFormatPr defaultRowHeight="12.75" x14ac:dyDescent="0.2"/>
  <cols>
    <col min="1" max="1" width="27.42578125" customWidth="1"/>
    <col min="2" max="4" width="20.5703125" customWidth="1"/>
    <col min="5" max="6" width="23.5703125" customWidth="1"/>
  </cols>
  <sheetData>
    <row r="1" spans="1:5" ht="51" customHeight="1" x14ac:dyDescent="0.2">
      <c r="A1" s="58" t="s">
        <v>522</v>
      </c>
      <c r="B1" s="58"/>
      <c r="C1" s="58"/>
      <c r="D1" s="58"/>
      <c r="E1" s="58"/>
    </row>
    <row r="2" spans="1:5" ht="25.5" x14ac:dyDescent="0.2">
      <c r="A2" s="4" t="s">
        <v>5</v>
      </c>
      <c r="B2" s="5" t="s">
        <v>17</v>
      </c>
      <c r="C2" s="6" t="s">
        <v>3</v>
      </c>
      <c r="D2" s="7" t="s">
        <v>4</v>
      </c>
    </row>
    <row r="3" spans="1:5" x14ac:dyDescent="0.2">
      <c r="A3" s="1" t="s">
        <v>523</v>
      </c>
      <c r="B3" s="16">
        <v>1998</v>
      </c>
      <c r="C3" s="8">
        <f>MemberOfAssemblyAssemblyDistrict28General[[#This Row],[Part of Queens County Vote Results]]</f>
        <v>1998</v>
      </c>
      <c r="D3" s="9">
        <f>SUM(MemberOfAssemblyAssemblyDistrict28General[[#This Row],[Total Votes by Party]])</f>
        <v>1998</v>
      </c>
    </row>
    <row r="4" spans="1:5" ht="15" customHeight="1" x14ac:dyDescent="0.2">
      <c r="A4" s="1" t="s">
        <v>524</v>
      </c>
      <c r="B4" s="16">
        <v>2345</v>
      </c>
      <c r="C4" s="8">
        <f>MemberOfAssemblyAssemblyDistrict28General[[#This Row],[Part of Queens County Vote Results]]</f>
        <v>2345</v>
      </c>
      <c r="D4" s="9">
        <f>SUM(MemberOfAssemblyAssemblyDistrict28General[[#This Row],[Total Votes by Party]])</f>
        <v>2345</v>
      </c>
    </row>
    <row r="5" spans="1:5" ht="15" customHeight="1" x14ac:dyDescent="0.2">
      <c r="A5" s="1" t="s">
        <v>525</v>
      </c>
      <c r="B5" s="2">
        <v>1862</v>
      </c>
      <c r="C5" s="8">
        <f>MemberOfAssemblyAssemblyDistrict28General[[#This Row],[Part of Queens County Vote Results]]</f>
        <v>1862</v>
      </c>
      <c r="D5" s="9">
        <f>SUM(MemberOfAssemblyAssemblyDistrict28General[[#This Row],[Total Votes by Party]])</f>
        <v>1862</v>
      </c>
    </row>
    <row r="6" spans="1:5" x14ac:dyDescent="0.2">
      <c r="A6" s="3" t="s">
        <v>0</v>
      </c>
      <c r="B6" s="2">
        <v>1799</v>
      </c>
      <c r="C6" s="8">
        <f>MemberOfAssemblyAssemblyDistrict28General[[#This Row],[Part of Queens County Vote Results]]</f>
        <v>1799</v>
      </c>
      <c r="D6" s="10"/>
    </row>
    <row r="7" spans="1:5" x14ac:dyDescent="0.2">
      <c r="A7" s="3" t="s">
        <v>1</v>
      </c>
      <c r="B7" s="2"/>
      <c r="C7" s="8">
        <f>MemberOfAssemblyAssemblyDistrict28General[[#This Row],[Part of Queens County Vote Results]]</f>
        <v>0</v>
      </c>
      <c r="D7" s="10"/>
    </row>
    <row r="8" spans="1:5" x14ac:dyDescent="0.2">
      <c r="A8" s="3" t="s">
        <v>6</v>
      </c>
      <c r="B8" s="2">
        <v>66</v>
      </c>
      <c r="C8" s="8">
        <f>MemberOfAssemblyAssemblyDistrict28General[[#This Row],[Part of Queens County Vote Results]]</f>
        <v>66</v>
      </c>
      <c r="D8" s="10"/>
    </row>
    <row r="9" spans="1:5" x14ac:dyDescent="0.2">
      <c r="A9" s="11" t="s">
        <v>2</v>
      </c>
      <c r="B9" s="2">
        <f>SUM(MemberOfAssemblyAssemblyDistrict28General[Part of Queens County Vote Results])</f>
        <v>8070</v>
      </c>
      <c r="C9" s="8">
        <f>SUM(MemberOfAssemblyAssemblyDistrict28General[Total Votes by Party])</f>
        <v>8070</v>
      </c>
      <c r="D9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02C9A-D590-4FC3-9EDA-7F3BA845780F}">
  <sheetPr>
    <pageSetUpPr fitToPage="1"/>
  </sheetPr>
  <dimension ref="A1:E11"/>
  <sheetViews>
    <sheetView workbookViewId="0">
      <selection activeCell="B3" sqref="B3:B9"/>
    </sheetView>
  </sheetViews>
  <sheetFormatPr defaultRowHeight="12.75" x14ac:dyDescent="0.2"/>
  <cols>
    <col min="1" max="1" width="27.28515625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5" ht="51" customHeight="1" x14ac:dyDescent="0.2">
      <c r="A1" s="59" t="s">
        <v>526</v>
      </c>
      <c r="B1" s="59"/>
      <c r="C1" s="59"/>
      <c r="D1" s="59"/>
      <c r="E1" s="59"/>
    </row>
    <row r="2" spans="1:5" ht="25.5" x14ac:dyDescent="0.2">
      <c r="A2" s="29" t="s">
        <v>5</v>
      </c>
      <c r="B2" s="30" t="s">
        <v>17</v>
      </c>
      <c r="C2" s="31" t="s">
        <v>3</v>
      </c>
      <c r="D2" s="32" t="s">
        <v>4</v>
      </c>
    </row>
    <row r="3" spans="1:5" x14ac:dyDescent="0.2">
      <c r="A3" s="33" t="s">
        <v>527</v>
      </c>
      <c r="B3" s="46">
        <v>1834</v>
      </c>
      <c r="C3" s="35">
        <f>MemberOfAssemblyAssemblyDistrict34General74[[#This Row],[Part of Queens County Vote Results]]</f>
        <v>1834</v>
      </c>
      <c r="D3" s="36">
        <f>SUM(MemberOfAssemblyAssemblyDistrict34General74[[#This Row],[Total Votes by Party]])</f>
        <v>1834</v>
      </c>
    </row>
    <row r="4" spans="1:5" x14ac:dyDescent="0.2">
      <c r="A4" s="33" t="s">
        <v>528</v>
      </c>
      <c r="B4" s="46">
        <v>1349</v>
      </c>
      <c r="C4" s="35">
        <f>MemberOfAssemblyAssemblyDistrict34General74[[#This Row],[Part of Queens County Vote Results]]</f>
        <v>1349</v>
      </c>
      <c r="D4" s="36">
        <f>SUM(MemberOfAssemblyAssemblyDistrict34General74[[#This Row],[Total Votes by Party]])</f>
        <v>1349</v>
      </c>
    </row>
    <row r="5" spans="1:5" x14ac:dyDescent="0.2">
      <c r="A5" s="33" t="s">
        <v>529</v>
      </c>
      <c r="B5" s="47">
        <v>2077</v>
      </c>
      <c r="C5" s="35">
        <f>MemberOfAssemblyAssemblyDistrict34General74[[#This Row],[Part of Queens County Vote Results]]</f>
        <v>2077</v>
      </c>
      <c r="D5" s="36">
        <f>SUM(MemberOfAssemblyAssemblyDistrict34General74[[#This Row],[Total Votes by Party]])</f>
        <v>2077</v>
      </c>
    </row>
    <row r="6" spans="1:5" x14ac:dyDescent="0.2">
      <c r="A6" s="33" t="s">
        <v>530</v>
      </c>
      <c r="B6" s="46">
        <v>1685</v>
      </c>
      <c r="C6" s="35">
        <f>MemberOfAssemblyAssemblyDistrict34General74[[#This Row],[Part of Queens County Vote Results]]</f>
        <v>1685</v>
      </c>
      <c r="D6" s="36">
        <f>SUM(MemberOfAssemblyAssemblyDistrict34General74[[#This Row],[Total Votes by Party]])</f>
        <v>1685</v>
      </c>
    </row>
    <row r="7" spans="1:5" x14ac:dyDescent="0.2">
      <c r="A7" s="37" t="s">
        <v>0</v>
      </c>
      <c r="B7" s="34">
        <v>2257</v>
      </c>
      <c r="C7" s="35">
        <f>MemberOfAssemblyAssemblyDistrict34General74[[#This Row],[Part of Queens County Vote Results]]</f>
        <v>2257</v>
      </c>
      <c r="D7" s="38"/>
    </row>
    <row r="8" spans="1:5" x14ac:dyDescent="0.2">
      <c r="A8" s="37" t="s">
        <v>1</v>
      </c>
      <c r="B8" s="34"/>
      <c r="C8" s="35">
        <f>MemberOfAssemblyAssemblyDistrict34General74[[#This Row],[Part of Queens County Vote Results]]</f>
        <v>0</v>
      </c>
      <c r="D8" s="38"/>
    </row>
    <row r="9" spans="1:5" ht="12" customHeight="1" x14ac:dyDescent="0.2">
      <c r="A9" s="37" t="s">
        <v>6</v>
      </c>
      <c r="B9" s="34">
        <v>36</v>
      </c>
      <c r="C9" s="35">
        <f>MemberOfAssemblyAssemblyDistrict34General74[[#This Row],[Part of Queens County Vote Results]]</f>
        <v>36</v>
      </c>
      <c r="D9" s="38"/>
    </row>
    <row r="10" spans="1:5" x14ac:dyDescent="0.2">
      <c r="A10" s="11" t="s">
        <v>2</v>
      </c>
      <c r="B10" s="2">
        <f>SUM(MemberOfAssemblyAssemblyDistrict34General74[Part of Queens County Vote Results])</f>
        <v>9238</v>
      </c>
      <c r="C10" s="8">
        <f>SUM(MemberOfAssemblyAssemblyDistrict34General74[Total Votes by Party])</f>
        <v>9238</v>
      </c>
      <c r="D10" s="10"/>
    </row>
    <row r="11" spans="1:5" x14ac:dyDescent="0.2">
      <c r="B11" s="48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79772-92D4-49EC-A9C5-767096B9337E}">
  <sheetPr>
    <pageSetUpPr fitToPage="1"/>
  </sheetPr>
  <dimension ref="A1:E10"/>
  <sheetViews>
    <sheetView workbookViewId="0">
      <selection activeCell="B7" sqref="B7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5" ht="51" customHeight="1" x14ac:dyDescent="0.2">
      <c r="A1" s="58" t="s">
        <v>531</v>
      </c>
      <c r="B1" s="58"/>
      <c r="C1" s="58"/>
      <c r="D1" s="58"/>
      <c r="E1" s="58"/>
    </row>
    <row r="2" spans="1:5" ht="25.5" x14ac:dyDescent="0.2">
      <c r="A2" s="4" t="s">
        <v>5</v>
      </c>
      <c r="B2" s="5" t="s">
        <v>17</v>
      </c>
      <c r="C2" s="6" t="s">
        <v>3</v>
      </c>
      <c r="D2" s="7" t="s">
        <v>4</v>
      </c>
    </row>
    <row r="3" spans="1:5" x14ac:dyDescent="0.2">
      <c r="A3" s="22" t="s">
        <v>532</v>
      </c>
      <c r="B3" s="16">
        <v>2229</v>
      </c>
      <c r="C3" s="8">
        <f>MemberOfAssemblyAssemblyDistrict35General75[[#This Row],[Part of Queens County Vote Results]]</f>
        <v>2229</v>
      </c>
      <c r="D3" s="9">
        <f>SUM(MemberOfAssemblyAssemblyDistrict35General75[[#This Row],[Total Votes by Party]])</f>
        <v>2229</v>
      </c>
    </row>
    <row r="4" spans="1:5" x14ac:dyDescent="0.2">
      <c r="A4" s="22" t="s">
        <v>533</v>
      </c>
      <c r="B4" s="16">
        <v>1208</v>
      </c>
      <c r="C4" s="8">
        <f>MemberOfAssemblyAssemblyDistrict35General75[[#This Row],[Part of Queens County Vote Results]]</f>
        <v>1208</v>
      </c>
      <c r="D4" s="9">
        <f>SUM(MemberOfAssemblyAssemblyDistrict35General75[[#This Row],[Total Votes by Party]])</f>
        <v>1208</v>
      </c>
    </row>
    <row r="5" spans="1:5" x14ac:dyDescent="0.2">
      <c r="A5" s="22" t="s">
        <v>534</v>
      </c>
      <c r="B5" s="16">
        <v>1658</v>
      </c>
      <c r="C5" s="8">
        <f>MemberOfAssemblyAssemblyDistrict35General75[[#This Row],[Part of Queens County Vote Results]]</f>
        <v>1658</v>
      </c>
      <c r="D5" s="9">
        <f>SUM(MemberOfAssemblyAssemblyDistrict35General75[[#This Row],[Total Votes by Party]])</f>
        <v>1658</v>
      </c>
    </row>
    <row r="6" spans="1:5" x14ac:dyDescent="0.2">
      <c r="A6" s="3" t="s">
        <v>0</v>
      </c>
      <c r="B6" s="2">
        <v>2332</v>
      </c>
      <c r="C6" s="8">
        <f>MemberOfAssemblyAssemblyDistrict35General75[[#This Row],[Part of Queens County Vote Results]]</f>
        <v>2332</v>
      </c>
      <c r="D6" s="10"/>
    </row>
    <row r="7" spans="1:5" x14ac:dyDescent="0.2">
      <c r="A7" s="3" t="s">
        <v>1</v>
      </c>
      <c r="B7" s="2"/>
      <c r="C7" s="8">
        <f>MemberOfAssemblyAssemblyDistrict35General75[[#This Row],[Part of Queens County Vote Results]]</f>
        <v>0</v>
      </c>
      <c r="D7" s="10"/>
    </row>
    <row r="8" spans="1:5" x14ac:dyDescent="0.2">
      <c r="A8" s="3" t="s">
        <v>6</v>
      </c>
      <c r="B8" s="2">
        <v>35</v>
      </c>
      <c r="C8" s="8">
        <f>MemberOfAssemblyAssemblyDistrict35General75[[#This Row],[Part of Queens County Vote Results]]</f>
        <v>35</v>
      </c>
      <c r="D8" s="10"/>
    </row>
    <row r="9" spans="1:5" x14ac:dyDescent="0.2">
      <c r="A9" s="11" t="s">
        <v>2</v>
      </c>
      <c r="B9" s="2">
        <f>SUM(MemberOfAssemblyAssemblyDistrict35General75[Part of Queens County Vote Results])</f>
        <v>7462</v>
      </c>
      <c r="C9" s="8">
        <f>SUM(MemberOfAssemblyAssemblyDistrict35General75[Total Votes by Party])</f>
        <v>7462</v>
      </c>
      <c r="D9" s="10"/>
    </row>
    <row r="10" spans="1:5" x14ac:dyDescent="0.2">
      <c r="B10" s="23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810A-E04E-45E5-BFC2-533B20054108}">
  <sheetPr>
    <pageSetUpPr fitToPage="1"/>
  </sheetPr>
  <dimension ref="A1:Q8"/>
  <sheetViews>
    <sheetView workbookViewId="0">
      <pane xSplit="1" topLeftCell="B1" activePane="topRight" state="frozen"/>
      <selection pane="topRight" activeCell="B4" sqref="B4:O4"/>
    </sheetView>
  </sheetViews>
  <sheetFormatPr defaultRowHeight="12.75" x14ac:dyDescent="0.2"/>
  <cols>
    <col min="1" max="1" width="25.5703125" customWidth="1"/>
    <col min="2" max="15" width="15.7109375" customWidth="1"/>
    <col min="16" max="18" width="20.5703125" customWidth="1"/>
    <col min="19" max="20" width="23.5703125" customWidth="1"/>
  </cols>
  <sheetData>
    <row r="1" spans="1:17" ht="24.75" customHeight="1" x14ac:dyDescent="0.2">
      <c r="A1" s="17" t="s">
        <v>61</v>
      </c>
    </row>
    <row r="2" spans="1:17" ht="38.25" x14ac:dyDescent="0.2">
      <c r="A2" s="4" t="s">
        <v>5</v>
      </c>
      <c r="B2" s="5" t="s">
        <v>30</v>
      </c>
      <c r="C2" s="5" t="s">
        <v>13</v>
      </c>
      <c r="D2" s="5" t="s">
        <v>27</v>
      </c>
      <c r="E2" s="5" t="s">
        <v>9</v>
      </c>
      <c r="F2" s="5" t="s">
        <v>22</v>
      </c>
      <c r="G2" s="5" t="s">
        <v>35</v>
      </c>
      <c r="H2" s="5" t="s">
        <v>34</v>
      </c>
      <c r="I2" s="5" t="s">
        <v>33</v>
      </c>
      <c r="J2" s="5" t="s">
        <v>31</v>
      </c>
      <c r="K2" s="5" t="s">
        <v>10</v>
      </c>
      <c r="L2" s="5" t="s">
        <v>32</v>
      </c>
      <c r="M2" s="5" t="s">
        <v>11</v>
      </c>
      <c r="N2" s="5" t="s">
        <v>14</v>
      </c>
      <c r="O2" s="5" t="s">
        <v>12</v>
      </c>
      <c r="P2" s="6" t="s">
        <v>3</v>
      </c>
      <c r="Q2" s="7" t="s">
        <v>4</v>
      </c>
    </row>
    <row r="3" spans="1:17" x14ac:dyDescent="0.2">
      <c r="A3" s="1" t="s">
        <v>575</v>
      </c>
      <c r="B3" s="26">
        <v>497</v>
      </c>
      <c r="C3" s="26">
        <v>1321</v>
      </c>
      <c r="D3" s="26">
        <v>1603</v>
      </c>
      <c r="E3" s="26">
        <v>1588</v>
      </c>
      <c r="F3" s="26">
        <v>2278</v>
      </c>
      <c r="G3" s="26">
        <v>2181</v>
      </c>
      <c r="H3" s="26">
        <v>1944</v>
      </c>
      <c r="I3" s="26">
        <v>3150</v>
      </c>
      <c r="J3" s="26">
        <v>159</v>
      </c>
      <c r="K3" s="26">
        <v>674</v>
      </c>
      <c r="L3" s="26">
        <v>436</v>
      </c>
      <c r="M3" s="26">
        <v>1781</v>
      </c>
      <c r="N3" s="26">
        <v>1305</v>
      </c>
      <c r="O3" s="26">
        <v>568</v>
      </c>
      <c r="P3" s="25">
        <f t="shared" ref="P3:P7" si="0">SUM(B3,C3,D3,E3,F3,G3,H3,I3,J3,K3,L3,M3,N3,O3)</f>
        <v>19485</v>
      </c>
      <c r="Q3" s="51">
        <f>SUM(RepInCongressCongressionalDistrict24General[[#This Row],[Total Votes by Party]])</f>
        <v>19485</v>
      </c>
    </row>
    <row r="4" spans="1:17" x14ac:dyDescent="0.2">
      <c r="A4" s="1" t="s">
        <v>576</v>
      </c>
      <c r="B4" s="2">
        <v>328</v>
      </c>
      <c r="C4" s="2">
        <v>716</v>
      </c>
      <c r="D4" s="2">
        <v>809</v>
      </c>
      <c r="E4" s="2">
        <v>1043</v>
      </c>
      <c r="F4" s="2">
        <v>1098</v>
      </c>
      <c r="G4" s="2">
        <v>1756</v>
      </c>
      <c r="H4" s="2">
        <v>1121</v>
      </c>
      <c r="I4" s="2">
        <v>1422</v>
      </c>
      <c r="J4" s="2">
        <v>117</v>
      </c>
      <c r="K4" s="2">
        <v>757</v>
      </c>
      <c r="L4" s="2">
        <v>339</v>
      </c>
      <c r="M4" s="2">
        <v>1680</v>
      </c>
      <c r="N4" s="2">
        <v>575</v>
      </c>
      <c r="O4" s="2">
        <v>472</v>
      </c>
      <c r="P4" s="8">
        <f t="shared" si="0"/>
        <v>12233</v>
      </c>
      <c r="Q4" s="9">
        <f>SUM(RepInCongressCongressionalDistrict24General[[#This Row],[Total Votes by Party]])</f>
        <v>12233</v>
      </c>
    </row>
    <row r="5" spans="1:17" x14ac:dyDescent="0.2">
      <c r="A5" s="3" t="s">
        <v>0</v>
      </c>
      <c r="B5" s="2">
        <v>20</v>
      </c>
      <c r="C5" s="2">
        <v>20</v>
      </c>
      <c r="D5" s="2">
        <v>23</v>
      </c>
      <c r="E5" s="2">
        <v>7</v>
      </c>
      <c r="F5" s="2">
        <v>31</v>
      </c>
      <c r="G5" s="2">
        <v>10</v>
      </c>
      <c r="H5" s="2">
        <v>200</v>
      </c>
      <c r="I5" s="2">
        <v>25</v>
      </c>
      <c r="J5" s="2">
        <v>3</v>
      </c>
      <c r="K5" s="2">
        <v>7</v>
      </c>
      <c r="L5" s="2">
        <v>10</v>
      </c>
      <c r="M5" s="2">
        <v>14</v>
      </c>
      <c r="N5" s="2">
        <v>49</v>
      </c>
      <c r="O5" s="2">
        <v>1</v>
      </c>
      <c r="P5" s="8">
        <f t="shared" si="0"/>
        <v>420</v>
      </c>
      <c r="Q5" s="10"/>
    </row>
    <row r="6" spans="1:17" x14ac:dyDescent="0.2">
      <c r="A6" s="3" t="s">
        <v>1</v>
      </c>
      <c r="B6" s="2">
        <v>0</v>
      </c>
      <c r="C6" s="2">
        <v>3</v>
      </c>
      <c r="D6" s="2">
        <v>2</v>
      </c>
      <c r="E6" s="2">
        <v>2</v>
      </c>
      <c r="F6" s="2">
        <v>4</v>
      </c>
      <c r="G6" s="2">
        <v>1</v>
      </c>
      <c r="H6" s="2">
        <v>7</v>
      </c>
      <c r="I6" s="2">
        <v>11</v>
      </c>
      <c r="J6" s="2">
        <v>0</v>
      </c>
      <c r="K6" s="2">
        <v>2</v>
      </c>
      <c r="L6" s="2">
        <v>3</v>
      </c>
      <c r="M6" s="2">
        <v>2</v>
      </c>
      <c r="N6" s="2">
        <v>5</v>
      </c>
      <c r="O6" s="2">
        <v>2</v>
      </c>
      <c r="P6" s="8">
        <f t="shared" si="0"/>
        <v>44</v>
      </c>
      <c r="Q6" s="10"/>
    </row>
    <row r="7" spans="1:17" x14ac:dyDescent="0.2">
      <c r="A7" s="3" t="s">
        <v>6</v>
      </c>
      <c r="B7" s="2">
        <v>4</v>
      </c>
      <c r="C7" s="2">
        <v>2</v>
      </c>
      <c r="D7" s="2">
        <v>19</v>
      </c>
      <c r="E7" s="2">
        <v>15</v>
      </c>
      <c r="F7" s="2">
        <v>16</v>
      </c>
      <c r="G7" s="2">
        <v>37</v>
      </c>
      <c r="H7" s="2">
        <v>5</v>
      </c>
      <c r="I7" s="2">
        <v>42</v>
      </c>
      <c r="J7" s="2">
        <v>1</v>
      </c>
      <c r="K7" s="2">
        <v>8</v>
      </c>
      <c r="L7" s="2">
        <v>3</v>
      </c>
      <c r="M7" s="2">
        <v>22</v>
      </c>
      <c r="N7" s="2">
        <v>4</v>
      </c>
      <c r="O7" s="2">
        <v>9</v>
      </c>
      <c r="P7" s="8">
        <f t="shared" si="0"/>
        <v>187</v>
      </c>
      <c r="Q7" s="10"/>
    </row>
    <row r="8" spans="1:17" x14ac:dyDescent="0.2">
      <c r="A8" s="11" t="s">
        <v>2</v>
      </c>
      <c r="B8" s="2">
        <f>SUM(RepInCongressCongressionalDistrict24General[Part of Cayuga County Vote Results])</f>
        <v>849</v>
      </c>
      <c r="C8" s="2">
        <f>SUM(RepInCongressCongressionalDistrict24General[Genesee County Vote Results])</f>
        <v>2062</v>
      </c>
      <c r="D8" s="2">
        <f>SUM(RepInCongressCongressionalDistrict24General[Part of Jefferson County Vote Results])</f>
        <v>2456</v>
      </c>
      <c r="E8" s="2">
        <f>SUM(RepInCongressCongressionalDistrict24General[Livingston County Vote Results])</f>
        <v>2655</v>
      </c>
      <c r="F8" s="2">
        <f>SUM(RepInCongressCongressionalDistrict24General[Part of Niagara County Vote Results])</f>
        <v>3427</v>
      </c>
      <c r="G8" s="2">
        <f>SUM(RepInCongressCongressionalDistrict24General[Part of Ontario County Vote Results])</f>
        <v>3985</v>
      </c>
      <c r="H8" s="2">
        <f>SUM(RepInCongressCongressionalDistrict24General[Orleans County Vote Results])</f>
        <v>3277</v>
      </c>
      <c r="I8" s="2">
        <f>SUM(RepInCongressCongressionalDistrict24General[Oswego County Vote Results])</f>
        <v>4650</v>
      </c>
      <c r="J8" s="2">
        <f>SUM(RepInCongressCongressionalDistrict24General[Part of Schuyler County Vote Results])</f>
        <v>280</v>
      </c>
      <c r="K8" s="2">
        <f>SUM(RepInCongressCongressionalDistrict24General[Seneca County Vote Results])</f>
        <v>1448</v>
      </c>
      <c r="L8" s="2">
        <f>SUM(RepInCongressCongressionalDistrict24General[Part of Steuben County Vote Results])</f>
        <v>791</v>
      </c>
      <c r="M8" s="2">
        <f>SUM(RepInCongressCongressionalDistrict24General[Wayne County Vote Results])</f>
        <v>3499</v>
      </c>
      <c r="N8" s="2">
        <f>SUM(RepInCongressCongressionalDistrict24General[Wyoming County Vote Results])</f>
        <v>1938</v>
      </c>
      <c r="O8" s="2">
        <f>SUM(RepInCongressCongressionalDistrict24General[Yates County Vote Results])</f>
        <v>1052</v>
      </c>
      <c r="P8" s="8">
        <f>SUM(RepInCongressCongressionalDistrict24General[Total Votes by Party])</f>
        <v>32369</v>
      </c>
      <c r="Q8" s="10"/>
    </row>
  </sheetData>
  <phoneticPr fontId="6" type="noConversion"/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1101-37D0-45EB-B26F-BC94B867A34D}">
  <sheetPr>
    <pageSetUpPr fitToPage="1"/>
  </sheetPr>
  <dimension ref="A1:E9"/>
  <sheetViews>
    <sheetView workbookViewId="0">
      <selection activeCell="B7" sqref="B7"/>
    </sheetView>
  </sheetViews>
  <sheetFormatPr defaultRowHeight="12.75" x14ac:dyDescent="0.2"/>
  <cols>
    <col min="1" max="1" width="27" customWidth="1"/>
    <col min="2" max="4" width="20.5703125" customWidth="1"/>
    <col min="5" max="6" width="23.5703125" customWidth="1"/>
  </cols>
  <sheetData>
    <row r="1" spans="1:5" ht="51" customHeight="1" x14ac:dyDescent="0.2">
      <c r="A1" s="58" t="s">
        <v>535</v>
      </c>
      <c r="B1" s="58"/>
      <c r="C1" s="58"/>
      <c r="D1" s="58"/>
      <c r="E1" s="58"/>
    </row>
    <row r="2" spans="1:5" ht="25.5" x14ac:dyDescent="0.2">
      <c r="A2" s="4" t="s">
        <v>5</v>
      </c>
      <c r="B2" s="5" t="s">
        <v>17</v>
      </c>
      <c r="C2" s="6" t="s">
        <v>3</v>
      </c>
      <c r="D2" s="7" t="s">
        <v>4</v>
      </c>
    </row>
    <row r="3" spans="1:5" x14ac:dyDescent="0.2">
      <c r="A3" s="1" t="s">
        <v>536</v>
      </c>
      <c r="B3" s="16">
        <v>4901</v>
      </c>
      <c r="C3" s="8">
        <f>MemberOfAssemblyAssemblyDistrict36General[[#This Row],[Part of Queens County Vote Results]]</f>
        <v>4901</v>
      </c>
      <c r="D3" s="9">
        <f>SUM(MemberOfAssemblyAssemblyDistrict36General[[#This Row],[Total Votes by Party]])</f>
        <v>4901</v>
      </c>
    </row>
    <row r="4" spans="1:5" x14ac:dyDescent="0.2">
      <c r="A4" s="1" t="s">
        <v>537</v>
      </c>
      <c r="B4" s="2">
        <v>3387</v>
      </c>
      <c r="C4" s="8">
        <f>MemberOfAssemblyAssemblyDistrict36General[[#This Row],[Part of Queens County Vote Results]]</f>
        <v>3387</v>
      </c>
      <c r="D4" s="9">
        <f>SUM(MemberOfAssemblyAssemblyDistrict36General[[#This Row],[Total Votes by Party]])</f>
        <v>3387</v>
      </c>
    </row>
    <row r="5" spans="1:5" x14ac:dyDescent="0.2">
      <c r="A5" s="1" t="s">
        <v>538</v>
      </c>
      <c r="B5" s="2">
        <v>2150</v>
      </c>
      <c r="C5" s="8">
        <f>MemberOfAssemblyAssemblyDistrict36General[[#This Row],[Part of Queens County Vote Results]]</f>
        <v>2150</v>
      </c>
      <c r="D5" s="9">
        <f>SUM(MemberOfAssemblyAssemblyDistrict36General[[#This Row],[Total Votes by Party]])</f>
        <v>2150</v>
      </c>
    </row>
    <row r="6" spans="1:5" x14ac:dyDescent="0.2">
      <c r="A6" s="3" t="s">
        <v>0</v>
      </c>
      <c r="B6" s="2">
        <v>3985</v>
      </c>
      <c r="C6" s="8">
        <f>MemberOfAssemblyAssemblyDistrict36General[[#This Row],[Part of Queens County Vote Results]]</f>
        <v>3985</v>
      </c>
      <c r="D6" s="10"/>
    </row>
    <row r="7" spans="1:5" x14ac:dyDescent="0.2">
      <c r="A7" s="3" t="s">
        <v>1</v>
      </c>
      <c r="B7" s="2"/>
      <c r="C7" s="8">
        <f>MemberOfAssemblyAssemblyDistrict36General[[#This Row],[Part of Queens County Vote Results]]</f>
        <v>0</v>
      </c>
      <c r="D7" s="10"/>
    </row>
    <row r="8" spans="1:5" x14ac:dyDescent="0.2">
      <c r="A8" s="3" t="s">
        <v>6</v>
      </c>
      <c r="B8" s="2">
        <v>111</v>
      </c>
      <c r="C8" s="8">
        <f>MemberOfAssemblyAssemblyDistrict36General[[#This Row],[Part of Queens County Vote Results]]</f>
        <v>111</v>
      </c>
      <c r="D8" s="10"/>
    </row>
    <row r="9" spans="1:5" x14ac:dyDescent="0.2">
      <c r="A9" s="11" t="s">
        <v>2</v>
      </c>
      <c r="B9" s="2">
        <f>SUM(MemberOfAssemblyAssemblyDistrict36General[Part of Queens County Vote Results])</f>
        <v>14534</v>
      </c>
      <c r="C9" s="8">
        <f>SUM(MemberOfAssemblyAssemblyDistrict36General[Total Votes by Party])</f>
        <v>14534</v>
      </c>
      <c r="D9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D6A60-8F46-4783-8413-A653A592D3BD}">
  <sheetPr>
    <pageSetUpPr fitToPage="1"/>
  </sheetPr>
  <dimension ref="A1:F9"/>
  <sheetViews>
    <sheetView workbookViewId="0">
      <selection activeCell="B7" sqref="B7"/>
    </sheetView>
  </sheetViews>
  <sheetFormatPr defaultRowHeight="12.75" x14ac:dyDescent="0.2"/>
  <cols>
    <col min="1" max="1" width="25.5703125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6" ht="51" customHeight="1" x14ac:dyDescent="0.2">
      <c r="A1" s="59" t="s">
        <v>374</v>
      </c>
      <c r="B1" s="59"/>
      <c r="C1" s="59"/>
      <c r="D1" s="59"/>
      <c r="E1" s="59"/>
      <c r="F1" s="41"/>
    </row>
    <row r="2" spans="1:6" ht="25.5" x14ac:dyDescent="0.2">
      <c r="A2" s="29" t="s">
        <v>5</v>
      </c>
      <c r="B2" s="30" t="s">
        <v>18</v>
      </c>
      <c r="C2" s="31" t="s">
        <v>3</v>
      </c>
      <c r="D2" s="32" t="s">
        <v>4</v>
      </c>
    </row>
    <row r="3" spans="1:6" x14ac:dyDescent="0.2">
      <c r="A3" s="33" t="s">
        <v>375</v>
      </c>
      <c r="B3" s="46">
        <v>2503</v>
      </c>
      <c r="C3" s="35">
        <f>MemberOfAssemblyAssemblyDistrict43General[[#This Row],[Part of Kings County Vote Results]]</f>
        <v>2503</v>
      </c>
      <c r="D3" s="36">
        <f>SUM(MemberOfAssemblyAssemblyDistrict43General[[#This Row],[Total Votes by Party]])</f>
        <v>2503</v>
      </c>
    </row>
    <row r="4" spans="1:6" x14ac:dyDescent="0.2">
      <c r="A4" s="33" t="s">
        <v>376</v>
      </c>
      <c r="B4" s="46">
        <v>3473</v>
      </c>
      <c r="C4" s="35">
        <f>MemberOfAssemblyAssemblyDistrict43General[[#This Row],[Part of Kings County Vote Results]]</f>
        <v>3473</v>
      </c>
      <c r="D4" s="36">
        <f>SUM(MemberOfAssemblyAssemblyDistrict43General[[#This Row],[Total Votes by Party]])</f>
        <v>3473</v>
      </c>
    </row>
    <row r="5" spans="1:6" x14ac:dyDescent="0.2">
      <c r="A5" s="33" t="s">
        <v>377</v>
      </c>
      <c r="B5" s="46">
        <v>2574</v>
      </c>
      <c r="C5" s="35">
        <f>MemberOfAssemblyAssemblyDistrict43General[[#This Row],[Part of Kings County Vote Results]]</f>
        <v>2574</v>
      </c>
      <c r="D5" s="36">
        <f>SUM(MemberOfAssemblyAssemblyDistrict43General[[#This Row],[Total Votes by Party]])</f>
        <v>2574</v>
      </c>
    </row>
    <row r="6" spans="1:6" x14ac:dyDescent="0.2">
      <c r="A6" s="37" t="s">
        <v>0</v>
      </c>
      <c r="B6" s="47">
        <v>1669</v>
      </c>
      <c r="C6" s="35">
        <f>MemberOfAssemblyAssemblyDistrict43General[[#This Row],[Part of Kings County Vote Results]]</f>
        <v>1669</v>
      </c>
      <c r="D6" s="38"/>
    </row>
    <row r="7" spans="1:6" x14ac:dyDescent="0.2">
      <c r="A7" s="37" t="s">
        <v>1</v>
      </c>
      <c r="B7" s="47"/>
      <c r="C7" s="35">
        <f>MemberOfAssemblyAssemblyDistrict43General[[#This Row],[Part of Kings County Vote Results]]</f>
        <v>0</v>
      </c>
      <c r="D7" s="38"/>
    </row>
    <row r="8" spans="1:6" x14ac:dyDescent="0.2">
      <c r="A8" s="37" t="s">
        <v>6</v>
      </c>
      <c r="B8" s="47">
        <v>75</v>
      </c>
      <c r="C8" s="35">
        <f>MemberOfAssemblyAssemblyDistrict43General[[#This Row],[Part of Kings County Vote Results]]</f>
        <v>75</v>
      </c>
      <c r="D8" s="38"/>
    </row>
    <row r="9" spans="1:6" x14ac:dyDescent="0.2">
      <c r="A9" s="11" t="s">
        <v>2</v>
      </c>
      <c r="B9" s="2">
        <f>SUM(MemberOfAssemblyAssemblyDistrict43General[Part of Kings County Vote Results])</f>
        <v>10294</v>
      </c>
      <c r="C9" s="8">
        <f>SUM(MemberOfAssemblyAssemblyDistrict43General[Total Votes by Party])</f>
        <v>10294</v>
      </c>
      <c r="D9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B98A9-1764-4671-B894-8523DE2D5DF5}">
  <sheetPr>
    <pageSetUpPr fitToPage="1"/>
  </sheetPr>
  <dimension ref="A1:E10"/>
  <sheetViews>
    <sheetView workbookViewId="0">
      <selection activeCell="B7" sqref="B7"/>
    </sheetView>
  </sheetViews>
  <sheetFormatPr defaultRowHeight="12.75" x14ac:dyDescent="0.2"/>
  <cols>
    <col min="1" max="1" width="25.5703125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5" ht="51" customHeight="1" x14ac:dyDescent="0.2">
      <c r="A1" s="59" t="s">
        <v>378</v>
      </c>
      <c r="B1" s="59"/>
      <c r="C1" s="59"/>
      <c r="D1" s="59"/>
      <c r="E1" s="59"/>
    </row>
    <row r="2" spans="1:5" ht="25.5" x14ac:dyDescent="0.2">
      <c r="A2" s="29" t="s">
        <v>5</v>
      </c>
      <c r="B2" s="30" t="s">
        <v>18</v>
      </c>
      <c r="C2" s="31" t="s">
        <v>3</v>
      </c>
      <c r="D2" s="32" t="s">
        <v>4</v>
      </c>
    </row>
    <row r="3" spans="1:5" x14ac:dyDescent="0.2">
      <c r="A3" s="33" t="s">
        <v>379</v>
      </c>
      <c r="B3" s="46">
        <v>783</v>
      </c>
      <c r="C3" s="35">
        <f>MemberOfAssemblyAssemblyDistrict46General[[#This Row],[Part of Kings County Vote Results]]</f>
        <v>783</v>
      </c>
      <c r="D3" s="36">
        <f>SUM(MemberOfAssemblyAssemblyDistrict46General[[#This Row],[Total Votes by Party]])</f>
        <v>783</v>
      </c>
    </row>
    <row r="4" spans="1:5" x14ac:dyDescent="0.2">
      <c r="A4" s="33" t="s">
        <v>380</v>
      </c>
      <c r="B4" s="46">
        <v>1901</v>
      </c>
      <c r="C4" s="35">
        <f>MemberOfAssemblyAssemblyDistrict46General[[#This Row],[Part of Kings County Vote Results]]</f>
        <v>1901</v>
      </c>
      <c r="D4" s="36">
        <f>SUM(MemberOfAssemblyAssemblyDistrict46General[[#This Row],[Total Votes by Party]])</f>
        <v>1901</v>
      </c>
    </row>
    <row r="5" spans="1:5" x14ac:dyDescent="0.2">
      <c r="A5" s="33" t="s">
        <v>381</v>
      </c>
      <c r="B5" s="46">
        <v>1939</v>
      </c>
      <c r="C5" s="35">
        <f>MemberOfAssemblyAssemblyDistrict46General[[#This Row],[Part of Kings County Vote Results]]</f>
        <v>1939</v>
      </c>
      <c r="D5" s="36">
        <f>SUM(MemberOfAssemblyAssemblyDistrict46General[[#This Row],[Total Votes by Party]])</f>
        <v>1939</v>
      </c>
    </row>
    <row r="6" spans="1:5" x14ac:dyDescent="0.2">
      <c r="A6" s="33" t="s">
        <v>382</v>
      </c>
      <c r="B6" s="46">
        <v>1314</v>
      </c>
      <c r="C6" s="35">
        <f>MemberOfAssemblyAssemblyDistrict46General[[#This Row],[Part of Kings County Vote Results]]</f>
        <v>1314</v>
      </c>
      <c r="D6" s="36">
        <f>SUM(MemberOfAssemblyAssemblyDistrict46General[[#This Row],[Total Votes by Party]])</f>
        <v>1314</v>
      </c>
    </row>
    <row r="7" spans="1:5" x14ac:dyDescent="0.2">
      <c r="A7" s="37" t="s">
        <v>0</v>
      </c>
      <c r="B7" s="47">
        <v>714</v>
      </c>
      <c r="C7" s="35">
        <f>MemberOfAssemblyAssemblyDistrict46General[[#This Row],[Part of Kings County Vote Results]]</f>
        <v>714</v>
      </c>
      <c r="D7" s="38"/>
    </row>
    <row r="8" spans="1:5" x14ac:dyDescent="0.2">
      <c r="A8" s="37" t="s">
        <v>1</v>
      </c>
      <c r="B8" s="47"/>
      <c r="C8" s="35">
        <f>MemberOfAssemblyAssemblyDistrict46General[[#This Row],[Part of Kings County Vote Results]]</f>
        <v>0</v>
      </c>
      <c r="D8" s="38"/>
    </row>
    <row r="9" spans="1:5" x14ac:dyDescent="0.2">
      <c r="A9" s="37" t="s">
        <v>6</v>
      </c>
      <c r="B9" s="47">
        <v>27</v>
      </c>
      <c r="C9" s="35">
        <f>MemberOfAssemblyAssemblyDistrict46General[[#This Row],[Part of Kings County Vote Results]]</f>
        <v>27</v>
      </c>
      <c r="D9" s="38"/>
    </row>
    <row r="10" spans="1:5" x14ac:dyDescent="0.2">
      <c r="A10" s="11" t="s">
        <v>2</v>
      </c>
      <c r="B10" s="2">
        <f>SUM(MemberOfAssemblyAssemblyDistrict46General[Part of Kings County Vote Results])</f>
        <v>6678</v>
      </c>
      <c r="C10" s="8">
        <f>SUM(MemberOfAssemblyAssemblyDistrict46General[Total Votes by Party])</f>
        <v>6678</v>
      </c>
      <c r="D10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D004-941C-41F2-8688-41321E0BEA59}">
  <sheetPr>
    <pageSetUpPr fitToPage="1"/>
  </sheetPr>
  <dimension ref="A1:E10"/>
  <sheetViews>
    <sheetView workbookViewId="0">
      <selection activeCell="B7" sqref="B7"/>
    </sheetView>
  </sheetViews>
  <sheetFormatPr defaultRowHeight="12.75" x14ac:dyDescent="0.2"/>
  <cols>
    <col min="1" max="1" width="27.28515625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5" ht="51" customHeight="1" x14ac:dyDescent="0.2">
      <c r="A1" s="59" t="s">
        <v>383</v>
      </c>
      <c r="B1" s="59"/>
      <c r="C1" s="59"/>
      <c r="D1" s="59"/>
      <c r="E1" s="59"/>
    </row>
    <row r="2" spans="1:5" ht="25.5" x14ac:dyDescent="0.2">
      <c r="A2" s="29" t="s">
        <v>5</v>
      </c>
      <c r="B2" s="30" t="s">
        <v>18</v>
      </c>
      <c r="C2" s="31" t="s">
        <v>3</v>
      </c>
      <c r="D2" s="32" t="s">
        <v>4</v>
      </c>
    </row>
    <row r="3" spans="1:5" x14ac:dyDescent="0.2">
      <c r="A3" s="33" t="s">
        <v>384</v>
      </c>
      <c r="B3" s="46">
        <v>1651</v>
      </c>
      <c r="C3" s="35">
        <f>MemberOfAssemblyAssemblyDistrict50General60[[#This Row],[Part of Kings County Vote Results]]</f>
        <v>1651</v>
      </c>
      <c r="D3" s="36">
        <f>SUM(MemberOfAssemblyAssemblyDistrict50General60[[#This Row],[Total Votes by Party]])</f>
        <v>1651</v>
      </c>
    </row>
    <row r="4" spans="1:5" x14ac:dyDescent="0.2">
      <c r="A4" s="33" t="s">
        <v>385</v>
      </c>
      <c r="B4" s="46">
        <v>916</v>
      </c>
      <c r="C4" s="35">
        <f>MemberOfAssemblyAssemblyDistrict50General60[[#This Row],[Part of Kings County Vote Results]]</f>
        <v>916</v>
      </c>
      <c r="D4" s="36">
        <f>SUM(MemberOfAssemblyAssemblyDistrict50General60[[#This Row],[Total Votes by Party]])</f>
        <v>916</v>
      </c>
    </row>
    <row r="5" spans="1:5" x14ac:dyDescent="0.2">
      <c r="A5" s="33" t="s">
        <v>386</v>
      </c>
      <c r="B5" s="46">
        <v>3374</v>
      </c>
      <c r="C5" s="35">
        <f>MemberOfAssemblyAssemblyDistrict50General60[[#This Row],[Part of Kings County Vote Results]]</f>
        <v>3374</v>
      </c>
      <c r="D5" s="36">
        <f>SUM(MemberOfAssemblyAssemblyDistrict50General60[[#This Row],[Total Votes by Party]])</f>
        <v>3374</v>
      </c>
    </row>
    <row r="6" spans="1:5" x14ac:dyDescent="0.2">
      <c r="A6" s="33" t="s">
        <v>387</v>
      </c>
      <c r="B6" s="46">
        <v>4361</v>
      </c>
      <c r="C6" s="35">
        <f>MemberOfAssemblyAssemblyDistrict50General60[[#This Row],[Part of Kings County Vote Results]]</f>
        <v>4361</v>
      </c>
      <c r="D6" s="36">
        <f>SUM(MemberOfAssemblyAssemblyDistrict50General60[[#This Row],[Total Votes by Party]])</f>
        <v>4361</v>
      </c>
    </row>
    <row r="7" spans="1:5" x14ac:dyDescent="0.2">
      <c r="A7" s="37" t="s">
        <v>0</v>
      </c>
      <c r="B7" s="46">
        <v>2106</v>
      </c>
      <c r="C7" s="35">
        <f>MemberOfAssemblyAssemblyDistrict50General60[[#This Row],[Part of Kings County Vote Results]]</f>
        <v>2106</v>
      </c>
      <c r="D7" s="38"/>
    </row>
    <row r="8" spans="1:5" x14ac:dyDescent="0.2">
      <c r="A8" s="37" t="s">
        <v>1</v>
      </c>
      <c r="B8" s="47"/>
      <c r="C8" s="35">
        <f>MemberOfAssemblyAssemblyDistrict50General60[[#This Row],[Part of Kings County Vote Results]]</f>
        <v>0</v>
      </c>
      <c r="D8" s="38"/>
    </row>
    <row r="9" spans="1:5" x14ac:dyDescent="0.2">
      <c r="A9" s="37" t="s">
        <v>6</v>
      </c>
      <c r="B9" s="47">
        <v>104</v>
      </c>
      <c r="C9" s="35">
        <f>MemberOfAssemblyAssemblyDistrict50General60[[#This Row],[Part of Kings County Vote Results]]</f>
        <v>104</v>
      </c>
      <c r="D9" s="38"/>
    </row>
    <row r="10" spans="1:5" x14ac:dyDescent="0.2">
      <c r="A10" s="39" t="s">
        <v>2</v>
      </c>
      <c r="B10" s="34">
        <f>SUM(MemberOfAssemblyAssemblyDistrict50General60[Part of Kings County Vote Results])</f>
        <v>12512</v>
      </c>
      <c r="C10" s="35">
        <f>SUM(MemberOfAssemblyAssemblyDistrict50General60[Total Votes by Party])</f>
        <v>12512</v>
      </c>
      <c r="D10" s="38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D1A55-FE4B-4F5A-8F6C-C4EF6C4C7A72}">
  <sheetPr>
    <pageSetUpPr fitToPage="1"/>
  </sheetPr>
  <dimension ref="A1:E9"/>
  <sheetViews>
    <sheetView workbookViewId="0">
      <selection activeCell="B10" sqref="B10"/>
    </sheetView>
  </sheetViews>
  <sheetFormatPr defaultRowHeight="12.75" x14ac:dyDescent="0.2"/>
  <cols>
    <col min="1" max="1" width="25.5703125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5" ht="51" customHeight="1" x14ac:dyDescent="0.2">
      <c r="A1" s="59" t="s">
        <v>388</v>
      </c>
      <c r="B1" s="59"/>
      <c r="C1" s="59"/>
      <c r="D1" s="59"/>
      <c r="E1" s="59"/>
    </row>
    <row r="2" spans="1:5" ht="25.5" x14ac:dyDescent="0.2">
      <c r="A2" s="29" t="s">
        <v>5</v>
      </c>
      <c r="B2" s="30" t="s">
        <v>18</v>
      </c>
      <c r="C2" s="31" t="s">
        <v>3</v>
      </c>
      <c r="D2" s="32" t="s">
        <v>4</v>
      </c>
    </row>
    <row r="3" spans="1:5" x14ac:dyDescent="0.2">
      <c r="A3" s="33" t="s">
        <v>389</v>
      </c>
      <c r="B3" s="46"/>
      <c r="C3" s="35">
        <f>MemberOfAssemblyAssemblyDistrict52General61[[#This Row],[Part of Kings County Vote Results]]</f>
        <v>0</v>
      </c>
      <c r="D3" s="36">
        <f>SUM(MemberOfAssemblyAssemblyDistrict52General61[[#This Row],[Total Votes by Party]])</f>
        <v>0</v>
      </c>
    </row>
    <row r="4" spans="1:5" x14ac:dyDescent="0.2">
      <c r="A4" s="33" t="s">
        <v>390</v>
      </c>
      <c r="B4" s="46"/>
      <c r="C4" s="35">
        <f>MemberOfAssemblyAssemblyDistrict52General61[[#This Row],[Part of Kings County Vote Results]]</f>
        <v>0</v>
      </c>
      <c r="D4" s="36">
        <f>SUM(MemberOfAssemblyAssemblyDistrict52General61[[#This Row],[Total Votes by Party]])</f>
        <v>0</v>
      </c>
    </row>
    <row r="5" spans="1:5" x14ac:dyDescent="0.2">
      <c r="A5" s="33" t="s">
        <v>391</v>
      </c>
      <c r="B5" s="46"/>
      <c r="C5" s="35">
        <f>MemberOfAssemblyAssemblyDistrict52General61[[#This Row],[Part of Kings County Vote Results]]</f>
        <v>0</v>
      </c>
      <c r="D5" s="36">
        <f>SUM(MemberOfAssemblyAssemblyDistrict52General61[[#This Row],[Total Votes by Party]])</f>
        <v>0</v>
      </c>
    </row>
    <row r="6" spans="1:5" x14ac:dyDescent="0.2">
      <c r="A6" s="37" t="s">
        <v>0</v>
      </c>
      <c r="B6" s="47"/>
      <c r="C6" s="35">
        <f>MemberOfAssemblyAssemblyDistrict52General61[[#This Row],[Part of Kings County Vote Results]]</f>
        <v>0</v>
      </c>
      <c r="D6" s="38">
        <f>SUM(MemberOfAssemblyAssemblyDistrict52General61[[#This Row],[Total Votes by Party]])</f>
        <v>0</v>
      </c>
    </row>
    <row r="7" spans="1:5" x14ac:dyDescent="0.2">
      <c r="A7" s="37" t="s">
        <v>1</v>
      </c>
      <c r="B7" s="47"/>
      <c r="C7" s="35">
        <f>MemberOfAssemblyAssemblyDistrict52General61[[#This Row],[Part of Kings County Vote Results]]</f>
        <v>0</v>
      </c>
      <c r="D7" s="38">
        <f>SUM(MemberOfAssemblyAssemblyDistrict52General61[[#This Row],[Total Votes by Party]])</f>
        <v>0</v>
      </c>
    </row>
    <row r="8" spans="1:5" x14ac:dyDescent="0.2">
      <c r="A8" s="37" t="s">
        <v>6</v>
      </c>
      <c r="B8" s="47"/>
      <c r="C8" s="35">
        <f>MemberOfAssemblyAssemblyDistrict52General61[[#This Row],[Part of Kings County Vote Results]]</f>
        <v>0</v>
      </c>
      <c r="D8" s="38">
        <f>SUM(MemberOfAssemblyAssemblyDistrict52General61[[#This Row],[Total Votes by Party]])</f>
        <v>0</v>
      </c>
    </row>
    <row r="9" spans="1:5" x14ac:dyDescent="0.2">
      <c r="A9" s="11" t="s">
        <v>2</v>
      </c>
      <c r="B9" s="2">
        <f>SUM(MemberOfAssemblyAssemblyDistrict52General61[Part of Kings County Vote Results])</f>
        <v>0</v>
      </c>
      <c r="C9" s="8">
        <f>SUM(MemberOfAssemblyAssemblyDistrict52General61[Total Votes by Party])</f>
        <v>0</v>
      </c>
      <c r="D9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B701-BDFB-43E9-B1D6-F3038CB40D04}">
  <sheetPr>
    <pageSetUpPr fitToPage="1"/>
  </sheetPr>
  <dimension ref="A1:D10"/>
  <sheetViews>
    <sheetView workbookViewId="0">
      <selection activeCell="B10" sqref="B10"/>
    </sheetView>
  </sheetViews>
  <sheetFormatPr defaultRowHeight="12.75" x14ac:dyDescent="0.2"/>
  <cols>
    <col min="1" max="1" width="25.5703125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4" ht="18.75" x14ac:dyDescent="0.2">
      <c r="A1" s="27" t="s">
        <v>392</v>
      </c>
    </row>
    <row r="2" spans="1:4" ht="25.5" x14ac:dyDescent="0.2">
      <c r="A2" s="29" t="s">
        <v>5</v>
      </c>
      <c r="B2" s="30" t="s">
        <v>18</v>
      </c>
      <c r="C2" s="31" t="s">
        <v>3</v>
      </c>
      <c r="D2" s="32" t="s">
        <v>4</v>
      </c>
    </row>
    <row r="3" spans="1:4" x14ac:dyDescent="0.2">
      <c r="A3" s="33" t="s">
        <v>393</v>
      </c>
      <c r="B3" s="46">
        <v>2442</v>
      </c>
      <c r="C3" s="35">
        <f>MemberOfAssemblyAssemblyDistrict55General[[#This Row],[Part of Kings County Vote Results]]</f>
        <v>2442</v>
      </c>
      <c r="D3" s="36">
        <f>SUM(MemberOfAssemblyAssemblyDistrict55General[[#This Row],[Total Votes by Party]])</f>
        <v>2442</v>
      </c>
    </row>
    <row r="4" spans="1:4" x14ac:dyDescent="0.2">
      <c r="A4" s="33" t="s">
        <v>394</v>
      </c>
      <c r="B4" s="46">
        <v>511</v>
      </c>
      <c r="C4" s="35">
        <f>MemberOfAssemblyAssemblyDistrict55General[[#This Row],[Part of Kings County Vote Results]]</f>
        <v>511</v>
      </c>
      <c r="D4" s="36">
        <f>SUM(MemberOfAssemblyAssemblyDistrict55General[[#This Row],[Total Votes by Party]])</f>
        <v>511</v>
      </c>
    </row>
    <row r="5" spans="1:4" x14ac:dyDescent="0.2">
      <c r="A5" s="33" t="s">
        <v>395</v>
      </c>
      <c r="B5" s="46">
        <v>336</v>
      </c>
      <c r="C5" s="35">
        <f>MemberOfAssemblyAssemblyDistrict55General[[#This Row],[Part of Kings County Vote Results]]</f>
        <v>336</v>
      </c>
      <c r="D5" s="36">
        <f>SUM(MemberOfAssemblyAssemblyDistrict55General[[#This Row],[Total Votes by Party]])</f>
        <v>336</v>
      </c>
    </row>
    <row r="6" spans="1:4" x14ac:dyDescent="0.2">
      <c r="A6" s="33" t="s">
        <v>396</v>
      </c>
      <c r="B6" s="46">
        <v>1641</v>
      </c>
      <c r="C6" s="35">
        <f>MemberOfAssemblyAssemblyDistrict55General[[#This Row],[Part of Kings County Vote Results]]</f>
        <v>1641</v>
      </c>
      <c r="D6" s="36">
        <f>SUM(MemberOfAssemblyAssemblyDistrict55General[[#This Row],[Total Votes by Party]])</f>
        <v>1641</v>
      </c>
    </row>
    <row r="7" spans="1:4" x14ac:dyDescent="0.2">
      <c r="A7" s="37" t="s">
        <v>0</v>
      </c>
      <c r="B7" s="47">
        <v>818</v>
      </c>
      <c r="C7" s="35">
        <f>MemberOfAssemblyAssemblyDistrict55General[[#This Row],[Part of Kings County Vote Results]]</f>
        <v>818</v>
      </c>
      <c r="D7" s="38"/>
    </row>
    <row r="8" spans="1:4" x14ac:dyDescent="0.2">
      <c r="A8" s="37" t="s">
        <v>1</v>
      </c>
      <c r="B8" s="47"/>
      <c r="C8" s="35">
        <f>MemberOfAssemblyAssemblyDistrict55General[[#This Row],[Part of Kings County Vote Results]]</f>
        <v>0</v>
      </c>
      <c r="D8" s="38"/>
    </row>
    <row r="9" spans="1:4" x14ac:dyDescent="0.2">
      <c r="A9" s="37" t="s">
        <v>6</v>
      </c>
      <c r="B9" s="47">
        <v>44</v>
      </c>
      <c r="C9" s="35">
        <f>MemberOfAssemblyAssemblyDistrict55General[[#This Row],[Part of Kings County Vote Results]]</f>
        <v>44</v>
      </c>
      <c r="D9" s="38"/>
    </row>
    <row r="10" spans="1:4" x14ac:dyDescent="0.2">
      <c r="A10" s="11" t="s">
        <v>2</v>
      </c>
      <c r="B10" s="2">
        <f>SUM(MemberOfAssemblyAssemblyDistrict55General[Part of Kings County Vote Results])</f>
        <v>5792</v>
      </c>
      <c r="C10" s="8">
        <f>SUM(MemberOfAssemblyAssemblyDistrict55General[Total Votes by Party])</f>
        <v>5792</v>
      </c>
      <c r="D10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D541-BB34-4C73-BC6C-3BC948284D03}">
  <sheetPr>
    <pageSetUpPr fitToPage="1"/>
  </sheetPr>
  <dimension ref="A1:E9"/>
  <sheetViews>
    <sheetView workbookViewId="0">
      <selection activeCell="B10" sqref="B10"/>
    </sheetView>
  </sheetViews>
  <sheetFormatPr defaultRowHeight="12.75" x14ac:dyDescent="0.2"/>
  <cols>
    <col min="1" max="1" width="25.5703125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5" ht="51" customHeight="1" x14ac:dyDescent="0.2">
      <c r="A1" s="59" t="s">
        <v>397</v>
      </c>
      <c r="B1" s="59"/>
      <c r="C1" s="59"/>
      <c r="D1" s="59"/>
      <c r="E1" s="59"/>
    </row>
    <row r="2" spans="1:5" ht="25.5" x14ac:dyDescent="0.2">
      <c r="A2" s="29" t="s">
        <v>5</v>
      </c>
      <c r="B2" s="30" t="s">
        <v>18</v>
      </c>
      <c r="C2" s="31" t="s">
        <v>3</v>
      </c>
      <c r="D2" s="32" t="s">
        <v>4</v>
      </c>
    </row>
    <row r="3" spans="1:5" x14ac:dyDescent="0.2">
      <c r="A3" s="33" t="s">
        <v>398</v>
      </c>
      <c r="B3" s="46">
        <v>3051</v>
      </c>
      <c r="C3" s="35">
        <f>MemberOfAssemblyAssemblyDistrict59General[[#This Row],[Part of Kings County Vote Results]]</f>
        <v>3051</v>
      </c>
      <c r="D3" s="36">
        <f>SUM(MemberOfAssemblyAssemblyDistrict59General[[#This Row],[Total Votes by Party]])</f>
        <v>3051</v>
      </c>
    </row>
    <row r="4" spans="1:5" x14ac:dyDescent="0.2">
      <c r="A4" s="33" t="s">
        <v>399</v>
      </c>
      <c r="B4" s="46">
        <v>1287</v>
      </c>
      <c r="C4" s="35">
        <f>MemberOfAssemblyAssemblyDistrict59General[[#This Row],[Part of Kings County Vote Results]]</f>
        <v>1287</v>
      </c>
      <c r="D4" s="36">
        <f>SUM(MemberOfAssemblyAssemblyDistrict59General[[#This Row],[Total Votes by Party]])</f>
        <v>1287</v>
      </c>
    </row>
    <row r="5" spans="1:5" x14ac:dyDescent="0.2">
      <c r="A5" s="33" t="s">
        <v>400</v>
      </c>
      <c r="B5" s="46">
        <v>2009</v>
      </c>
      <c r="C5" s="35">
        <f>MemberOfAssemblyAssemblyDistrict59General[[#This Row],[Part of Kings County Vote Results]]</f>
        <v>2009</v>
      </c>
      <c r="D5" s="36">
        <f>SUM(MemberOfAssemblyAssemblyDistrict59General[[#This Row],[Total Votes by Party]])</f>
        <v>2009</v>
      </c>
    </row>
    <row r="6" spans="1:5" x14ac:dyDescent="0.2">
      <c r="A6" s="37" t="s">
        <v>0</v>
      </c>
      <c r="B6" s="47">
        <v>801</v>
      </c>
      <c r="C6" s="35">
        <f>MemberOfAssemblyAssemblyDistrict59General[[#This Row],[Part of Kings County Vote Results]]</f>
        <v>801</v>
      </c>
      <c r="D6" s="38"/>
    </row>
    <row r="7" spans="1:5" x14ac:dyDescent="0.2">
      <c r="A7" s="37" t="s">
        <v>1</v>
      </c>
      <c r="B7" s="47"/>
      <c r="C7" s="35">
        <f>MemberOfAssemblyAssemblyDistrict59General[[#This Row],[Part of Kings County Vote Results]]</f>
        <v>0</v>
      </c>
      <c r="D7" s="38"/>
    </row>
    <row r="8" spans="1:5" x14ac:dyDescent="0.2">
      <c r="A8" s="37" t="s">
        <v>6</v>
      </c>
      <c r="B8" s="47">
        <v>46</v>
      </c>
      <c r="C8" s="35">
        <f>MemberOfAssemblyAssemblyDistrict59General[[#This Row],[Part of Kings County Vote Results]]</f>
        <v>46</v>
      </c>
      <c r="D8" s="38"/>
    </row>
    <row r="9" spans="1:5" x14ac:dyDescent="0.2">
      <c r="A9" s="11" t="s">
        <v>2</v>
      </c>
      <c r="B9" s="2">
        <f>SUM(MemberOfAssemblyAssemblyDistrict59General[Part of Kings County Vote Results])</f>
        <v>7194</v>
      </c>
      <c r="C9" s="8">
        <f>SUM(MemberOfAssemblyAssemblyDistrict59General[Total Votes by Party])</f>
        <v>7194</v>
      </c>
      <c r="D9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F23AB-8C27-4D6B-98BB-A349F19D472F}">
  <sheetPr>
    <pageSetUpPr fitToPage="1"/>
  </sheetPr>
  <dimension ref="A1:E10"/>
  <sheetViews>
    <sheetView workbookViewId="0">
      <selection activeCell="B10" sqref="B10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5" ht="51" customHeight="1" x14ac:dyDescent="0.2">
      <c r="A1" s="58" t="s">
        <v>131</v>
      </c>
      <c r="B1" s="58"/>
      <c r="C1" s="58"/>
      <c r="D1" s="58"/>
      <c r="E1" s="58"/>
    </row>
    <row r="2" spans="1:5" ht="25.5" x14ac:dyDescent="0.2">
      <c r="A2" s="4" t="s">
        <v>5</v>
      </c>
      <c r="B2" s="5" t="s">
        <v>19</v>
      </c>
      <c r="C2" s="6" t="s">
        <v>3</v>
      </c>
      <c r="D2" s="7" t="s">
        <v>4</v>
      </c>
    </row>
    <row r="3" spans="1:5" x14ac:dyDescent="0.2">
      <c r="A3" s="1" t="s">
        <v>124</v>
      </c>
      <c r="B3" s="2">
        <v>2426</v>
      </c>
      <c r="C3" s="8">
        <f>MemberOfAssemblyAssemblyDistrict68General39[[#This Row],[Part of New York County Vote Results]]</f>
        <v>2426</v>
      </c>
      <c r="D3" s="9">
        <f>SUM(MemberOfAssemblyAssemblyDistrict68General39[[#This Row],[Total Votes by Party]])</f>
        <v>2426</v>
      </c>
    </row>
    <row r="4" spans="1:5" x14ac:dyDescent="0.2">
      <c r="A4" s="1" t="s">
        <v>123</v>
      </c>
      <c r="B4" s="2">
        <v>1542</v>
      </c>
      <c r="C4" s="8">
        <f>MemberOfAssemblyAssemblyDistrict68General39[[#This Row],[Part of New York County Vote Results]]</f>
        <v>1542</v>
      </c>
      <c r="D4" s="9">
        <f>SUM(MemberOfAssemblyAssemblyDistrict68General39[[#This Row],[Total Votes by Party]])</f>
        <v>1542</v>
      </c>
    </row>
    <row r="5" spans="1:5" x14ac:dyDescent="0.2">
      <c r="A5" s="1" t="s">
        <v>125</v>
      </c>
      <c r="B5" s="2">
        <v>1260</v>
      </c>
      <c r="C5" s="8">
        <f>MemberOfAssemblyAssemblyDistrict68General39[[#This Row],[Part of New York County Vote Results]]</f>
        <v>1260</v>
      </c>
      <c r="D5" s="9">
        <f>SUM(MemberOfAssemblyAssemblyDistrict68General39[[#This Row],[Total Votes by Party]])</f>
        <v>1260</v>
      </c>
    </row>
    <row r="6" spans="1:5" x14ac:dyDescent="0.2">
      <c r="A6" s="1" t="s">
        <v>126</v>
      </c>
      <c r="B6" s="2">
        <v>2680</v>
      </c>
      <c r="C6" s="8">
        <f>MemberOfAssemblyAssemblyDistrict68General39[[#This Row],[Part of New York County Vote Results]]</f>
        <v>2680</v>
      </c>
      <c r="D6" s="9">
        <f>SUM(MemberOfAssemblyAssemblyDistrict68General39[[#This Row],[Total Votes by Party]])</f>
        <v>2680</v>
      </c>
    </row>
    <row r="7" spans="1:5" x14ac:dyDescent="0.2">
      <c r="A7" s="3" t="s">
        <v>0</v>
      </c>
      <c r="B7" s="2">
        <v>3925</v>
      </c>
      <c r="C7" s="8">
        <f>MemberOfAssemblyAssemblyDistrict68General39[[#This Row],[Part of New York County Vote Results]]</f>
        <v>3925</v>
      </c>
      <c r="D7" s="10"/>
    </row>
    <row r="8" spans="1:5" x14ac:dyDescent="0.2">
      <c r="A8" s="3" t="s">
        <v>1</v>
      </c>
      <c r="B8" s="2"/>
      <c r="C8" s="8">
        <f>MemberOfAssemblyAssemblyDistrict68General39[[#This Row],[Part of New York County Vote Results]]</f>
        <v>0</v>
      </c>
      <c r="D8" s="10"/>
    </row>
    <row r="9" spans="1:5" x14ac:dyDescent="0.2">
      <c r="A9" s="3" t="s">
        <v>6</v>
      </c>
      <c r="B9" s="2">
        <v>65</v>
      </c>
      <c r="C9" s="8">
        <f>MemberOfAssemblyAssemblyDistrict68General39[[#This Row],[Part of New York County Vote Results]]</f>
        <v>65</v>
      </c>
      <c r="D9" s="10"/>
    </row>
    <row r="10" spans="1:5" x14ac:dyDescent="0.2">
      <c r="A10" s="11" t="s">
        <v>2</v>
      </c>
      <c r="B10" s="2">
        <f>SUM(MemberOfAssemblyAssemblyDistrict68General39[Part of New York County Vote Results])</f>
        <v>11898</v>
      </c>
      <c r="C10" s="8">
        <f>SUM(MemberOfAssemblyAssemblyDistrict68General39[Total Votes by Party])</f>
        <v>11898</v>
      </c>
      <c r="D10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D31CD-1601-44FC-AE17-4D550E129955}">
  <sheetPr>
    <pageSetUpPr fitToPage="1"/>
  </sheetPr>
  <dimension ref="A1:E10"/>
  <sheetViews>
    <sheetView workbookViewId="0">
      <selection activeCell="B10" sqref="B10"/>
    </sheetView>
  </sheetViews>
  <sheetFormatPr defaultRowHeight="12.75" x14ac:dyDescent="0.2"/>
  <cols>
    <col min="1" max="1" width="30.5703125" customWidth="1"/>
    <col min="2" max="4" width="20.5703125" customWidth="1"/>
    <col min="5" max="6" width="23.5703125" customWidth="1"/>
  </cols>
  <sheetData>
    <row r="1" spans="1:5" ht="51" customHeight="1" x14ac:dyDescent="0.2">
      <c r="A1" s="58" t="s">
        <v>132</v>
      </c>
      <c r="B1" s="58"/>
      <c r="C1" s="58"/>
      <c r="D1" s="58"/>
      <c r="E1" s="58"/>
    </row>
    <row r="2" spans="1:5" ht="25.5" x14ac:dyDescent="0.2">
      <c r="A2" s="4" t="s">
        <v>5</v>
      </c>
      <c r="B2" s="5" t="s">
        <v>19</v>
      </c>
      <c r="C2" s="6" t="s">
        <v>3</v>
      </c>
      <c r="D2" s="7" t="s">
        <v>4</v>
      </c>
    </row>
    <row r="3" spans="1:5" x14ac:dyDescent="0.2">
      <c r="A3" s="22" t="s">
        <v>127</v>
      </c>
      <c r="B3" s="2">
        <v>3411</v>
      </c>
      <c r="C3" s="8">
        <f>MemberOfAssemblyAssemblyDistrict70General41[[#This Row],[Part of New York County Vote Results]]</f>
        <v>3411</v>
      </c>
      <c r="D3" s="9">
        <f>SUM(MemberOfAssemblyAssemblyDistrict70General41[[#This Row],[Total Votes by Party]])</f>
        <v>3411</v>
      </c>
    </row>
    <row r="4" spans="1:5" x14ac:dyDescent="0.2">
      <c r="A4" s="22" t="s">
        <v>128</v>
      </c>
      <c r="B4" s="2">
        <v>3340</v>
      </c>
      <c r="C4" s="8">
        <f>MemberOfAssemblyAssemblyDistrict70General41[[#This Row],[Part of New York County Vote Results]]</f>
        <v>3340</v>
      </c>
      <c r="D4" s="9">
        <f>SUM(MemberOfAssemblyAssemblyDistrict70General41[[#This Row],[Total Votes by Party]])</f>
        <v>3340</v>
      </c>
    </row>
    <row r="5" spans="1:5" x14ac:dyDescent="0.2">
      <c r="A5" s="22" t="s">
        <v>129</v>
      </c>
      <c r="B5" s="2">
        <v>1824</v>
      </c>
      <c r="C5" s="8">
        <f>MemberOfAssemblyAssemblyDistrict70General41[[#This Row],[Part of New York County Vote Results]]</f>
        <v>1824</v>
      </c>
      <c r="D5" s="9">
        <f>SUM(MemberOfAssemblyAssemblyDistrict70General41[[#This Row],[Total Votes by Party]])</f>
        <v>1824</v>
      </c>
    </row>
    <row r="6" spans="1:5" x14ac:dyDescent="0.2">
      <c r="A6" s="1" t="s">
        <v>130</v>
      </c>
      <c r="B6" s="2">
        <v>4483</v>
      </c>
      <c r="C6" s="8">
        <f>MemberOfAssemblyAssemblyDistrict70General41[[#This Row],[Part of New York County Vote Results]]</f>
        <v>4483</v>
      </c>
      <c r="D6" s="9">
        <f>SUM(MemberOfAssemblyAssemblyDistrict70General41[[#This Row],[Total Votes by Party]])</f>
        <v>4483</v>
      </c>
    </row>
    <row r="7" spans="1:5" x14ac:dyDescent="0.2">
      <c r="A7" s="3" t="s">
        <v>0</v>
      </c>
      <c r="B7" s="2">
        <v>4593</v>
      </c>
      <c r="C7" s="8">
        <f>MemberOfAssemblyAssemblyDistrict70General41[[#This Row],[Part of New York County Vote Results]]</f>
        <v>4593</v>
      </c>
      <c r="D7" s="10"/>
    </row>
    <row r="8" spans="1:5" x14ac:dyDescent="0.2">
      <c r="A8" s="3" t="s">
        <v>1</v>
      </c>
      <c r="B8" s="2"/>
      <c r="C8" s="8">
        <f>MemberOfAssemblyAssemblyDistrict70General41[[#This Row],[Part of New York County Vote Results]]</f>
        <v>0</v>
      </c>
      <c r="D8" s="10"/>
    </row>
    <row r="9" spans="1:5" x14ac:dyDescent="0.2">
      <c r="A9" s="3" t="s">
        <v>6</v>
      </c>
      <c r="B9" s="2">
        <v>91</v>
      </c>
      <c r="C9" s="8">
        <f>MemberOfAssemblyAssemblyDistrict70General41[[#This Row],[Part of New York County Vote Results]]</f>
        <v>91</v>
      </c>
      <c r="D9" s="10"/>
    </row>
    <row r="10" spans="1:5" x14ac:dyDescent="0.2">
      <c r="A10" s="11" t="s">
        <v>2</v>
      </c>
      <c r="B10" s="2">
        <f>SUM(MemberOfAssemblyAssemblyDistrict70General41[Part of New York County Vote Results])</f>
        <v>17742</v>
      </c>
      <c r="C10" s="8">
        <f>SUM(MemberOfAssemblyAssemblyDistrict70General41[Total Votes by Party])</f>
        <v>17742</v>
      </c>
      <c r="D10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869F3-E363-4666-B9CD-B2FDB6E358F2}">
  <sheetPr>
    <pageSetUpPr fitToPage="1"/>
  </sheetPr>
  <dimension ref="A1:E9"/>
  <sheetViews>
    <sheetView workbookViewId="0">
      <selection activeCell="B9" sqref="B9"/>
    </sheetView>
  </sheetViews>
  <sheetFormatPr defaultRowHeight="12.75" x14ac:dyDescent="0.2"/>
  <cols>
    <col min="1" max="1" width="25.5703125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5" ht="51" customHeight="1" x14ac:dyDescent="0.2">
      <c r="A1" s="59" t="s">
        <v>133</v>
      </c>
      <c r="B1" s="59"/>
      <c r="C1" s="59"/>
      <c r="D1" s="59"/>
      <c r="E1" s="59"/>
    </row>
    <row r="2" spans="1:5" ht="25.5" x14ac:dyDescent="0.2">
      <c r="A2" s="29" t="s">
        <v>5</v>
      </c>
      <c r="B2" s="30" t="s">
        <v>19</v>
      </c>
      <c r="C2" s="31" t="s">
        <v>3</v>
      </c>
      <c r="D2" s="32" t="s">
        <v>4</v>
      </c>
    </row>
    <row r="3" spans="1:5" x14ac:dyDescent="0.2">
      <c r="A3" s="33" t="s">
        <v>134</v>
      </c>
      <c r="B3" s="34">
        <v>1262</v>
      </c>
      <c r="C3" s="35">
        <f>MemberOfAssemblyAssemblyDistrict72General42[[#This Row],[Part of New York County Vote Results]]</f>
        <v>1262</v>
      </c>
      <c r="D3" s="36">
        <f>SUM(MemberOfAssemblyAssemblyDistrict72General42[[#This Row],[Total Votes by Party]])</f>
        <v>1262</v>
      </c>
    </row>
    <row r="4" spans="1:5" x14ac:dyDescent="0.2">
      <c r="A4" s="33" t="s">
        <v>135</v>
      </c>
      <c r="B4" s="34">
        <v>1533</v>
      </c>
      <c r="C4" s="35">
        <f>MemberOfAssemblyAssemblyDistrict72General42[[#This Row],[Part of New York County Vote Results]]</f>
        <v>1533</v>
      </c>
      <c r="D4" s="36">
        <f>SUM(MemberOfAssemblyAssemblyDistrict72General42[[#This Row],[Total Votes by Party]])</f>
        <v>1533</v>
      </c>
    </row>
    <row r="5" spans="1:5" x14ac:dyDescent="0.2">
      <c r="A5" s="33" t="s">
        <v>136</v>
      </c>
      <c r="B5" s="34">
        <v>1938</v>
      </c>
      <c r="C5" s="35">
        <f>MemberOfAssemblyAssemblyDistrict72General42[[#This Row],[Part of New York County Vote Results]]</f>
        <v>1938</v>
      </c>
      <c r="D5" s="36">
        <f>SUM(MemberOfAssemblyAssemblyDistrict72General42[[#This Row],[Total Votes by Party]])</f>
        <v>1938</v>
      </c>
    </row>
    <row r="6" spans="1:5" x14ac:dyDescent="0.2">
      <c r="A6" s="37" t="s">
        <v>0</v>
      </c>
      <c r="B6" s="34">
        <v>2931</v>
      </c>
      <c r="C6" s="35">
        <f>MemberOfAssemblyAssemblyDistrict72General42[[#This Row],[Part of New York County Vote Results]]</f>
        <v>2931</v>
      </c>
      <c r="D6" s="38"/>
    </row>
    <row r="7" spans="1:5" x14ac:dyDescent="0.2">
      <c r="A7" s="37" t="s">
        <v>1</v>
      </c>
      <c r="B7" s="34"/>
      <c r="C7" s="35">
        <f>MemberOfAssemblyAssemblyDistrict72General42[[#This Row],[Part of New York County Vote Results]]</f>
        <v>0</v>
      </c>
      <c r="D7" s="38"/>
    </row>
    <row r="8" spans="1:5" x14ac:dyDescent="0.2">
      <c r="A8" s="37" t="s">
        <v>6</v>
      </c>
      <c r="B8" s="34">
        <v>60</v>
      </c>
      <c r="C8" s="35">
        <f>MemberOfAssemblyAssemblyDistrict72General42[[#This Row],[Part of New York County Vote Results]]</f>
        <v>60</v>
      </c>
      <c r="D8" s="38"/>
    </row>
    <row r="9" spans="1:5" x14ac:dyDescent="0.2">
      <c r="A9" s="11" t="s">
        <v>2</v>
      </c>
      <c r="B9" s="2">
        <f>SUM(MemberOfAssemblyAssemblyDistrict72General42[Part of New York County Vote Results])</f>
        <v>7724</v>
      </c>
      <c r="C9" s="8">
        <f>SUM(MemberOfAssemblyAssemblyDistrict72General42[Total Votes by Party])</f>
        <v>7724</v>
      </c>
      <c r="D9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D177B-F8DD-4D98-B64B-A2AC7A4E1C1B}">
  <sheetPr>
    <pageSetUpPr fitToPage="1"/>
  </sheetPr>
  <dimension ref="A1:D8"/>
  <sheetViews>
    <sheetView workbookViewId="0">
      <selection activeCell="B8" sqref="B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7" t="s">
        <v>62</v>
      </c>
    </row>
    <row r="2" spans="1:4" ht="24.95" customHeight="1" x14ac:dyDescent="0.2">
      <c r="A2" s="4" t="s">
        <v>5</v>
      </c>
      <c r="B2" s="5" t="s">
        <v>16</v>
      </c>
      <c r="C2" s="6" t="s">
        <v>3</v>
      </c>
      <c r="D2" s="7" t="s">
        <v>4</v>
      </c>
    </row>
    <row r="3" spans="1:4" x14ac:dyDescent="0.2">
      <c r="A3" s="1" t="s">
        <v>595</v>
      </c>
      <c r="B3" s="2">
        <v>5593</v>
      </c>
      <c r="C3" s="8">
        <f>StateSenatorSenateDistrict6General[[#This Row],[Part of Nassau County Vote Results]]</f>
        <v>5593</v>
      </c>
      <c r="D3" s="9">
        <f>SUM(StateSenatorSenateDistrict6General[[#This Row],[Total Votes by Party]])</f>
        <v>5593</v>
      </c>
    </row>
    <row r="4" spans="1:4" x14ac:dyDescent="0.2">
      <c r="A4" s="1" t="s">
        <v>596</v>
      </c>
      <c r="B4" s="26">
        <v>6583</v>
      </c>
      <c r="C4" s="25">
        <f>StateSenatorSenateDistrict6General[[#This Row],[Part of Nassau County Vote Results]]</f>
        <v>6583</v>
      </c>
      <c r="D4" s="51">
        <f>SUM(StateSenatorSenateDistrict6General[[#This Row],[Total Votes by Party]])</f>
        <v>6583</v>
      </c>
    </row>
    <row r="5" spans="1:4" x14ac:dyDescent="0.2">
      <c r="A5" s="3" t="s">
        <v>0</v>
      </c>
      <c r="B5" s="2">
        <v>174</v>
      </c>
      <c r="C5" s="8">
        <f>StateSenatorSenateDistrict6General[[#This Row],[Part of Nassau County Vote Results]]</f>
        <v>174</v>
      </c>
      <c r="D5" s="10"/>
    </row>
    <row r="6" spans="1:4" x14ac:dyDescent="0.2">
      <c r="A6" s="3" t="s">
        <v>1</v>
      </c>
      <c r="B6" s="2">
        <v>288</v>
      </c>
      <c r="C6" s="8">
        <f>StateSenatorSenateDistrict6General[[#This Row],[Part of Nassau County Vote Results]]</f>
        <v>288</v>
      </c>
      <c r="D6" s="10"/>
    </row>
    <row r="7" spans="1:4" x14ac:dyDescent="0.2">
      <c r="A7" s="3" t="s">
        <v>6</v>
      </c>
      <c r="B7" s="2">
        <v>52</v>
      </c>
      <c r="C7" s="8">
        <f>StateSenatorSenateDistrict6General[[#This Row],[Part of Nassau County Vote Results]]</f>
        <v>52</v>
      </c>
      <c r="D7" s="10"/>
    </row>
    <row r="8" spans="1:4" x14ac:dyDescent="0.2">
      <c r="A8" s="11" t="s">
        <v>2</v>
      </c>
      <c r="B8" s="2">
        <f>SUM(StateSenatorSenateDistrict6General[Part of Nassau County Vote Results])</f>
        <v>12690</v>
      </c>
      <c r="C8" s="8">
        <f>SUM(StateSenatorSenateDistrict6General[Total Votes by Party])</f>
        <v>12690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ADDD-317B-4251-9A31-EB1316EDC546}">
  <sheetPr>
    <pageSetUpPr fitToPage="1"/>
  </sheetPr>
  <dimension ref="A1:E10"/>
  <sheetViews>
    <sheetView workbookViewId="0">
      <selection activeCell="B9" sqref="B9"/>
    </sheetView>
  </sheetViews>
  <sheetFormatPr defaultRowHeight="12.75" x14ac:dyDescent="0.2"/>
  <cols>
    <col min="1" max="1" width="27.7109375" customWidth="1"/>
    <col min="2" max="4" width="20.5703125" customWidth="1"/>
    <col min="5" max="6" width="23.5703125" customWidth="1"/>
  </cols>
  <sheetData>
    <row r="1" spans="1:5" ht="51" customHeight="1" x14ac:dyDescent="0.2">
      <c r="A1" s="58" t="s">
        <v>316</v>
      </c>
      <c r="B1" s="58"/>
      <c r="C1" s="58"/>
      <c r="D1" s="58"/>
      <c r="E1" s="58"/>
    </row>
    <row r="2" spans="1:5" ht="25.5" x14ac:dyDescent="0.2">
      <c r="A2" s="4" t="s">
        <v>5</v>
      </c>
      <c r="B2" s="5" t="s">
        <v>20</v>
      </c>
      <c r="C2" s="6" t="s">
        <v>3</v>
      </c>
      <c r="D2" s="7" t="s">
        <v>4</v>
      </c>
    </row>
    <row r="3" spans="1:5" x14ac:dyDescent="0.2">
      <c r="A3" s="1" t="s">
        <v>317</v>
      </c>
      <c r="B3" s="2">
        <v>1511</v>
      </c>
      <c r="C3" s="8">
        <f>MemberOfAssemblyAssemblyDistrict77General53[[#This Row],[Part of Bronx County Vote Results]]</f>
        <v>1511</v>
      </c>
      <c r="D3" s="9">
        <f>SUM(MemberOfAssemblyAssemblyDistrict77General53[[#This Row],[Total Votes by Party]])</f>
        <v>1511</v>
      </c>
    </row>
    <row r="4" spans="1:5" x14ac:dyDescent="0.2">
      <c r="A4" s="1" t="s">
        <v>318</v>
      </c>
      <c r="B4" s="2">
        <v>1008</v>
      </c>
      <c r="C4" s="8">
        <f>MemberOfAssemblyAssemblyDistrict77General53[[#This Row],[Part of Bronx County Vote Results]]</f>
        <v>1008</v>
      </c>
      <c r="D4" s="9">
        <f>SUM(MemberOfAssemblyAssemblyDistrict77General53[[#This Row],[Total Votes by Party]])</f>
        <v>1008</v>
      </c>
    </row>
    <row r="5" spans="1:5" x14ac:dyDescent="0.2">
      <c r="A5" s="1" t="s">
        <v>319</v>
      </c>
      <c r="B5" s="2">
        <v>1191</v>
      </c>
      <c r="C5" s="8">
        <f>MemberOfAssemblyAssemblyDistrict77General53[[#This Row],[Part of Bronx County Vote Results]]</f>
        <v>1191</v>
      </c>
      <c r="D5" s="9">
        <f>SUM(MemberOfAssemblyAssemblyDistrict77General53[[#This Row],[Total Votes by Party]])</f>
        <v>1191</v>
      </c>
    </row>
    <row r="6" spans="1:5" x14ac:dyDescent="0.2">
      <c r="A6" s="1" t="s">
        <v>320</v>
      </c>
      <c r="B6" s="2">
        <v>938</v>
      </c>
      <c r="C6" s="8">
        <f>MemberOfAssemblyAssemblyDistrict77General53[[#This Row],[Part of Bronx County Vote Results]]</f>
        <v>938</v>
      </c>
      <c r="D6" s="9">
        <f>SUM(MemberOfAssemblyAssemblyDistrict77General53[[#This Row],[Total Votes by Party]])</f>
        <v>938</v>
      </c>
    </row>
    <row r="7" spans="1:5" x14ac:dyDescent="0.2">
      <c r="A7" s="3" t="s">
        <v>0</v>
      </c>
      <c r="B7" s="2">
        <v>2027</v>
      </c>
      <c r="C7" s="8">
        <f>MemberOfAssemblyAssemblyDistrict77General53[[#This Row],[Part of Bronx County Vote Results]]</f>
        <v>2027</v>
      </c>
      <c r="D7" s="10"/>
    </row>
    <row r="8" spans="1:5" x14ac:dyDescent="0.2">
      <c r="A8" s="3" t="s">
        <v>1</v>
      </c>
      <c r="B8" s="2"/>
      <c r="C8" s="8">
        <f>MemberOfAssemblyAssemblyDistrict77General53[[#This Row],[Part of Bronx County Vote Results]]</f>
        <v>0</v>
      </c>
      <c r="D8" s="10"/>
    </row>
    <row r="9" spans="1:5" x14ac:dyDescent="0.2">
      <c r="A9" s="3" t="s">
        <v>6</v>
      </c>
      <c r="B9" s="2">
        <v>29</v>
      </c>
      <c r="C9" s="8">
        <f>MemberOfAssemblyAssemblyDistrict77General53[[#This Row],[Part of Bronx County Vote Results]]</f>
        <v>29</v>
      </c>
      <c r="D9" s="10"/>
    </row>
    <row r="10" spans="1:5" x14ac:dyDescent="0.2">
      <c r="A10" s="11" t="s">
        <v>2</v>
      </c>
      <c r="B10" s="2">
        <f>SUM(MemberOfAssemblyAssemblyDistrict77General53[Part of Bronx County Vote Results])</f>
        <v>6704</v>
      </c>
      <c r="C10" s="8">
        <f>SUM(MemberOfAssemblyAssemblyDistrict77General53[Total Votes by Party])</f>
        <v>6704</v>
      </c>
      <c r="D10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9265D-A86B-4BCA-A25F-5E3FE074FC60}">
  <sheetPr>
    <pageSetUpPr fitToPage="1"/>
  </sheetPr>
  <dimension ref="A1:E9"/>
  <sheetViews>
    <sheetView workbookViewId="0">
      <selection activeCell="B9" sqref="B9"/>
    </sheetView>
  </sheetViews>
  <sheetFormatPr defaultRowHeight="12.75" x14ac:dyDescent="0.2"/>
  <cols>
    <col min="1" max="1" width="29.5703125" customWidth="1"/>
    <col min="2" max="4" width="20.5703125" customWidth="1"/>
    <col min="5" max="6" width="23.5703125" customWidth="1"/>
  </cols>
  <sheetData>
    <row r="1" spans="1:5" ht="51" customHeight="1" x14ac:dyDescent="0.2">
      <c r="A1" s="58" t="s">
        <v>321</v>
      </c>
      <c r="B1" s="58"/>
      <c r="C1" s="58"/>
      <c r="D1" s="58"/>
      <c r="E1" s="58"/>
    </row>
    <row r="2" spans="1:5" ht="25.5" x14ac:dyDescent="0.2">
      <c r="A2" s="4" t="s">
        <v>5</v>
      </c>
      <c r="B2" s="5" t="s">
        <v>20</v>
      </c>
      <c r="C2" s="6" t="s">
        <v>3</v>
      </c>
      <c r="D2" s="7" t="s">
        <v>4</v>
      </c>
    </row>
    <row r="3" spans="1:5" x14ac:dyDescent="0.2">
      <c r="A3" s="1" t="s">
        <v>322</v>
      </c>
      <c r="B3" s="2">
        <v>3919</v>
      </c>
      <c r="C3" s="8">
        <f>MemberOfAssemblyAssemblyDistrict81General[[#This Row],[Part of Bronx County Vote Results]]</f>
        <v>3919</v>
      </c>
      <c r="D3" s="9">
        <f>SUM(MemberOfAssemblyAssemblyDistrict81General[[#This Row],[Total Votes by Party]])</f>
        <v>3919</v>
      </c>
    </row>
    <row r="4" spans="1:5" x14ac:dyDescent="0.2">
      <c r="A4" s="1" t="s">
        <v>323</v>
      </c>
      <c r="B4" s="2">
        <v>3970</v>
      </c>
      <c r="C4" s="8">
        <f>MemberOfAssemblyAssemblyDistrict81General[[#This Row],[Part of Bronx County Vote Results]]</f>
        <v>3970</v>
      </c>
      <c r="D4" s="9">
        <f>SUM(MemberOfAssemblyAssemblyDistrict81General[[#This Row],[Total Votes by Party]])</f>
        <v>3970</v>
      </c>
    </row>
    <row r="5" spans="1:5" x14ac:dyDescent="0.2">
      <c r="A5" s="1" t="s">
        <v>324</v>
      </c>
      <c r="B5" s="2">
        <v>2616</v>
      </c>
      <c r="C5" s="8">
        <f>MemberOfAssemblyAssemblyDistrict81General[[#This Row],[Part of Bronx County Vote Results]]</f>
        <v>2616</v>
      </c>
      <c r="D5" s="9">
        <f>SUM(MemberOfAssemblyAssemblyDistrict81General[[#This Row],[Total Votes by Party]])</f>
        <v>2616</v>
      </c>
    </row>
    <row r="6" spans="1:5" x14ac:dyDescent="0.2">
      <c r="A6" s="3" t="s">
        <v>0</v>
      </c>
      <c r="B6" s="2">
        <v>3470</v>
      </c>
      <c r="C6" s="8">
        <f>MemberOfAssemblyAssemblyDistrict81General[[#This Row],[Part of Bronx County Vote Results]]</f>
        <v>3470</v>
      </c>
      <c r="D6" s="10"/>
    </row>
    <row r="7" spans="1:5" x14ac:dyDescent="0.2">
      <c r="A7" s="3" t="s">
        <v>1</v>
      </c>
      <c r="B7" s="2"/>
      <c r="C7" s="8">
        <f>MemberOfAssemblyAssemblyDistrict81General[[#This Row],[Part of Bronx County Vote Results]]</f>
        <v>0</v>
      </c>
      <c r="D7" s="10"/>
    </row>
    <row r="8" spans="1:5" x14ac:dyDescent="0.2">
      <c r="A8" s="3" t="s">
        <v>6</v>
      </c>
      <c r="B8" s="2">
        <v>233</v>
      </c>
      <c r="C8" s="8">
        <f>MemberOfAssemblyAssemblyDistrict81General[[#This Row],[Part of Bronx County Vote Results]]</f>
        <v>233</v>
      </c>
      <c r="D8" s="10"/>
    </row>
    <row r="9" spans="1:5" x14ac:dyDescent="0.2">
      <c r="A9" s="11" t="s">
        <v>2</v>
      </c>
      <c r="B9" s="2">
        <f>SUM(MemberOfAssemblyAssemblyDistrict81General[Part of Bronx County Vote Results])</f>
        <v>14208</v>
      </c>
      <c r="C9" s="8">
        <f>SUM(MemberOfAssemblyAssemblyDistrict81General[Total Votes by Party])</f>
        <v>14208</v>
      </c>
      <c r="D9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46AF-1C5C-4493-88BE-118B93E8B7CD}">
  <sheetPr>
    <pageSetUpPr fitToPage="1"/>
  </sheetPr>
  <dimension ref="A1:E9"/>
  <sheetViews>
    <sheetView workbookViewId="0">
      <selection activeCell="B9" sqref="B9"/>
    </sheetView>
  </sheetViews>
  <sheetFormatPr defaultRowHeight="12.75" x14ac:dyDescent="0.2"/>
  <cols>
    <col min="1" max="1" width="27.85546875" customWidth="1"/>
    <col min="2" max="4" width="20.5703125" customWidth="1"/>
    <col min="5" max="6" width="23.5703125" customWidth="1"/>
  </cols>
  <sheetData>
    <row r="1" spans="1:5" ht="51" customHeight="1" x14ac:dyDescent="0.2">
      <c r="A1" s="58" t="s">
        <v>325</v>
      </c>
      <c r="B1" s="58"/>
      <c r="C1" s="58"/>
      <c r="D1" s="58"/>
      <c r="E1" s="58"/>
    </row>
    <row r="2" spans="1:5" ht="25.5" x14ac:dyDescent="0.2">
      <c r="A2" s="4" t="s">
        <v>5</v>
      </c>
      <c r="B2" s="5" t="s">
        <v>20</v>
      </c>
      <c r="C2" s="6" t="s">
        <v>3</v>
      </c>
      <c r="D2" s="7" t="s">
        <v>4</v>
      </c>
    </row>
    <row r="3" spans="1:5" x14ac:dyDescent="0.2">
      <c r="A3" s="1" t="s">
        <v>326</v>
      </c>
      <c r="B3" s="2">
        <v>1465</v>
      </c>
      <c r="C3" s="8">
        <f>MemberOfAssemblyAssemblyDistrict84General55[[#This Row],[Part of Bronx County Vote Results]]</f>
        <v>1465</v>
      </c>
      <c r="D3" s="9">
        <f>SUM(MemberOfAssemblyAssemblyDistrict84General55[[#This Row],[Total Votes by Party]])</f>
        <v>1465</v>
      </c>
    </row>
    <row r="4" spans="1:5" x14ac:dyDescent="0.2">
      <c r="A4" s="1" t="s">
        <v>327</v>
      </c>
      <c r="B4" s="2">
        <v>762</v>
      </c>
      <c r="C4" s="8">
        <f>MemberOfAssemblyAssemblyDistrict84General55[[#This Row],[Part of Bronx County Vote Results]]</f>
        <v>762</v>
      </c>
      <c r="D4" s="9">
        <f>SUM(MemberOfAssemblyAssemblyDistrict84General55[[#This Row],[Total Votes by Party]])</f>
        <v>762</v>
      </c>
    </row>
    <row r="5" spans="1:5" x14ac:dyDescent="0.2">
      <c r="A5" s="1" t="s">
        <v>328</v>
      </c>
      <c r="B5" s="2">
        <v>601</v>
      </c>
      <c r="C5" s="8">
        <f>MemberOfAssemblyAssemblyDistrict84General55[[#This Row],[Part of Bronx County Vote Results]]</f>
        <v>601</v>
      </c>
      <c r="D5" s="9">
        <f>SUM(MemberOfAssemblyAssemblyDistrict84General55[[#This Row],[Total Votes by Party]])</f>
        <v>601</v>
      </c>
    </row>
    <row r="6" spans="1:5" x14ac:dyDescent="0.2">
      <c r="A6" s="3" t="s">
        <v>0</v>
      </c>
      <c r="B6" s="2">
        <v>1527</v>
      </c>
      <c r="C6" s="8">
        <f>MemberOfAssemblyAssemblyDistrict84General55[[#This Row],[Part of Bronx County Vote Results]]</f>
        <v>1527</v>
      </c>
      <c r="D6" s="10"/>
    </row>
    <row r="7" spans="1:5" x14ac:dyDescent="0.2">
      <c r="A7" s="3" t="s">
        <v>1</v>
      </c>
      <c r="B7" s="2"/>
      <c r="C7" s="8">
        <f>MemberOfAssemblyAssemblyDistrict84General55[[#This Row],[Part of Bronx County Vote Results]]</f>
        <v>0</v>
      </c>
      <c r="D7" s="10"/>
    </row>
    <row r="8" spans="1:5" x14ac:dyDescent="0.2">
      <c r="A8" s="3" t="s">
        <v>6</v>
      </c>
      <c r="B8" s="2">
        <v>37</v>
      </c>
      <c r="C8" s="8">
        <f>MemberOfAssemblyAssemblyDistrict84General55[[#This Row],[Part of Bronx County Vote Results]]</f>
        <v>37</v>
      </c>
      <c r="D8" s="10"/>
    </row>
    <row r="9" spans="1:5" x14ac:dyDescent="0.2">
      <c r="A9" s="11" t="s">
        <v>2</v>
      </c>
      <c r="B9" s="2">
        <f>SUM(MemberOfAssemblyAssemblyDistrict84General55[Part of Bronx County Vote Results])</f>
        <v>4392</v>
      </c>
      <c r="C9" s="8">
        <f>SUM(MemberOfAssemblyAssemblyDistrict84General55[Total Votes by Party])</f>
        <v>4392</v>
      </c>
      <c r="D9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E2410-C984-4FE4-9F6F-7E058492519B}">
  <sheetPr>
    <pageSetUpPr fitToPage="1"/>
  </sheetPr>
  <dimension ref="A1:D8"/>
  <sheetViews>
    <sheetView workbookViewId="0">
      <selection activeCell="B3" sqref="B3:D3"/>
    </sheetView>
  </sheetViews>
  <sheetFormatPr defaultRowHeight="12.75" x14ac:dyDescent="0.2"/>
  <cols>
    <col min="1" max="1" width="31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4" ht="18.75" x14ac:dyDescent="0.2">
      <c r="A1" s="27" t="s">
        <v>623</v>
      </c>
    </row>
    <row r="2" spans="1:4" ht="25.5" x14ac:dyDescent="0.2">
      <c r="A2" s="29" t="s">
        <v>5</v>
      </c>
      <c r="B2" s="30" t="s">
        <v>54</v>
      </c>
      <c r="C2" s="31" t="s">
        <v>3</v>
      </c>
      <c r="D2" s="32" t="s">
        <v>4</v>
      </c>
    </row>
    <row r="3" spans="1:4" x14ac:dyDescent="0.2">
      <c r="A3" s="42" t="s">
        <v>624</v>
      </c>
      <c r="B3" s="49">
        <v>2734</v>
      </c>
      <c r="C3" s="40">
        <f>MemberOfAssemblyAssemblyDistrict137General80[[#This Row],[Part of Monroe County Vote Results]]</f>
        <v>2734</v>
      </c>
      <c r="D3" s="55">
        <f>SUM(MemberOfAssemblyAssemblyDistrict137General80[[#This Row],[Total Votes by Party]])</f>
        <v>2734</v>
      </c>
    </row>
    <row r="4" spans="1:4" x14ac:dyDescent="0.2">
      <c r="A4" s="33" t="s">
        <v>625</v>
      </c>
      <c r="B4" s="34">
        <v>2135</v>
      </c>
      <c r="C4" s="35">
        <f>MemberOfAssemblyAssemblyDistrict137General80[[#This Row],[Part of Monroe County Vote Results]]</f>
        <v>2135</v>
      </c>
      <c r="D4" s="36">
        <f>SUM(MemberOfAssemblyAssemblyDistrict137General80[[#This Row],[Total Votes by Party]])</f>
        <v>2135</v>
      </c>
    </row>
    <row r="5" spans="1:4" x14ac:dyDescent="0.2">
      <c r="A5" s="37" t="s">
        <v>0</v>
      </c>
      <c r="B5" s="34">
        <v>434</v>
      </c>
      <c r="C5" s="35">
        <f>MemberOfAssemblyAssemblyDistrict137General80[[#This Row],[Part of Monroe County Vote Results]]</f>
        <v>434</v>
      </c>
      <c r="D5" s="38"/>
    </row>
    <row r="6" spans="1:4" x14ac:dyDescent="0.2">
      <c r="A6" s="37" t="s">
        <v>1</v>
      </c>
      <c r="B6" s="34">
        <v>17</v>
      </c>
      <c r="C6" s="35">
        <f>MemberOfAssemblyAssemblyDistrict137General80[[#This Row],[Part of Monroe County Vote Results]]</f>
        <v>17</v>
      </c>
      <c r="D6" s="38"/>
    </row>
    <row r="7" spans="1:4" x14ac:dyDescent="0.2">
      <c r="A7" s="37" t="s">
        <v>6</v>
      </c>
      <c r="B7" s="34">
        <v>7</v>
      </c>
      <c r="C7" s="35">
        <f>MemberOfAssemblyAssemblyDistrict137General80[[#This Row],[Part of Monroe County Vote Results]]</f>
        <v>7</v>
      </c>
      <c r="D7" s="38"/>
    </row>
    <row r="8" spans="1:4" x14ac:dyDescent="0.2">
      <c r="A8" s="11" t="s">
        <v>2</v>
      </c>
      <c r="B8" s="2">
        <f>SUM(MemberOfAssemblyAssemblyDistrict137General80[Part of Monroe County Vote Results])</f>
        <v>5327</v>
      </c>
      <c r="C8" s="8">
        <f>SUM(MemberOfAssemblyAssemblyDistrict137General80[Total Votes by Party])</f>
        <v>5327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7F882-58BA-4A48-9DB1-54B870501339}">
  <sheetPr>
    <pageSetUpPr fitToPage="1"/>
  </sheetPr>
  <dimension ref="A1:D8"/>
  <sheetViews>
    <sheetView workbookViewId="0">
      <selection activeCell="D21" sqref="D21"/>
    </sheetView>
  </sheetViews>
  <sheetFormatPr defaultRowHeight="12.75" x14ac:dyDescent="0.2"/>
  <cols>
    <col min="1" max="1" width="25.5703125" style="28" customWidth="1"/>
    <col min="2" max="4" width="20.5703125" style="28" customWidth="1"/>
    <col min="5" max="6" width="23.5703125" style="28" customWidth="1"/>
    <col min="7" max="16384" width="9.140625" style="28"/>
  </cols>
  <sheetData>
    <row r="1" spans="1:4" ht="18.75" x14ac:dyDescent="0.2">
      <c r="A1" s="27" t="s">
        <v>626</v>
      </c>
    </row>
    <row r="2" spans="1:4" ht="25.5" x14ac:dyDescent="0.2">
      <c r="A2" s="29" t="s">
        <v>5</v>
      </c>
      <c r="B2" s="30" t="s">
        <v>54</v>
      </c>
      <c r="C2" s="31" t="s">
        <v>3</v>
      </c>
      <c r="D2" s="32" t="s">
        <v>4</v>
      </c>
    </row>
    <row r="3" spans="1:4" x14ac:dyDescent="0.2">
      <c r="A3" s="42" t="s">
        <v>627</v>
      </c>
      <c r="B3" s="34">
        <v>1677</v>
      </c>
      <c r="C3" s="35">
        <f>MemberOfAssemblyAssemblyDistrict137General8081[[#This Row],[Part of Monroe County Vote Results]]</f>
        <v>1677</v>
      </c>
      <c r="D3" s="36">
        <f>SUM(MemberOfAssemblyAssemblyDistrict137General8081[[#This Row],[Total Votes by Party]])</f>
        <v>1677</v>
      </c>
    </row>
    <row r="4" spans="1:4" x14ac:dyDescent="0.2">
      <c r="A4" s="33" t="s">
        <v>628</v>
      </c>
      <c r="B4" s="49">
        <v>3381</v>
      </c>
      <c r="C4" s="40">
        <f>MemberOfAssemblyAssemblyDistrict137General8081[[#This Row],[Part of Monroe County Vote Results]]</f>
        <v>3381</v>
      </c>
      <c r="D4" s="55">
        <f>SUM(MemberOfAssemblyAssemblyDistrict137General8081[[#This Row],[Total Votes by Party]])</f>
        <v>3381</v>
      </c>
    </row>
    <row r="5" spans="1:4" x14ac:dyDescent="0.2">
      <c r="A5" s="37" t="s">
        <v>0</v>
      </c>
      <c r="B5" s="34">
        <v>254</v>
      </c>
      <c r="C5" s="35">
        <f>MemberOfAssemblyAssemblyDistrict137General8081[[#This Row],[Part of Monroe County Vote Results]]</f>
        <v>254</v>
      </c>
      <c r="D5" s="38"/>
    </row>
    <row r="6" spans="1:4" x14ac:dyDescent="0.2">
      <c r="A6" s="37" t="s">
        <v>1</v>
      </c>
      <c r="B6" s="34">
        <v>13</v>
      </c>
      <c r="C6" s="35">
        <f>MemberOfAssemblyAssemblyDistrict137General8081[[#This Row],[Part of Monroe County Vote Results]]</f>
        <v>13</v>
      </c>
      <c r="D6" s="38"/>
    </row>
    <row r="7" spans="1:4" x14ac:dyDescent="0.2">
      <c r="A7" s="37" t="s">
        <v>6</v>
      </c>
      <c r="B7" s="34">
        <v>2</v>
      </c>
      <c r="C7" s="35">
        <f>MemberOfAssemblyAssemblyDistrict137General8081[[#This Row],[Part of Monroe County Vote Results]]</f>
        <v>2</v>
      </c>
      <c r="D7" s="38"/>
    </row>
    <row r="8" spans="1:4" x14ac:dyDescent="0.2">
      <c r="A8" s="11" t="s">
        <v>2</v>
      </c>
      <c r="B8" s="2">
        <f>SUM(MemberOfAssemblyAssemblyDistrict137General8081[Part of Monroe County Vote Results])</f>
        <v>5327</v>
      </c>
      <c r="C8" s="8">
        <f>SUM(MemberOfAssemblyAssemblyDistrict137General8081[Total Votes by Party])</f>
        <v>5327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D6382-C866-4512-9B08-33570799D0DE}">
  <sheetPr>
    <pageSetUpPr fitToPage="1"/>
  </sheetPr>
  <dimension ref="A1:D8"/>
  <sheetViews>
    <sheetView workbookViewId="0">
      <selection activeCell="B8" sqref="B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7" t="s">
        <v>63</v>
      </c>
    </row>
    <row r="2" spans="1:4" ht="24.95" customHeight="1" x14ac:dyDescent="0.2">
      <c r="A2" s="4" t="s">
        <v>5</v>
      </c>
      <c r="B2" s="5" t="s">
        <v>16</v>
      </c>
      <c r="C2" s="6" t="s">
        <v>3</v>
      </c>
      <c r="D2" s="7" t="s">
        <v>4</v>
      </c>
    </row>
    <row r="3" spans="1:4" x14ac:dyDescent="0.2">
      <c r="A3" s="1" t="s">
        <v>593</v>
      </c>
      <c r="B3" s="2">
        <v>2314</v>
      </c>
      <c r="C3" s="8">
        <f>StateSenatorSenateDistrict7General[[#This Row],[Part of Nassau County Vote Results]]</f>
        <v>2314</v>
      </c>
      <c r="D3" s="9">
        <f>SUM(StateSenatorSenateDistrict7General[[#This Row],[Total Votes by Party]])</f>
        <v>2314</v>
      </c>
    </row>
    <row r="4" spans="1:4" x14ac:dyDescent="0.2">
      <c r="A4" s="1" t="s">
        <v>594</v>
      </c>
      <c r="B4" s="26">
        <v>7143</v>
      </c>
      <c r="C4" s="25">
        <f>StateSenatorSenateDistrict7General[[#This Row],[Part of Nassau County Vote Results]]</f>
        <v>7143</v>
      </c>
      <c r="D4" s="51">
        <f>SUM(StateSenatorSenateDistrict7General[[#This Row],[Total Votes by Party]])</f>
        <v>7143</v>
      </c>
    </row>
    <row r="5" spans="1:4" x14ac:dyDescent="0.2">
      <c r="A5" s="3" t="s">
        <v>0</v>
      </c>
      <c r="B5" s="2">
        <v>34</v>
      </c>
      <c r="C5" s="8">
        <f>StateSenatorSenateDistrict7General[[#This Row],[Part of Nassau County Vote Results]]</f>
        <v>34</v>
      </c>
      <c r="D5" s="10"/>
    </row>
    <row r="6" spans="1:4" x14ac:dyDescent="0.2">
      <c r="A6" s="3" t="s">
        <v>1</v>
      </c>
      <c r="B6" s="2">
        <v>89</v>
      </c>
      <c r="C6" s="8">
        <f>StateSenatorSenateDistrict7General[[#This Row],[Part of Nassau County Vote Results]]</f>
        <v>89</v>
      </c>
      <c r="D6" s="10"/>
    </row>
    <row r="7" spans="1:4" x14ac:dyDescent="0.2">
      <c r="A7" s="3" t="s">
        <v>6</v>
      </c>
      <c r="B7" s="2">
        <v>59</v>
      </c>
      <c r="C7" s="8">
        <f>StateSenatorSenateDistrict7General[[#This Row],[Part of Nassau County Vote Results]]</f>
        <v>59</v>
      </c>
      <c r="D7" s="10"/>
    </row>
    <row r="8" spans="1:4" x14ac:dyDescent="0.2">
      <c r="A8" s="11" t="s">
        <v>2</v>
      </c>
      <c r="B8" s="2">
        <f>SUM(StateSenatorSenateDistrict7General[Part of Nassau County Vote Results])</f>
        <v>9639</v>
      </c>
      <c r="C8" s="8">
        <f>SUM(StateSenatorSenateDistrict7General[Total Votes by Party])</f>
        <v>9639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8264C5EB9CF447915BE620534146D9" ma:contentTypeVersion="8" ma:contentTypeDescription="Create a new document." ma:contentTypeScope="" ma:versionID="af74afdf04a8bfb76be65694345116cb">
  <xsd:schema xmlns:xsd="http://www.w3.org/2001/XMLSchema" xmlns:xs="http://www.w3.org/2001/XMLSchema" xmlns:p="http://schemas.microsoft.com/office/2006/metadata/properties" xmlns:ns3="5304020a-ddb8-4e3b-8613-a9cdc13c9b5a" xmlns:ns4="66fb80f0-79fa-403c-9c6a-97da8e62d983" targetNamespace="http://schemas.microsoft.com/office/2006/metadata/properties" ma:root="true" ma:fieldsID="cbbee61594ceccd507bc4d353a77978a" ns3:_="" ns4:_="">
    <xsd:import namespace="5304020a-ddb8-4e3b-8613-a9cdc13c9b5a"/>
    <xsd:import namespace="66fb80f0-79fa-403c-9c6a-97da8e62d98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04020a-ddb8-4e3b-8613-a9cdc13c9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b80f0-79fa-403c-9c6a-97da8e62d9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304020a-ddb8-4e3b-8613-a9cdc13c9b5a" xsi:nil="true"/>
  </documentManagement>
</p:properties>
</file>

<file path=customXml/itemProps1.xml><?xml version="1.0" encoding="utf-8"?>
<ds:datastoreItem xmlns:ds="http://schemas.openxmlformats.org/officeDocument/2006/customXml" ds:itemID="{98ECA8D6-B786-4583-8718-8E9276EFB6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04020a-ddb8-4e3b-8613-a9cdc13c9b5a"/>
    <ds:schemaRef ds:uri="66fb80f0-79fa-403c-9c6a-97da8e62d9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F991C9-2D11-4AF4-B00B-83CCBD556A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73AA06-294A-4F14-A736-3ED0B94C0703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66fb80f0-79fa-403c-9c6a-97da8e62d983"/>
    <ds:schemaRef ds:uri="5304020a-ddb8-4e3b-8613-a9cdc13c9b5a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84</vt:i4>
      </vt:variant>
      <vt:variant>
        <vt:lpstr>Named Ranges</vt:lpstr>
      </vt:variant>
      <vt:variant>
        <vt:i4>1</vt:i4>
      </vt:variant>
    </vt:vector>
  </HeadingPairs>
  <TitlesOfParts>
    <vt:vector size="85" baseType="lpstr">
      <vt:lpstr>1st CD DEM Primary</vt:lpstr>
      <vt:lpstr>10th CD DEM Primary</vt:lpstr>
      <vt:lpstr>14th CD DEM Primary</vt:lpstr>
      <vt:lpstr>16th CD DEM Primary</vt:lpstr>
      <vt:lpstr>17th CD WOR Primary</vt:lpstr>
      <vt:lpstr>22nd CD DEM Primary</vt:lpstr>
      <vt:lpstr>24th CD REP Primary</vt:lpstr>
      <vt:lpstr>6th SD DEM Primary</vt:lpstr>
      <vt:lpstr>7th SD DEM Primary</vt:lpstr>
      <vt:lpstr>38th SD WOR Primary</vt:lpstr>
      <vt:lpstr>42nd SD CON Primary</vt:lpstr>
      <vt:lpstr>48th SD REP Primary</vt:lpstr>
      <vt:lpstr>50th SD DEM Primary</vt:lpstr>
      <vt:lpstr>59th SD DEM Primary</vt:lpstr>
      <vt:lpstr>4th AD DEM Primary</vt:lpstr>
      <vt:lpstr>18th AD DEM Primary</vt:lpstr>
      <vt:lpstr>21st AD DEM Primary</vt:lpstr>
      <vt:lpstr>25th AD REP Primary</vt:lpstr>
      <vt:lpstr>34th AD DEM Primary</vt:lpstr>
      <vt:lpstr>35th AD DEM Primary</vt:lpstr>
      <vt:lpstr>37th AD DEM Primary</vt:lpstr>
      <vt:lpstr>40th AD DEM Primary</vt:lpstr>
      <vt:lpstr>41st AD DEM Primary</vt:lpstr>
      <vt:lpstr>50th AD DEM Primary</vt:lpstr>
      <vt:lpstr>52nd AD DEM Primary</vt:lpstr>
      <vt:lpstr>56th AD DEM Primary</vt:lpstr>
      <vt:lpstr>68th AD DEM Primary</vt:lpstr>
      <vt:lpstr>69th AD DEM Primary</vt:lpstr>
      <vt:lpstr>70th AD DEM Primary</vt:lpstr>
      <vt:lpstr>71st AD DEM Primary</vt:lpstr>
      <vt:lpstr>72nd AD DEM Primary</vt:lpstr>
      <vt:lpstr>77th AD DEM Primary</vt:lpstr>
      <vt:lpstr>82nd AD DEM Primary</vt:lpstr>
      <vt:lpstr>84th AD DEM Primary</vt:lpstr>
      <vt:lpstr>92nd AD DEM Primary</vt:lpstr>
      <vt:lpstr>97th AD DEM Primary</vt:lpstr>
      <vt:lpstr>97th AD CON Primary</vt:lpstr>
      <vt:lpstr>100th AD REP Primary</vt:lpstr>
      <vt:lpstr>102nd AD DEM Primary</vt:lpstr>
      <vt:lpstr>103rd AD DEM Primary</vt:lpstr>
      <vt:lpstr>106th AD DEM Primary</vt:lpstr>
      <vt:lpstr>107th AD DEM Primary</vt:lpstr>
      <vt:lpstr>109th AD DEM Primary</vt:lpstr>
      <vt:lpstr>137th AD DEM Primary</vt:lpstr>
      <vt:lpstr>147th AD REP Primary</vt:lpstr>
      <vt:lpstr>SC 94th AD M DEM</vt:lpstr>
      <vt:lpstr>1st JD 68th AD DEL DEM</vt:lpstr>
      <vt:lpstr>1st JD 68th AD ALT DEM</vt:lpstr>
      <vt:lpstr>1st JD 69th AD DEL DEM</vt:lpstr>
      <vt:lpstr>1st JD 70th AD DEL DEM</vt:lpstr>
      <vt:lpstr>1st JD 71st AD DEL DEM</vt:lpstr>
      <vt:lpstr>1st JD 71st AD ALT DEM</vt:lpstr>
      <vt:lpstr>1st JD 72nd AD DEL DEM</vt:lpstr>
      <vt:lpstr>1st JD 72nd AD ALT DEM</vt:lpstr>
      <vt:lpstr>2nd JD 43rd AD DEL DEM</vt:lpstr>
      <vt:lpstr>2nd JD 43rd AD ALT DEM</vt:lpstr>
      <vt:lpstr>2nd JD 46th AD DEL DEM</vt:lpstr>
      <vt:lpstr>2nd JD 46th AD ALT DEM</vt:lpstr>
      <vt:lpstr>2nd JD 49th AD DEL DEM</vt:lpstr>
      <vt:lpstr>2nd JD 49th AD ALT DEM</vt:lpstr>
      <vt:lpstr>2nd JD 58th AD DEL DEM</vt:lpstr>
      <vt:lpstr>2nd JD 58th AD ALT DEM</vt:lpstr>
      <vt:lpstr>11th JD 28th AD DEL DEM</vt:lpstr>
      <vt:lpstr>11th JD 28th AD ALT DEM</vt:lpstr>
      <vt:lpstr>12th JD 81st AD DEL DEM</vt:lpstr>
      <vt:lpstr>12th JD 81st AD ALT DEM</vt:lpstr>
      <vt:lpstr>SC 28th AD DEM</vt:lpstr>
      <vt:lpstr>SC 34th AD DEM</vt:lpstr>
      <vt:lpstr>SC 35th AD DEM</vt:lpstr>
      <vt:lpstr>SC 36th AD DEM</vt:lpstr>
      <vt:lpstr>SC 43rd AD DEM</vt:lpstr>
      <vt:lpstr>SC 46th AD DEM</vt:lpstr>
      <vt:lpstr>SC 50th AD DEM</vt:lpstr>
      <vt:lpstr>SC 52nd AD DEM</vt:lpstr>
      <vt:lpstr>SC 55th AD DEM</vt:lpstr>
      <vt:lpstr>SC 59th AD DEM</vt:lpstr>
      <vt:lpstr>SC 68th AD DEM</vt:lpstr>
      <vt:lpstr>SC 70th AD DEM</vt:lpstr>
      <vt:lpstr>SC 72nd AD DEM</vt:lpstr>
      <vt:lpstr>SC 77th AD DEM</vt:lpstr>
      <vt:lpstr>SC 81st AD DEM</vt:lpstr>
      <vt:lpstr>SC 84th AD DEM</vt:lpstr>
      <vt:lpstr>SC 137th AD F DEM</vt:lpstr>
      <vt:lpstr>SC 137th AD M DEM</vt:lpstr>
      <vt:lpstr>'1st CD DEM Primary'!Print_Area</vt:lpstr>
    </vt:vector>
  </TitlesOfParts>
  <Manager/>
  <Company>NYSBOE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pjorczak</dc:creator>
  <cp:keywords/>
  <dc:description/>
  <cp:lastModifiedBy>McGrath, Kathleen (ELECTIONS)</cp:lastModifiedBy>
  <cp:revision/>
  <cp:lastPrinted>2024-07-17T14:38:14Z</cp:lastPrinted>
  <dcterms:created xsi:type="dcterms:W3CDTF">2008-10-28T18:22:21Z</dcterms:created>
  <dcterms:modified xsi:type="dcterms:W3CDTF">2024-08-12T17:30:33Z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0x010100778264C5EB9CF447915BE620534146D9</vt:lpwstr>
  </property>
</Properties>
</file>