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worksheets/sheet207.xml" ContentType="application/vnd.openxmlformats-officedocument.spreadsheetml.worksheet+xml"/>
  <Override PartName="/xl/worksheets/sheet208.xml" ContentType="application/vnd.openxmlformats-officedocument.spreadsheetml.worksheet+xml"/>
  <Override PartName="/xl/worksheets/sheet209.xml" ContentType="application/vnd.openxmlformats-officedocument.spreadsheetml.worksheet+xml"/>
  <Override PartName="/xl/worksheets/sheet210.xml" ContentType="application/vnd.openxmlformats-officedocument.spreadsheetml.worksheet+xml"/>
  <Override PartName="/xl/worksheets/sheet211.xml" ContentType="application/vnd.openxmlformats-officedocument.spreadsheetml.worksheet+xml"/>
  <Override PartName="/xl/worksheets/sheet212.xml" ContentType="application/vnd.openxmlformats-officedocument.spreadsheetml.worksheet+xml"/>
  <Override PartName="/xl/worksheets/sheet213.xml" ContentType="application/vnd.openxmlformats-officedocument.spreadsheetml.worksheet+xml"/>
  <Override PartName="/xl/worksheets/sheet214.xml" ContentType="application/vnd.openxmlformats-officedocument.spreadsheetml.worksheet+xml"/>
  <Override PartName="/xl/worksheets/sheet215.xml" ContentType="application/vnd.openxmlformats-officedocument.spreadsheetml.worksheet+xml"/>
  <Override PartName="/xl/worksheets/sheet216.xml" ContentType="application/vnd.openxmlformats-officedocument.spreadsheetml.worksheet+xml"/>
  <Override PartName="/xl/worksheets/sheet217.xml" ContentType="application/vnd.openxmlformats-officedocument.spreadsheetml.worksheet+xml"/>
  <Override PartName="/xl/worksheets/sheet218.xml" ContentType="application/vnd.openxmlformats-officedocument.spreadsheetml.worksheet+xml"/>
  <Override PartName="/xl/worksheets/sheet219.xml" ContentType="application/vnd.openxmlformats-officedocument.spreadsheetml.worksheet+xml"/>
  <Override PartName="/xl/worksheets/sheet220.xml" ContentType="application/vnd.openxmlformats-officedocument.spreadsheetml.worksheet+xml"/>
  <Override PartName="/xl/worksheets/sheet221.xml" ContentType="application/vnd.openxmlformats-officedocument.spreadsheetml.worksheet+xml"/>
  <Override PartName="/xl/worksheets/sheet222.xml" ContentType="application/vnd.openxmlformats-officedocument.spreadsheetml.worksheet+xml"/>
  <Override PartName="/xl/worksheets/sheet223.xml" ContentType="application/vnd.openxmlformats-officedocument.spreadsheetml.worksheet+xml"/>
  <Override PartName="/xl/worksheets/sheet224.xml" ContentType="application/vnd.openxmlformats-officedocument.spreadsheetml.worksheet+xml"/>
  <Override PartName="/xl/worksheets/sheet225.xml" ContentType="application/vnd.openxmlformats-officedocument.spreadsheetml.worksheet+xml"/>
  <Override PartName="/xl/worksheets/sheet226.xml" ContentType="application/vnd.openxmlformats-officedocument.spreadsheetml.worksheet+xml"/>
  <Override PartName="/xl/worksheets/sheet227.xml" ContentType="application/vnd.openxmlformats-officedocument.spreadsheetml.worksheet+xml"/>
  <Override PartName="/xl/worksheets/sheet228.xml" ContentType="application/vnd.openxmlformats-officedocument.spreadsheetml.worksheet+xml"/>
  <Override PartName="/xl/worksheets/sheet229.xml" ContentType="application/vnd.openxmlformats-officedocument.spreadsheetml.worksheet+xml"/>
  <Override PartName="/xl/worksheets/sheet230.xml" ContentType="application/vnd.openxmlformats-officedocument.spreadsheetml.worksheet+xml"/>
  <Override PartName="/xl/worksheets/sheet231.xml" ContentType="application/vnd.openxmlformats-officedocument.spreadsheetml.worksheet+xml"/>
  <Override PartName="/xl/worksheets/sheet232.xml" ContentType="application/vnd.openxmlformats-officedocument.spreadsheetml.worksheet+xml"/>
  <Override PartName="/xl/worksheets/sheet233.xml" ContentType="application/vnd.openxmlformats-officedocument.spreadsheetml.worksheet+xml"/>
  <Override PartName="/xl/worksheets/sheet234.xml" ContentType="application/vnd.openxmlformats-officedocument.spreadsheetml.worksheet+xml"/>
  <Override PartName="/xl/worksheets/sheet235.xml" ContentType="application/vnd.openxmlformats-officedocument.spreadsheetml.worksheet+xml"/>
  <Override PartName="/xl/worksheets/sheet236.xml" ContentType="application/vnd.openxmlformats-officedocument.spreadsheetml.worksheet+xml"/>
  <Override PartName="/xl/worksheets/sheet237.xml" ContentType="application/vnd.openxmlformats-officedocument.spreadsheetml.worksheet+xml"/>
  <Override PartName="/xl/worksheets/sheet238.xml" ContentType="application/vnd.openxmlformats-officedocument.spreadsheetml.worksheet+xml"/>
  <Override PartName="/xl/worksheets/sheet239.xml" ContentType="application/vnd.openxmlformats-officedocument.spreadsheetml.worksheet+xml"/>
  <Override PartName="/xl/worksheets/sheet240.xml" ContentType="application/vnd.openxmlformats-officedocument.spreadsheetml.worksheet+xml"/>
  <Override PartName="/xl/worksheets/sheet241.xml" ContentType="application/vnd.openxmlformats-officedocument.spreadsheetml.worksheet+xml"/>
  <Override PartName="/xl/worksheets/sheet242.xml" ContentType="application/vnd.openxmlformats-officedocument.spreadsheetml.worksheet+xml"/>
  <Override PartName="/xl/worksheets/sheet243.xml" ContentType="application/vnd.openxmlformats-officedocument.spreadsheetml.worksheet+xml"/>
  <Override PartName="/xl/worksheets/sheet244.xml" ContentType="application/vnd.openxmlformats-officedocument.spreadsheetml.worksheet+xml"/>
  <Override PartName="/xl/worksheets/sheet245.xml" ContentType="application/vnd.openxmlformats-officedocument.spreadsheetml.worksheet+xml"/>
  <Override PartName="/xl/worksheets/sheet246.xml" ContentType="application/vnd.openxmlformats-officedocument.spreadsheetml.worksheet+xml"/>
  <Override PartName="/xl/worksheets/sheet247.xml" ContentType="application/vnd.openxmlformats-officedocument.spreadsheetml.worksheet+xml"/>
  <Override PartName="/xl/worksheets/sheet248.xml" ContentType="application/vnd.openxmlformats-officedocument.spreadsheetml.worksheet+xml"/>
  <Override PartName="/xl/worksheets/sheet249.xml" ContentType="application/vnd.openxmlformats-officedocument.spreadsheetml.worksheet+xml"/>
  <Override PartName="/xl/worksheets/sheet2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tables/table159.xml" ContentType="application/vnd.openxmlformats-officedocument.spreadsheetml.table+xml"/>
  <Override PartName="/xl/tables/table160.xml" ContentType="application/vnd.openxmlformats-officedocument.spreadsheetml.table+xml"/>
  <Override PartName="/xl/tables/table161.xml" ContentType="application/vnd.openxmlformats-officedocument.spreadsheetml.table+xml"/>
  <Override PartName="/xl/tables/table162.xml" ContentType="application/vnd.openxmlformats-officedocument.spreadsheetml.table+xml"/>
  <Override PartName="/xl/tables/table163.xml" ContentType="application/vnd.openxmlformats-officedocument.spreadsheetml.table+xml"/>
  <Override PartName="/xl/tables/table164.xml" ContentType="application/vnd.openxmlformats-officedocument.spreadsheetml.table+xml"/>
  <Override PartName="/xl/tables/table165.xml" ContentType="application/vnd.openxmlformats-officedocument.spreadsheetml.table+xml"/>
  <Override PartName="/xl/tables/table166.xml" ContentType="application/vnd.openxmlformats-officedocument.spreadsheetml.table+xml"/>
  <Override PartName="/xl/tables/table167.xml" ContentType="application/vnd.openxmlformats-officedocument.spreadsheetml.table+xml"/>
  <Override PartName="/xl/tables/table168.xml" ContentType="application/vnd.openxmlformats-officedocument.spreadsheetml.table+xml"/>
  <Override PartName="/xl/tables/table169.xml" ContentType="application/vnd.openxmlformats-officedocument.spreadsheetml.table+xml"/>
  <Override PartName="/xl/tables/table170.xml" ContentType="application/vnd.openxmlformats-officedocument.spreadsheetml.table+xml"/>
  <Override PartName="/xl/tables/table171.xml" ContentType="application/vnd.openxmlformats-officedocument.spreadsheetml.table+xml"/>
  <Override PartName="/xl/tables/table172.xml" ContentType="application/vnd.openxmlformats-officedocument.spreadsheetml.table+xml"/>
  <Override PartName="/xl/tables/table173.xml" ContentType="application/vnd.openxmlformats-officedocument.spreadsheetml.table+xml"/>
  <Override PartName="/xl/tables/table174.xml" ContentType="application/vnd.openxmlformats-officedocument.spreadsheetml.table+xml"/>
  <Override PartName="/xl/tables/table175.xml" ContentType="application/vnd.openxmlformats-officedocument.spreadsheetml.table+xml"/>
  <Override PartName="/xl/tables/table176.xml" ContentType="application/vnd.openxmlformats-officedocument.spreadsheetml.table+xml"/>
  <Override PartName="/xl/tables/table177.xml" ContentType="application/vnd.openxmlformats-officedocument.spreadsheetml.table+xml"/>
  <Override PartName="/xl/tables/table178.xml" ContentType="application/vnd.openxmlformats-officedocument.spreadsheetml.table+xml"/>
  <Override PartName="/xl/tables/table179.xml" ContentType="application/vnd.openxmlformats-officedocument.spreadsheetml.table+xml"/>
  <Override PartName="/xl/tables/table180.xml" ContentType="application/vnd.openxmlformats-officedocument.spreadsheetml.table+xml"/>
  <Override PartName="/xl/tables/table181.xml" ContentType="application/vnd.openxmlformats-officedocument.spreadsheetml.table+xml"/>
  <Override PartName="/xl/tables/table182.xml" ContentType="application/vnd.openxmlformats-officedocument.spreadsheetml.table+xml"/>
  <Override PartName="/xl/tables/table183.xml" ContentType="application/vnd.openxmlformats-officedocument.spreadsheetml.table+xml"/>
  <Override PartName="/xl/tables/table184.xml" ContentType="application/vnd.openxmlformats-officedocument.spreadsheetml.table+xml"/>
  <Override PartName="/xl/tables/table185.xml" ContentType="application/vnd.openxmlformats-officedocument.spreadsheetml.table+xml"/>
  <Override PartName="/xl/tables/table186.xml" ContentType="application/vnd.openxmlformats-officedocument.spreadsheetml.table+xml"/>
  <Override PartName="/xl/tables/table187.xml" ContentType="application/vnd.openxmlformats-officedocument.spreadsheetml.table+xml"/>
  <Override PartName="/xl/tables/table188.xml" ContentType="application/vnd.openxmlformats-officedocument.spreadsheetml.table+xml"/>
  <Override PartName="/xl/tables/table189.xml" ContentType="application/vnd.openxmlformats-officedocument.spreadsheetml.table+xml"/>
  <Override PartName="/xl/tables/table190.xml" ContentType="application/vnd.openxmlformats-officedocument.spreadsheetml.table+xml"/>
  <Override PartName="/xl/tables/table191.xml" ContentType="application/vnd.openxmlformats-officedocument.spreadsheetml.table+xml"/>
  <Override PartName="/xl/tables/table192.xml" ContentType="application/vnd.openxmlformats-officedocument.spreadsheetml.table+xml"/>
  <Override PartName="/xl/tables/table193.xml" ContentType="application/vnd.openxmlformats-officedocument.spreadsheetml.table+xml"/>
  <Override PartName="/xl/tables/table194.xml" ContentType="application/vnd.openxmlformats-officedocument.spreadsheetml.table+xml"/>
  <Override PartName="/xl/tables/table195.xml" ContentType="application/vnd.openxmlformats-officedocument.spreadsheetml.table+xml"/>
  <Override PartName="/xl/tables/table196.xml" ContentType="application/vnd.openxmlformats-officedocument.spreadsheetml.table+xml"/>
  <Override PartName="/xl/tables/table197.xml" ContentType="application/vnd.openxmlformats-officedocument.spreadsheetml.table+xml"/>
  <Override PartName="/xl/tables/table198.xml" ContentType="application/vnd.openxmlformats-officedocument.spreadsheetml.table+xml"/>
  <Override PartName="/xl/tables/table199.xml" ContentType="application/vnd.openxmlformats-officedocument.spreadsheetml.table+xml"/>
  <Override PartName="/xl/tables/table200.xml" ContentType="application/vnd.openxmlformats-officedocument.spreadsheetml.table+xml"/>
  <Override PartName="/xl/tables/table201.xml" ContentType="application/vnd.openxmlformats-officedocument.spreadsheetml.table+xml"/>
  <Override PartName="/xl/tables/table202.xml" ContentType="application/vnd.openxmlformats-officedocument.spreadsheetml.table+xml"/>
  <Override PartName="/xl/tables/table203.xml" ContentType="application/vnd.openxmlformats-officedocument.spreadsheetml.table+xml"/>
  <Override PartName="/xl/tables/table204.xml" ContentType="application/vnd.openxmlformats-officedocument.spreadsheetml.table+xml"/>
  <Override PartName="/xl/tables/table205.xml" ContentType="application/vnd.openxmlformats-officedocument.spreadsheetml.table+xml"/>
  <Override PartName="/xl/tables/table206.xml" ContentType="application/vnd.openxmlformats-officedocument.spreadsheetml.table+xml"/>
  <Override PartName="/xl/tables/table207.xml" ContentType="application/vnd.openxmlformats-officedocument.spreadsheetml.table+xml"/>
  <Override PartName="/xl/tables/table208.xml" ContentType="application/vnd.openxmlformats-officedocument.spreadsheetml.table+xml"/>
  <Override PartName="/xl/tables/table209.xml" ContentType="application/vnd.openxmlformats-officedocument.spreadsheetml.table+xml"/>
  <Override PartName="/xl/tables/table210.xml" ContentType="application/vnd.openxmlformats-officedocument.spreadsheetml.table+xml"/>
  <Override PartName="/xl/tables/table211.xml" ContentType="application/vnd.openxmlformats-officedocument.spreadsheetml.table+xml"/>
  <Override PartName="/xl/tables/table212.xml" ContentType="application/vnd.openxmlformats-officedocument.spreadsheetml.table+xml"/>
  <Override PartName="/xl/tables/table213.xml" ContentType="application/vnd.openxmlformats-officedocument.spreadsheetml.table+xml"/>
  <Override PartName="/xl/tables/table214.xml" ContentType="application/vnd.openxmlformats-officedocument.spreadsheetml.table+xml"/>
  <Override PartName="/xl/tables/table215.xml" ContentType="application/vnd.openxmlformats-officedocument.spreadsheetml.table+xml"/>
  <Override PartName="/xl/tables/table216.xml" ContentType="application/vnd.openxmlformats-officedocument.spreadsheetml.table+xml"/>
  <Override PartName="/xl/tables/table217.xml" ContentType="application/vnd.openxmlformats-officedocument.spreadsheetml.table+xml"/>
  <Override PartName="/xl/tables/table218.xml" ContentType="application/vnd.openxmlformats-officedocument.spreadsheetml.table+xml"/>
  <Override PartName="/xl/tables/table219.xml" ContentType="application/vnd.openxmlformats-officedocument.spreadsheetml.table+xml"/>
  <Override PartName="/xl/tables/table220.xml" ContentType="application/vnd.openxmlformats-officedocument.spreadsheetml.table+xml"/>
  <Override PartName="/xl/tables/table221.xml" ContentType="application/vnd.openxmlformats-officedocument.spreadsheetml.table+xml"/>
  <Override PartName="/xl/tables/table222.xml" ContentType="application/vnd.openxmlformats-officedocument.spreadsheetml.table+xml"/>
  <Override PartName="/xl/tables/table223.xml" ContentType="application/vnd.openxmlformats-officedocument.spreadsheetml.table+xml"/>
  <Override PartName="/xl/tables/table224.xml" ContentType="application/vnd.openxmlformats-officedocument.spreadsheetml.table+xml"/>
  <Override PartName="/xl/tables/table225.xml" ContentType="application/vnd.openxmlformats-officedocument.spreadsheetml.table+xml"/>
  <Override PartName="/xl/tables/table226.xml" ContentType="application/vnd.openxmlformats-officedocument.spreadsheetml.table+xml"/>
  <Override PartName="/xl/tables/table227.xml" ContentType="application/vnd.openxmlformats-officedocument.spreadsheetml.table+xml"/>
  <Override PartName="/xl/tables/table228.xml" ContentType="application/vnd.openxmlformats-officedocument.spreadsheetml.table+xml"/>
  <Override PartName="/xl/tables/table229.xml" ContentType="application/vnd.openxmlformats-officedocument.spreadsheetml.table+xml"/>
  <Override PartName="/xl/tables/table230.xml" ContentType="application/vnd.openxmlformats-officedocument.spreadsheetml.table+xml"/>
  <Override PartName="/xl/tables/table231.xml" ContentType="application/vnd.openxmlformats-officedocument.spreadsheetml.table+xml"/>
  <Override PartName="/xl/tables/table232.xml" ContentType="application/vnd.openxmlformats-officedocument.spreadsheetml.table+xml"/>
  <Override PartName="/xl/tables/table233.xml" ContentType="application/vnd.openxmlformats-officedocument.spreadsheetml.table+xml"/>
  <Override PartName="/xl/tables/table234.xml" ContentType="application/vnd.openxmlformats-officedocument.spreadsheetml.table+xml"/>
  <Override PartName="/xl/tables/table235.xml" ContentType="application/vnd.openxmlformats-officedocument.spreadsheetml.table+xml"/>
  <Override PartName="/xl/tables/table236.xml" ContentType="application/vnd.openxmlformats-officedocument.spreadsheetml.table+xml"/>
  <Override PartName="/xl/tables/table237.xml" ContentType="application/vnd.openxmlformats-officedocument.spreadsheetml.table+xml"/>
  <Override PartName="/xl/tables/table238.xml" ContentType="application/vnd.openxmlformats-officedocument.spreadsheetml.table+xml"/>
  <Override PartName="/xl/tables/table239.xml" ContentType="application/vnd.openxmlformats-officedocument.spreadsheetml.table+xml"/>
  <Override PartName="/xl/tables/table240.xml" ContentType="application/vnd.openxmlformats-officedocument.spreadsheetml.table+xml"/>
  <Override PartName="/xl/tables/table241.xml" ContentType="application/vnd.openxmlformats-officedocument.spreadsheetml.table+xml"/>
  <Override PartName="/xl/tables/table242.xml" ContentType="application/vnd.openxmlformats-officedocument.spreadsheetml.table+xml"/>
  <Override PartName="/xl/tables/table243.xml" ContentType="application/vnd.openxmlformats-officedocument.spreadsheetml.table+xml"/>
  <Override PartName="/xl/tables/table244.xml" ContentType="application/vnd.openxmlformats-officedocument.spreadsheetml.table+xml"/>
  <Override PartName="/xl/tables/table245.xml" ContentType="application/vnd.openxmlformats-officedocument.spreadsheetml.table+xml"/>
  <Override PartName="/xl/tables/table246.xml" ContentType="application/vnd.openxmlformats-officedocument.spreadsheetml.table+xml"/>
  <Override PartName="/xl/tables/table247.xml" ContentType="application/vnd.openxmlformats-officedocument.spreadsheetml.table+xml"/>
  <Override PartName="/xl/tables/table248.xml" ContentType="application/vnd.openxmlformats-officedocument.spreadsheetml.table+xml"/>
  <Override PartName="/xl/tables/table249.xml" ContentType="application/vnd.openxmlformats-officedocument.spreadsheetml.table+xml"/>
  <Override PartName="/xl/tables/table250.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G:\Vote Results\2024\General Election\"/>
    </mc:Choice>
  </mc:AlternateContent>
  <xr:revisionPtr revIDLastSave="0" documentId="8_{7D5F1080-2B35-4C76-80AF-B4E10CA8EE47}" xr6:coauthVersionLast="47" xr6:coauthVersionMax="47" xr10:uidLastSave="{00000000-0000-0000-0000-000000000000}"/>
  <bookViews>
    <workbookView xWindow="-120" yWindow="-120" windowWidth="21840" windowHeight="13020" firstSheet="213" activeTab="218" xr2:uid="{00000000-000D-0000-FFFF-FFFF00000000}"/>
  </bookViews>
  <sheets>
    <sheet name="President" sheetId="1" r:id="rId1"/>
    <sheet name="US Senate" sheetId="241" r:id="rId2"/>
    <sheet name="1st JD" sheetId="255" r:id="rId3"/>
    <sheet name="2nd JD" sheetId="256" r:id="rId4"/>
    <sheet name="7th JD" sheetId="261" r:id="rId5"/>
    <sheet name="8th JD" sheetId="262" r:id="rId6"/>
    <sheet name="10th JD" sheetId="264" r:id="rId7"/>
    <sheet name="9th JD" sheetId="263" r:id="rId8"/>
    <sheet name="11th JD" sheetId="265" r:id="rId9"/>
    <sheet name="12th JD" sheetId="266" r:id="rId10"/>
    <sheet name="1st CD" sheetId="2" r:id="rId11"/>
    <sheet name="2nd CD" sheetId="3" r:id="rId12"/>
    <sheet name="3rd CD" sheetId="4" r:id="rId13"/>
    <sheet name="4th CD" sheetId="5" r:id="rId14"/>
    <sheet name="5th CD" sheetId="6" r:id="rId15"/>
    <sheet name="6th CD" sheetId="7" r:id="rId16"/>
    <sheet name="7th CD" sheetId="8" r:id="rId17"/>
    <sheet name="8th CD" sheetId="9" r:id="rId18"/>
    <sheet name="9th CD" sheetId="10" r:id="rId19"/>
    <sheet name="10th CD" sheetId="11" r:id="rId20"/>
    <sheet name="11th CD" sheetId="12" r:id="rId21"/>
    <sheet name="12th CD" sheetId="13" r:id="rId22"/>
    <sheet name="13th CD" sheetId="14" r:id="rId23"/>
    <sheet name="14th CD" sheetId="15" r:id="rId24"/>
    <sheet name="15th CD" sheetId="16" r:id="rId25"/>
    <sheet name="16th CD" sheetId="17" r:id="rId26"/>
    <sheet name="17th CD" sheetId="18" r:id="rId27"/>
    <sheet name="18th CD" sheetId="19" r:id="rId28"/>
    <sheet name="19th CD" sheetId="20" r:id="rId29"/>
    <sheet name="20th CD" sheetId="21" r:id="rId30"/>
    <sheet name="21st CD" sheetId="22" r:id="rId31"/>
    <sheet name="22nd CD" sheetId="23" r:id="rId32"/>
    <sheet name="23rd CD" sheetId="24" r:id="rId33"/>
    <sheet name="24th CD" sheetId="25" r:id="rId34"/>
    <sheet name="25th CD" sheetId="26" r:id="rId35"/>
    <sheet name="26th CD" sheetId="27" r:id="rId36"/>
    <sheet name="1st SD" sheetId="28" r:id="rId37"/>
    <sheet name="2nd SD" sheetId="29" r:id="rId38"/>
    <sheet name="3rd SD" sheetId="30" r:id="rId39"/>
    <sheet name="4th SD" sheetId="31" r:id="rId40"/>
    <sheet name="5th SD" sheetId="32" r:id="rId41"/>
    <sheet name="6th SD" sheetId="33" r:id="rId42"/>
    <sheet name="7th SD" sheetId="34" r:id="rId43"/>
    <sheet name="8th SD" sheetId="35" r:id="rId44"/>
    <sheet name="9th SD" sheetId="36" r:id="rId45"/>
    <sheet name="10th SD" sheetId="37" r:id="rId46"/>
    <sheet name="11th SD" sheetId="38" r:id="rId47"/>
    <sheet name="12th SD" sheetId="39" r:id="rId48"/>
    <sheet name="13th SD" sheetId="40" r:id="rId49"/>
    <sheet name="14th SD" sheetId="41" r:id="rId50"/>
    <sheet name="15th SD" sheetId="42" r:id="rId51"/>
    <sheet name="16th SD" sheetId="43" r:id="rId52"/>
    <sheet name="17th SD" sheetId="44" r:id="rId53"/>
    <sheet name="18th SD" sheetId="45" r:id="rId54"/>
    <sheet name="19th SD" sheetId="46" r:id="rId55"/>
    <sheet name="20th SD" sheetId="47" r:id="rId56"/>
    <sheet name="21st SD" sheetId="48" r:id="rId57"/>
    <sheet name="22nd SD" sheetId="49" r:id="rId58"/>
    <sheet name="23rd SD" sheetId="50" r:id="rId59"/>
    <sheet name="24th SD" sheetId="51" r:id="rId60"/>
    <sheet name="25th SD" sheetId="52" r:id="rId61"/>
    <sheet name="26th SD" sheetId="53" r:id="rId62"/>
    <sheet name="27th SD" sheetId="54" r:id="rId63"/>
    <sheet name="28th SD" sheetId="55" r:id="rId64"/>
    <sheet name="29th SD" sheetId="56" r:id="rId65"/>
    <sheet name="30th SD" sheetId="57" r:id="rId66"/>
    <sheet name="31st SD" sheetId="58" r:id="rId67"/>
    <sheet name="32nd SD" sheetId="59" r:id="rId68"/>
    <sheet name="33rd SD" sheetId="60" r:id="rId69"/>
    <sheet name="34th SD" sheetId="61" r:id="rId70"/>
    <sheet name="35th SD" sheetId="62" r:id="rId71"/>
    <sheet name="36th SD" sheetId="63" r:id="rId72"/>
    <sheet name="37th SD" sheetId="64" r:id="rId73"/>
    <sheet name="38th SD" sheetId="65" r:id="rId74"/>
    <sheet name="39th SD" sheetId="66" r:id="rId75"/>
    <sheet name="40th SD" sheetId="67" r:id="rId76"/>
    <sheet name="41st SD" sheetId="68" r:id="rId77"/>
    <sheet name="42nd SD" sheetId="69" r:id="rId78"/>
    <sheet name="43rd SD" sheetId="70" r:id="rId79"/>
    <sheet name="44th SD" sheetId="71" r:id="rId80"/>
    <sheet name="45th SD" sheetId="72" r:id="rId81"/>
    <sheet name="46th SD" sheetId="73" r:id="rId82"/>
    <sheet name="47th SD" sheetId="74" r:id="rId83"/>
    <sheet name="48th SD" sheetId="75" r:id="rId84"/>
    <sheet name="49th SD" sheetId="76" r:id="rId85"/>
    <sheet name="50th SD" sheetId="77" r:id="rId86"/>
    <sheet name="51st SD" sheetId="78" r:id="rId87"/>
    <sheet name="52nd SD" sheetId="79" r:id="rId88"/>
    <sheet name="53rd SD" sheetId="80" r:id="rId89"/>
    <sheet name="54th SD" sheetId="81" r:id="rId90"/>
    <sheet name="55th SD" sheetId="82" r:id="rId91"/>
    <sheet name="56th SD" sheetId="83" r:id="rId92"/>
    <sheet name="57th SD" sheetId="84" r:id="rId93"/>
    <sheet name="58th SD" sheetId="85" r:id="rId94"/>
    <sheet name="59th SD" sheetId="86" r:id="rId95"/>
    <sheet name="60th SD" sheetId="87" r:id="rId96"/>
    <sheet name="61st SD" sheetId="88" r:id="rId97"/>
    <sheet name="62nd SD" sheetId="89" r:id="rId98"/>
    <sheet name="63rd SD" sheetId="90" r:id="rId99"/>
    <sheet name="1st AD" sheetId="240" r:id="rId100"/>
    <sheet name="2nd AD" sheetId="239" r:id="rId101"/>
    <sheet name="3rd AD" sheetId="238" r:id="rId102"/>
    <sheet name="4th AD" sheetId="237" r:id="rId103"/>
    <sheet name="5th AD" sheetId="236" r:id="rId104"/>
    <sheet name="6th AD" sheetId="235" r:id="rId105"/>
    <sheet name="7th AD" sheetId="234" r:id="rId106"/>
    <sheet name="8th AD" sheetId="233" r:id="rId107"/>
    <sheet name="9th AD" sheetId="232" r:id="rId108"/>
    <sheet name="10th AD" sheetId="231" r:id="rId109"/>
    <sheet name="11th AD" sheetId="230" r:id="rId110"/>
    <sheet name="12th AD" sheetId="229" r:id="rId111"/>
    <sheet name="13th AD" sheetId="228" r:id="rId112"/>
    <sheet name="14th AD" sheetId="227" r:id="rId113"/>
    <sheet name="15th AD" sheetId="226" r:id="rId114"/>
    <sheet name="16th AD" sheetId="225" r:id="rId115"/>
    <sheet name="17th AD" sheetId="224" r:id="rId116"/>
    <sheet name="18th AD" sheetId="223" r:id="rId117"/>
    <sheet name="19th AD" sheetId="222" r:id="rId118"/>
    <sheet name="20th AD" sheetId="221" r:id="rId119"/>
    <sheet name="21st AD" sheetId="220" r:id="rId120"/>
    <sheet name="22nd AD" sheetId="219" r:id="rId121"/>
    <sheet name="23rd AD" sheetId="218" r:id="rId122"/>
    <sheet name="24th AD" sheetId="217" r:id="rId123"/>
    <sheet name="25th AD" sheetId="216" r:id="rId124"/>
    <sheet name="26th AD" sheetId="215" r:id="rId125"/>
    <sheet name="27th AD" sheetId="214" r:id="rId126"/>
    <sheet name="28th AD" sheetId="213" r:id="rId127"/>
    <sheet name="29th AD" sheetId="212" r:id="rId128"/>
    <sheet name="30th AD" sheetId="211" r:id="rId129"/>
    <sheet name="31st AD" sheetId="210" r:id="rId130"/>
    <sheet name="32nd AD" sheetId="209" r:id="rId131"/>
    <sheet name="33rd AD" sheetId="208" r:id="rId132"/>
    <sheet name="34th AD" sheetId="207" r:id="rId133"/>
    <sheet name="35th AD" sheetId="206" r:id="rId134"/>
    <sheet name="36th AD" sheetId="205" r:id="rId135"/>
    <sheet name="37th AD" sheetId="204" r:id="rId136"/>
    <sheet name="38th AD" sheetId="203" r:id="rId137"/>
    <sheet name="39th AD" sheetId="202" r:id="rId138"/>
    <sheet name="40th AD" sheetId="201" r:id="rId139"/>
    <sheet name="41st AD" sheetId="200" r:id="rId140"/>
    <sheet name="42nd AD" sheetId="199" r:id="rId141"/>
    <sheet name="43rd AD" sheetId="198" r:id="rId142"/>
    <sheet name="44th AD" sheetId="197" r:id="rId143"/>
    <sheet name="45th AD" sheetId="196" r:id="rId144"/>
    <sheet name="46th AD" sheetId="195" r:id="rId145"/>
    <sheet name="47th AD" sheetId="194" r:id="rId146"/>
    <sheet name="48th AD" sheetId="193" r:id="rId147"/>
    <sheet name="49th AD" sheetId="192" r:id="rId148"/>
    <sheet name="50th AD" sheetId="191" r:id="rId149"/>
    <sheet name="51st AD" sheetId="190" r:id="rId150"/>
    <sheet name="52nd AD" sheetId="189" r:id="rId151"/>
    <sheet name="53rd AD" sheetId="188" r:id="rId152"/>
    <sheet name="54th AD" sheetId="187" r:id="rId153"/>
    <sheet name="55th AD" sheetId="186" r:id="rId154"/>
    <sheet name="56th AD" sheetId="185" r:id="rId155"/>
    <sheet name="57th AD" sheetId="184" r:id="rId156"/>
    <sheet name="58th AD" sheetId="183" r:id="rId157"/>
    <sheet name="59th AD" sheetId="182" r:id="rId158"/>
    <sheet name="60th AD" sheetId="181" r:id="rId159"/>
    <sheet name="61st AD" sheetId="180" r:id="rId160"/>
    <sheet name="62nd AD" sheetId="179" r:id="rId161"/>
    <sheet name="63rd AD" sheetId="178" r:id="rId162"/>
    <sheet name="64th AD" sheetId="177" r:id="rId163"/>
    <sheet name="65th AD" sheetId="176" r:id="rId164"/>
    <sheet name="66th AD" sheetId="175" r:id="rId165"/>
    <sheet name="67th AD" sheetId="174" r:id="rId166"/>
    <sheet name="68th AD" sheetId="173" r:id="rId167"/>
    <sheet name="69th AD" sheetId="172" r:id="rId168"/>
    <sheet name="70th AD" sheetId="171" r:id="rId169"/>
    <sheet name="71st AD" sheetId="170" r:id="rId170"/>
    <sheet name="72nd AD" sheetId="169" r:id="rId171"/>
    <sheet name="73rd AD" sheetId="168" r:id="rId172"/>
    <sheet name="74th AD" sheetId="167" r:id="rId173"/>
    <sheet name="75th AD" sheetId="166" r:id="rId174"/>
    <sheet name="76th AD" sheetId="165" r:id="rId175"/>
    <sheet name="77th AD" sheetId="164" r:id="rId176"/>
    <sheet name="78th AD" sheetId="163" r:id="rId177"/>
    <sheet name="79th AD" sheetId="162" r:id="rId178"/>
    <sheet name="80th AD" sheetId="161" r:id="rId179"/>
    <sheet name="81st AD" sheetId="160" r:id="rId180"/>
    <sheet name="82nd AD" sheetId="159" r:id="rId181"/>
    <sheet name="83rd AD" sheetId="158" r:id="rId182"/>
    <sheet name="84th AD" sheetId="157" r:id="rId183"/>
    <sheet name="85th AD" sheetId="156" r:id="rId184"/>
    <sheet name="86th AD" sheetId="155" r:id="rId185"/>
    <sheet name="87th AD" sheetId="154" r:id="rId186"/>
    <sheet name="88th AD" sheetId="153" r:id="rId187"/>
    <sheet name="89th AD" sheetId="152" r:id="rId188"/>
    <sheet name="90th AD" sheetId="151" r:id="rId189"/>
    <sheet name="91st AD" sheetId="150" r:id="rId190"/>
    <sheet name="92nd AD" sheetId="149" r:id="rId191"/>
    <sheet name="93rd AD" sheetId="148" r:id="rId192"/>
    <sheet name="94th AD" sheetId="147" r:id="rId193"/>
    <sheet name="95th AD" sheetId="146" r:id="rId194"/>
    <sheet name="96th AD" sheetId="145" r:id="rId195"/>
    <sheet name="97th AD" sheetId="144" r:id="rId196"/>
    <sheet name="98th AD" sheetId="143" r:id="rId197"/>
    <sheet name="99th AD" sheetId="142" r:id="rId198"/>
    <sheet name="100th AD" sheetId="141" r:id="rId199"/>
    <sheet name="101st AD" sheetId="140" r:id="rId200"/>
    <sheet name="102nd AD" sheetId="139" r:id="rId201"/>
    <sheet name="103rd AD" sheetId="138" r:id="rId202"/>
    <sheet name="104th AD" sheetId="137" r:id="rId203"/>
    <sheet name="105th AD" sheetId="136" r:id="rId204"/>
    <sheet name="106th AD" sheetId="135" r:id="rId205"/>
    <sheet name="107th AD" sheetId="134" r:id="rId206"/>
    <sheet name="108th AD" sheetId="133" r:id="rId207"/>
    <sheet name="109th AD" sheetId="132" r:id="rId208"/>
    <sheet name="110th AD" sheetId="131" r:id="rId209"/>
    <sheet name="111th AD" sheetId="130" r:id="rId210"/>
    <sheet name="112th AD" sheetId="129" r:id="rId211"/>
    <sheet name="113th AD" sheetId="128" r:id="rId212"/>
    <sheet name="114th AD" sheetId="127" r:id="rId213"/>
    <sheet name="115th AD" sheetId="126" r:id="rId214"/>
    <sheet name="116th AD" sheetId="125" r:id="rId215"/>
    <sheet name="117th AD" sheetId="124" r:id="rId216"/>
    <sheet name="118th AD" sheetId="123" r:id="rId217"/>
    <sheet name="119th AD" sheetId="122" r:id="rId218"/>
    <sheet name="120th AD" sheetId="121" r:id="rId219"/>
    <sheet name="121st AD" sheetId="120" r:id="rId220"/>
    <sheet name="122nd AD" sheetId="119" r:id="rId221"/>
    <sheet name="123rd AD" sheetId="118" r:id="rId222"/>
    <sheet name="124th AD" sheetId="117" r:id="rId223"/>
    <sheet name="125th AD" sheetId="116" r:id="rId224"/>
    <sheet name="126th AD" sheetId="115" r:id="rId225"/>
    <sheet name="127th AD" sheetId="114" r:id="rId226"/>
    <sheet name="128th AD" sheetId="113" r:id="rId227"/>
    <sheet name="129th AD" sheetId="112" r:id="rId228"/>
    <sheet name="130th AD" sheetId="111" r:id="rId229"/>
    <sheet name="131st AD" sheetId="110" r:id="rId230"/>
    <sheet name="132nd AD" sheetId="109" r:id="rId231"/>
    <sheet name="133rd AD" sheetId="108" r:id="rId232"/>
    <sheet name="134th AD" sheetId="107" r:id="rId233"/>
    <sheet name="135th AD" sheetId="106" r:id="rId234"/>
    <sheet name="136th AD" sheetId="105" r:id="rId235"/>
    <sheet name="137th AD" sheetId="104" r:id="rId236"/>
    <sheet name="138th AD" sheetId="103" r:id="rId237"/>
    <sheet name="139th AD" sheetId="102" r:id="rId238"/>
    <sheet name="140th AD" sheetId="101" r:id="rId239"/>
    <sheet name="141st AD" sheetId="100" r:id="rId240"/>
    <sheet name="142nd AD" sheetId="99" r:id="rId241"/>
    <sheet name="143rd AD" sheetId="98" r:id="rId242"/>
    <sheet name="144th AD" sheetId="97" r:id="rId243"/>
    <sheet name="145th AD" sheetId="96" r:id="rId244"/>
    <sheet name="146th AD" sheetId="95" r:id="rId245"/>
    <sheet name="147th AD" sheetId="94" r:id="rId246"/>
    <sheet name="148th AD" sheetId="93" r:id="rId247"/>
    <sheet name="149th AD" sheetId="92" r:id="rId248"/>
    <sheet name="150th AD" sheetId="91" r:id="rId249"/>
    <sheet name="Proposition 1" sheetId="267" r:id="rId250"/>
  </sheets>
  <definedNames>
    <definedName name="_xlnm.Print_Area" localSheetId="8">'11th JD'!$A$1:$E$21</definedName>
    <definedName name="_xlnm.Print_Area" localSheetId="9">'12th JD'!$A$1:$E$7</definedName>
    <definedName name="_xlnm.Print_Area" localSheetId="99">'1st AD'!$A$1:$E$11</definedName>
    <definedName name="_xlnm.Print_Area" localSheetId="10">'1st CD'!$A$1:$E$10</definedName>
    <definedName name="_xlnm.Print_Area" localSheetId="2">'1st JD'!$A$1:$E$8</definedName>
    <definedName name="_xlnm.Print_Area" localSheetId="36">'1st SD'!$A$1:$D$10</definedName>
    <definedName name="_xlnm.Print_Area" localSheetId="3">'2nd JD'!$A$1:$E$18</definedName>
    <definedName name="_xlnm.Print_Area" localSheetId="0">President!$A$1:$U$66</definedName>
    <definedName name="_xlnm.Print_Area" localSheetId="249">'Proposition 1'!$A$1:$F$66</definedName>
    <definedName name="_xlnm.Print_Area" localSheetId="1">'US Senate'!$A$1:$J$66</definedName>
    <definedName name="_xlnm.Print_Titles" localSheetId="0">President!$A:$A,President!$1:$2</definedName>
    <definedName name="_xlnm.Print_Titles" localSheetId="249">'Proposition 1'!$1:$3</definedName>
    <definedName name="_xlnm.Print_Titles" localSheetId="1">'US Senate'!$A:$A,'US Senate'!$1:$2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78" l="1"/>
  <c r="D4" i="255"/>
  <c r="D3" i="255"/>
  <c r="C8" i="255"/>
  <c r="C7" i="255"/>
  <c r="C6" i="255"/>
  <c r="C5" i="255"/>
  <c r="C4" i="255"/>
  <c r="C3" i="255"/>
  <c r="C66" i="241"/>
  <c r="B66" i="241"/>
  <c r="C66" i="1"/>
  <c r="B66" i="1"/>
  <c r="U65" i="1"/>
  <c r="B65" i="1"/>
  <c r="U4" i="1"/>
  <c r="U3" i="1"/>
  <c r="U61" i="1"/>
  <c r="D9" i="93"/>
  <c r="C8" i="116"/>
  <c r="D9" i="128"/>
  <c r="C11" i="91"/>
  <c r="D4" i="204"/>
  <c r="D5" i="204"/>
  <c r="D6" i="204"/>
  <c r="D7" i="204"/>
  <c r="D3" i="204"/>
  <c r="C8" i="204"/>
  <c r="C8" i="45"/>
  <c r="E3" i="4"/>
  <c r="E4" i="4"/>
  <c r="E5" i="4"/>
  <c r="E6" i="4"/>
  <c r="E7" i="4"/>
  <c r="E8" i="4"/>
  <c r="E9" i="4"/>
  <c r="C10" i="4"/>
  <c r="C7" i="17" l="1"/>
  <c r="M3" i="20"/>
  <c r="M4" i="20"/>
  <c r="M5" i="20"/>
  <c r="M6" i="20"/>
  <c r="M7" i="20"/>
  <c r="M8" i="20"/>
  <c r="M9" i="20"/>
  <c r="P3" i="25"/>
  <c r="P4" i="25"/>
  <c r="P5" i="25"/>
  <c r="P6" i="25"/>
  <c r="P7" i="25"/>
  <c r="P8" i="25"/>
  <c r="G3" i="23"/>
  <c r="G4" i="23"/>
  <c r="G5" i="23"/>
  <c r="G6" i="23"/>
  <c r="G7" i="23"/>
  <c r="G8" i="23"/>
  <c r="G9" i="23"/>
  <c r="J58" i="241"/>
  <c r="H8" i="263"/>
  <c r="H10" i="263"/>
  <c r="H11" i="263"/>
  <c r="G3" i="263"/>
  <c r="G4" i="263"/>
  <c r="G5" i="263"/>
  <c r="G6" i="263"/>
  <c r="G7" i="263"/>
  <c r="H7" i="263" s="1"/>
  <c r="G8" i="263"/>
  <c r="G9" i="263"/>
  <c r="H9" i="263" s="1"/>
  <c r="G10" i="263"/>
  <c r="G11" i="263"/>
  <c r="G12" i="263"/>
  <c r="H12" i="263" s="1"/>
  <c r="G13" i="263"/>
  <c r="G14" i="263"/>
  <c r="G15" i="263"/>
  <c r="G16" i="263"/>
  <c r="G17" i="263"/>
  <c r="G18" i="263"/>
  <c r="G19" i="263"/>
  <c r="G20" i="263"/>
  <c r="D3" i="230"/>
  <c r="D4" i="230"/>
  <c r="D5" i="230"/>
  <c r="D6" i="230"/>
  <c r="D7" i="230"/>
  <c r="D8" i="230"/>
  <c r="C9" i="230"/>
  <c r="D3" i="231"/>
  <c r="D4" i="231"/>
  <c r="D5" i="231"/>
  <c r="D6" i="231"/>
  <c r="D7" i="231"/>
  <c r="D8" i="231"/>
  <c r="C9" i="231"/>
  <c r="D3" i="264"/>
  <c r="D4" i="264"/>
  <c r="D5" i="264"/>
  <c r="D6" i="264"/>
  <c r="D7" i="264"/>
  <c r="D8" i="264"/>
  <c r="D9" i="264"/>
  <c r="D10" i="264"/>
  <c r="D11" i="264"/>
  <c r="D12" i="264"/>
  <c r="D13" i="264"/>
  <c r="D14" i="264"/>
  <c r="D15" i="264"/>
  <c r="D16" i="264"/>
  <c r="D17" i="264"/>
  <c r="D18" i="264"/>
  <c r="D19" i="264"/>
  <c r="D20" i="264"/>
  <c r="D21" i="264"/>
  <c r="D22" i="264"/>
  <c r="D23" i="264"/>
  <c r="D24" i="264"/>
  <c r="D25" i="264"/>
  <c r="D26" i="264"/>
  <c r="D27" i="264"/>
  <c r="D28" i="264"/>
  <c r="D29" i="264"/>
  <c r="F4" i="18"/>
  <c r="F5" i="18"/>
  <c r="F6" i="18"/>
  <c r="F7" i="18"/>
  <c r="F8" i="18"/>
  <c r="F9" i="18"/>
  <c r="F3" i="18"/>
  <c r="H6" i="263" l="1"/>
  <c r="H4" i="263"/>
  <c r="H3" i="263"/>
  <c r="H5" i="263"/>
  <c r="G4" i="21"/>
  <c r="G5" i="21"/>
  <c r="G6" i="21"/>
  <c r="G7" i="21"/>
  <c r="G8" i="21"/>
  <c r="G9" i="21"/>
  <c r="G3" i="21"/>
  <c r="E4" i="19"/>
  <c r="E5" i="19"/>
  <c r="E6" i="19"/>
  <c r="E7" i="19"/>
  <c r="E8" i="19"/>
  <c r="E9" i="19"/>
  <c r="E3" i="19"/>
  <c r="S54" i="1"/>
  <c r="D10" i="23"/>
  <c r="H3" i="123"/>
  <c r="F8" i="123"/>
  <c r="K7" i="24"/>
  <c r="K8" i="24"/>
  <c r="K5" i="24"/>
  <c r="K6" i="24"/>
  <c r="K4" i="24"/>
  <c r="K3" i="24"/>
  <c r="G9" i="24"/>
  <c r="H9" i="24"/>
  <c r="D10" i="21"/>
  <c r="C8" i="127"/>
  <c r="J10" i="22"/>
  <c r="K10" i="22"/>
  <c r="L10" i="22"/>
  <c r="N10" i="22"/>
  <c r="C10" i="68"/>
  <c r="D10" i="68"/>
  <c r="D8" i="84"/>
  <c r="J3" i="241"/>
  <c r="J4" i="241"/>
  <c r="J5" i="241"/>
  <c r="J6" i="241"/>
  <c r="J7" i="241"/>
  <c r="J8" i="241"/>
  <c r="J9" i="241"/>
  <c r="J10" i="241"/>
  <c r="J11" i="241"/>
  <c r="J12" i="241"/>
  <c r="J13" i="241"/>
  <c r="J14" i="241"/>
  <c r="J15" i="241"/>
  <c r="J16" i="241"/>
  <c r="J17" i="241"/>
  <c r="J18" i="241"/>
  <c r="J19" i="241"/>
  <c r="J20" i="241"/>
  <c r="J21" i="241"/>
  <c r="J22" i="241"/>
  <c r="J23" i="241"/>
  <c r="J24" i="241"/>
  <c r="J25" i="241"/>
  <c r="J26" i="241"/>
  <c r="J27" i="241"/>
  <c r="J28" i="241"/>
  <c r="J29" i="241"/>
  <c r="J30" i="241"/>
  <c r="J31" i="241"/>
  <c r="J32" i="241"/>
  <c r="J33" i="241"/>
  <c r="J34" i="241"/>
  <c r="J35" i="241"/>
  <c r="J36" i="241"/>
  <c r="J37" i="241"/>
  <c r="J38" i="241"/>
  <c r="J39" i="241"/>
  <c r="J40" i="241"/>
  <c r="J41" i="241"/>
  <c r="J42" i="241"/>
  <c r="J43" i="241"/>
  <c r="J44" i="241"/>
  <c r="J45" i="241"/>
  <c r="J46" i="241"/>
  <c r="J47" i="241"/>
  <c r="J48" i="241"/>
  <c r="J49" i="241"/>
  <c r="J50" i="241"/>
  <c r="J51" i="241"/>
  <c r="J52" i="241"/>
  <c r="J53" i="241"/>
  <c r="J54" i="241"/>
  <c r="J55" i="241"/>
  <c r="J56" i="241"/>
  <c r="J57" i="241"/>
  <c r="J59" i="241"/>
  <c r="J60" i="241"/>
  <c r="J61" i="241"/>
  <c r="J62" i="241"/>
  <c r="J63" i="241"/>
  <c r="J64" i="241"/>
  <c r="D8" i="76"/>
  <c r="E8" i="76"/>
  <c r="U5" i="1"/>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2" i="1"/>
  <c r="U63" i="1"/>
  <c r="U64" i="1"/>
  <c r="G65" i="241"/>
  <c r="G66" i="241" s="1"/>
  <c r="F4" i="267"/>
  <c r="F5" i="267"/>
  <c r="F6" i="267"/>
  <c r="F7" i="267"/>
  <c r="F8" i="267"/>
  <c r="F9" i="267"/>
  <c r="F10" i="267"/>
  <c r="F11" i="267"/>
  <c r="F12" i="267"/>
  <c r="F13" i="267"/>
  <c r="F14" i="267"/>
  <c r="F15" i="267"/>
  <c r="F16" i="267"/>
  <c r="F17" i="267"/>
  <c r="F18" i="267"/>
  <c r="F19" i="267"/>
  <c r="F20" i="267"/>
  <c r="F21" i="267"/>
  <c r="F22" i="267"/>
  <c r="F23" i="267"/>
  <c r="F24" i="267"/>
  <c r="F25" i="267"/>
  <c r="F26" i="267"/>
  <c r="F27" i="267"/>
  <c r="F28" i="267"/>
  <c r="F29" i="267"/>
  <c r="F30" i="267"/>
  <c r="F31" i="267"/>
  <c r="F32" i="267"/>
  <c r="F33" i="267"/>
  <c r="F34" i="267"/>
  <c r="F35" i="267"/>
  <c r="F36" i="267"/>
  <c r="F37" i="267"/>
  <c r="F38" i="267"/>
  <c r="F39" i="267"/>
  <c r="F40" i="267"/>
  <c r="F41" i="267"/>
  <c r="F42" i="267"/>
  <c r="F43" i="267"/>
  <c r="F44" i="267"/>
  <c r="F45" i="267"/>
  <c r="F46" i="267"/>
  <c r="F47" i="267"/>
  <c r="F48" i="267"/>
  <c r="F49" i="267"/>
  <c r="F50" i="267"/>
  <c r="F51" i="267"/>
  <c r="F52" i="267"/>
  <c r="F53" i="267"/>
  <c r="F54" i="267"/>
  <c r="F55" i="267"/>
  <c r="F56" i="267"/>
  <c r="F57" i="267"/>
  <c r="F58" i="267"/>
  <c r="F59" i="267"/>
  <c r="F60" i="267"/>
  <c r="F61" i="267"/>
  <c r="F62" i="267"/>
  <c r="F63" i="267"/>
  <c r="F64" i="267"/>
  <c r="F65" i="267"/>
  <c r="L9" i="25"/>
  <c r="J9" i="25"/>
  <c r="E66" i="267"/>
  <c r="D66" i="267"/>
  <c r="C66" i="267"/>
  <c r="B66" i="267"/>
  <c r="D7" i="91"/>
  <c r="C6" i="7"/>
  <c r="D6" i="7" s="1"/>
  <c r="C7" i="118"/>
  <c r="D6" i="141"/>
  <c r="C15" i="265"/>
  <c r="C16" i="265"/>
  <c r="C4" i="265"/>
  <c r="D4" i="265" s="1"/>
  <c r="C5" i="265"/>
  <c r="D5" i="265" s="1"/>
  <c r="C6" i="265"/>
  <c r="D6" i="265" s="1"/>
  <c r="C7" i="265"/>
  <c r="C8" i="265"/>
  <c r="D8" i="265" s="1"/>
  <c r="C9" i="265"/>
  <c r="D9" i="265" s="1"/>
  <c r="C10" i="265"/>
  <c r="C11" i="265"/>
  <c r="C4" i="256"/>
  <c r="D4" i="256" s="1"/>
  <c r="C5" i="256"/>
  <c r="D5" i="256" s="1"/>
  <c r="C6" i="256"/>
  <c r="C7" i="256"/>
  <c r="C8" i="256"/>
  <c r="C9" i="256"/>
  <c r="C10" i="256"/>
  <c r="C6" i="2"/>
  <c r="J5" i="262"/>
  <c r="J6" i="262"/>
  <c r="J7" i="262"/>
  <c r="J8" i="262"/>
  <c r="J9" i="262"/>
  <c r="J10" i="262"/>
  <c r="J11" i="262"/>
  <c r="J12" i="262"/>
  <c r="J5" i="261"/>
  <c r="J6" i="261"/>
  <c r="J7" i="261"/>
  <c r="C6" i="211"/>
  <c r="C5" i="213"/>
  <c r="C6" i="213"/>
  <c r="C6" i="217"/>
  <c r="C7" i="217"/>
  <c r="D7" i="217" s="1"/>
  <c r="C6" i="218"/>
  <c r="C7" i="37"/>
  <c r="C6" i="16"/>
  <c r="D6" i="16" s="1"/>
  <c r="C5" i="104"/>
  <c r="C6" i="104"/>
  <c r="C3" i="118"/>
  <c r="C5" i="118"/>
  <c r="C5" i="145"/>
  <c r="D6" i="146"/>
  <c r="C5" i="149"/>
  <c r="C6" i="149"/>
  <c r="C5" i="151"/>
  <c r="C6" i="153"/>
  <c r="C5" i="155"/>
  <c r="D5" i="155" s="1"/>
  <c r="C5" i="163"/>
  <c r="C4" i="169"/>
  <c r="C4" i="182"/>
  <c r="C5" i="182"/>
  <c r="C5" i="186"/>
  <c r="C5" i="189"/>
  <c r="C5" i="190"/>
  <c r="C6" i="190"/>
  <c r="C4" i="191"/>
  <c r="C5" i="201"/>
  <c r="C6" i="201"/>
  <c r="C4" i="205"/>
  <c r="C4" i="211"/>
  <c r="C5" i="211"/>
  <c r="C4" i="212"/>
  <c r="D4" i="212" s="1"/>
  <c r="C4" i="214"/>
  <c r="D4" i="214" s="1"/>
  <c r="C5" i="216"/>
  <c r="C6" i="216"/>
  <c r="C4" i="217"/>
  <c r="C5" i="217"/>
  <c r="C6" i="223"/>
  <c r="C6" i="90"/>
  <c r="C5" i="62"/>
  <c r="C5" i="59"/>
  <c r="D6" i="56"/>
  <c r="D5" i="56"/>
  <c r="D6" i="53"/>
  <c r="C4" i="44"/>
  <c r="C4" i="43"/>
  <c r="D4" i="43" s="1"/>
  <c r="C5" i="43"/>
  <c r="D4" i="39"/>
  <c r="E4" i="39" s="1"/>
  <c r="D5" i="39"/>
  <c r="C4" i="37"/>
  <c r="C5" i="37"/>
  <c r="G3" i="18"/>
  <c r="B10" i="18"/>
  <c r="C10" i="18"/>
  <c r="C5" i="6"/>
  <c r="C4" i="6"/>
  <c r="D4" i="6" s="1"/>
  <c r="B7" i="266"/>
  <c r="C6" i="266"/>
  <c r="C5" i="266"/>
  <c r="C4" i="266"/>
  <c r="C3" i="266"/>
  <c r="D3" i="266" s="1"/>
  <c r="B21" i="265"/>
  <c r="C20" i="265"/>
  <c r="C19" i="265"/>
  <c r="C18" i="265"/>
  <c r="C17" i="265"/>
  <c r="C14" i="265"/>
  <c r="C13" i="265"/>
  <c r="C12" i="265"/>
  <c r="C3" i="265"/>
  <c r="C30" i="264"/>
  <c r="B30" i="264"/>
  <c r="F21" i="263"/>
  <c r="E21" i="263"/>
  <c r="D21" i="263"/>
  <c r="C21" i="263"/>
  <c r="B21" i="263"/>
  <c r="I20" i="262"/>
  <c r="H20" i="262"/>
  <c r="G20" i="262"/>
  <c r="F20" i="262"/>
  <c r="E20" i="262"/>
  <c r="D20" i="262"/>
  <c r="C20" i="262"/>
  <c r="B20" i="262"/>
  <c r="J19" i="262"/>
  <c r="J18" i="262"/>
  <c r="J17" i="262"/>
  <c r="J16" i="262"/>
  <c r="J15" i="262"/>
  <c r="J14" i="262"/>
  <c r="J13" i="262"/>
  <c r="J4" i="262"/>
  <c r="J3" i="262"/>
  <c r="I14" i="261"/>
  <c r="H14" i="261"/>
  <c r="G14" i="261"/>
  <c r="F14" i="261"/>
  <c r="E14" i="261"/>
  <c r="D14" i="261"/>
  <c r="C14" i="261"/>
  <c r="B14" i="261"/>
  <c r="J13" i="261"/>
  <c r="J12" i="261"/>
  <c r="J11" i="261"/>
  <c r="J10" i="261"/>
  <c r="J9" i="261"/>
  <c r="J8" i="261"/>
  <c r="J4" i="261"/>
  <c r="J3" i="261"/>
  <c r="B18" i="256"/>
  <c r="C17" i="256"/>
  <c r="C16" i="256"/>
  <c r="C15" i="256"/>
  <c r="C14" i="256"/>
  <c r="C13" i="256"/>
  <c r="C12" i="256"/>
  <c r="C11" i="256"/>
  <c r="C3" i="256"/>
  <c r="D3" i="256" s="1"/>
  <c r="B8" i="255"/>
  <c r="D3" i="265" l="1"/>
  <c r="D7" i="265"/>
  <c r="D7" i="256"/>
  <c r="D8" i="256"/>
  <c r="D4" i="217"/>
  <c r="D13" i="265"/>
  <c r="D12" i="265"/>
  <c r="K4" i="261"/>
  <c r="E7" i="264"/>
  <c r="D9" i="256"/>
  <c r="E8" i="264"/>
  <c r="E6" i="264"/>
  <c r="E3" i="264"/>
  <c r="K6" i="261"/>
  <c r="E4" i="264"/>
  <c r="D6" i="256"/>
  <c r="E10" i="264"/>
  <c r="E9" i="264"/>
  <c r="E5" i="264"/>
  <c r="K6" i="262"/>
  <c r="F66" i="267"/>
  <c r="K3" i="262"/>
  <c r="K5" i="262"/>
  <c r="K4" i="262"/>
  <c r="K3" i="261"/>
  <c r="K5" i="261"/>
  <c r="D4" i="37"/>
  <c r="D4" i="211"/>
  <c r="C7" i="266"/>
  <c r="C21" i="265"/>
  <c r="D30" i="264"/>
  <c r="G21" i="263"/>
  <c r="J20" i="262"/>
  <c r="J14" i="261"/>
  <c r="C18" i="256"/>
  <c r="I65" i="241" l="1"/>
  <c r="H65" i="241"/>
  <c r="H66" i="241" s="1"/>
  <c r="F65" i="241"/>
  <c r="F66" i="241" s="1"/>
  <c r="E65" i="241"/>
  <c r="D65" i="241"/>
  <c r="C65" i="241"/>
  <c r="B65" i="241"/>
  <c r="B10" i="240"/>
  <c r="C9" i="240"/>
  <c r="C8" i="240"/>
  <c r="C7" i="240"/>
  <c r="C6" i="240"/>
  <c r="C5" i="240"/>
  <c r="C4" i="240"/>
  <c r="C3" i="240"/>
  <c r="B9" i="239"/>
  <c r="C8" i="239"/>
  <c r="C7" i="239"/>
  <c r="C6" i="239"/>
  <c r="C5" i="239"/>
  <c r="C4" i="239"/>
  <c r="D4" i="239" s="1"/>
  <c r="C3" i="239"/>
  <c r="D3" i="239" s="1"/>
  <c r="B9" i="238"/>
  <c r="C8" i="238"/>
  <c r="C7" i="238"/>
  <c r="C6" i="238"/>
  <c r="C5" i="238"/>
  <c r="C4" i="238"/>
  <c r="C3" i="238"/>
  <c r="B9" i="237"/>
  <c r="C8" i="237"/>
  <c r="C7" i="237"/>
  <c r="C6" i="237"/>
  <c r="C5" i="237"/>
  <c r="C4" i="237"/>
  <c r="C3" i="237"/>
  <c r="D3" i="237" s="1"/>
  <c r="B9" i="236"/>
  <c r="C8" i="236"/>
  <c r="C7" i="236"/>
  <c r="C6" i="236"/>
  <c r="C5" i="236"/>
  <c r="C4" i="236"/>
  <c r="D4" i="236" s="1"/>
  <c r="C3" i="236"/>
  <c r="B9" i="235"/>
  <c r="C8" i="235"/>
  <c r="C7" i="235"/>
  <c r="C6" i="235"/>
  <c r="C5" i="235"/>
  <c r="C4" i="235"/>
  <c r="D4" i="235" s="1"/>
  <c r="C3" i="235"/>
  <c r="B9" i="234"/>
  <c r="C8" i="234"/>
  <c r="C7" i="234"/>
  <c r="C6" i="234"/>
  <c r="C5" i="234"/>
  <c r="C4" i="234"/>
  <c r="C3" i="234"/>
  <c r="B10" i="233"/>
  <c r="C9" i="233"/>
  <c r="C8" i="233"/>
  <c r="C7" i="233"/>
  <c r="C6" i="233"/>
  <c r="C5" i="233"/>
  <c r="C4" i="233"/>
  <c r="C3" i="233"/>
  <c r="C9" i="232"/>
  <c r="B9" i="232"/>
  <c r="D8" i="232"/>
  <c r="D7" i="232"/>
  <c r="D6" i="232"/>
  <c r="D5" i="232"/>
  <c r="D4" i="232"/>
  <c r="D3" i="232"/>
  <c r="E3" i="232" s="1"/>
  <c r="B9" i="231"/>
  <c r="E3" i="231"/>
  <c r="B9" i="230"/>
  <c r="E3" i="230"/>
  <c r="B9" i="229"/>
  <c r="C8" i="229"/>
  <c r="C7" i="229"/>
  <c r="C6" i="229"/>
  <c r="C5" i="229"/>
  <c r="C4" i="229"/>
  <c r="D4" i="229" s="1"/>
  <c r="C3" i="229"/>
  <c r="D3" i="229" s="1"/>
  <c r="B9" i="228"/>
  <c r="C8" i="228"/>
  <c r="C7" i="228"/>
  <c r="C6" i="228"/>
  <c r="C5" i="228"/>
  <c r="C4" i="228"/>
  <c r="C3" i="228"/>
  <c r="D3" i="228" s="1"/>
  <c r="B9" i="227"/>
  <c r="C8" i="227"/>
  <c r="C7" i="227"/>
  <c r="C6" i="227"/>
  <c r="C5" i="227"/>
  <c r="C4" i="227"/>
  <c r="C3" i="227"/>
  <c r="B9" i="226"/>
  <c r="C8" i="226"/>
  <c r="C7" i="226"/>
  <c r="C6" i="226"/>
  <c r="C5" i="226"/>
  <c r="C4" i="226"/>
  <c r="D4" i="226" s="1"/>
  <c r="C3" i="226"/>
  <c r="D3" i="226" s="1"/>
  <c r="B9" i="225"/>
  <c r="C8" i="225"/>
  <c r="C7" i="225"/>
  <c r="C6" i="225"/>
  <c r="C5" i="225"/>
  <c r="C4" i="225"/>
  <c r="C3" i="225"/>
  <c r="D3" i="225" s="1"/>
  <c r="B9" i="224"/>
  <c r="C8" i="224"/>
  <c r="C7" i="224"/>
  <c r="C6" i="224"/>
  <c r="C5" i="224"/>
  <c r="C4" i="224"/>
  <c r="C3" i="224"/>
  <c r="B10" i="223"/>
  <c r="C9" i="223"/>
  <c r="C8" i="223"/>
  <c r="C7" i="223"/>
  <c r="C5" i="223"/>
  <c r="C4" i="223"/>
  <c r="C3" i="223"/>
  <c r="D3" i="223" s="1"/>
  <c r="B9" i="222"/>
  <c r="C8" i="222"/>
  <c r="C7" i="222"/>
  <c r="C6" i="222"/>
  <c r="C5" i="222"/>
  <c r="C4" i="222"/>
  <c r="C3" i="222"/>
  <c r="B9" i="221"/>
  <c r="C8" i="221"/>
  <c r="C7" i="221"/>
  <c r="C6" i="221"/>
  <c r="C5" i="221"/>
  <c r="C4" i="221"/>
  <c r="C3" i="221"/>
  <c r="B9" i="220"/>
  <c r="C8" i="220"/>
  <c r="C7" i="220"/>
  <c r="C6" i="220"/>
  <c r="C5" i="220"/>
  <c r="C4" i="220"/>
  <c r="C3" i="220"/>
  <c r="B10" i="219"/>
  <c r="C9" i="219"/>
  <c r="C8" i="219"/>
  <c r="C7" i="219"/>
  <c r="C6" i="219"/>
  <c r="C5" i="219"/>
  <c r="C4" i="219"/>
  <c r="C3" i="219"/>
  <c r="B11" i="218"/>
  <c r="C10" i="218"/>
  <c r="C9" i="218"/>
  <c r="C8" i="218"/>
  <c r="C7" i="218"/>
  <c r="C5" i="218"/>
  <c r="C4" i="218"/>
  <c r="C3" i="218"/>
  <c r="B11" i="217"/>
  <c r="C10" i="217"/>
  <c r="C9" i="217"/>
  <c r="C8" i="217"/>
  <c r="C3" i="217"/>
  <c r="B10" i="216"/>
  <c r="C9" i="216"/>
  <c r="C8" i="216"/>
  <c r="C7" i="216"/>
  <c r="C4" i="216"/>
  <c r="D4" i="216" s="1"/>
  <c r="C3" i="216"/>
  <c r="D3" i="216" s="1"/>
  <c r="B9" i="215"/>
  <c r="C8" i="215"/>
  <c r="C7" i="215"/>
  <c r="C6" i="215"/>
  <c r="C5" i="215"/>
  <c r="C4" i="215"/>
  <c r="C3" i="215"/>
  <c r="B8" i="214"/>
  <c r="C7" i="214"/>
  <c r="C6" i="214"/>
  <c r="C5" i="214"/>
  <c r="C3" i="214"/>
  <c r="B10" i="213"/>
  <c r="C9" i="213"/>
  <c r="C8" i="213"/>
  <c r="C7" i="213"/>
  <c r="C4" i="213"/>
  <c r="D4" i="213" s="1"/>
  <c r="C3" i="213"/>
  <c r="B8" i="212"/>
  <c r="C7" i="212"/>
  <c r="C6" i="212"/>
  <c r="C5" i="212"/>
  <c r="C3" i="212"/>
  <c r="D3" i="212" s="1"/>
  <c r="B10" i="211"/>
  <c r="C9" i="211"/>
  <c r="C8" i="211"/>
  <c r="C7" i="211"/>
  <c r="C3" i="211"/>
  <c r="D3" i="211" s="1"/>
  <c r="B8" i="210"/>
  <c r="C7" i="210"/>
  <c r="C6" i="210"/>
  <c r="C5" i="210"/>
  <c r="C4" i="210"/>
  <c r="C3" i="210"/>
  <c r="B7" i="209"/>
  <c r="C6" i="209"/>
  <c r="C5" i="209"/>
  <c r="C4" i="209"/>
  <c r="C3" i="209"/>
  <c r="B7" i="208"/>
  <c r="C6" i="208"/>
  <c r="C5" i="208"/>
  <c r="C4" i="208"/>
  <c r="C3" i="208"/>
  <c r="B8" i="207"/>
  <c r="C7" i="207"/>
  <c r="C6" i="207"/>
  <c r="C5" i="207"/>
  <c r="C4" i="207"/>
  <c r="C3" i="207"/>
  <c r="D3" i="207" s="1"/>
  <c r="B8" i="206"/>
  <c r="C7" i="206"/>
  <c r="C6" i="206"/>
  <c r="C5" i="206"/>
  <c r="C4" i="206"/>
  <c r="C3" i="206"/>
  <c r="B8" i="205"/>
  <c r="C7" i="205"/>
  <c r="C6" i="205"/>
  <c r="C5" i="205"/>
  <c r="C3" i="205"/>
  <c r="D3" i="205" s="1"/>
  <c r="B8" i="204"/>
  <c r="E3" i="204"/>
  <c r="B7" i="203"/>
  <c r="C6" i="203"/>
  <c r="C5" i="203"/>
  <c r="C4" i="203"/>
  <c r="C3" i="203"/>
  <c r="B7" i="202"/>
  <c r="C6" i="202"/>
  <c r="C5" i="202"/>
  <c r="C4" i="202"/>
  <c r="C3" i="202"/>
  <c r="B10" i="201"/>
  <c r="C9" i="201"/>
  <c r="C8" i="201"/>
  <c r="C7" i="201"/>
  <c r="C4" i="201"/>
  <c r="D4" i="201" s="1"/>
  <c r="C3" i="201"/>
  <c r="D3" i="201" s="1"/>
  <c r="B9" i="200"/>
  <c r="C8" i="200"/>
  <c r="C7" i="200"/>
  <c r="C6" i="200"/>
  <c r="C5" i="200"/>
  <c r="C4" i="200"/>
  <c r="C3" i="200"/>
  <c r="B7" i="199"/>
  <c r="C6" i="199"/>
  <c r="C5" i="199"/>
  <c r="C4" i="199"/>
  <c r="C3" i="199"/>
  <c r="B8" i="198"/>
  <c r="C7" i="198"/>
  <c r="C6" i="198"/>
  <c r="C5" i="198"/>
  <c r="C4" i="198"/>
  <c r="C3" i="198"/>
  <c r="B10" i="197"/>
  <c r="C9" i="197"/>
  <c r="C8" i="197"/>
  <c r="C7" i="197"/>
  <c r="C6" i="197"/>
  <c r="C5" i="197"/>
  <c r="C4" i="197"/>
  <c r="C3" i="197"/>
  <c r="B9" i="196"/>
  <c r="C8" i="196"/>
  <c r="C7" i="196"/>
  <c r="C6" i="196"/>
  <c r="C5" i="196"/>
  <c r="C4" i="196"/>
  <c r="C3" i="196"/>
  <c r="D3" i="196" s="1"/>
  <c r="B9" i="195"/>
  <c r="C8" i="195"/>
  <c r="C7" i="195"/>
  <c r="C6" i="195"/>
  <c r="C5" i="195"/>
  <c r="C4" i="195"/>
  <c r="C3" i="195"/>
  <c r="B9" i="194"/>
  <c r="C8" i="194"/>
  <c r="C7" i="194"/>
  <c r="C6" i="194"/>
  <c r="C5" i="194"/>
  <c r="C4" i="194"/>
  <c r="C3" i="194"/>
  <c r="D3" i="194" s="1"/>
  <c r="B8" i="193"/>
  <c r="C7" i="193"/>
  <c r="C6" i="193"/>
  <c r="C5" i="193"/>
  <c r="C4" i="193"/>
  <c r="C3" i="193"/>
  <c r="B8" i="192"/>
  <c r="C7" i="192"/>
  <c r="C6" i="192"/>
  <c r="C5" i="192"/>
  <c r="C4" i="192"/>
  <c r="C3" i="192"/>
  <c r="B8" i="191"/>
  <c r="C7" i="191"/>
  <c r="C6" i="191"/>
  <c r="C5" i="191"/>
  <c r="C3" i="191"/>
  <c r="D3" i="191" s="1"/>
  <c r="B10" i="190"/>
  <c r="C9" i="190"/>
  <c r="C8" i="190"/>
  <c r="C7" i="190"/>
  <c r="C4" i="190"/>
  <c r="D4" i="190" s="1"/>
  <c r="C3" i="190"/>
  <c r="D3" i="190" s="1"/>
  <c r="B9" i="189"/>
  <c r="C8" i="189"/>
  <c r="C7" i="189"/>
  <c r="C6" i="189"/>
  <c r="C4" i="189"/>
  <c r="D4" i="189" s="1"/>
  <c r="C3" i="189"/>
  <c r="D3" i="189" s="1"/>
  <c r="B7" i="188"/>
  <c r="C6" i="188"/>
  <c r="C5" i="188"/>
  <c r="C4" i="188"/>
  <c r="C3" i="188"/>
  <c r="B7" i="187"/>
  <c r="C6" i="187"/>
  <c r="C5" i="187"/>
  <c r="C4" i="187"/>
  <c r="C3" i="187"/>
  <c r="B9" i="186"/>
  <c r="C8" i="186"/>
  <c r="C7" i="186"/>
  <c r="C6" i="186"/>
  <c r="C4" i="186"/>
  <c r="D4" i="186" s="1"/>
  <c r="C3" i="186"/>
  <c r="B7" i="185"/>
  <c r="C6" i="185"/>
  <c r="C5" i="185"/>
  <c r="C4" i="185"/>
  <c r="C3" i="185"/>
  <c r="B7" i="184"/>
  <c r="C6" i="184"/>
  <c r="C5" i="184"/>
  <c r="C4" i="184"/>
  <c r="C3" i="184"/>
  <c r="B7" i="183"/>
  <c r="C6" i="183"/>
  <c r="C5" i="183"/>
  <c r="C4" i="183"/>
  <c r="C3" i="183"/>
  <c r="D3" i="183" s="1"/>
  <c r="B9" i="182"/>
  <c r="C8" i="182"/>
  <c r="C7" i="182"/>
  <c r="C6" i="182"/>
  <c r="C3" i="182"/>
  <c r="D3" i="182" s="1"/>
  <c r="C3" i="181"/>
  <c r="D3" i="181" s="1"/>
  <c r="C4" i="181"/>
  <c r="C5" i="181"/>
  <c r="C6" i="181"/>
  <c r="B7" i="181"/>
  <c r="D7" i="180"/>
  <c r="C7" i="180"/>
  <c r="B7" i="180"/>
  <c r="E6" i="180"/>
  <c r="E5" i="180"/>
  <c r="E4" i="180"/>
  <c r="E3" i="180"/>
  <c r="F3" i="180" s="1"/>
  <c r="B8" i="179"/>
  <c r="C7" i="179"/>
  <c r="C6" i="179"/>
  <c r="C5" i="179"/>
  <c r="C4" i="179"/>
  <c r="C3" i="179"/>
  <c r="B9" i="178"/>
  <c r="C8" i="178"/>
  <c r="C7" i="178"/>
  <c r="C6" i="178"/>
  <c r="C5" i="178"/>
  <c r="C4" i="178"/>
  <c r="D4" i="178" s="1"/>
  <c r="C3" i="178"/>
  <c r="D3" i="178" s="1"/>
  <c r="C8" i="177"/>
  <c r="B8" i="177"/>
  <c r="D7" i="177"/>
  <c r="D6" i="177"/>
  <c r="D5" i="177"/>
  <c r="D4" i="177"/>
  <c r="D3" i="177"/>
  <c r="B8" i="176"/>
  <c r="C7" i="176"/>
  <c r="C6" i="176"/>
  <c r="C5" i="176"/>
  <c r="C4" i="176"/>
  <c r="C3" i="176"/>
  <c r="B7" i="175"/>
  <c r="C6" i="175"/>
  <c r="C5" i="175"/>
  <c r="C4" i="175"/>
  <c r="C3" i="175"/>
  <c r="B8" i="174"/>
  <c r="C7" i="174"/>
  <c r="C6" i="174"/>
  <c r="C5" i="174"/>
  <c r="C4" i="174"/>
  <c r="C3" i="174"/>
  <c r="B7" i="173"/>
  <c r="C6" i="173"/>
  <c r="C5" i="173"/>
  <c r="C4" i="173"/>
  <c r="C3" i="173"/>
  <c r="D3" i="173" s="1"/>
  <c r="B7" i="172"/>
  <c r="C6" i="172"/>
  <c r="C5" i="172"/>
  <c r="C4" i="172"/>
  <c r="C3" i="172"/>
  <c r="B8" i="171"/>
  <c r="C7" i="171"/>
  <c r="C6" i="171"/>
  <c r="C5" i="171"/>
  <c r="C4" i="171"/>
  <c r="D4" i="171" s="1"/>
  <c r="C3" i="171"/>
  <c r="B8" i="170"/>
  <c r="C7" i="170"/>
  <c r="C6" i="170"/>
  <c r="C5" i="170"/>
  <c r="C4" i="170"/>
  <c r="D4" i="170" s="1"/>
  <c r="C3" i="170"/>
  <c r="D3" i="170" s="1"/>
  <c r="B8" i="169"/>
  <c r="C7" i="169"/>
  <c r="C6" i="169"/>
  <c r="C5" i="169"/>
  <c r="C3" i="169"/>
  <c r="D3" i="169" s="1"/>
  <c r="B9" i="168"/>
  <c r="C8" i="168"/>
  <c r="C7" i="168"/>
  <c r="C6" i="168"/>
  <c r="C5" i="168"/>
  <c r="C4" i="168"/>
  <c r="D4" i="168" s="1"/>
  <c r="C3" i="168"/>
  <c r="B8" i="167"/>
  <c r="C7" i="167"/>
  <c r="C6" i="167"/>
  <c r="C5" i="167"/>
  <c r="C4" i="167"/>
  <c r="C3" i="167"/>
  <c r="B8" i="166"/>
  <c r="C7" i="166"/>
  <c r="C6" i="166"/>
  <c r="C5" i="166"/>
  <c r="C4" i="166"/>
  <c r="C3" i="166"/>
  <c r="B8" i="165"/>
  <c r="C7" i="165"/>
  <c r="C6" i="165"/>
  <c r="C5" i="165"/>
  <c r="C4" i="165"/>
  <c r="C3" i="165"/>
  <c r="B9" i="164"/>
  <c r="C8" i="164"/>
  <c r="C7" i="164"/>
  <c r="C6" i="164"/>
  <c r="C5" i="164"/>
  <c r="D5" i="164" s="1"/>
  <c r="C4" i="164"/>
  <c r="D4" i="164" s="1"/>
  <c r="C3" i="164"/>
  <c r="B9" i="163"/>
  <c r="C8" i="163"/>
  <c r="C7" i="163"/>
  <c r="C6" i="163"/>
  <c r="C4" i="163"/>
  <c r="D4" i="163" s="1"/>
  <c r="C3" i="163"/>
  <c r="B9" i="162"/>
  <c r="C8" i="162"/>
  <c r="C7" i="162"/>
  <c r="C6" i="162"/>
  <c r="C5" i="162"/>
  <c r="D5" i="162" s="1"/>
  <c r="C4" i="162"/>
  <c r="D4" i="162" s="1"/>
  <c r="C3" i="162"/>
  <c r="B9" i="161"/>
  <c r="C8" i="161"/>
  <c r="C7" i="161"/>
  <c r="C6" i="161"/>
  <c r="C5" i="161"/>
  <c r="D5" i="161" s="1"/>
  <c r="C4" i="161"/>
  <c r="D4" i="161" s="1"/>
  <c r="C3" i="161"/>
  <c r="B9" i="160"/>
  <c r="C8" i="160"/>
  <c r="C7" i="160"/>
  <c r="C6" i="160"/>
  <c r="C5" i="160"/>
  <c r="C4" i="160"/>
  <c r="C3" i="160"/>
  <c r="B9" i="159"/>
  <c r="C8" i="159"/>
  <c r="C7" i="159"/>
  <c r="C6" i="159"/>
  <c r="C5" i="159"/>
  <c r="C4" i="159"/>
  <c r="C3" i="159"/>
  <c r="B9" i="158"/>
  <c r="C8" i="158"/>
  <c r="C7" i="158"/>
  <c r="C6" i="158"/>
  <c r="C5" i="158"/>
  <c r="C4" i="158"/>
  <c r="C3" i="158"/>
  <c r="B10" i="157"/>
  <c r="C9" i="157"/>
  <c r="C8" i="157"/>
  <c r="C7" i="157"/>
  <c r="C6" i="157"/>
  <c r="C5" i="157"/>
  <c r="D5" i="157" s="1"/>
  <c r="C4" i="157"/>
  <c r="D4" i="157" s="1"/>
  <c r="C3" i="157"/>
  <c r="B9" i="156"/>
  <c r="C8" i="156"/>
  <c r="C7" i="156"/>
  <c r="C6" i="156"/>
  <c r="C5" i="156"/>
  <c r="D5" i="156" s="1"/>
  <c r="C4" i="156"/>
  <c r="D4" i="156" s="1"/>
  <c r="C3" i="156"/>
  <c r="B9" i="155"/>
  <c r="C8" i="155"/>
  <c r="C7" i="155"/>
  <c r="C6" i="155"/>
  <c r="C4" i="155"/>
  <c r="D4" i="155" s="1"/>
  <c r="C3" i="155"/>
  <c r="B8" i="154"/>
  <c r="C7" i="154"/>
  <c r="C6" i="154"/>
  <c r="C5" i="154"/>
  <c r="C4" i="154"/>
  <c r="C3" i="154"/>
  <c r="B10" i="153"/>
  <c r="C9" i="153"/>
  <c r="C8" i="153"/>
  <c r="C7" i="153"/>
  <c r="C5" i="153"/>
  <c r="C4" i="153"/>
  <c r="C3" i="153"/>
  <c r="D3" i="153" s="1"/>
  <c r="B7" i="152"/>
  <c r="C6" i="152"/>
  <c r="C5" i="152"/>
  <c r="C4" i="152"/>
  <c r="C3" i="152"/>
  <c r="B9" i="151"/>
  <c r="C8" i="151"/>
  <c r="C7" i="151"/>
  <c r="C6" i="151"/>
  <c r="C4" i="151"/>
  <c r="D4" i="151" s="1"/>
  <c r="C3" i="151"/>
  <c r="D3" i="151" s="1"/>
  <c r="B9" i="150"/>
  <c r="C8" i="150"/>
  <c r="C7" i="150"/>
  <c r="C6" i="150"/>
  <c r="C5" i="150"/>
  <c r="C4" i="150"/>
  <c r="D4" i="150" s="1"/>
  <c r="C3" i="150"/>
  <c r="B10" i="149"/>
  <c r="C9" i="149"/>
  <c r="C8" i="149"/>
  <c r="C7" i="149"/>
  <c r="C4" i="149"/>
  <c r="D4" i="149" s="1"/>
  <c r="C3" i="149"/>
  <c r="D3" i="149" s="1"/>
  <c r="B8" i="148"/>
  <c r="C7" i="148"/>
  <c r="C6" i="148"/>
  <c r="C5" i="148"/>
  <c r="C4" i="148"/>
  <c r="C3" i="148"/>
  <c r="C9" i="147"/>
  <c r="B9" i="147"/>
  <c r="D8" i="147"/>
  <c r="D7" i="147"/>
  <c r="D6" i="147"/>
  <c r="D5" i="147"/>
  <c r="D4" i="147"/>
  <c r="E4" i="147" s="1"/>
  <c r="D3" i="147"/>
  <c r="C10" i="146"/>
  <c r="B10" i="146"/>
  <c r="D9" i="146"/>
  <c r="D8" i="146"/>
  <c r="D7" i="146"/>
  <c r="D5" i="146"/>
  <c r="D4" i="146"/>
  <c r="D3" i="146"/>
  <c r="E3" i="146" s="1"/>
  <c r="B10" i="145"/>
  <c r="C9" i="145"/>
  <c r="C8" i="145"/>
  <c r="C7" i="145"/>
  <c r="C6" i="145"/>
  <c r="C4" i="145"/>
  <c r="D4" i="145" s="1"/>
  <c r="C3" i="145"/>
  <c r="B9" i="144"/>
  <c r="C8" i="144"/>
  <c r="C7" i="144"/>
  <c r="C6" i="144"/>
  <c r="C5" i="144"/>
  <c r="D5" i="144" s="1"/>
  <c r="C4" i="144"/>
  <c r="D4" i="144" s="1"/>
  <c r="C3" i="144"/>
  <c r="C8" i="143"/>
  <c r="B8" i="143"/>
  <c r="D7" i="143"/>
  <c r="D6" i="143"/>
  <c r="D5" i="143"/>
  <c r="D4" i="143"/>
  <c r="D3" i="143"/>
  <c r="C10" i="142"/>
  <c r="B10" i="142"/>
  <c r="D9" i="142"/>
  <c r="D8" i="142"/>
  <c r="D7" i="142"/>
  <c r="D6" i="142"/>
  <c r="D5" i="142"/>
  <c r="D4" i="142"/>
  <c r="D3" i="142"/>
  <c r="C10" i="141"/>
  <c r="B10" i="141"/>
  <c r="D9" i="141"/>
  <c r="D8" i="141"/>
  <c r="D7" i="141"/>
  <c r="D5" i="141"/>
  <c r="D4" i="141"/>
  <c r="D3" i="141"/>
  <c r="E3" i="141" s="1"/>
  <c r="E8" i="140"/>
  <c r="D8" i="140"/>
  <c r="C8" i="140"/>
  <c r="B8" i="140"/>
  <c r="F7" i="140"/>
  <c r="F6" i="140"/>
  <c r="F5" i="140"/>
  <c r="F4" i="140"/>
  <c r="F3" i="140"/>
  <c r="G3" i="140" s="1"/>
  <c r="F10" i="139"/>
  <c r="E10" i="139"/>
  <c r="D10" i="139"/>
  <c r="C10" i="139"/>
  <c r="B10" i="139"/>
  <c r="G9" i="139"/>
  <c r="G8" i="139"/>
  <c r="G7" i="139"/>
  <c r="G6" i="139"/>
  <c r="G5" i="139"/>
  <c r="G4" i="139"/>
  <c r="G3" i="139"/>
  <c r="C10" i="138"/>
  <c r="B10" i="138"/>
  <c r="D9" i="138"/>
  <c r="D8" i="138"/>
  <c r="D7" i="138"/>
  <c r="D6" i="138"/>
  <c r="D5" i="138"/>
  <c r="D4" i="138"/>
  <c r="D3" i="138"/>
  <c r="D8" i="137"/>
  <c r="C8" i="137"/>
  <c r="B8" i="137"/>
  <c r="E7" i="137"/>
  <c r="E6" i="137"/>
  <c r="E5" i="137"/>
  <c r="E4" i="137"/>
  <c r="E3" i="137"/>
  <c r="B8" i="136"/>
  <c r="C7" i="136"/>
  <c r="C6" i="136"/>
  <c r="C5" i="136"/>
  <c r="C4" i="136"/>
  <c r="C3" i="136"/>
  <c r="C9" i="135"/>
  <c r="B9" i="135"/>
  <c r="D8" i="135"/>
  <c r="D7" i="135"/>
  <c r="D6" i="135"/>
  <c r="D5" i="135"/>
  <c r="D4" i="135"/>
  <c r="E4" i="135" s="1"/>
  <c r="D3" i="135"/>
  <c r="E3" i="135" s="1"/>
  <c r="E9" i="134"/>
  <c r="D9" i="134"/>
  <c r="C9" i="134"/>
  <c r="B9" i="134"/>
  <c r="F8" i="134"/>
  <c r="F7" i="134"/>
  <c r="F6" i="134"/>
  <c r="F5" i="134"/>
  <c r="F4" i="134"/>
  <c r="F3" i="134"/>
  <c r="G3" i="134" s="1"/>
  <c r="D7" i="133"/>
  <c r="C7" i="133"/>
  <c r="B7" i="133"/>
  <c r="E6" i="133"/>
  <c r="E5" i="133"/>
  <c r="E4" i="133"/>
  <c r="E3" i="133"/>
  <c r="F3" i="133" s="1"/>
  <c r="C3" i="132"/>
  <c r="C4" i="132"/>
  <c r="C5" i="132"/>
  <c r="C6" i="132"/>
  <c r="C7" i="132"/>
  <c r="C8" i="132"/>
  <c r="C9" i="132"/>
  <c r="B10" i="132"/>
  <c r="C10" i="131"/>
  <c r="B10" i="131"/>
  <c r="D9" i="131"/>
  <c r="D8" i="131"/>
  <c r="D7" i="131"/>
  <c r="D6" i="131"/>
  <c r="D5" i="131"/>
  <c r="D4" i="131"/>
  <c r="D3" i="131"/>
  <c r="C10" i="130"/>
  <c r="B10" i="130"/>
  <c r="D9" i="130"/>
  <c r="D8" i="130"/>
  <c r="D7" i="130"/>
  <c r="D6" i="130"/>
  <c r="D5" i="130"/>
  <c r="D4" i="130"/>
  <c r="D3" i="130"/>
  <c r="D10" i="129"/>
  <c r="C10" i="129"/>
  <c r="B10" i="129"/>
  <c r="E9" i="129"/>
  <c r="E8" i="129"/>
  <c r="E7" i="129"/>
  <c r="E6" i="129"/>
  <c r="E5" i="129"/>
  <c r="E4" i="129"/>
  <c r="E3" i="129"/>
  <c r="C9" i="128"/>
  <c r="B9" i="128"/>
  <c r="E8" i="128"/>
  <c r="E7" i="128"/>
  <c r="E6" i="128"/>
  <c r="E5" i="128"/>
  <c r="E4" i="128"/>
  <c r="E3" i="128"/>
  <c r="F3" i="128" s="1"/>
  <c r="F8" i="127"/>
  <c r="E8" i="127"/>
  <c r="D8" i="127"/>
  <c r="B8" i="127"/>
  <c r="G7" i="127"/>
  <c r="G6" i="127"/>
  <c r="G5" i="127"/>
  <c r="G4" i="127"/>
  <c r="G3" i="127"/>
  <c r="H3" i="127" s="1"/>
  <c r="D7" i="126"/>
  <c r="C7" i="126"/>
  <c r="B7" i="126"/>
  <c r="E6" i="126"/>
  <c r="E5" i="126"/>
  <c r="E4" i="126"/>
  <c r="E3" i="126"/>
  <c r="F3" i="126" s="1"/>
  <c r="C8" i="125"/>
  <c r="B8" i="125"/>
  <c r="D7" i="125"/>
  <c r="D6" i="125"/>
  <c r="D5" i="125"/>
  <c r="D4" i="125"/>
  <c r="D3" i="125"/>
  <c r="E8" i="124"/>
  <c r="D8" i="124"/>
  <c r="C8" i="124"/>
  <c r="B8" i="124"/>
  <c r="F7" i="124"/>
  <c r="F6" i="124"/>
  <c r="F5" i="124"/>
  <c r="F4" i="124"/>
  <c r="F3" i="124"/>
  <c r="G8" i="123"/>
  <c r="E8" i="123"/>
  <c r="D8" i="123"/>
  <c r="C8" i="123"/>
  <c r="B8" i="123"/>
  <c r="H7" i="123"/>
  <c r="H6" i="123"/>
  <c r="H5" i="123"/>
  <c r="H4" i="123"/>
  <c r="I3" i="123"/>
  <c r="C3" i="122"/>
  <c r="C4" i="122"/>
  <c r="C5" i="122"/>
  <c r="C6" i="122"/>
  <c r="C7" i="122"/>
  <c r="C8" i="122"/>
  <c r="C9" i="122"/>
  <c r="B10" i="122"/>
  <c r="D8" i="121"/>
  <c r="C8" i="121"/>
  <c r="B8" i="121"/>
  <c r="E7" i="121"/>
  <c r="E6" i="121"/>
  <c r="E5" i="121"/>
  <c r="E4" i="121"/>
  <c r="E3" i="121"/>
  <c r="F9" i="120"/>
  <c r="E9" i="120"/>
  <c r="D9" i="120"/>
  <c r="C9" i="120"/>
  <c r="B9" i="120"/>
  <c r="G8" i="120"/>
  <c r="G7" i="120"/>
  <c r="G6" i="120"/>
  <c r="G5" i="120"/>
  <c r="G4" i="120"/>
  <c r="G3" i="120"/>
  <c r="H3" i="120" s="1"/>
  <c r="E10" i="119"/>
  <c r="D10" i="119"/>
  <c r="C10" i="119"/>
  <c r="B10" i="119"/>
  <c r="F9" i="119"/>
  <c r="F8" i="119"/>
  <c r="F7" i="119"/>
  <c r="F6" i="119"/>
  <c r="F5" i="119"/>
  <c r="F4" i="119"/>
  <c r="G4" i="119" s="1"/>
  <c r="F3" i="119"/>
  <c r="B11" i="118"/>
  <c r="C10" i="118"/>
  <c r="C9" i="118"/>
  <c r="C8" i="118"/>
  <c r="C6" i="118"/>
  <c r="D3" i="118" s="1"/>
  <c r="C4" i="118"/>
  <c r="D4" i="118" s="1"/>
  <c r="D8" i="117"/>
  <c r="C8" i="117"/>
  <c r="B8" i="117"/>
  <c r="E7" i="117"/>
  <c r="E6" i="117"/>
  <c r="E5" i="117"/>
  <c r="E4" i="117"/>
  <c r="E3" i="117"/>
  <c r="B8" i="116"/>
  <c r="D7" i="116"/>
  <c r="D6" i="116"/>
  <c r="D5" i="116"/>
  <c r="D4" i="116"/>
  <c r="D3" i="116"/>
  <c r="C10" i="115"/>
  <c r="B10" i="115"/>
  <c r="D9" i="115"/>
  <c r="D8" i="115"/>
  <c r="D7" i="115"/>
  <c r="D6" i="115"/>
  <c r="D5" i="115"/>
  <c r="D4" i="115"/>
  <c r="D3" i="115"/>
  <c r="C10" i="114"/>
  <c r="B10" i="114"/>
  <c r="D9" i="114"/>
  <c r="D8" i="114"/>
  <c r="D7" i="114"/>
  <c r="D6" i="114"/>
  <c r="D5" i="114"/>
  <c r="D4" i="114"/>
  <c r="D3" i="114"/>
  <c r="C3" i="113"/>
  <c r="C4" i="113"/>
  <c r="C5" i="113"/>
  <c r="C6" i="113"/>
  <c r="C7" i="113"/>
  <c r="C8" i="113"/>
  <c r="C9" i="113"/>
  <c r="B10" i="113"/>
  <c r="B7" i="112"/>
  <c r="C6" i="112"/>
  <c r="C5" i="112"/>
  <c r="C4" i="112"/>
  <c r="C3" i="112"/>
  <c r="D3" i="112" s="1"/>
  <c r="C9" i="111"/>
  <c r="B9" i="111"/>
  <c r="D8" i="111"/>
  <c r="D7" i="111"/>
  <c r="D6" i="111"/>
  <c r="D5" i="111"/>
  <c r="D4" i="111"/>
  <c r="D3" i="111"/>
  <c r="E3" i="111" s="1"/>
  <c r="H8" i="110"/>
  <c r="G8" i="110"/>
  <c r="F8" i="110"/>
  <c r="E8" i="110"/>
  <c r="D8" i="110"/>
  <c r="C8" i="110"/>
  <c r="B8" i="110"/>
  <c r="I7" i="110"/>
  <c r="I6" i="110"/>
  <c r="I5" i="110"/>
  <c r="I4" i="110"/>
  <c r="I3" i="110"/>
  <c r="F8" i="109"/>
  <c r="E8" i="109"/>
  <c r="D8" i="109"/>
  <c r="C8" i="109"/>
  <c r="B8" i="109"/>
  <c r="G7" i="109"/>
  <c r="G6" i="109"/>
  <c r="G5" i="109"/>
  <c r="G4" i="109"/>
  <c r="G3" i="109"/>
  <c r="H3" i="109" s="1"/>
  <c r="F9" i="108"/>
  <c r="E9" i="108"/>
  <c r="D9" i="108"/>
  <c r="C9" i="108"/>
  <c r="B9" i="108"/>
  <c r="G8" i="108"/>
  <c r="G7" i="108"/>
  <c r="G6" i="108"/>
  <c r="G5" i="108"/>
  <c r="G4" i="108"/>
  <c r="G3" i="108"/>
  <c r="H3" i="108" s="1"/>
  <c r="B8" i="107"/>
  <c r="C7" i="107"/>
  <c r="C6" i="107"/>
  <c r="C5" i="107"/>
  <c r="C4" i="107"/>
  <c r="C3" i="107"/>
  <c r="B10" i="106"/>
  <c r="C9" i="106"/>
  <c r="C8" i="106"/>
  <c r="C7" i="106"/>
  <c r="C6" i="106"/>
  <c r="C5" i="106"/>
  <c r="C4" i="106"/>
  <c r="D4" i="106" s="1"/>
  <c r="C3" i="106"/>
  <c r="B10" i="105"/>
  <c r="C9" i="105"/>
  <c r="C8" i="105"/>
  <c r="C7" i="105"/>
  <c r="C6" i="105"/>
  <c r="C5" i="105"/>
  <c r="C4" i="105"/>
  <c r="C3" i="105"/>
  <c r="B10" i="104"/>
  <c r="C9" i="104"/>
  <c r="C8" i="104"/>
  <c r="C7" i="104"/>
  <c r="C4" i="104"/>
  <c r="D4" i="104" s="1"/>
  <c r="C3" i="104"/>
  <c r="D3" i="104" s="1"/>
  <c r="B10" i="103"/>
  <c r="C9" i="103"/>
  <c r="C8" i="103"/>
  <c r="C7" i="103"/>
  <c r="C6" i="103"/>
  <c r="C5" i="103"/>
  <c r="C4" i="103"/>
  <c r="C3" i="103"/>
  <c r="F8" i="102"/>
  <c r="E8" i="102"/>
  <c r="D8" i="102"/>
  <c r="C8" i="102"/>
  <c r="B8" i="102"/>
  <c r="G7" i="102"/>
  <c r="G6" i="102"/>
  <c r="G5" i="102"/>
  <c r="G4" i="102"/>
  <c r="G3" i="102"/>
  <c r="C8" i="101"/>
  <c r="B8" i="101"/>
  <c r="D7" i="101"/>
  <c r="D6" i="101"/>
  <c r="D5" i="101"/>
  <c r="D4" i="101"/>
  <c r="D3" i="101"/>
  <c r="B7" i="100"/>
  <c r="C6" i="100"/>
  <c r="C5" i="100"/>
  <c r="C4" i="100"/>
  <c r="C3" i="100"/>
  <c r="B9" i="99"/>
  <c r="C8" i="99"/>
  <c r="C7" i="99"/>
  <c r="C6" i="99"/>
  <c r="C5" i="99"/>
  <c r="C4" i="99"/>
  <c r="C3" i="99"/>
  <c r="D3" i="99" s="1"/>
  <c r="B10" i="98"/>
  <c r="C9" i="98"/>
  <c r="C8" i="98"/>
  <c r="C7" i="98"/>
  <c r="C6" i="98"/>
  <c r="C5" i="98"/>
  <c r="C4" i="98"/>
  <c r="C3" i="98"/>
  <c r="C10" i="97"/>
  <c r="B10" i="97"/>
  <c r="D9" i="97"/>
  <c r="D8" i="97"/>
  <c r="D7" i="97"/>
  <c r="D6" i="97"/>
  <c r="D5" i="97"/>
  <c r="D4" i="97"/>
  <c r="D3" i="97"/>
  <c r="C10" i="96"/>
  <c r="B10" i="96"/>
  <c r="D9" i="96"/>
  <c r="D8" i="96"/>
  <c r="D7" i="96"/>
  <c r="D6" i="96"/>
  <c r="D5" i="96"/>
  <c r="D4" i="96"/>
  <c r="D3" i="96"/>
  <c r="B10" i="95"/>
  <c r="C9" i="95"/>
  <c r="C8" i="95"/>
  <c r="C7" i="95"/>
  <c r="C6" i="95"/>
  <c r="C5" i="95"/>
  <c r="C4" i="95"/>
  <c r="C3" i="95"/>
  <c r="C9" i="94"/>
  <c r="B9" i="94"/>
  <c r="D8" i="94"/>
  <c r="D7" i="94"/>
  <c r="D6" i="94"/>
  <c r="D5" i="94"/>
  <c r="D4" i="94"/>
  <c r="D3" i="94"/>
  <c r="E3" i="94" s="1"/>
  <c r="E9" i="93"/>
  <c r="C9" i="93"/>
  <c r="B9" i="93"/>
  <c r="F8" i="93"/>
  <c r="F7" i="93"/>
  <c r="F6" i="93"/>
  <c r="F5" i="93"/>
  <c r="F4" i="93"/>
  <c r="F3" i="93"/>
  <c r="B8" i="92"/>
  <c r="C7" i="92"/>
  <c r="C6" i="92"/>
  <c r="C5" i="92"/>
  <c r="C4" i="92"/>
  <c r="C3" i="92"/>
  <c r="B11" i="91"/>
  <c r="D10" i="91"/>
  <c r="D9" i="91"/>
  <c r="D8" i="91"/>
  <c r="D6" i="91"/>
  <c r="D5" i="91"/>
  <c r="D4" i="91"/>
  <c r="D3" i="91"/>
  <c r="D4" i="233" l="1"/>
  <c r="D4" i="238"/>
  <c r="E4" i="94"/>
  <c r="E4" i="96"/>
  <c r="H3" i="102"/>
  <c r="G4" i="134"/>
  <c r="E4" i="142"/>
  <c r="D3" i="107"/>
  <c r="D4" i="222"/>
  <c r="D3" i="122"/>
  <c r="D4" i="103"/>
  <c r="H4" i="108"/>
  <c r="E4" i="130"/>
  <c r="J65" i="241"/>
  <c r="E3" i="97"/>
  <c r="D3" i="105"/>
  <c r="H3" i="139"/>
  <c r="E4" i="115"/>
  <c r="D4" i="218"/>
  <c r="D4" i="228"/>
  <c r="D3" i="210"/>
  <c r="D3" i="98"/>
  <c r="D3" i="219"/>
  <c r="D3" i="103"/>
  <c r="E3" i="116"/>
  <c r="E3" i="130"/>
  <c r="E4" i="141"/>
  <c r="D4" i="153"/>
  <c r="D4" i="160"/>
  <c r="D3" i="198"/>
  <c r="D4" i="224"/>
  <c r="D4" i="234"/>
  <c r="E3" i="125"/>
  <c r="E4" i="97"/>
  <c r="D4" i="105"/>
  <c r="F4" i="129"/>
  <c r="D3" i="136"/>
  <c r="H4" i="139"/>
  <c r="D3" i="218"/>
  <c r="D4" i="221"/>
  <c r="D3" i="233"/>
  <c r="E3" i="96"/>
  <c r="E3" i="138"/>
  <c r="D4" i="122"/>
  <c r="D3" i="235"/>
  <c r="E4" i="114"/>
  <c r="F3" i="117"/>
  <c r="D4" i="225"/>
  <c r="E3" i="143"/>
  <c r="D3" i="145"/>
  <c r="E3" i="91"/>
  <c r="E4" i="91"/>
  <c r="F3" i="121"/>
  <c r="G4" i="93"/>
  <c r="D3" i="148"/>
  <c r="D3" i="150"/>
  <c r="D4" i="159"/>
  <c r="E3" i="101"/>
  <c r="E3" i="142"/>
  <c r="D4" i="132"/>
  <c r="D3" i="132"/>
  <c r="G3" i="119"/>
  <c r="H4" i="120"/>
  <c r="G3" i="124"/>
  <c r="E3" i="131"/>
  <c r="F3" i="137"/>
  <c r="D3" i="92"/>
  <c r="D4" i="95"/>
  <c r="J3" i="110"/>
  <c r="E4" i="111"/>
  <c r="D3" i="113"/>
  <c r="D4" i="113"/>
  <c r="D4" i="227"/>
  <c r="E4" i="232"/>
  <c r="D4" i="158"/>
  <c r="D3" i="206"/>
  <c r="D4" i="196"/>
  <c r="D4" i="215"/>
  <c r="D3" i="200"/>
  <c r="D3" i="165"/>
  <c r="E3" i="177"/>
  <c r="D3" i="154"/>
  <c r="D4" i="237"/>
  <c r="C10" i="240"/>
  <c r="D4" i="240"/>
  <c r="C9" i="239"/>
  <c r="D3" i="240"/>
  <c r="C9" i="238"/>
  <c r="D3" i="238"/>
  <c r="C9" i="237"/>
  <c r="E4" i="231"/>
  <c r="C9" i="236"/>
  <c r="C9" i="235"/>
  <c r="E4" i="230"/>
  <c r="D3" i="236"/>
  <c r="C9" i="234"/>
  <c r="C10" i="233"/>
  <c r="D3" i="234"/>
  <c r="D9" i="232"/>
  <c r="D9" i="231"/>
  <c r="D9" i="230"/>
  <c r="C9" i="229"/>
  <c r="C9" i="228"/>
  <c r="D4" i="223"/>
  <c r="C9" i="227"/>
  <c r="D3" i="227"/>
  <c r="C9" i="226"/>
  <c r="C9" i="225"/>
  <c r="C9" i="224"/>
  <c r="C10" i="223"/>
  <c r="D3" i="224"/>
  <c r="C9" i="222"/>
  <c r="C9" i="221"/>
  <c r="C9" i="220"/>
  <c r="D4" i="220"/>
  <c r="D3" i="222"/>
  <c r="D4" i="219"/>
  <c r="D3" i="221"/>
  <c r="C10" i="219"/>
  <c r="D3" i="220"/>
  <c r="C11" i="218"/>
  <c r="C10" i="216"/>
  <c r="C11" i="217"/>
  <c r="D3" i="217"/>
  <c r="C9" i="215"/>
  <c r="C10" i="213"/>
  <c r="C8" i="214"/>
  <c r="D3" i="215"/>
  <c r="D3" i="214"/>
  <c r="C8" i="210"/>
  <c r="D3" i="213"/>
  <c r="C8" i="212"/>
  <c r="C10" i="211"/>
  <c r="C7" i="209"/>
  <c r="D3" i="209"/>
  <c r="C7" i="208"/>
  <c r="C8" i="207"/>
  <c r="D3" i="208"/>
  <c r="C8" i="206"/>
  <c r="E4" i="131"/>
  <c r="C10" i="201"/>
  <c r="C8" i="205"/>
  <c r="D8" i="204"/>
  <c r="C7" i="203"/>
  <c r="C7" i="202"/>
  <c r="D3" i="203"/>
  <c r="D3" i="202"/>
  <c r="C9" i="200"/>
  <c r="C8" i="192"/>
  <c r="C7" i="199"/>
  <c r="C7" i="188"/>
  <c r="D3" i="199"/>
  <c r="C8" i="198"/>
  <c r="E4" i="138"/>
  <c r="C10" i="197"/>
  <c r="D4" i="98"/>
  <c r="C11" i="118"/>
  <c r="C9" i="194"/>
  <c r="F4" i="128"/>
  <c r="C9" i="186"/>
  <c r="C10" i="190"/>
  <c r="D4" i="194"/>
  <c r="D4" i="197"/>
  <c r="C9" i="156"/>
  <c r="G10" i="139"/>
  <c r="C9" i="161"/>
  <c r="C9" i="196"/>
  <c r="C7" i="184"/>
  <c r="D10" i="141"/>
  <c r="C10" i="149"/>
  <c r="C10" i="153"/>
  <c r="D3" i="197"/>
  <c r="F8" i="140"/>
  <c r="F10" i="119"/>
  <c r="E8" i="121"/>
  <c r="D10" i="138"/>
  <c r="C10" i="145"/>
  <c r="C9" i="151"/>
  <c r="C9" i="163"/>
  <c r="C9" i="178"/>
  <c r="C10" i="104"/>
  <c r="C7" i="175"/>
  <c r="D4" i="99"/>
  <c r="E8" i="137"/>
  <c r="C7" i="183"/>
  <c r="C7" i="187"/>
  <c r="C9" i="189"/>
  <c r="C8" i="191"/>
  <c r="C7" i="173"/>
  <c r="G8" i="102"/>
  <c r="C7" i="185"/>
  <c r="C9" i="195"/>
  <c r="C9" i="99"/>
  <c r="C8" i="193"/>
  <c r="C10" i="98"/>
  <c r="C9" i="182"/>
  <c r="D4" i="195"/>
  <c r="D3" i="195"/>
  <c r="D3" i="193"/>
  <c r="D3" i="192"/>
  <c r="D3" i="188"/>
  <c r="D3" i="187"/>
  <c r="D3" i="186"/>
  <c r="D3" i="185"/>
  <c r="D3" i="184"/>
  <c r="E3" i="114"/>
  <c r="F8" i="124"/>
  <c r="C8" i="92"/>
  <c r="G8" i="127"/>
  <c r="E10" i="129"/>
  <c r="C7" i="112"/>
  <c r="E9" i="128"/>
  <c r="C7" i="152"/>
  <c r="C8" i="154"/>
  <c r="C9" i="164"/>
  <c r="D3" i="106"/>
  <c r="E3" i="115"/>
  <c r="C10" i="105"/>
  <c r="C10" i="132"/>
  <c r="D10" i="146"/>
  <c r="C8" i="174"/>
  <c r="C8" i="176"/>
  <c r="C8" i="179"/>
  <c r="D10" i="97"/>
  <c r="D9" i="111"/>
  <c r="E7" i="126"/>
  <c r="E4" i="146"/>
  <c r="C9" i="159"/>
  <c r="C8" i="166"/>
  <c r="C9" i="168"/>
  <c r="C8" i="170"/>
  <c r="C7" i="172"/>
  <c r="C10" i="122"/>
  <c r="C10" i="103"/>
  <c r="C10" i="95"/>
  <c r="D9" i="135"/>
  <c r="C8" i="165"/>
  <c r="D8" i="177"/>
  <c r="E7" i="180"/>
  <c r="G9" i="108"/>
  <c r="D8" i="125"/>
  <c r="C9" i="144"/>
  <c r="C8" i="148"/>
  <c r="C8" i="167"/>
  <c r="C8" i="171"/>
  <c r="C7" i="181"/>
  <c r="D8" i="101"/>
  <c r="F3" i="129"/>
  <c r="E7" i="133"/>
  <c r="C9" i="158"/>
  <c r="I8" i="110"/>
  <c r="D10" i="114"/>
  <c r="D10" i="115"/>
  <c r="D8" i="116"/>
  <c r="H8" i="123"/>
  <c r="D9" i="147"/>
  <c r="C9" i="155"/>
  <c r="C9" i="160"/>
  <c r="C8" i="169"/>
  <c r="F9" i="134"/>
  <c r="C10" i="113"/>
  <c r="F9" i="93"/>
  <c r="G8" i="109"/>
  <c r="G3" i="93"/>
  <c r="D3" i="95"/>
  <c r="C10" i="106"/>
  <c r="D10" i="130"/>
  <c r="C10" i="157"/>
  <c r="D10" i="96"/>
  <c r="G9" i="120"/>
  <c r="E8" i="117"/>
  <c r="D9" i="94"/>
  <c r="C8" i="107"/>
  <c r="C7" i="100"/>
  <c r="D10" i="131"/>
  <c r="D10" i="142"/>
  <c r="D8" i="143"/>
  <c r="C9" i="150"/>
  <c r="C9" i="162"/>
  <c r="D3" i="179"/>
  <c r="D3" i="176"/>
  <c r="D3" i="175"/>
  <c r="D3" i="174"/>
  <c r="D3" i="172"/>
  <c r="D3" i="171"/>
  <c r="D3" i="168"/>
  <c r="D3" i="167"/>
  <c r="D3" i="166"/>
  <c r="D3" i="164"/>
  <c r="D3" i="163"/>
  <c r="D3" i="162"/>
  <c r="D3" i="161"/>
  <c r="D3" i="160"/>
  <c r="D3" i="159"/>
  <c r="D3" i="158"/>
  <c r="D3" i="157"/>
  <c r="D3" i="156"/>
  <c r="D3" i="155"/>
  <c r="D3" i="152"/>
  <c r="E3" i="147"/>
  <c r="D3" i="144"/>
  <c r="C8" i="136"/>
  <c r="D3" i="100"/>
  <c r="D11" i="91"/>
  <c r="B10" i="90" l="1"/>
  <c r="C9" i="90"/>
  <c r="C8" i="90"/>
  <c r="C7" i="90"/>
  <c r="C5" i="90"/>
  <c r="C4" i="90"/>
  <c r="D4" i="90" s="1"/>
  <c r="C3" i="90"/>
  <c r="D3" i="90" s="1"/>
  <c r="E3" i="89"/>
  <c r="E4" i="89"/>
  <c r="E5" i="89"/>
  <c r="E6" i="89"/>
  <c r="E7" i="89"/>
  <c r="B8" i="89"/>
  <c r="C8" i="89"/>
  <c r="D8" i="89"/>
  <c r="B10" i="88"/>
  <c r="C9" i="88"/>
  <c r="C8" i="88"/>
  <c r="C7" i="88"/>
  <c r="C6" i="88"/>
  <c r="C5" i="88"/>
  <c r="C4" i="88"/>
  <c r="D4" i="88" s="1"/>
  <c r="C3" i="88"/>
  <c r="D3" i="88" s="1"/>
  <c r="B8" i="87"/>
  <c r="C7" i="87"/>
  <c r="C6" i="87"/>
  <c r="C5" i="87"/>
  <c r="C4" i="87"/>
  <c r="C3" i="87"/>
  <c r="D8" i="86"/>
  <c r="C8" i="86"/>
  <c r="B8" i="86"/>
  <c r="E7" i="86"/>
  <c r="E6" i="86"/>
  <c r="E5" i="86"/>
  <c r="E4" i="86"/>
  <c r="E3" i="86"/>
  <c r="H8" i="85"/>
  <c r="G8" i="85"/>
  <c r="F8" i="85"/>
  <c r="E8" i="85"/>
  <c r="D8" i="85"/>
  <c r="C8" i="85"/>
  <c r="B8" i="85"/>
  <c r="I7" i="85"/>
  <c r="I6" i="85"/>
  <c r="I5" i="85"/>
  <c r="I4" i="85"/>
  <c r="I3" i="85"/>
  <c r="F8" i="84"/>
  <c r="E8" i="84"/>
  <c r="C8" i="84"/>
  <c r="B8" i="84"/>
  <c r="G7" i="84"/>
  <c r="G6" i="84"/>
  <c r="G5" i="84"/>
  <c r="G4" i="84"/>
  <c r="G3" i="84"/>
  <c r="B10" i="83"/>
  <c r="C9" i="83"/>
  <c r="C8" i="83"/>
  <c r="C7" i="83"/>
  <c r="C6" i="83"/>
  <c r="C5" i="83"/>
  <c r="C4" i="83"/>
  <c r="C3" i="83"/>
  <c r="B10" i="82"/>
  <c r="C9" i="82"/>
  <c r="C8" i="82"/>
  <c r="C7" i="82"/>
  <c r="C6" i="82"/>
  <c r="C5" i="82"/>
  <c r="C4" i="82"/>
  <c r="C3" i="82"/>
  <c r="E9" i="81"/>
  <c r="D9" i="81"/>
  <c r="C9" i="81"/>
  <c r="B9" i="81"/>
  <c r="F8" i="81"/>
  <c r="F7" i="81"/>
  <c r="F6" i="81"/>
  <c r="F5" i="81"/>
  <c r="F4" i="81"/>
  <c r="F3" i="81"/>
  <c r="E10" i="80"/>
  <c r="D10" i="80"/>
  <c r="C10" i="80"/>
  <c r="B10" i="80"/>
  <c r="F9" i="80"/>
  <c r="F8" i="80"/>
  <c r="F7" i="80"/>
  <c r="F6" i="80"/>
  <c r="F5" i="80"/>
  <c r="F4" i="80"/>
  <c r="F3" i="80"/>
  <c r="D10" i="79"/>
  <c r="C10" i="79"/>
  <c r="B10" i="79"/>
  <c r="E9" i="79"/>
  <c r="E8" i="79"/>
  <c r="E7" i="79"/>
  <c r="E6" i="79"/>
  <c r="E5" i="79"/>
  <c r="E4" i="79"/>
  <c r="E3" i="79"/>
  <c r="F3" i="79" s="1"/>
  <c r="H10" i="78"/>
  <c r="G10" i="78"/>
  <c r="F10" i="78"/>
  <c r="E10" i="78"/>
  <c r="D10" i="78"/>
  <c r="C10" i="78"/>
  <c r="B10" i="78"/>
  <c r="I9" i="78"/>
  <c r="I8" i="78"/>
  <c r="I7" i="78"/>
  <c r="I6" i="78"/>
  <c r="I5" i="78"/>
  <c r="I4" i="78"/>
  <c r="J4" i="78" s="1"/>
  <c r="C10" i="77"/>
  <c r="B10" i="77"/>
  <c r="D9" i="77"/>
  <c r="D8" i="77"/>
  <c r="D7" i="77"/>
  <c r="D6" i="77"/>
  <c r="D5" i="77"/>
  <c r="D4" i="77"/>
  <c r="D3" i="77"/>
  <c r="H8" i="76"/>
  <c r="G8" i="76"/>
  <c r="F8" i="76"/>
  <c r="C8" i="76"/>
  <c r="B8" i="76"/>
  <c r="I7" i="76"/>
  <c r="I6" i="76"/>
  <c r="I5" i="76"/>
  <c r="I4" i="76"/>
  <c r="I3" i="76"/>
  <c r="C9" i="75"/>
  <c r="B9" i="75"/>
  <c r="D8" i="75"/>
  <c r="D7" i="75"/>
  <c r="D6" i="75"/>
  <c r="D5" i="75"/>
  <c r="D4" i="75"/>
  <c r="E4" i="75" s="1"/>
  <c r="D3" i="75"/>
  <c r="B9" i="74"/>
  <c r="C8" i="74"/>
  <c r="C7" i="74"/>
  <c r="C6" i="74"/>
  <c r="C5" i="74"/>
  <c r="C4" i="74"/>
  <c r="D4" i="74" s="1"/>
  <c r="C3" i="74"/>
  <c r="D3" i="74" s="1"/>
  <c r="D10" i="73"/>
  <c r="C10" i="73"/>
  <c r="B10" i="73"/>
  <c r="E9" i="73"/>
  <c r="E8" i="73"/>
  <c r="E7" i="73"/>
  <c r="E6" i="73"/>
  <c r="E5" i="73"/>
  <c r="E4" i="73"/>
  <c r="E3" i="73"/>
  <c r="G8" i="72"/>
  <c r="F8" i="72"/>
  <c r="E8" i="72"/>
  <c r="D8" i="72"/>
  <c r="C8" i="72"/>
  <c r="B8" i="72"/>
  <c r="H7" i="72"/>
  <c r="H6" i="72"/>
  <c r="H5" i="72"/>
  <c r="H4" i="72"/>
  <c r="H3" i="72"/>
  <c r="C10" i="71"/>
  <c r="B10" i="71"/>
  <c r="D9" i="71"/>
  <c r="D8" i="71"/>
  <c r="D7" i="71"/>
  <c r="D6" i="71"/>
  <c r="D5" i="71"/>
  <c r="D4" i="71"/>
  <c r="D3" i="71"/>
  <c r="D9" i="70"/>
  <c r="C9" i="70"/>
  <c r="B9" i="70"/>
  <c r="E8" i="70"/>
  <c r="E7" i="70"/>
  <c r="E6" i="70"/>
  <c r="E5" i="70"/>
  <c r="E4" i="70"/>
  <c r="E3" i="70"/>
  <c r="F3" i="70" s="1"/>
  <c r="B10" i="69"/>
  <c r="C9" i="69"/>
  <c r="C8" i="69"/>
  <c r="C7" i="69"/>
  <c r="C6" i="69"/>
  <c r="C5" i="69"/>
  <c r="D5" i="69" s="1"/>
  <c r="C4" i="69"/>
  <c r="D4" i="69" s="1"/>
  <c r="C3" i="69"/>
  <c r="E10" i="68"/>
  <c r="B10" i="68"/>
  <c r="F9" i="68"/>
  <c r="F8" i="68"/>
  <c r="F7" i="68"/>
  <c r="F6" i="68"/>
  <c r="F5" i="68"/>
  <c r="F4" i="68"/>
  <c r="F3" i="68"/>
  <c r="D10" i="67"/>
  <c r="C10" i="67"/>
  <c r="B10" i="67"/>
  <c r="E9" i="67"/>
  <c r="E8" i="67"/>
  <c r="E7" i="67"/>
  <c r="E6" i="67"/>
  <c r="E5" i="67"/>
  <c r="E4" i="67"/>
  <c r="E3" i="67"/>
  <c r="D10" i="66"/>
  <c r="C10" i="66"/>
  <c r="B10" i="66"/>
  <c r="E9" i="66"/>
  <c r="E8" i="66"/>
  <c r="E7" i="66"/>
  <c r="E6" i="66"/>
  <c r="E5" i="66"/>
  <c r="E4" i="66"/>
  <c r="E3" i="66"/>
  <c r="B10" i="65"/>
  <c r="C9" i="65"/>
  <c r="C8" i="65"/>
  <c r="C7" i="65"/>
  <c r="C6" i="65"/>
  <c r="D6" i="65" s="1"/>
  <c r="C5" i="65"/>
  <c r="C4" i="65"/>
  <c r="D4" i="65" s="1"/>
  <c r="C3" i="65"/>
  <c r="D3" i="65" s="1"/>
  <c r="B10" i="64"/>
  <c r="C9" i="64"/>
  <c r="C8" i="64"/>
  <c r="C7" i="64"/>
  <c r="C6" i="64"/>
  <c r="C5" i="64"/>
  <c r="C4" i="64"/>
  <c r="C3" i="64"/>
  <c r="C8" i="63"/>
  <c r="B8" i="63"/>
  <c r="D7" i="63"/>
  <c r="D6" i="63"/>
  <c r="D5" i="63"/>
  <c r="D4" i="63"/>
  <c r="E4" i="63" s="1"/>
  <c r="D3" i="63"/>
  <c r="E3" i="63" s="1"/>
  <c r="B9" i="62"/>
  <c r="C8" i="62"/>
  <c r="C7" i="62"/>
  <c r="C6" i="62"/>
  <c r="C4" i="62"/>
  <c r="D4" i="62" s="1"/>
  <c r="C3" i="62"/>
  <c r="D3" i="62" s="1"/>
  <c r="C9" i="61"/>
  <c r="B9" i="61"/>
  <c r="D8" i="61"/>
  <c r="D7" i="61"/>
  <c r="D6" i="61"/>
  <c r="D5" i="61"/>
  <c r="D4" i="61"/>
  <c r="D3" i="61"/>
  <c r="E3" i="61" s="1"/>
  <c r="B10" i="60"/>
  <c r="C9" i="60"/>
  <c r="C8" i="60"/>
  <c r="C7" i="60"/>
  <c r="C6" i="60"/>
  <c r="C5" i="60"/>
  <c r="C4" i="60"/>
  <c r="C3" i="60"/>
  <c r="B9" i="59"/>
  <c r="C8" i="59"/>
  <c r="C7" i="59"/>
  <c r="C6" i="59"/>
  <c r="C4" i="59"/>
  <c r="D4" i="59" s="1"/>
  <c r="C3" i="59"/>
  <c r="C8" i="58"/>
  <c r="B8" i="58"/>
  <c r="D7" i="58"/>
  <c r="D6" i="58"/>
  <c r="D5" i="58"/>
  <c r="D4" i="58"/>
  <c r="D3" i="58"/>
  <c r="B8" i="57"/>
  <c r="C7" i="57"/>
  <c r="C6" i="57"/>
  <c r="C5" i="57"/>
  <c r="C4" i="57"/>
  <c r="C3" i="57"/>
  <c r="C10" i="56"/>
  <c r="B10" i="56"/>
  <c r="D9" i="56"/>
  <c r="D8" i="56"/>
  <c r="D7" i="56"/>
  <c r="D4" i="56"/>
  <c r="E4" i="56" s="1"/>
  <c r="D3" i="56"/>
  <c r="E3" i="56" s="1"/>
  <c r="B8" i="55"/>
  <c r="C7" i="55"/>
  <c r="C6" i="55"/>
  <c r="C5" i="55"/>
  <c r="C4" i="55"/>
  <c r="D4" i="55" s="1"/>
  <c r="C3" i="55"/>
  <c r="D3" i="55" s="1"/>
  <c r="B8" i="54"/>
  <c r="C7" i="54"/>
  <c r="C6" i="54"/>
  <c r="C5" i="54"/>
  <c r="C4" i="54"/>
  <c r="C3" i="54"/>
  <c r="C10" i="53"/>
  <c r="B10" i="53"/>
  <c r="D9" i="53"/>
  <c r="D8" i="53"/>
  <c r="D7" i="53"/>
  <c r="D5" i="53"/>
  <c r="D4" i="53"/>
  <c r="D3" i="53"/>
  <c r="E3" i="53" s="1"/>
  <c r="B7" i="52"/>
  <c r="C6" i="52"/>
  <c r="C5" i="52"/>
  <c r="C4" i="52"/>
  <c r="C3" i="52"/>
  <c r="D3" i="52" s="1"/>
  <c r="B8" i="51"/>
  <c r="C7" i="51"/>
  <c r="C6" i="51"/>
  <c r="C5" i="51"/>
  <c r="C4" i="51"/>
  <c r="C3" i="51"/>
  <c r="C8" i="50"/>
  <c r="B8" i="50"/>
  <c r="D7" i="50"/>
  <c r="D6" i="50"/>
  <c r="D5" i="50"/>
  <c r="D4" i="50"/>
  <c r="E4" i="50" s="1"/>
  <c r="D3" i="50"/>
  <c r="E3" i="50" s="1"/>
  <c r="B9" i="49"/>
  <c r="C8" i="49"/>
  <c r="C7" i="49"/>
  <c r="C6" i="49"/>
  <c r="C5" i="49"/>
  <c r="C4" i="49"/>
  <c r="C3" i="49"/>
  <c r="B7" i="48"/>
  <c r="C6" i="48"/>
  <c r="C5" i="48"/>
  <c r="C4" i="48"/>
  <c r="C3" i="48"/>
  <c r="B7" i="47"/>
  <c r="C6" i="47"/>
  <c r="C5" i="47"/>
  <c r="C4" i="47"/>
  <c r="C3" i="47"/>
  <c r="D3" i="47" s="1"/>
  <c r="C7" i="46"/>
  <c r="B7" i="46"/>
  <c r="D6" i="46"/>
  <c r="D5" i="46"/>
  <c r="D4" i="46"/>
  <c r="D3" i="46"/>
  <c r="B8" i="45"/>
  <c r="D7" i="45"/>
  <c r="D6" i="45"/>
  <c r="D5" i="45"/>
  <c r="D4" i="45"/>
  <c r="D3" i="45"/>
  <c r="B10" i="44"/>
  <c r="C9" i="44"/>
  <c r="C8" i="44"/>
  <c r="C7" i="44"/>
  <c r="C6" i="44"/>
  <c r="C5" i="44"/>
  <c r="D4" i="44" s="1"/>
  <c r="C3" i="44"/>
  <c r="B9" i="43"/>
  <c r="C8" i="43"/>
  <c r="C7" i="43"/>
  <c r="C6" i="43"/>
  <c r="C3" i="43"/>
  <c r="D3" i="43" s="1"/>
  <c r="C8" i="42"/>
  <c r="B8" i="42"/>
  <c r="D7" i="42"/>
  <c r="D6" i="42"/>
  <c r="D5" i="42"/>
  <c r="D4" i="42"/>
  <c r="E4" i="42" s="1"/>
  <c r="D3" i="42"/>
  <c r="B7" i="41"/>
  <c r="C6" i="41"/>
  <c r="C5" i="41"/>
  <c r="C4" i="41"/>
  <c r="C3" i="41"/>
  <c r="B8" i="40"/>
  <c r="C7" i="40"/>
  <c r="C6" i="40"/>
  <c r="C5" i="40"/>
  <c r="C4" i="40"/>
  <c r="C3" i="40"/>
  <c r="C9" i="39"/>
  <c r="B9" i="39"/>
  <c r="D8" i="39"/>
  <c r="D7" i="39"/>
  <c r="D6" i="39"/>
  <c r="D3" i="39"/>
  <c r="E3" i="39" s="1"/>
  <c r="C10" i="38"/>
  <c r="B10" i="38"/>
  <c r="D9" i="38"/>
  <c r="D8" i="38"/>
  <c r="D7" i="38"/>
  <c r="D6" i="38"/>
  <c r="D5" i="38"/>
  <c r="D4" i="38"/>
  <c r="D3" i="38"/>
  <c r="B11" i="37"/>
  <c r="C10" i="37"/>
  <c r="C9" i="37"/>
  <c r="C8" i="37"/>
  <c r="C6" i="37"/>
  <c r="C3" i="37"/>
  <c r="B9" i="36"/>
  <c r="C8" i="36"/>
  <c r="C7" i="36"/>
  <c r="C6" i="36"/>
  <c r="C5" i="36"/>
  <c r="C4" i="36"/>
  <c r="C3" i="36"/>
  <c r="D3" i="36" s="1"/>
  <c r="C9" i="35"/>
  <c r="B9" i="35"/>
  <c r="D8" i="35"/>
  <c r="D7" i="35"/>
  <c r="D6" i="35"/>
  <c r="D5" i="35"/>
  <c r="D4" i="35"/>
  <c r="D3" i="35"/>
  <c r="E3" i="35" s="1"/>
  <c r="B9" i="34"/>
  <c r="C8" i="34"/>
  <c r="C7" i="34"/>
  <c r="C6" i="34"/>
  <c r="C5" i="34"/>
  <c r="C4" i="34"/>
  <c r="C3" i="34"/>
  <c r="D3" i="34" s="1"/>
  <c r="B9" i="33"/>
  <c r="C8" i="33"/>
  <c r="C7" i="33"/>
  <c r="C6" i="33"/>
  <c r="C5" i="33"/>
  <c r="C4" i="33"/>
  <c r="C3" i="33"/>
  <c r="D3" i="33" s="1"/>
  <c r="B9" i="32"/>
  <c r="C8" i="32"/>
  <c r="C7" i="32"/>
  <c r="C6" i="32"/>
  <c r="C5" i="32"/>
  <c r="C4" i="32"/>
  <c r="D4" i="32" s="1"/>
  <c r="C3" i="32"/>
  <c r="D3" i="32" s="1"/>
  <c r="B10" i="31"/>
  <c r="C9" i="31"/>
  <c r="C8" i="31"/>
  <c r="C7" i="31"/>
  <c r="C6" i="31"/>
  <c r="C5" i="31"/>
  <c r="C4" i="31"/>
  <c r="D4" i="31" s="1"/>
  <c r="C3" i="31"/>
  <c r="B9" i="30"/>
  <c r="C8" i="30"/>
  <c r="C7" i="30"/>
  <c r="C6" i="30"/>
  <c r="C5" i="30"/>
  <c r="C4" i="30"/>
  <c r="C3" i="30"/>
  <c r="D3" i="30" s="1"/>
  <c r="B9" i="29"/>
  <c r="C8" i="29"/>
  <c r="C7" i="29"/>
  <c r="C6" i="29"/>
  <c r="C5" i="29"/>
  <c r="C4" i="29"/>
  <c r="C3" i="29"/>
  <c r="B10" i="28"/>
  <c r="C9" i="28"/>
  <c r="C8" i="28"/>
  <c r="C7" i="28"/>
  <c r="C6" i="28"/>
  <c r="C5" i="28"/>
  <c r="C4" i="28"/>
  <c r="C3" i="28"/>
  <c r="D3" i="57" l="1"/>
  <c r="G4" i="80"/>
  <c r="D3" i="64"/>
  <c r="E4" i="38"/>
  <c r="F4" i="70"/>
  <c r="J3" i="78"/>
  <c r="G4" i="81"/>
  <c r="D3" i="69"/>
  <c r="F4" i="79"/>
  <c r="D4" i="29"/>
  <c r="D3" i="51"/>
  <c r="E4" i="53"/>
  <c r="E4" i="77"/>
  <c r="I3" i="72"/>
  <c r="F4" i="73"/>
  <c r="J3" i="76"/>
  <c r="G3" i="68"/>
  <c r="G4" i="68"/>
  <c r="D4" i="33"/>
  <c r="E4" i="35"/>
  <c r="H3" i="84"/>
  <c r="D4" i="83"/>
  <c r="D3" i="87"/>
  <c r="D4" i="28"/>
  <c r="F3" i="67"/>
  <c r="E3" i="71"/>
  <c r="D3" i="44"/>
  <c r="F4" i="67"/>
  <c r="E4" i="71"/>
  <c r="E3" i="75"/>
  <c r="D3" i="40"/>
  <c r="F3" i="66"/>
  <c r="D4" i="82"/>
  <c r="J3" i="85"/>
  <c r="F3" i="86"/>
  <c r="F3" i="89"/>
  <c r="E3" i="58"/>
  <c r="D3" i="54"/>
  <c r="E4" i="61"/>
  <c r="D3" i="49"/>
  <c r="D4" i="60"/>
  <c r="D4" i="30"/>
  <c r="D4" i="36"/>
  <c r="D4" i="34"/>
  <c r="C10" i="90"/>
  <c r="D8" i="42"/>
  <c r="H8" i="72"/>
  <c r="C10" i="28"/>
  <c r="C9" i="62"/>
  <c r="C10" i="44"/>
  <c r="C9" i="59"/>
  <c r="D8" i="50"/>
  <c r="D9" i="61"/>
  <c r="E10" i="66"/>
  <c r="C9" i="43"/>
  <c r="D8" i="45"/>
  <c r="F4" i="66"/>
  <c r="E8" i="89"/>
  <c r="D4" i="64"/>
  <c r="E10" i="73"/>
  <c r="C9" i="74"/>
  <c r="D10" i="56"/>
  <c r="D10" i="71"/>
  <c r="I10" i="78"/>
  <c r="D10" i="38"/>
  <c r="C8" i="51"/>
  <c r="E9" i="70"/>
  <c r="D10" i="53"/>
  <c r="D9" i="35"/>
  <c r="D8" i="63"/>
  <c r="E3" i="45"/>
  <c r="E3" i="38"/>
  <c r="E10" i="67"/>
  <c r="F10" i="68"/>
  <c r="D10" i="77"/>
  <c r="F10" i="80"/>
  <c r="I8" i="85"/>
  <c r="C10" i="31"/>
  <c r="C7" i="47"/>
  <c r="C8" i="55"/>
  <c r="C10" i="65"/>
  <c r="E3" i="77"/>
  <c r="E10" i="79"/>
  <c r="C10" i="88"/>
  <c r="C9" i="34"/>
  <c r="C9" i="32"/>
  <c r="C8" i="54"/>
  <c r="C8" i="57"/>
  <c r="C10" i="64"/>
  <c r="C10" i="83"/>
  <c r="C9" i="30"/>
  <c r="D9" i="39"/>
  <c r="C7" i="41"/>
  <c r="D7" i="46"/>
  <c r="C7" i="52"/>
  <c r="C10" i="60"/>
  <c r="D9" i="75"/>
  <c r="C10" i="82"/>
  <c r="C10" i="69"/>
  <c r="I8" i="76"/>
  <c r="D8" i="58"/>
  <c r="C8" i="40"/>
  <c r="C7" i="48"/>
  <c r="D3" i="60"/>
  <c r="D3" i="82"/>
  <c r="C8" i="87"/>
  <c r="C9" i="49"/>
  <c r="C9" i="33"/>
  <c r="G8" i="84"/>
  <c r="C11" i="37"/>
  <c r="F9" i="81"/>
  <c r="C9" i="29"/>
  <c r="C9" i="36"/>
  <c r="E8" i="86"/>
  <c r="D3" i="83"/>
  <c r="G3" i="81"/>
  <c r="G3" i="80"/>
  <c r="F3" i="73"/>
  <c r="D3" i="59"/>
  <c r="D3" i="48"/>
  <c r="E3" i="46"/>
  <c r="E3" i="42"/>
  <c r="D3" i="41"/>
  <c r="D3" i="37"/>
  <c r="D3" i="31"/>
  <c r="D3" i="29"/>
  <c r="D3" i="28"/>
  <c r="C10" i="27" l="1"/>
  <c r="B10" i="27"/>
  <c r="D9" i="27"/>
  <c r="D8" i="27"/>
  <c r="D7" i="27"/>
  <c r="D6" i="27"/>
  <c r="D5" i="27"/>
  <c r="D4" i="27"/>
  <c r="E4" i="27" s="1"/>
  <c r="D3" i="27"/>
  <c r="E3" i="27" s="1"/>
  <c r="C9" i="26"/>
  <c r="B9" i="26"/>
  <c r="D8" i="26"/>
  <c r="D7" i="26"/>
  <c r="D6" i="26"/>
  <c r="D5" i="26"/>
  <c r="D4" i="26"/>
  <c r="E4" i="26" s="1"/>
  <c r="D3" i="26"/>
  <c r="O9" i="25"/>
  <c r="N9" i="25"/>
  <c r="M9" i="25"/>
  <c r="K9" i="25"/>
  <c r="I9" i="25"/>
  <c r="H9" i="25"/>
  <c r="G9" i="25"/>
  <c r="F9" i="25"/>
  <c r="E9" i="25"/>
  <c r="D9" i="25"/>
  <c r="C9" i="25"/>
  <c r="B9" i="25"/>
  <c r="J9" i="24"/>
  <c r="I9" i="24"/>
  <c r="F9" i="24"/>
  <c r="E9" i="24"/>
  <c r="D9" i="24"/>
  <c r="C9" i="24"/>
  <c r="B9" i="24"/>
  <c r="L3" i="24"/>
  <c r="F10" i="23"/>
  <c r="E10" i="23"/>
  <c r="C10" i="23"/>
  <c r="B10" i="23"/>
  <c r="P10" i="22"/>
  <c r="O10" i="22"/>
  <c r="M10" i="22"/>
  <c r="I10" i="22"/>
  <c r="H10" i="22"/>
  <c r="G10" i="22"/>
  <c r="F10" i="22"/>
  <c r="E10" i="22"/>
  <c r="D10" i="22"/>
  <c r="C10" i="22"/>
  <c r="B10" i="22"/>
  <c r="Q9" i="22"/>
  <c r="Q8" i="22"/>
  <c r="Q7" i="22"/>
  <c r="Q6" i="22"/>
  <c r="Q5" i="22"/>
  <c r="Q4" i="22"/>
  <c r="Q3" i="22"/>
  <c r="F10" i="21"/>
  <c r="E10" i="21"/>
  <c r="C10" i="21"/>
  <c r="B10" i="21"/>
  <c r="L10" i="20"/>
  <c r="K10" i="20"/>
  <c r="J10" i="20"/>
  <c r="I10" i="20"/>
  <c r="H10" i="20"/>
  <c r="G10" i="20"/>
  <c r="F10" i="20"/>
  <c r="E10" i="20"/>
  <c r="D10" i="20"/>
  <c r="C10" i="20"/>
  <c r="B10" i="20"/>
  <c r="D10" i="19"/>
  <c r="C10" i="19"/>
  <c r="B10" i="19"/>
  <c r="F3" i="19"/>
  <c r="E10" i="18"/>
  <c r="D10" i="18"/>
  <c r="G6" i="18"/>
  <c r="C8" i="17"/>
  <c r="B8" i="17"/>
  <c r="D7" i="17"/>
  <c r="D6" i="17"/>
  <c r="D5" i="17"/>
  <c r="D4" i="17"/>
  <c r="E4" i="17" s="1"/>
  <c r="D3" i="17"/>
  <c r="B10" i="16"/>
  <c r="C9" i="16"/>
  <c r="C8" i="16"/>
  <c r="C7" i="16"/>
  <c r="C5" i="16"/>
  <c r="C4" i="16"/>
  <c r="C3" i="16"/>
  <c r="D3" i="16" s="1"/>
  <c r="C10" i="15"/>
  <c r="B10" i="15"/>
  <c r="D9" i="15"/>
  <c r="D8" i="15"/>
  <c r="D7" i="15"/>
  <c r="D6" i="15"/>
  <c r="D5" i="15"/>
  <c r="D4" i="15"/>
  <c r="D3" i="15"/>
  <c r="C9" i="14"/>
  <c r="B9" i="14"/>
  <c r="D8" i="14"/>
  <c r="D7" i="14"/>
  <c r="D6" i="14"/>
  <c r="D5" i="14"/>
  <c r="D4" i="14"/>
  <c r="E4" i="14" s="1"/>
  <c r="D3" i="14"/>
  <c r="E3" i="14" s="1"/>
  <c r="B9" i="13"/>
  <c r="C8" i="13"/>
  <c r="C7" i="13"/>
  <c r="C6" i="13"/>
  <c r="C5" i="13"/>
  <c r="C4" i="13"/>
  <c r="D4" i="13" s="1"/>
  <c r="C3" i="13"/>
  <c r="C9" i="12"/>
  <c r="B9" i="12"/>
  <c r="D8" i="12"/>
  <c r="D7" i="12"/>
  <c r="D6" i="12"/>
  <c r="D5" i="12"/>
  <c r="D4" i="12"/>
  <c r="D3" i="12"/>
  <c r="E3" i="12" s="1"/>
  <c r="C9" i="11"/>
  <c r="B9" i="11"/>
  <c r="D8" i="11"/>
  <c r="D7" i="11"/>
  <c r="D6" i="11"/>
  <c r="D5" i="11"/>
  <c r="E5" i="11" s="1"/>
  <c r="D4" i="11"/>
  <c r="E4" i="11" s="1"/>
  <c r="D3" i="11"/>
  <c r="E3" i="11" s="1"/>
  <c r="B9" i="10"/>
  <c r="C8" i="10"/>
  <c r="C7" i="10"/>
  <c r="C6" i="10"/>
  <c r="C5" i="10"/>
  <c r="C4" i="10"/>
  <c r="C3" i="10"/>
  <c r="D3" i="10" s="1"/>
  <c r="B9" i="9"/>
  <c r="C8" i="9"/>
  <c r="C7" i="9"/>
  <c r="C6" i="9"/>
  <c r="C5" i="9"/>
  <c r="C4" i="9"/>
  <c r="C3" i="9"/>
  <c r="D3" i="9" s="1"/>
  <c r="C10" i="8"/>
  <c r="B10" i="8"/>
  <c r="D9" i="8"/>
  <c r="D8" i="8"/>
  <c r="D7" i="8"/>
  <c r="D6" i="8"/>
  <c r="D5" i="8"/>
  <c r="D4" i="8"/>
  <c r="D3" i="8"/>
  <c r="B10" i="7"/>
  <c r="C9" i="7"/>
  <c r="C8" i="7"/>
  <c r="C7" i="7"/>
  <c r="C5" i="7"/>
  <c r="C4" i="7"/>
  <c r="C3" i="7"/>
  <c r="D3" i="7" s="1"/>
  <c r="B9" i="6"/>
  <c r="C8" i="6"/>
  <c r="C7" i="6"/>
  <c r="C6" i="6"/>
  <c r="C3" i="6"/>
  <c r="D3" i="6" s="1"/>
  <c r="B10" i="5"/>
  <c r="C9" i="5"/>
  <c r="C8" i="5"/>
  <c r="C7" i="5"/>
  <c r="C6" i="5"/>
  <c r="C5" i="5"/>
  <c r="C4" i="5"/>
  <c r="C3" i="5"/>
  <c r="D10" i="4"/>
  <c r="B10" i="4"/>
  <c r="F3" i="4"/>
  <c r="C10" i="3"/>
  <c r="B10" i="3"/>
  <c r="D9" i="3"/>
  <c r="D8" i="3"/>
  <c r="D7" i="3"/>
  <c r="D6" i="3"/>
  <c r="D5" i="3"/>
  <c r="D4" i="3"/>
  <c r="D3" i="3"/>
  <c r="B10" i="2"/>
  <c r="C9" i="2"/>
  <c r="C8" i="2"/>
  <c r="C7" i="2"/>
  <c r="C5" i="2"/>
  <c r="C4" i="2"/>
  <c r="C3" i="2"/>
  <c r="D3" i="2" s="1"/>
  <c r="D4" i="2" l="1"/>
  <c r="H3" i="23"/>
  <c r="N3" i="20"/>
  <c r="E3" i="3"/>
  <c r="E4" i="3"/>
  <c r="N4" i="20"/>
  <c r="D3" i="13"/>
  <c r="E3" i="26"/>
  <c r="D3" i="5"/>
  <c r="H4" i="21"/>
  <c r="L4" i="24"/>
  <c r="Q4" i="25"/>
  <c r="H3" i="21"/>
  <c r="R4" i="22"/>
  <c r="G4" i="18"/>
  <c r="E3" i="15"/>
  <c r="D4" i="7"/>
  <c r="D4" i="9"/>
  <c r="C9" i="6"/>
  <c r="H4" i="23"/>
  <c r="K9" i="24"/>
  <c r="D9" i="26"/>
  <c r="D10" i="27"/>
  <c r="E4" i="8"/>
  <c r="F4" i="19"/>
  <c r="E4" i="15"/>
  <c r="E10" i="4"/>
  <c r="D4" i="5"/>
  <c r="D9" i="12"/>
  <c r="C10" i="16"/>
  <c r="F4" i="4"/>
  <c r="E4" i="12"/>
  <c r="D4" i="16"/>
  <c r="G10" i="23"/>
  <c r="D9" i="11"/>
  <c r="C9" i="10"/>
  <c r="D4" i="10"/>
  <c r="C10" i="2"/>
  <c r="C10" i="5"/>
  <c r="Q10" i="22"/>
  <c r="C10" i="7"/>
  <c r="D10" i="8"/>
  <c r="P9" i="25"/>
  <c r="D10" i="15"/>
  <c r="E10" i="19"/>
  <c r="C9" i="9"/>
  <c r="G10" i="21"/>
  <c r="F10" i="18"/>
  <c r="D9" i="14"/>
  <c r="M10" i="20"/>
  <c r="D10" i="3"/>
  <c r="C9" i="13"/>
  <c r="D8" i="17"/>
  <c r="Q3" i="25"/>
  <c r="R3" i="22"/>
  <c r="E3" i="17"/>
  <c r="E3" i="8"/>
  <c r="R65" i="1" l="1"/>
  <c r="R66" i="1" s="1"/>
  <c r="Q65" i="1"/>
  <c r="Q66" i="1" s="1"/>
  <c r="P65" i="1"/>
  <c r="P66" i="1" s="1"/>
  <c r="O65" i="1"/>
  <c r="O66" i="1" s="1"/>
  <c r="N65" i="1" l="1"/>
  <c r="N66" i="1" s="1"/>
  <c r="M65" i="1"/>
  <c r="M66" i="1" s="1"/>
  <c r="L65" i="1"/>
  <c r="L66" i="1" s="1"/>
  <c r="K65" i="1"/>
  <c r="K66" i="1" s="1"/>
  <c r="J65" i="1"/>
  <c r="J66" i="1" s="1"/>
  <c r="I65" i="1"/>
  <c r="I66" i="1" s="1"/>
  <c r="T65" i="1" l="1"/>
  <c r="S65" i="1"/>
  <c r="H65" i="1"/>
  <c r="H66" i="1" s="1"/>
  <c r="G65" i="1"/>
  <c r="G66" i="1" s="1"/>
  <c r="F65" i="1"/>
  <c r="F66" i="1" s="1"/>
  <c r="E65" i="1"/>
  <c r="D65" i="1"/>
  <c r="C65" i="1"/>
</calcChain>
</file>

<file path=xl/sharedStrings.xml><?xml version="1.0" encoding="utf-8"?>
<sst xmlns="http://schemas.openxmlformats.org/spreadsheetml/2006/main" count="3482" uniqueCount="1302">
  <si>
    <t>Presidential - General Election - November 5, 2024</t>
  </si>
  <si>
    <t>County</t>
  </si>
  <si>
    <t>Kamala D. Harris
Tim Walz (DEM)</t>
  </si>
  <si>
    <t>Donald J. Trump
JD Vance (REP)</t>
  </si>
  <si>
    <t>Donald J. Trump
JD Vance (CON)</t>
  </si>
  <si>
    <t>Kamala D. Harris
Tim Walz (WOR)</t>
  </si>
  <si>
    <t>Shiva Ayyadurai
(Write-In)</t>
  </si>
  <si>
    <t>Claudia De la Cruz
(Write In)</t>
  </si>
  <si>
    <t>Chris Garrity
(Write-In)</t>
  </si>
  <si>
    <t>Garry Hubbard
(Write-In)</t>
  </si>
  <si>
    <t>Andre Ramon McNeil Sr
(Write-In)</t>
  </si>
  <si>
    <t>Andrew O'Donnell
(Write-In)</t>
  </si>
  <si>
    <t>Chase Oliver
(Write-In)</t>
  </si>
  <si>
    <t>Future Madam Potus
(Write-In)</t>
  </si>
  <si>
    <t>Raymond Anthony Scollin
(Write In)</t>
  </si>
  <si>
    <t>Peter Sonski
(Write In)</t>
  </si>
  <si>
    <t>Jill Stein
(Write-In)</t>
  </si>
  <si>
    <t>Cornel West
(Write-In)</t>
  </si>
  <si>
    <t>Blank</t>
  </si>
  <si>
    <t>Void</t>
  </si>
  <si>
    <t>Scattering</t>
  </si>
  <si>
    <t>Total Votes by County</t>
  </si>
  <si>
    <t xml:space="preserve">Albany County </t>
  </si>
  <si>
    <t xml:space="preserve">Allegany County </t>
  </si>
  <si>
    <t xml:space="preserve">Broome County </t>
  </si>
  <si>
    <t xml:space="preserve">Cattaraugus County </t>
  </si>
  <si>
    <t xml:space="preserve">Cayuga County </t>
  </si>
  <si>
    <t xml:space="preserve">Chautauqua County </t>
  </si>
  <si>
    <t xml:space="preserve">Chemung County </t>
  </si>
  <si>
    <t xml:space="preserve">Chenango County </t>
  </si>
  <si>
    <t xml:space="preserve">Clinton County </t>
  </si>
  <si>
    <t xml:space="preserve">Columbia County </t>
  </si>
  <si>
    <t xml:space="preserve">Cortland County </t>
  </si>
  <si>
    <t xml:space="preserve">Delaware County </t>
  </si>
  <si>
    <t xml:space="preserve">Dutchess County </t>
  </si>
  <si>
    <t xml:space="preserve">Erie County </t>
  </si>
  <si>
    <t xml:space="preserve">Essex County </t>
  </si>
  <si>
    <t xml:space="preserve">Franklin County </t>
  </si>
  <si>
    <t xml:space="preserve">Fulton County </t>
  </si>
  <si>
    <t xml:space="preserve">Genesee County </t>
  </si>
  <si>
    <t xml:space="preserve">Greene County </t>
  </si>
  <si>
    <t xml:space="preserve">Hamilton County </t>
  </si>
  <si>
    <t xml:space="preserve">Herkimer County </t>
  </si>
  <si>
    <t xml:space="preserve">Jefferson County </t>
  </si>
  <si>
    <t xml:space="preserve">Lewis County </t>
  </si>
  <si>
    <t>Livingston County</t>
  </si>
  <si>
    <t xml:space="preserve">Madison County </t>
  </si>
  <si>
    <t xml:space="preserve">Monroe County </t>
  </si>
  <si>
    <t xml:space="preserve">Montgomery County </t>
  </si>
  <si>
    <t xml:space="preserve">Nassau County </t>
  </si>
  <si>
    <t xml:space="preserve">Niagara County </t>
  </si>
  <si>
    <t xml:space="preserve">Oneida County </t>
  </si>
  <si>
    <t xml:space="preserve">Onondaga County </t>
  </si>
  <si>
    <t xml:space="preserve">Ontario County </t>
  </si>
  <si>
    <t xml:space="preserve">Orange County </t>
  </si>
  <si>
    <t xml:space="preserve">Orleans County </t>
  </si>
  <si>
    <t xml:space="preserve">Oswego County </t>
  </si>
  <si>
    <t xml:space="preserve">Otsego County </t>
  </si>
  <si>
    <t xml:space="preserve">Putnam County </t>
  </si>
  <si>
    <t xml:space="preserve">Rensselaer County </t>
  </si>
  <si>
    <t xml:space="preserve">Rockland County </t>
  </si>
  <si>
    <t xml:space="preserve">St. Lawrence County </t>
  </si>
  <si>
    <t xml:space="preserve">Saratoga County </t>
  </si>
  <si>
    <t xml:space="preserve">Schenectady County </t>
  </si>
  <si>
    <t xml:space="preserve">Schoharie County </t>
  </si>
  <si>
    <t xml:space="preserve">Schuyler County </t>
  </si>
  <si>
    <t xml:space="preserve">Seneca County </t>
  </si>
  <si>
    <t xml:space="preserve">Steuben County </t>
  </si>
  <si>
    <t xml:space="preserve">Suffolk County </t>
  </si>
  <si>
    <t xml:space="preserve">Sullivan County </t>
  </si>
  <si>
    <t xml:space="preserve">Tioga County </t>
  </si>
  <si>
    <t xml:space="preserve">Tompkins County </t>
  </si>
  <si>
    <t xml:space="preserve">Ulster County </t>
  </si>
  <si>
    <t xml:space="preserve">Warren County </t>
  </si>
  <si>
    <t xml:space="preserve">Washington County </t>
  </si>
  <si>
    <t xml:space="preserve">Wayne County </t>
  </si>
  <si>
    <t xml:space="preserve">Westchester County </t>
  </si>
  <si>
    <t xml:space="preserve">Wyoming County </t>
  </si>
  <si>
    <t xml:space="preserve">Yates County </t>
  </si>
  <si>
    <t xml:space="preserve">Bronx County </t>
  </si>
  <si>
    <t xml:space="preserve">Kings County </t>
  </si>
  <si>
    <t xml:space="preserve">New York County </t>
  </si>
  <si>
    <t xml:space="preserve">Queens County </t>
  </si>
  <si>
    <t xml:space="preserve">Richmond County </t>
  </si>
  <si>
    <t>Total Votes by Party</t>
  </si>
  <si>
    <t>Total Votes by Candidate</t>
  </si>
  <si>
    <t>US Senate - General Election - November 5, 2024</t>
  </si>
  <si>
    <t>Kirsten E. Gillibrand 
(DEM)</t>
  </si>
  <si>
    <t>Michael D. Sapraicone 
(REP)</t>
  </si>
  <si>
    <t>Michael D. Sapraicone
(CON)</t>
  </si>
  <si>
    <t>Kirsten E. Gillibrand
(WOR)</t>
  </si>
  <si>
    <t>Diane Sare
(LIP)</t>
  </si>
  <si>
    <t>Supreme Court Justice District 1 - General Election - November 5, 2024
Vote for 2</t>
  </si>
  <si>
    <t>Candidate Name (Party)</t>
  </si>
  <si>
    <t>New York County 
Vote Results</t>
  </si>
  <si>
    <t>Cynthia Sharon Kern (DEM)</t>
  </si>
  <si>
    <t>Gerald Lebovits (DEM)</t>
  </si>
  <si>
    <t>Supreme Court Justice District 2 - General Election - November 5, 2024
Vote for 7</t>
  </si>
  <si>
    <t>Kings County 
Vote Results</t>
  </si>
  <si>
    <t>Adam D. Perlmutter (DEM)</t>
  </si>
  <si>
    <t>Inga M. ONeale (DEM)</t>
  </si>
  <si>
    <t>Lisa Lewis (DEM)</t>
  </si>
  <si>
    <t>Sharen D. Hudson (DEM)</t>
  </si>
  <si>
    <t>Keisha Alleyne (DEM)</t>
  </si>
  <si>
    <t>Christopher J. Robles (DEM)</t>
  </si>
  <si>
    <t>Jeffrey S. Sunshine (DEM)</t>
  </si>
  <si>
    <t>Inga M. ONeale (CON)</t>
  </si>
  <si>
    <t>Sharen D. Hudson (CON)</t>
  </si>
  <si>
    <t>Keisha Alleyne (CON)</t>
  </si>
  <si>
    <t>Christopher J. Robles (CON)</t>
  </si>
  <si>
    <t>Jeffrey S. Sunshine (CON)</t>
  </si>
  <si>
    <t>Supreme Court Justice District 7 - General Election - November 5, 2024
Vote for 2</t>
  </si>
  <si>
    <t>Cayuga County
Vote Results</t>
  </si>
  <si>
    <t>Livingston County
Vote Results</t>
  </si>
  <si>
    <t>Monroe County
Vote Results</t>
  </si>
  <si>
    <t>Ontario County 
Vote Results</t>
  </si>
  <si>
    <t>Seneca County
Vote Results</t>
  </si>
  <si>
    <t>Steuben County
Vote Results</t>
  </si>
  <si>
    <t>Wayne County
Vote Results</t>
  </si>
  <si>
    <t>Yates County 
Vote Results</t>
  </si>
  <si>
    <t>Erin Skinner (DEM, JI)</t>
  </si>
  <si>
    <t>John Bringewatt (DEM)</t>
  </si>
  <si>
    <t>Stacey Romeo (REP)</t>
  </si>
  <si>
    <t>Ed White (REP)</t>
  </si>
  <si>
    <t>Stacey Romeo (CON)</t>
  </si>
  <si>
    <t>Ed White (CON)</t>
  </si>
  <si>
    <t>Erin Skinner (WOR)</t>
  </si>
  <si>
    <t>John Bringewatt (WOR)</t>
  </si>
  <si>
    <t>Supreme Court Justice District 8 - General Election - November 5, 2024
Vote for 4</t>
  </si>
  <si>
    <t>Allegany County
Vote Results</t>
  </si>
  <si>
    <t>Cattaraugus County
Vote Results</t>
  </si>
  <si>
    <t>Chautauqua County
Vote Results</t>
  </si>
  <si>
    <t>Erie County 
Vote Results</t>
  </si>
  <si>
    <t>Genesee County
Vote Results</t>
  </si>
  <si>
    <t>Niagara County
Vote Results</t>
  </si>
  <si>
    <t>Orleans County
Vote Results</t>
  </si>
  <si>
    <t>Wyoming County 
Vote Results</t>
  </si>
  <si>
    <t>Henry J. Nowak (DEM)</t>
  </si>
  <si>
    <t>Catherine R. Nugent-Panepinto (DEM)</t>
  </si>
  <si>
    <t>Deborah A. Chimes (DEM)</t>
  </si>
  <si>
    <t>Michael J. Norris (DEM)</t>
  </si>
  <si>
    <t>Henry J. Nowak (REP)</t>
  </si>
  <si>
    <t>Catherine R. Nugent-Panepinto (REP)</t>
  </si>
  <si>
    <t>Deborah A. Chimes (REP)</t>
  </si>
  <si>
    <t>Michael J. Norris (REP)</t>
  </si>
  <si>
    <t>Henry J. Nowak (CON)</t>
  </si>
  <si>
    <t>Catherine R. Nugent-Panepinto (CON)</t>
  </si>
  <si>
    <t>Deborah A. Chimes (CON)</t>
  </si>
  <si>
    <t>Michael J. Norris (CON)</t>
  </si>
  <si>
    <t>Henry J. Nowak (WOR)</t>
  </si>
  <si>
    <t>Catherine R. Nugent-Panepinto (WOR)</t>
  </si>
  <si>
    <t>Supreme Court Justice District 9 - General Election - November 5, 2024
Vote for 5</t>
  </si>
  <si>
    <t>Dutchess County
Vote Results</t>
  </si>
  <si>
    <t>Orange County
Vote Results</t>
  </si>
  <si>
    <t>Putnam County
Vote Results</t>
  </si>
  <si>
    <t>Rockland County 
Vote Results</t>
  </si>
  <si>
    <t>Westchester County 
Vote Results</t>
  </si>
  <si>
    <t>Colleen D. Duffy (DEM)</t>
  </si>
  <si>
    <t>Brett Broge (DEM)</t>
  </si>
  <si>
    <t>Kyle C. McGovern (DEM)</t>
  </si>
  <si>
    <t>Mary Anne Scattaretico-Naber (DEM)</t>
  </si>
  <si>
    <t>Rachel E. Tanguay (DEM)</t>
  </si>
  <si>
    <t>Thomas Humbach (REP)</t>
  </si>
  <si>
    <t>Edward R. Mevec (REP)</t>
  </si>
  <si>
    <t>Karen A. Ostberg (REP)</t>
  </si>
  <si>
    <t>Mark T. Starkman (REP)</t>
  </si>
  <si>
    <t>Leslie Kahn (REP)</t>
  </si>
  <si>
    <t>Colleen D. Duffy (CON)</t>
  </si>
  <si>
    <t>Brett Broge (CON)</t>
  </si>
  <si>
    <t>Kyle C. McGovern (CON)</t>
  </si>
  <si>
    <t>Mary Anne Scattaretico-Naber (CON)</t>
  </si>
  <si>
    <t>Rachel E. Tanguay (CON)</t>
  </si>
  <si>
    <t>Supreme Court Justice District 10 - General Election - November 5, 2024
Vote for 8</t>
  </si>
  <si>
    <t>Nassau County
Vote Results</t>
  </si>
  <si>
    <t>Suffolk County 
Vote Results</t>
  </si>
  <si>
    <t>James F. Matthews Jr (DEM)</t>
  </si>
  <si>
    <t>Gregg Roth (DEM)</t>
  </si>
  <si>
    <t>Deanna D. Panico (DEM)</t>
  </si>
  <si>
    <t>Terence P. Murphy (DEM)</t>
  </si>
  <si>
    <t>Alfred C. Graf (DEM)</t>
  </si>
  <si>
    <t>Paul E. Hennings (DEM)</t>
  </si>
  <si>
    <t>Paul M. Hensley (DEM)</t>
  </si>
  <si>
    <t>Andrew A. Crecca (DEM)</t>
  </si>
  <si>
    <t>James F. Matthews Jr (REP)</t>
  </si>
  <si>
    <t>Gregg Roth (REP)</t>
  </si>
  <si>
    <t>Deanna D. Panico (REP)</t>
  </si>
  <si>
    <t>Terence P. Murphy (REP)</t>
  </si>
  <si>
    <t>Alfred C. Graf (REP)</t>
  </si>
  <si>
    <t>Paul E. Hennings (REP)</t>
  </si>
  <si>
    <t>Paul M. Hensley (REP)</t>
  </si>
  <si>
    <t>Andrew A. Crecca (REP)</t>
  </si>
  <si>
    <t>James F. Matthews Jr (CON)</t>
  </si>
  <si>
    <t>Gregg Roth (CON)</t>
  </si>
  <si>
    <t>Deanna D. Panico (CON)</t>
  </si>
  <si>
    <t>Terence P. Murphy (CON)</t>
  </si>
  <si>
    <t>Alfred C. Graf (CON)</t>
  </si>
  <si>
    <t>Paul E. Hennings (CON)</t>
  </si>
  <si>
    <t>Paul M. Hensley (CON)</t>
  </si>
  <si>
    <t>Andrew A. Crecca (CON)</t>
  </si>
  <si>
    <t>Supreme Court Justice District 11 - General Election - November 5, 2024
Vote for 7</t>
  </si>
  <si>
    <t>Queens County 
Vote Results</t>
  </si>
  <si>
    <t>Alan J. Schiff (DEM)</t>
  </si>
  <si>
    <t>Delsia G. Marshall (DEM)</t>
  </si>
  <si>
    <t>Sandra M. Munoz (DEM)</t>
  </si>
  <si>
    <t>Lumarie Maldonado-Cruz (DEM)</t>
  </si>
  <si>
    <t>Claudia Lanzetta (DEM)</t>
  </si>
  <si>
    <t>Andrea S. Ogle (DEM)</t>
  </si>
  <si>
    <t>John C. Katsanos (DEM)</t>
  </si>
  <si>
    <t>Alan J. Schiff (REP)</t>
  </si>
  <si>
    <t>Claudia Lanzetta (REP)</t>
  </si>
  <si>
    <t>Gary Muraca (REP)</t>
  </si>
  <si>
    <t>Kathy Wu Parrino (REP)</t>
  </si>
  <si>
    <t>Alan J. Schiff (CON)</t>
  </si>
  <si>
    <t>Claudia Lanzetta (CON)</t>
  </si>
  <si>
    <t>Gary Muraca (CON)</t>
  </si>
  <si>
    <t>Kathy Wu Parrino (CON)</t>
  </si>
  <si>
    <t>Supreme Court Justice District 12 - General Election - November 5, 2024
Vote for 1</t>
  </si>
  <si>
    <t>Bronx County 
Vote Results</t>
  </si>
  <si>
    <t>Matthew Parker-Raso (DEM)</t>
  </si>
  <si>
    <t>Representative in Congress 1st Congressional District - General Election - November 5, 2024</t>
  </si>
  <si>
    <t>Part of Suffolk County Vote Results</t>
  </si>
  <si>
    <t>John P. Avlon (DEM)</t>
  </si>
  <si>
    <t>Nicholas J. LaLota (REP)</t>
  </si>
  <si>
    <t>Nicholas J. LaLota (CON)</t>
  </si>
  <si>
    <t>John P. Avlon (CSS)</t>
  </si>
  <si>
    <t>Representative in Congress 2nd Congressional District - General Election -  November 5, 2024</t>
  </si>
  <si>
    <t>Part of Nassau County Vote Results</t>
  </si>
  <si>
    <t>Rob Lubin (DEM)</t>
  </si>
  <si>
    <t>Andrew R. Garbarino (REP)</t>
  </si>
  <si>
    <t>Andrew R. Garbarino (CON)</t>
  </si>
  <si>
    <t>Rob Lubin (WOR)</t>
  </si>
  <si>
    <t>Representative in Congress 3rd Congressional District - General Election - November 5, 2024</t>
  </si>
  <si>
    <t>Part of Queens County Vote Results</t>
  </si>
  <si>
    <t>Part of Suffolk County
Vote Results</t>
  </si>
  <si>
    <t>Thomas R. Suozzi (DEM)</t>
  </si>
  <si>
    <t>Michael J. LiPetri Jr (REP)</t>
  </si>
  <si>
    <t>Michael J. LiPetri Jr (CON)</t>
  </si>
  <si>
    <t>Thomas R. Suozzi (CS)</t>
  </si>
  <si>
    <t>Representative in Congress 4th Congressional District - General Election - November 5, 2024</t>
  </si>
  <si>
    <t>Laura A. Gillen (DEM)</t>
  </si>
  <si>
    <t>Anthony P. D'Esposito (REP)</t>
  </si>
  <si>
    <t>Anthony P. D'Esposito (CON)</t>
  </si>
  <si>
    <t>Laura A. Gillen (CS)</t>
  </si>
  <si>
    <t>Representative in Congress 5th Congressional District - General Election - November 5, 2024</t>
  </si>
  <si>
    <t>Gregory W. Meeks (DEM)</t>
  </si>
  <si>
    <t>Paul King (REP)</t>
  </si>
  <si>
    <t>Paul King (CON, CS)</t>
  </si>
  <si>
    <t>Representative in Congress 6th Congressional District - General Election - November 5, 2024</t>
  </si>
  <si>
    <t>Grace Meng (DEM)</t>
  </si>
  <si>
    <t>Thomas J. Zmich (REP)</t>
  </si>
  <si>
    <t>Thomas J. Zmich (CON)</t>
  </si>
  <si>
    <t>Joseph J. Chou (TRH)</t>
  </si>
  <si>
    <t>Representative in Congress 7th Congressional District - General Election - November 5, 2024</t>
  </si>
  <si>
    <t>Part of Kings County Vote Results</t>
  </si>
  <si>
    <t>Nydia M. Velazquez (DEM)</t>
  </si>
  <si>
    <t>Bill Kregler (REP)</t>
  </si>
  <si>
    <t>Bill Kregler (CON)</t>
  </si>
  <si>
    <t>Nydia M. Velazquez (WOR)</t>
  </si>
  <si>
    <t>Representative in Congress 8th Congressional District - General Election - November 5, 2024</t>
  </si>
  <si>
    <t>Hakeem S. Jeffries (DEM)</t>
  </si>
  <si>
    <t>John J. Delaney (REP)</t>
  </si>
  <si>
    <t>John J. Delaney (CON)</t>
  </si>
  <si>
    <t>Representative in Congress 9th Congressional District - General Election - November 5, 2024</t>
  </si>
  <si>
    <t>Yvette D. Clarke (DEM)</t>
  </si>
  <si>
    <t>Menachem M. Raitport (REP)</t>
  </si>
  <si>
    <t>Menachem M. Raitport (CON)</t>
  </si>
  <si>
    <t>Representative in Congress 10th Congressional District - General Election - November 5, 2024</t>
  </si>
  <si>
    <t>Part of New York County Vote Results</t>
  </si>
  <si>
    <t>Daniel Goldman (DEM)</t>
  </si>
  <si>
    <t>Alexander Dodenhoff (REP)</t>
  </si>
  <si>
    <t>Paul J. Briscoe (CON)</t>
  </si>
  <si>
    <t>Representative in Congress 11th Congressional District - General Election -  November 5, 2024</t>
  </si>
  <si>
    <t>Richmond County
Vote Results</t>
  </si>
  <si>
    <t>Andrea S. Morse (DEM)</t>
  </si>
  <si>
    <t>Nicole Malliotakis (REP)</t>
  </si>
  <si>
    <t>Nicole Malliotakis (CON)</t>
  </si>
  <si>
    <t>Representative in Congress 12th Congressional District - General Election - November 5, 2024</t>
  </si>
  <si>
    <t>Jerrold L. Nadler (DEM)</t>
  </si>
  <si>
    <t>Michael K. Zumbluskas (REP)</t>
  </si>
  <si>
    <t>Jerrold L. Nadler (WOR)</t>
  </si>
  <si>
    <t>Representative in Congress 13th Congressional District - General Election - November 5, 2024</t>
  </si>
  <si>
    <t>Part of Bronx County Vote Results</t>
  </si>
  <si>
    <t>Adriano Espaillat (DEM)</t>
  </si>
  <si>
    <t>Ruben D. Vargas (REP)</t>
  </si>
  <si>
    <t>Ruben D. Vargas (CON)</t>
  </si>
  <si>
    <t>Representative in Congress 14th Congressional District - General Election - November 5, 2024</t>
  </si>
  <si>
    <t>Alexandria Ocasio-Cortez (DEM)</t>
  </si>
  <si>
    <t>Tina Forte (REP)</t>
  </si>
  <si>
    <t>Tina Forte (CON)</t>
  </si>
  <si>
    <t>Alexandria Ocasio-Cortez (WOR)</t>
  </si>
  <si>
    <t>Representative in Congress 15th Congressional District - General Election - November 5, 2024</t>
  </si>
  <si>
    <t>Ritchie Torres (DEM)</t>
  </si>
  <si>
    <t>Gonzalo Duran (REP)</t>
  </si>
  <si>
    <t>Gonzalo Duran (CON)</t>
  </si>
  <si>
    <t>Jose Vega (LIP)</t>
  </si>
  <si>
    <t>Representative in Congress 16th Congressional District - General Election - November 5, 2024</t>
  </si>
  <si>
    <t>Part of Westchester County Vote Results</t>
  </si>
  <si>
    <t>George S. Latimer (DEM)</t>
  </si>
  <si>
    <t>Miriam Levitt Flisser (REP)</t>
  </si>
  <si>
    <t>Representative in Congress 17th Congressional District - General Election - November 5, 2024</t>
  </si>
  <si>
    <t>Part of Dutchess County
Vote Results</t>
  </si>
  <si>
    <t>Part of Westchester County 
Vote Results</t>
  </si>
  <si>
    <t>Mondaire L. Jones (DEM)</t>
  </si>
  <si>
    <t>Mike Lawler (REP)</t>
  </si>
  <si>
    <t>Mike Lawler (CON)</t>
  </si>
  <si>
    <t>Anthony Frascone (WOR)</t>
  </si>
  <si>
    <t>Representative in Congress 18th Congressional District - General Election - November 5, 2024</t>
  </si>
  <si>
    <t>Part of Dutchess County 
Vote Results</t>
  </si>
  <si>
    <t>Orange County 
Vote Results</t>
  </si>
  <si>
    <t>Part of Ulster County 
Vote Results</t>
  </si>
  <si>
    <t>Pat Ryan (DEM)</t>
  </si>
  <si>
    <t>Alison Esposito (REP)</t>
  </si>
  <si>
    <t>Alison Esposito (CON)</t>
  </si>
  <si>
    <t>Pat Ryan (WOR)</t>
  </si>
  <si>
    <t>Representative in Congress 19th Congressional District - General Election - November 5, 2024</t>
  </si>
  <si>
    <t>Broome County 
Vote Results</t>
  </si>
  <si>
    <t>Chenango County
Vote Results</t>
  </si>
  <si>
    <t>Columbia County
 Vote Results</t>
  </si>
  <si>
    <t>Part of Cortland County 
Vote Results</t>
  </si>
  <si>
    <t>Delaware County 
Vote Results</t>
  </si>
  <si>
    <t>Greene County 
Vote Results</t>
  </si>
  <si>
    <t>Otsego County 
Vote Results</t>
  </si>
  <si>
    <t>Part of Rensselaer County 
Vote Results</t>
  </si>
  <si>
    <t>Sullivan County 
Vote Results</t>
  </si>
  <si>
    <t>Tompkins County 
Vote Results</t>
  </si>
  <si>
    <t>Josh Riley (DEM)</t>
  </si>
  <si>
    <t>Marcus Molinaro (REP)</t>
  </si>
  <si>
    <t>Marcus Molinaro (CON)</t>
  </si>
  <si>
    <t>Josh Riley (WOR)</t>
  </si>
  <si>
    <t>Representative in Congress 20th Congressional District - General Election - November 5, 2024</t>
  </si>
  <si>
    <t>Albany County
 Vote Results</t>
  </si>
  <si>
    <t>Part of Montgomery County
 Vote Results</t>
  </si>
  <si>
    <t>Part of Rensselaer County
 Vote Results</t>
  </si>
  <si>
    <t>Part of Saratoga County
 Vote Results</t>
  </si>
  <si>
    <t>Schenectady County
 Vote Results</t>
  </si>
  <si>
    <t>Paul D. Tonko (DEM)</t>
  </si>
  <si>
    <t>Kevin M. Waltz (REP)</t>
  </si>
  <si>
    <t>Kevin M. Waltz (CON)</t>
  </si>
  <si>
    <t>Paul D. Tonko (WOR)</t>
  </si>
  <si>
    <t>Representative in Congress 21st Congressional District - General Election - November 5, 2024</t>
  </si>
  <si>
    <t>Clinton County
 Vote Results</t>
  </si>
  <si>
    <t>Essex County
 Vote Results</t>
  </si>
  <si>
    <t>Franklin County
 Vote Results</t>
  </si>
  <si>
    <t>Fulton County 
Vote Results</t>
  </si>
  <si>
    <t>Hamilton County 
Vote Results</t>
  </si>
  <si>
    <t>Herkimer County 
Vote Results</t>
  </si>
  <si>
    <t>Part of Jefferson County 
Vote Results</t>
  </si>
  <si>
    <t>Lewis County 
Vote Results</t>
  </si>
  <si>
    <t>Part of Oneida County 
Vote Results</t>
  </si>
  <si>
    <t>Part of Saratoga County 
Vote Results</t>
  </si>
  <si>
    <t>Schoharie County 
Vote Results</t>
  </si>
  <si>
    <t>St. Lawrence County 
Vote Results</t>
  </si>
  <si>
    <t>Warren County 
Vote Results</t>
  </si>
  <si>
    <t>Washington County
 Vote Results</t>
  </si>
  <si>
    <t>Paula Collins (DEM)</t>
  </si>
  <si>
    <t>Elise M. Stefanik (REP)</t>
  </si>
  <si>
    <t>Elise M. Stefanik (CON)</t>
  </si>
  <si>
    <t>Paula Collins (WOR)</t>
  </si>
  <si>
    <t>Representative in Congress 22nd Congressional District - General Election  - November 5, 2024</t>
  </si>
  <si>
    <t>Part of Cayuga County 
Vote Results</t>
  </si>
  <si>
    <t>Madison County
 Vote Results</t>
  </si>
  <si>
    <t>Onondaga County 
Vote Results</t>
  </si>
  <si>
    <t>John W. Mannion (DEM)</t>
  </si>
  <si>
    <t>Brandon M. Williams (REP)</t>
  </si>
  <si>
    <t>Brandon M. Williams (CON)</t>
  </si>
  <si>
    <t>John W. Mannion (WOR)</t>
  </si>
  <si>
    <t>Representative in Congress 23rd Congressional District - General Election - November 5, 2024</t>
  </si>
  <si>
    <t>Allegany County 
Vote Results</t>
  </si>
  <si>
    <t>Cattaraugus County 
Vote Results</t>
  </si>
  <si>
    <t>Chautauqua County 
Vote Results</t>
  </si>
  <si>
    <t>Chemung County 
Vote Results</t>
  </si>
  <si>
    <t>Part of Erie County 
Vote Results</t>
  </si>
  <si>
    <t>Part of Niagara County 
Vote Results</t>
  </si>
  <si>
    <t>Part of Schuyler County 
Vote Results</t>
  </si>
  <si>
    <t>Part of Steuben County 
Vote Results</t>
  </si>
  <si>
    <t>Tioga County 
Vote Results</t>
  </si>
  <si>
    <t>Thomas A. Carle (DEM)</t>
  </si>
  <si>
    <t>Nicholas A. Langworthy (REP)</t>
  </si>
  <si>
    <t>Nicholas A. Langworthy (CON)</t>
  </si>
  <si>
    <t>Representative in Congress 24th Congressional District - General Election - November 5, 2024</t>
  </si>
  <si>
    <t>Genesee County 
Vote Results</t>
  </si>
  <si>
    <t>Livingston County 
Vote Results</t>
  </si>
  <si>
    <t>Part of Ontario County 
Vote Results</t>
  </si>
  <si>
    <t>Orleans County 
Vote Results</t>
  </si>
  <si>
    <t>Oswego County 
Vote Results</t>
  </si>
  <si>
    <t>Seneca County 
Vote Results</t>
  </si>
  <si>
    <t>Wayne County 
Vote Results</t>
  </si>
  <si>
    <t>David Wagenhauser (DEM)</t>
  </si>
  <si>
    <t>Claudia Tenney (REP)</t>
  </si>
  <si>
    <t>Claudia Tenney (CON)</t>
  </si>
  <si>
    <t>Representative in Congress 25th Congressional District - General Election - November 5, 2024</t>
  </si>
  <si>
    <t>Monroe County 
Vote Results</t>
  </si>
  <si>
    <t>Joseph D. Morelle (DEM)</t>
  </si>
  <si>
    <t>Gregg A. Sadwick (REP)</t>
  </si>
  <si>
    <t>Joseph D. Morelle (WOR)</t>
  </si>
  <si>
    <t>Representative in Congress 26th Congressional District - General Election - November 5, 2024</t>
  </si>
  <si>
    <t>Timothy M. Kennedy (DEM)</t>
  </si>
  <si>
    <t>Anthony G. Marecki (REP)</t>
  </si>
  <si>
    <t>Anthony G. Marecki (CON)</t>
  </si>
  <si>
    <t>Timothy M. Kennedy (WOR)</t>
  </si>
  <si>
    <t>State Senator 1st Senate District - General Election - November 5, 2024</t>
  </si>
  <si>
    <t>Sarah S. Anker (DEM)</t>
  </si>
  <si>
    <t>Anthony H. Palumbo (REP)</t>
  </si>
  <si>
    <t>Anthony H. Palumbo (CON)</t>
  </si>
  <si>
    <t>Sarah S. Anker (CSS)</t>
  </si>
  <si>
    <t>State Senator 2nd Senate District - General Election - November 5, 2024</t>
  </si>
  <si>
    <t>Craig G. Herskowitz (DEM)</t>
  </si>
  <si>
    <t>Mario R. Mattera (REP)</t>
  </si>
  <si>
    <t>Mario R. Mattera (CON)</t>
  </si>
  <si>
    <t>State Senator 3rd Senate District - General Election - November 5, 2024</t>
  </si>
  <si>
    <t>Michael L. Conroy (DEM)</t>
  </si>
  <si>
    <t>Dean Murray (REP)</t>
  </si>
  <si>
    <t>Dean Murray (CON)</t>
  </si>
  <si>
    <t>State Senator 4th Senate District - General Election - November 5, 2024</t>
  </si>
  <si>
    <t>Monica R. Martinez (DEM)</t>
  </si>
  <si>
    <t>Teresa J. Bryant (REP)</t>
  </si>
  <si>
    <t>Teresa J. Bryant (CON)</t>
  </si>
  <si>
    <t>Monica R. Martinez (WOR)</t>
  </si>
  <si>
    <t>State Senator 5th Senate District - General Election - November 5, 2024</t>
  </si>
  <si>
    <t>Lisa Lin (DEM)</t>
  </si>
  <si>
    <t>Steven D. Rhoads (REP)</t>
  </si>
  <si>
    <t>Steven D. Rhoads (CON)</t>
  </si>
  <si>
    <t>State Senator 6th Senate District - General Election - November 5, 2024</t>
  </si>
  <si>
    <t>Siela A. Bynoe (DEM)</t>
  </si>
  <si>
    <t>Thomas Philip Montefinise (REP)</t>
  </si>
  <si>
    <t>Thomas Philip Montefinise (CON)</t>
  </si>
  <si>
    <t>State Senator 7th Senate District - General Election - November 5, 2024</t>
  </si>
  <si>
    <t>Kim Keiserman (DEM)</t>
  </si>
  <si>
    <t>Jack M. Martins (REP)</t>
  </si>
  <si>
    <t>Jack M. Martins (CON)</t>
  </si>
  <si>
    <t>State Senator 8th Senate District - General Election - November 5, 2024</t>
  </si>
  <si>
    <t>Francis R. Dolan (DEM)</t>
  </si>
  <si>
    <t>Alexis Weik (REP)</t>
  </si>
  <si>
    <t>Alexis Weik (CON)</t>
  </si>
  <si>
    <t>State Senator 9th Senate District - General Election - November 5, 2024</t>
  </si>
  <si>
    <t>James Lynch (DEM)</t>
  </si>
  <si>
    <t>Patricia M. Canzoneri-Fitzpatrick (REP)</t>
  </si>
  <si>
    <t>Patricia M. Canzoneri-Fitzpatrick (CON)</t>
  </si>
  <si>
    <t>State Senator 10th Senate District - General Election - November 5, 2024</t>
  </si>
  <si>
    <t>James Sanders Jr (DEM)</t>
  </si>
  <si>
    <t>Michael A. O'Reilly (REP)</t>
  </si>
  <si>
    <t>Michael A. O'Reilly (CON)</t>
  </si>
  <si>
    <t>James Sanders Jr (WOR)</t>
  </si>
  <si>
    <t>Michael A. OReilly (CSP)</t>
  </si>
  <si>
    <t>State Senator 11th Senate District - General Election - November 5, 2024</t>
  </si>
  <si>
    <t>Toby Ann Stavisky (DEM)</t>
  </si>
  <si>
    <t>Yiatin Chu (REP)</t>
  </si>
  <si>
    <t>Yiatin Chu (CON)</t>
  </si>
  <si>
    <t>Toby Ann Stavisky (WOR)</t>
  </si>
  <si>
    <t>State Senator 12th Senate District - General Election - November 5, 2024</t>
  </si>
  <si>
    <t>Michael N. Gianaris (DEM)</t>
  </si>
  <si>
    <t>Han-Khon To (REP)</t>
  </si>
  <si>
    <t>Michael N. Gianaris (WOR)</t>
  </si>
  <si>
    <t>State Senator 13th Senate District - General Election - November 5, 2024</t>
  </si>
  <si>
    <t>Jessica Ramos (DEM)</t>
  </si>
  <si>
    <t>Jessica Ramos (WOR)</t>
  </si>
  <si>
    <t>State Senator 14th Senate District - General Election - November 5, 2024</t>
  </si>
  <si>
    <t>Leroy G. Comrie Jr (DEM)</t>
  </si>
  <si>
    <t>State Senator 15th Senate District - General Election - November 5, 2024</t>
  </si>
  <si>
    <t>Joseph P. Addabbo Jr (DEM)</t>
  </si>
  <si>
    <t>Danniel S. Maio (CON)</t>
  </si>
  <si>
    <t>State Senator 16th Senate District - General Election - November 5, 2024</t>
  </si>
  <si>
    <t>John C. Liu (DEM)</t>
  </si>
  <si>
    <t>Juan M. Pagan (CON)</t>
  </si>
  <si>
    <t>John C. Liu (WOR)</t>
  </si>
  <si>
    <t>State Senator 17th Senate District - General Election - November 5, 2024</t>
  </si>
  <si>
    <t>Iwen Chu (DEM)</t>
  </si>
  <si>
    <t>Steve Chan (REP)</t>
  </si>
  <si>
    <t>Steve Chan (CON)</t>
  </si>
  <si>
    <t>Iwen Chu (WOR)</t>
  </si>
  <si>
    <t>State Senator 18th Senate District - General Election - November 5, 2024</t>
  </si>
  <si>
    <t>Julia Salazar (DEM)</t>
  </si>
  <si>
    <t>Julia Salazar (WOR)</t>
  </si>
  <si>
    <t>State Senator 19th Senate District - General Election - November 5, 2024</t>
  </si>
  <si>
    <t>Roxanne J. Persaud (DEM)</t>
  </si>
  <si>
    <t>State Senator 20th Senate District - General Election - November 5, 2024</t>
  </si>
  <si>
    <t>Zellnor Y. Myrie (DEM)</t>
  </si>
  <si>
    <t>State Senator 21st Senate District - General Election - November 5, 2024</t>
  </si>
  <si>
    <t>Kevin S. Parker (DEM)</t>
  </si>
  <si>
    <t>State Senator 22nd Senate District - General Election - November 5, 2024</t>
  </si>
  <si>
    <t>Simcha Felder (DEM)</t>
  </si>
  <si>
    <t>Simcha Felder (REP)</t>
  </si>
  <si>
    <t>Simcha Felder (CON)</t>
  </si>
  <si>
    <t>State Senator 23rd Senate District - General Election - November 5, 2024</t>
  </si>
  <si>
    <t>Part of Richmond County Vote Results</t>
  </si>
  <si>
    <t>Jessica Scarcella-Spanton (DEM)</t>
  </si>
  <si>
    <t>Marko Kepi (REP)</t>
  </si>
  <si>
    <t>State Senator 24th Senate District - General Election - November 5, 2024</t>
  </si>
  <si>
    <t>Andrew J. Lanza (REP)</t>
  </si>
  <si>
    <t>Andrew J. Lanza (CON)</t>
  </si>
  <si>
    <t>State Senator 25th Senate District - General Election - November 5, 2024</t>
  </si>
  <si>
    <t>Jabari Brisport (DEM)</t>
  </si>
  <si>
    <t>State Senator 26th Senate District - General Election - November 5, 2024</t>
  </si>
  <si>
    <t>Andrew S. Gounardes (DEM)</t>
  </si>
  <si>
    <t>Vito J. Labella (REP)</t>
  </si>
  <si>
    <t>Vito J. Labella (CON)</t>
  </si>
  <si>
    <t>Andrew S. Gounardes (WOR)</t>
  </si>
  <si>
    <t>State Senator 27th Senate District - General Election - November 5, 2024</t>
  </si>
  <si>
    <t>Brian Kavanagh (DEM)</t>
  </si>
  <si>
    <t>Brian Kavanagh (WOR)</t>
  </si>
  <si>
    <t>State Senator 28th Senate District - General Election - November 5, 2024</t>
  </si>
  <si>
    <t>Liz Krueger (DEM)</t>
  </si>
  <si>
    <t>Louis Puliafito (REP)</t>
  </si>
  <si>
    <t>State Senator 29th Senate District - General Election - November 5, 2024</t>
  </si>
  <si>
    <t>Jose M. Serrano (DEM)</t>
  </si>
  <si>
    <t>Tanya Carmichael (REP)</t>
  </si>
  <si>
    <t>Tanya Carmichael (CON)</t>
  </si>
  <si>
    <t>Jose M. Serrano (WOR)</t>
  </si>
  <si>
    <t>State Senator 30th Senate District - General Election - November 5, 2024</t>
  </si>
  <si>
    <t>Cordell Cleare (DEM)</t>
  </si>
  <si>
    <t>Cordell Cleare (WOR)</t>
  </si>
  <si>
    <t>State Senator 31st Senate District - General Election - November 5, 2024</t>
  </si>
  <si>
    <t>Robert Jackson (DEM)</t>
  </si>
  <si>
    <t>Robert Jackson (WOR)</t>
  </si>
  <si>
    <t>State Senator 32nd Senate District - General Election - November 5, 2024</t>
  </si>
  <si>
    <t>Luis R. Sepulveda (DEM)</t>
  </si>
  <si>
    <t>Bernadette E. Stroud (REP)</t>
  </si>
  <si>
    <t>Bernadette E. Stroud (CON)</t>
  </si>
  <si>
    <t>State Senator 33rd Senate District - General Election - November 5, 2024</t>
  </si>
  <si>
    <t>J. Gustavo Rivera (DEM)</t>
  </si>
  <si>
    <t>Dion J. Powell (REP)</t>
  </si>
  <si>
    <t>Dion J. Powell (CON)</t>
  </si>
  <si>
    <t>J. Gustavo Rivera (WOR)</t>
  </si>
  <si>
    <t>State Senator 34th Senate District - General Election - November 5, 2024</t>
  </si>
  <si>
    <t>Nathalia Fernandez (DEM)</t>
  </si>
  <si>
    <t>Edwinna Herrera (REP)</t>
  </si>
  <si>
    <t>Edwinna Herrera (CON)</t>
  </si>
  <si>
    <t>State Senator 35th Senate District - General Election - November 5, 2024</t>
  </si>
  <si>
    <t>Andrea Stewart-Cousins (DEM)</t>
  </si>
  <si>
    <t>Khristen M. Kerr (REP)</t>
  </si>
  <si>
    <t>Andrea Stewart-Cousins (WOR)</t>
  </si>
  <si>
    <t>State Senator 36th Senate District - General Election - November 5, 2024</t>
  </si>
  <si>
    <t>Jamaal T. Bailey (DEM)</t>
  </si>
  <si>
    <t>Irene Estrada (CON)</t>
  </si>
  <si>
    <t>State Senator 37th Senate District - General Election - November 5, 2024</t>
  </si>
  <si>
    <t>Shelley B. Mayer (DEM)</t>
  </si>
  <si>
    <t>Tricia S. Lindsay (REP)</t>
  </si>
  <si>
    <t>Tricia S. Lindsay (CON)</t>
  </si>
  <si>
    <t>Shelley B. Mayer (WOR)</t>
  </si>
  <si>
    <t>State Senator 38th Senate District - General Election - November 5, 2024</t>
  </si>
  <si>
    <t>Part of Rockland County Vote Results</t>
  </si>
  <si>
    <t>Elijah A. Reichlin-Melnick (DEM)</t>
  </si>
  <si>
    <t>William J. Weber Jr (REP)</t>
  </si>
  <si>
    <t>William J. Weber Jr (CON)</t>
  </si>
  <si>
    <t>Barbara J. Francis (WOR)</t>
  </si>
  <si>
    <t>State Senator 39th Senate District - General Election - November 5, 2024</t>
  </si>
  <si>
    <t>Part of Dutchess County Vote Results</t>
  </si>
  <si>
    <t>Part of Orange County Vote Results</t>
  </si>
  <si>
    <t>Part of Putnam County Vote Results</t>
  </si>
  <si>
    <t>Yvette Valdes Smith (DEM)</t>
  </si>
  <si>
    <t>Rob Rolison (REP)</t>
  </si>
  <si>
    <t>Rob Rolison (CON)</t>
  </si>
  <si>
    <t>Yvette Valdes Smith (WOR)</t>
  </si>
  <si>
    <t>State Senator 40th Senate District - General Election - November 5, 2024</t>
  </si>
  <si>
    <t>Peter B. Harckham (DEM)</t>
  </si>
  <si>
    <t>Gina M. Arena (REP)</t>
  </si>
  <si>
    <t>Gina M. Arena (CON)</t>
  </si>
  <si>
    <t>Peter B. Harckham (WOR)</t>
  </si>
  <si>
    <t>State Senator 41st Senate District - General Election - November 5, 2024</t>
  </si>
  <si>
    <t>Columbia County
Vote Results</t>
  </si>
  <si>
    <t>Green County
Vote Results</t>
  </si>
  <si>
    <t>Part of Ulster County Vote Results</t>
  </si>
  <si>
    <t>Michelle Hinchey (DEM)</t>
  </si>
  <si>
    <t>Patrick Sheehan (REP)</t>
  </si>
  <si>
    <t>Patrick Sheehan (CON)</t>
  </si>
  <si>
    <t>Michelle Hinchey (WOR)</t>
  </si>
  <si>
    <t>State Senator 42nd Senate District - General Election - November 5, 2024</t>
  </si>
  <si>
    <t>James G. Skoufis (DEM)</t>
  </si>
  <si>
    <t>Dorey F. Houle (REP)</t>
  </si>
  <si>
    <t>Timothy Mitts (CON)</t>
  </si>
  <si>
    <t>James G. Skoufis (WOR)</t>
  </si>
  <si>
    <t>State Senator 43rd Senate District - General Election - November 5, 2024</t>
  </si>
  <si>
    <t>Part of Albany County Vote Results</t>
  </si>
  <si>
    <t>Rensselaer County 
Vote Results</t>
  </si>
  <si>
    <t>Part of Washington County Vote Results</t>
  </si>
  <si>
    <t>Alvin Gamble (DEM)</t>
  </si>
  <si>
    <t>Jake Ashby (REP)</t>
  </si>
  <si>
    <t>Jake Ashby (CON)</t>
  </si>
  <si>
    <t>State Senator 44th Senate District - General Election - November 5, 2024</t>
  </si>
  <si>
    <t>Saratoga County 
Vote Results</t>
  </si>
  <si>
    <t>Part of Schenectady County Vote Results</t>
  </si>
  <si>
    <t>Minita J. Sanghvi (DEM)</t>
  </si>
  <si>
    <t>James N. Tedisco (REP)</t>
  </si>
  <si>
    <t>James N. Tedisco (CON)</t>
  </si>
  <si>
    <t>Minita J. Sanghvi (WOR)</t>
  </si>
  <si>
    <t>State Senator 45th Senate District - General Election - November 5, 2024</t>
  </si>
  <si>
    <t>Clinton County Vote Results</t>
  </si>
  <si>
    <t>Franklin County Vote Results</t>
  </si>
  <si>
    <t>Part of St. Lawrence County Vote Results</t>
  </si>
  <si>
    <t>Daniel G. Stec (REP)</t>
  </si>
  <si>
    <t>Daniel G. Stec (CON)</t>
  </si>
  <si>
    <t>State Senator 46th Senate District - General Election - November 5, 2024</t>
  </si>
  <si>
    <t>Montgomery County Vote Results</t>
  </si>
  <si>
    <t>Patricia A. Fahy (DEM)</t>
  </si>
  <si>
    <t>Ted Danz Jr (REP)</t>
  </si>
  <si>
    <t>Ted Danz Jr (CON)</t>
  </si>
  <si>
    <t>Patricia A. Fahy (WOR)</t>
  </si>
  <si>
    <t>State Senator 47th Senate District - General Election - November 5, 2024</t>
  </si>
  <si>
    <t>Brad Hoylman-Sigal (DEM)</t>
  </si>
  <si>
    <t>Emily Yuexin Miller (REP)</t>
  </si>
  <si>
    <t>Brad Hoylman-Sigal (WOR)</t>
  </si>
  <si>
    <t>State Senator 48th Senate District - General Election - November 5, 2024</t>
  </si>
  <si>
    <t>Cayuga County Vote Results</t>
  </si>
  <si>
    <t>Part of Onondaga County Vote Results</t>
  </si>
  <si>
    <t>Rachel May (DEM)</t>
  </si>
  <si>
    <t>Caleb C. Slater (REP)</t>
  </si>
  <si>
    <t>Rachel May (WOR)</t>
  </si>
  <si>
    <t>State Senator 49th Senate District - General Election - November 5, 2024</t>
  </si>
  <si>
    <t>Hamilton County Vote Results</t>
  </si>
  <si>
    <t>Part of Herkimer County Vote Results</t>
  </si>
  <si>
    <t>Lewis County
Vote Results</t>
  </si>
  <si>
    <t>Part of Oswego County Vote Results</t>
  </si>
  <si>
    <t>Mark C. Walczyk (REP)</t>
  </si>
  <si>
    <t>Mark C. Walczyk (CON)</t>
  </si>
  <si>
    <t>State Senator 50th Senate District - General Election - November 5, 2024</t>
  </si>
  <si>
    <t>Christopher J. Ryan (DEM)</t>
  </si>
  <si>
    <t>Nick Paro (REP)</t>
  </si>
  <si>
    <t>Nick Paro (CON)</t>
  </si>
  <si>
    <t>Christopher J. Ryan (WOR)</t>
  </si>
  <si>
    <t>State Senator 51st Senate District - General Election - November 5, 2024</t>
  </si>
  <si>
    <t>Part of Broome County Vote Results</t>
  </si>
  <si>
    <t>Part of Chenango County Vote Results</t>
  </si>
  <si>
    <t>Otsego County Vote Results</t>
  </si>
  <si>
    <t>Schoharie County Vote Results</t>
  </si>
  <si>
    <t>Michele Frazier (DEM)</t>
  </si>
  <si>
    <t>Peter Oberacker (REP)</t>
  </si>
  <si>
    <t>Peter Oberacker (CON)</t>
  </si>
  <si>
    <t>Michele Frazier (WOR)</t>
  </si>
  <si>
    <t>State Senator 52nd Senate District - General Election - November 5, 2024</t>
  </si>
  <si>
    <t>Lea Webb (DEM)</t>
  </si>
  <si>
    <t>Michael J. Sigler (REP)</t>
  </si>
  <si>
    <t>Lea Webb (WOR)</t>
  </si>
  <si>
    <t>Michael J. Sigler (LOC)</t>
  </si>
  <si>
    <t>State Senator 53rd Senate District - General Election - November 5, 2024</t>
  </si>
  <si>
    <t>Oneida County
 Vote Results</t>
  </si>
  <si>
    <t>James Meyers (DEM)</t>
  </si>
  <si>
    <t>Joseph A. Griffo (REP)</t>
  </si>
  <si>
    <t>Joseph A. Griffo (CON)</t>
  </si>
  <si>
    <t>James Meyers (WOR)</t>
  </si>
  <si>
    <t>State Senator 54th Senate District - General Election - November 5, 2024</t>
  </si>
  <si>
    <t>Part of Monroe County Vote Results</t>
  </si>
  <si>
    <t>Scott Comegys (DEM)</t>
  </si>
  <si>
    <t>Pamela A. Helming (REP)</t>
  </si>
  <si>
    <t>Pamela A. Helming (CON)</t>
  </si>
  <si>
    <t>State Senator 55th Senate District - General Election - November 5, 2024</t>
  </si>
  <si>
    <t>Samra G. Brouk (DEM)</t>
  </si>
  <si>
    <t>Luis Martinez (REP)</t>
  </si>
  <si>
    <t>Luis Martinez (CON)</t>
  </si>
  <si>
    <t>Samra G. Brouk (WOR)</t>
  </si>
  <si>
    <t>State Senator 56th Senate District - General Election - November 5, 2024</t>
  </si>
  <si>
    <t>Jeremy A. Cooney (DEM)</t>
  </si>
  <si>
    <t>Jim VanBrederode (REP)</t>
  </si>
  <si>
    <t>Jim VanBrederode (CON)</t>
  </si>
  <si>
    <t>Jeremy A. Cooney (WOR)</t>
  </si>
  <si>
    <t>State Senator 57th Senate District - General Election - November 5, 2024</t>
  </si>
  <si>
    <t>Part of Allegany County Vote Results</t>
  </si>
  <si>
    <t xml:space="preserve"> Chautauqua County Vote Results</t>
  </si>
  <si>
    <t>George M. Borrello (REP)</t>
  </si>
  <si>
    <t>George M. Borrello (CON)</t>
  </si>
  <si>
    <t>State Senator 58th Senate District - General Election - November 5, 2024</t>
  </si>
  <si>
    <t>Thomas Fellers O'Mara (REP)</t>
  </si>
  <si>
    <t>Thomas Fellers O'Mara (CON)</t>
  </si>
  <si>
    <t>State Senator 59th Senate District - General Election - November 5, 2024</t>
  </si>
  <si>
    <t>Kristen Gonzalez (DEM)</t>
  </si>
  <si>
    <t>Kristen Gonzalez (WOR)</t>
  </si>
  <si>
    <t>State Senator 60th Senate District - General Election - November 5, 2024</t>
  </si>
  <si>
    <t>Patrick M. Gallivan (REP)</t>
  </si>
  <si>
    <t>Patrick M. Gallivan (CON)</t>
  </si>
  <si>
    <t>State Senator 61st Senate District - General Election - November 5, 2024</t>
  </si>
  <si>
    <t>Sean M. Ryan (DEM)</t>
  </si>
  <si>
    <t>Christine M. Czarnik (REP)</t>
  </si>
  <si>
    <t>Christine M. Czarnik (CON)</t>
  </si>
  <si>
    <t>Sean M. Ryan (WOR)</t>
  </si>
  <si>
    <t>State Senator 62nd Senate District - General Election - November 5, 2024</t>
  </si>
  <si>
    <t>Robert G. Ortt (REP)</t>
  </si>
  <si>
    <t>Robert G. Ortt (CON)</t>
  </si>
  <si>
    <t>State Senator 63rd Senate District - General Election - November 5, 2024</t>
  </si>
  <si>
    <t>April N. McCants-Baskin (DEM)</t>
  </si>
  <si>
    <t>John P. Moretti Jr (REP)</t>
  </si>
  <si>
    <t>John P. Moretti Jr (CON)</t>
  </si>
  <si>
    <t>April N. McCants-Baskin (WOR)</t>
  </si>
  <si>
    <t>Member of Assembly 1st Assembly District - General Election - November 5, 2024</t>
  </si>
  <si>
    <t>Tommy John Schiavoni (DEM)</t>
  </si>
  <si>
    <t>Stephen F. Kiely (REP)</t>
  </si>
  <si>
    <t>Stephen F. Kiely (CON)</t>
  </si>
  <si>
    <t>Tommy John Schiavoni (WOR)</t>
  </si>
  <si>
    <t>Member of Assembly 2nd Assembly District - General Election - November 5, 2024</t>
  </si>
  <si>
    <t>Tricia L. Chiaramonte (DEM)</t>
  </si>
  <si>
    <t>Jodi A. Giglio (REP)</t>
  </si>
  <si>
    <t>Jodi A. Giglio (CON)</t>
  </si>
  <si>
    <t>Member of Assembly 3rd Assembly District - General Election - November 5, 2024</t>
  </si>
  <si>
    <t>Trina R. Miles (DEM)</t>
  </si>
  <si>
    <t>Joseph P. De Stefano (REP)</t>
  </si>
  <si>
    <t>Joseph P. De Stefano (CON)</t>
  </si>
  <si>
    <t>Member of Assembly 4th Assembly District - General Election - November 5, 2024</t>
  </si>
  <si>
    <t>Rebecca A. Kassay (DEM)</t>
  </si>
  <si>
    <t>Edward A. Flood (REP)</t>
  </si>
  <si>
    <t>Edward A. Flood (CON)</t>
  </si>
  <si>
    <t>Member of Assembly 5th Assembly District - General Election - November 5, 2024</t>
  </si>
  <si>
    <t>Michael A. Reynolds (DEM)</t>
  </si>
  <si>
    <t>Douglas M. Smith (REP)</t>
  </si>
  <si>
    <t>Douglas M. Smith (CON)</t>
  </si>
  <si>
    <t>Member of Assembly 6th Assembly District - General Election - November 5, 2024</t>
  </si>
  <si>
    <t>Philip R. Ramos (DEM)</t>
  </si>
  <si>
    <t>Daniel Mitola (REP)</t>
  </si>
  <si>
    <t>Philip R. Ramos (WOR)</t>
  </si>
  <si>
    <t>Member of Assembly 7th Assembly District - General Election - November 5, 2024</t>
  </si>
  <si>
    <t>Garrett J. Petersen (DEM)</t>
  </si>
  <si>
    <t>Jarett C. Gandolfo (REP)</t>
  </si>
  <si>
    <t>Jarett C. Gandolfo (CON)</t>
  </si>
  <si>
    <t>Member of Assembly 8th Assembly District - General Election - November 5, 2024</t>
  </si>
  <si>
    <t>Steven P. Basileo (DEM)</t>
  </si>
  <si>
    <t>Michael J. Fitzpatrick (REP)</t>
  </si>
  <si>
    <t>Michael J. Fitzpatrick (CON)</t>
  </si>
  <si>
    <t>Steven P. Basileo (WOR)</t>
  </si>
  <si>
    <t>Member of Assembly 9th Assembly District - General Election - November 5, 2024</t>
  </si>
  <si>
    <t>Steven J. DellaVecchia (DEM)</t>
  </si>
  <si>
    <t>Michael A. Durso (REP)</t>
  </si>
  <si>
    <t>Michael A. Durso (CON)</t>
  </si>
  <si>
    <t>Member of Assembly 10th Assembly District - General Election - November 5, 2024</t>
  </si>
  <si>
    <t>Steve Stern (DEM)</t>
  </si>
  <si>
    <t>Aamir Sultan (REP)</t>
  </si>
  <si>
    <t>Aamir Sultan (CON)</t>
  </si>
  <si>
    <t>Member of Assembly 11th Assembly District - General Election - November 5, 2024</t>
  </si>
  <si>
    <t>Kwani B. O'Pharrow (DEM)</t>
  </si>
  <si>
    <t>Joseph R. Cardinale (REP)</t>
  </si>
  <si>
    <t>Joseph R. Cardinale (CON)</t>
  </si>
  <si>
    <t>Member of Assembly 12th Assembly District - General Election - November 5, 2024</t>
  </si>
  <si>
    <t>Thomas J. Cox (DEM)</t>
  </si>
  <si>
    <t>Keith Brown (REP)</t>
  </si>
  <si>
    <t>Keith Brown (CON)</t>
  </si>
  <si>
    <t>Member of Assembly 13th Assembly District - General Election - November 5, 2024</t>
  </si>
  <si>
    <t>Charles D. Lavine (DEM)</t>
  </si>
  <si>
    <t>Ruka Anzai (REP)</t>
  </si>
  <si>
    <t>Ruka Anzai (CON)</t>
  </si>
  <si>
    <t>Member of Assembly 14th Assembly District - General Election - November 5, 2024</t>
  </si>
  <si>
    <t>Ellen M. Lederer DeFrancesco (DEM)</t>
  </si>
  <si>
    <t>David G. McDonough (REP)</t>
  </si>
  <si>
    <t>David G. McDonough (CON)</t>
  </si>
  <si>
    <t>Member of Assembly 15th Assembly District - General Election - November 5, 2024</t>
  </si>
  <si>
    <t>William L. Murphy (DEM)</t>
  </si>
  <si>
    <t>Jacob Ryan Blumencranz (REP)</t>
  </si>
  <si>
    <t>Jacob Ryan Blumencranz (CON)</t>
  </si>
  <si>
    <t>Member of Assembly 16th Assembly District - General Election - November 5, 2024</t>
  </si>
  <si>
    <t>Gina L. Sillitti (DEM)</t>
  </si>
  <si>
    <t>Daniel J. Norber (REP)</t>
  </si>
  <si>
    <t>Daniel J. Norber (CON)</t>
  </si>
  <si>
    <t>Member of Assembly 17th Assembly District - General Election - November 5, 2024</t>
  </si>
  <si>
    <t>Harpreet S. Toor (DEM)</t>
  </si>
  <si>
    <t>John K. Mikulin (REP)</t>
  </si>
  <si>
    <t>John K. Mikulin (CON)</t>
  </si>
  <si>
    <t>Member of Assembly 18th Assembly District - General Election - November 5, 2024</t>
  </si>
  <si>
    <t>Noah Burroughs (DEM)</t>
  </si>
  <si>
    <t>Danielle Samantha Smikle (REP)</t>
  </si>
  <si>
    <t>Danielle Samantha Smikle (CON)</t>
  </si>
  <si>
    <t>Noah Burroughs (WOR)</t>
  </si>
  <si>
    <t>Member of Assembly 19th Assembly District - General Election - November 5, 2024</t>
  </si>
  <si>
    <t>Sanjeev Kumar Jindal (DEM)</t>
  </si>
  <si>
    <t>Edward P. Ra (REP)</t>
  </si>
  <si>
    <t>Edward P. Ra (CON)</t>
  </si>
  <si>
    <t>Member of Assembly 20th Assembly District - General Election - November 5, 2024</t>
  </si>
  <si>
    <t>Tina M. Posterli (DEM)</t>
  </si>
  <si>
    <t>Eric G. Brown (REP)</t>
  </si>
  <si>
    <t>Eric G. Brown (CON)</t>
  </si>
  <si>
    <t>Member of Assembly 21st Assembly District - General Election - November 5, 2024</t>
  </si>
  <si>
    <t>Judy A. Griffin (DEM)</t>
  </si>
  <si>
    <t>Brian F. Curran (REP)</t>
  </si>
  <si>
    <t>Brian F. Curran (CON)</t>
  </si>
  <si>
    <t>Member of Assembly 22nd Assembly District - General Election - November 5, 2024</t>
  </si>
  <si>
    <t>Michaelle C. Solages (DEM)</t>
  </si>
  <si>
    <t>Ian Joseph Bergstrom (REP)</t>
  </si>
  <si>
    <t>Ian Joseph Bergstrom (CON)</t>
  </si>
  <si>
    <t>Michaelle C. Solages (WOR)</t>
  </si>
  <si>
    <t>Member of Assembly 23rd Assembly District - General Election - November 5, 2024</t>
  </si>
  <si>
    <t>Stacey G. Pheffer Amato (DEM)</t>
  </si>
  <si>
    <t>Thomas P. Sullivan (REP)</t>
  </si>
  <si>
    <t>Thomas P. Sullivan (CON)</t>
  </si>
  <si>
    <t>Thomas P. Sullivan (CSP)</t>
  </si>
  <si>
    <t>Stacey G. Pheffer Amato (WTP)</t>
  </si>
  <si>
    <t>Member of Assembly 24th Assembly District - General Election - November 5, 2024</t>
  </si>
  <si>
    <t>David I. Weprin (DEM)</t>
  </si>
  <si>
    <t>Ruben D. Cruz II (REP)</t>
  </si>
  <si>
    <t>Ruben D. Cruz II (CON)</t>
  </si>
  <si>
    <t>Ruben D. Cruz II (CSP)</t>
  </si>
  <si>
    <t>Misbaah U. Mahmood (PFP)</t>
  </si>
  <si>
    <t>Member of Assembly 25th Assembly District - General Election - November 5, 2024</t>
  </si>
  <si>
    <t>Nily D. Rozic (DEM)</t>
  </si>
  <si>
    <t>Kenneth Paek (REP)</t>
  </si>
  <si>
    <t>Kenneth Paek (CON)</t>
  </si>
  <si>
    <t>Nily D. Rozic (WOR)</t>
  </si>
  <si>
    <t>Member of Assembly 26th Assembly District - General Election - November 5, 2024</t>
  </si>
  <si>
    <t>Edward C. Braunstein (DEM)</t>
  </si>
  <si>
    <t>Robert J. Speranza (CON)</t>
  </si>
  <si>
    <t>Robert J. Speranza (CSP)</t>
  </si>
  <si>
    <t>Member of Assembly 27th Assembly District - General Election - November 5, 2024</t>
  </si>
  <si>
    <t>Sam Berger (DEM)</t>
  </si>
  <si>
    <t>Angelo King (REP)</t>
  </si>
  <si>
    <t>Member of Assembly 28th Assembly District - General Election - November 5, 2024</t>
  </si>
  <si>
    <t>Andrew D. Hevesi (DEM)</t>
  </si>
  <si>
    <t>Jonathan D. Rinaldi (REP)</t>
  </si>
  <si>
    <t>Jonathan D. Rinaldi (WTP)</t>
  </si>
  <si>
    <t>Jonathan D. Rinaldi (TRU)</t>
  </si>
  <si>
    <t>Member of Assembly 29th Assembly District - General Election - November 5, 2024</t>
  </si>
  <si>
    <t>Alicia L. Hyndman (DEM)</t>
  </si>
  <si>
    <t>Dwayne Moore (REP)</t>
  </si>
  <si>
    <t>Member of Assembly 30th Assembly District - General Election - November 5, 2024</t>
  </si>
  <si>
    <t>Steven B. Raga (DEM)</t>
  </si>
  <si>
    <t>Brandon P. Castro (REP)</t>
  </si>
  <si>
    <t>Steven B. Raga (WOR)</t>
  </si>
  <si>
    <t>Brandon P. Castro (CSP)</t>
  </si>
  <si>
    <t>Member of Assembly 31st Assembly District - General Election - November 5, 2024</t>
  </si>
  <si>
    <t>Khaleel M. Anderson (DEM)</t>
  </si>
  <si>
    <t>Khaleel M. Anderson (WOR)</t>
  </si>
  <si>
    <t>Member of Assembly 32nd Assembly District - General Election - November 5, 2024</t>
  </si>
  <si>
    <t>Vivian E. Cook (DEM)</t>
  </si>
  <si>
    <t>Member of Assembly 33rd Assembly District - General Election - November 5, 2024</t>
  </si>
  <si>
    <t>Clyde Vanel (DEM)</t>
  </si>
  <si>
    <t>Member of Assembly 34th Assembly District - General Election - November 5, 2024</t>
  </si>
  <si>
    <t>Jessica Gonzalez-Rojas (DEM)</t>
  </si>
  <si>
    <t>Jessica Gonzalez-Rojas (WOR)</t>
  </si>
  <si>
    <t>Member of Assembly 35th Assembly District - General Election - November 5, 2024</t>
  </si>
  <si>
    <t>Larinda C. Hooks (DEM)</t>
  </si>
  <si>
    <t>Larinda C. Hooks (WOR)</t>
  </si>
  <si>
    <t>Member of Assembly 36th Assembly District - General Election - November 5, 2024</t>
  </si>
  <si>
    <t>Zohran Kwame Mamdani (DEM)</t>
  </si>
  <si>
    <t>Zohran Kwame Mamdani (WOR)</t>
  </si>
  <si>
    <t>Member of Assembly 37th Assembly District - General Election - November 5, 2024</t>
  </si>
  <si>
    <t>Claire Valdez (DEM)</t>
  </si>
  <si>
    <t>Claire Valdez (WOR)</t>
  </si>
  <si>
    <t>Member of Assembly 38th Assembly District - General Election - November 5, 2024</t>
  </si>
  <si>
    <t>Jenifer Rajkumar (DEM)</t>
  </si>
  <si>
    <t>Member of Assembly 39th Assembly District - General Election - November 5, 2024</t>
  </si>
  <si>
    <t>Catalina Cruz (DEM)</t>
  </si>
  <si>
    <t>Member of Assembly 40th Assembly District - General Election - November 5, 2024</t>
  </si>
  <si>
    <t>Ron Kim (DEM)</t>
  </si>
  <si>
    <t>Philip S.C. Wang (REP)</t>
  </si>
  <si>
    <t>Philip S.C. Wang (CON)</t>
  </si>
  <si>
    <t>Ron Kim (WOR)</t>
  </si>
  <si>
    <t>Member of Assembly 41st Assembly District - General Election - November 5, 2024</t>
  </si>
  <si>
    <t>Kalman Yeger (DEM)</t>
  </si>
  <si>
    <t>Kalman Yeger (REP)</t>
  </si>
  <si>
    <t>Kalman Yeger (CON)</t>
  </si>
  <si>
    <t>Member of Assembly 42nd Assembly District - General Election - November 5, 2024</t>
  </si>
  <si>
    <t>Rodneyse Bichotte (DEM)</t>
  </si>
  <si>
    <t>Member of Assembly 43rd Assembly District - General Election - November 5, 2024</t>
  </si>
  <si>
    <t>Brian A. Cunningham (DEM)</t>
  </si>
  <si>
    <t>Brian A. Cunningham (WOR)</t>
  </si>
  <si>
    <t>Member of Assembly 44th Assembly District - General Election - November 5, 2024</t>
  </si>
  <si>
    <t>Robert C. Carroll (DEM)</t>
  </si>
  <si>
    <t>John L. Bennett (REP)</t>
  </si>
  <si>
    <t>John L. Bennett (CON)</t>
  </si>
  <si>
    <t>Robert C. Carroll (WOR)</t>
  </si>
  <si>
    <t>Member of Assembly 45th Assembly District - General Election - November 5, 2024</t>
  </si>
  <si>
    <t>Joey Cohen-Saban (DEM)</t>
  </si>
  <si>
    <t>Michael Novakhov (REP)</t>
  </si>
  <si>
    <t>Michael Novakhov (CON)</t>
  </si>
  <si>
    <t>Member of Assembly 46th Assembly District - General Election - November 5, 2024</t>
  </si>
  <si>
    <t>Chris McCreight (DEM)</t>
  </si>
  <si>
    <t>Alec Brook-Krasny (REP)</t>
  </si>
  <si>
    <t>Alec Brook-Krasny (CON)</t>
  </si>
  <si>
    <t>Member of Assembly 47th Assembly District - General Election - November 5, 2024</t>
  </si>
  <si>
    <t>William Colton (DEM)</t>
  </si>
  <si>
    <t>David Sepiashvili (REP)</t>
  </si>
  <si>
    <t>David Sepiashvili (CON)</t>
  </si>
  <si>
    <t>Member of Assembly 48th Assembly District - General Election - November 5, 2024</t>
  </si>
  <si>
    <t>Simcha Eichenstein (DEM)</t>
  </si>
  <si>
    <t>Simcha Eichenstein (CON)</t>
  </si>
  <si>
    <t>Member of Assembly 49th Assembly District - General Election - November 5, 2024</t>
  </si>
  <si>
    <t>Lester Chang (REP)</t>
  </si>
  <si>
    <t>Lester Chang (CON)</t>
  </si>
  <si>
    <t>Member of Assembly 50th Assembly District - General Election - November 5, 2024</t>
  </si>
  <si>
    <t>Emily E. Gallagher (DEM)</t>
  </si>
  <si>
    <t>Emily E. Gallagher (WOR)</t>
  </si>
  <si>
    <t>Member of Assembly 51st Assembly District - General Election - November 5, 2024</t>
  </si>
  <si>
    <t>Marcela Mitaynes (DEM)</t>
  </si>
  <si>
    <t>Erik S. Frankel (REP)</t>
  </si>
  <si>
    <t>Erik S. Frankel (CON)</t>
  </si>
  <si>
    <t>Marcela Mitaynes (WOR)</t>
  </si>
  <si>
    <t>Member of Assembly 52nd Assembly District - General Election - November 5, 2024</t>
  </si>
  <si>
    <t>Jo Anne Simon (DEM)</t>
  </si>
  <si>
    <t>Brett Wynkoop (CON)</t>
  </si>
  <si>
    <t>Jo Anne Simon (WOR)</t>
  </si>
  <si>
    <t>Member of Assembly 53rd Assembly District - General Election - November 5, 2024</t>
  </si>
  <si>
    <t>Maritza Davila (DEM)</t>
  </si>
  <si>
    <t>Member of Assembly 54th Assembly District - General Election - November 5, 2024</t>
  </si>
  <si>
    <t>Erik Martin Dilan (DEM)</t>
  </si>
  <si>
    <t>Member of Assembly 55th Assembly District - General Election - November 5, 2024</t>
  </si>
  <si>
    <t>Latrice Walker (DEM)</t>
  </si>
  <si>
    <t>Berneda W. Jackson (REP)</t>
  </si>
  <si>
    <t>Berneda W. Jackson (CON)</t>
  </si>
  <si>
    <t>Member of Assembly 56th Assembly District - General Election - November 5, 2024</t>
  </si>
  <si>
    <t>Stefani L. Zinerman (DEM)</t>
  </si>
  <si>
    <t>Member of Assembly 57th Assembly District - General Election - November 5, 2024</t>
  </si>
  <si>
    <t>Phara Souffrant Forrest (DEM)</t>
  </si>
  <si>
    <t>Member of Assembly 58th Assembly District - General Election - November 5, 2024</t>
  </si>
  <si>
    <t>Monique Chandler-Waterman (DEM)</t>
  </si>
  <si>
    <t>Member of Assembly 59th Assembly District - General Election - November 5, 2024</t>
  </si>
  <si>
    <t>Jaime R. Williams (DEM)</t>
  </si>
  <si>
    <t>Jaime R. Williams (REP)</t>
  </si>
  <si>
    <t>Jaime R. Williams (CON)</t>
  </si>
  <si>
    <t>Member of Assembly 60th Assembly District - General Election - November 5, 2024</t>
  </si>
  <si>
    <t>Nikki Lucas (DEM)</t>
  </si>
  <si>
    <t>Member of Assembly 61st Assembly District - General Election - November 5, 2024</t>
  </si>
  <si>
    <t>Charles D. Fall (DEM)</t>
  </si>
  <si>
    <t>Member of Assembly 62nd Assembly District - General Election - November 5, 2024</t>
  </si>
  <si>
    <t>Michael W. Reilly Jr (REP)</t>
  </si>
  <si>
    <t>Michael W. Reilly Jr (CON)</t>
  </si>
  <si>
    <t>Member of Assembly 63rd Assembly District - General Election - November 5, 2024</t>
  </si>
  <si>
    <t>Matthew Mobilia (DEM)</t>
  </si>
  <si>
    <t>Sam T. Pirozzolo (REP)</t>
  </si>
  <si>
    <t>Sam T. Pirozzolo (CON)</t>
  </si>
  <si>
    <t>Member of Assembly 64th Assembly District - General Election - November 5, 2024</t>
  </si>
  <si>
    <t>Michael Tannousis (REP)</t>
  </si>
  <si>
    <t>Michael Tannousis (CON)</t>
  </si>
  <si>
    <t>Member of Assembly 65th Assembly District - General Election - November 5, 2024</t>
  </si>
  <si>
    <t>Grace Lee (DEM)</t>
  </si>
  <si>
    <t>Grace Lee (WOR)</t>
  </si>
  <si>
    <t>Member of Assembly 66th Assembly District - General Election - November 5, 2024</t>
  </si>
  <si>
    <t>Deborah J. Glick (DEM)</t>
  </si>
  <si>
    <t>Member of Assembly 67th Assembly District - General Election - November 5, 2024</t>
  </si>
  <si>
    <t>Linda B. Rosenthal (DEM)</t>
  </si>
  <si>
    <t>Linda B. Rosenthal (WOR)</t>
  </si>
  <si>
    <t>Member of Assembly 68th Assembly District - General Election - November 5, 2024</t>
  </si>
  <si>
    <t>Edward Gibbs (DEM)</t>
  </si>
  <si>
    <t>Member of Assembly 69th Assembly District - General Election - November 5, 2024</t>
  </si>
  <si>
    <t>Micah C. Lasher (DEM)</t>
  </si>
  <si>
    <t>Member of Assembly 70th Assembly District - General Election - November 5, 2024</t>
  </si>
  <si>
    <t>Jordan J.G. Wright (DEM)</t>
  </si>
  <si>
    <t>Seson Adams (REP)</t>
  </si>
  <si>
    <t>Member of Assembly 71st Assembly District - General Election - November 5, 2024</t>
  </si>
  <si>
    <t>Al Taylor (DEM)</t>
  </si>
  <si>
    <t>Joziel Andujar (REP)</t>
  </si>
  <si>
    <t>Member of Assembly 72nd Assembly District - General Election - November 5, 2024</t>
  </si>
  <si>
    <t>Manny De Los Santos (DEM)</t>
  </si>
  <si>
    <t>Manny De Los Santos (WOR)</t>
  </si>
  <si>
    <t>Member of Assembly 73rd Assembly District - General Election - November 5, 2024</t>
  </si>
  <si>
    <t>Alex Bores (DEM)</t>
  </si>
  <si>
    <t>Awadhesh Gupta (REP)</t>
  </si>
  <si>
    <t>Alex Bores (WOR)</t>
  </si>
  <si>
    <t>Member of Assembly 74th Assembly District - General Election - November 5, 2024</t>
  </si>
  <si>
    <t>Harvey D. Epstein (DEM)</t>
  </si>
  <si>
    <t>Harvey D. Epstein (WOR)</t>
  </si>
  <si>
    <t>Member of Assembly 75th Assembly District - General Election - November 5, 2024</t>
  </si>
  <si>
    <t>Tony Simone (DEM)</t>
  </si>
  <si>
    <t>Tony Simone (WOR)</t>
  </si>
  <si>
    <t>Member of Assembly 76th Assembly District - General Election - November 5, 2024</t>
  </si>
  <si>
    <t>Rebecca A. Seawright (DEM)</t>
  </si>
  <si>
    <t>Rebecca A. Seawright (WOR)</t>
  </si>
  <si>
    <t>Member of Assembly 77th Assembly District - General Election - November 5, 2024</t>
  </si>
  <si>
    <t>Landon C. Dais (DEM)</t>
  </si>
  <si>
    <t>Norman Sobe McGill (REP)</t>
  </si>
  <si>
    <t>Elianni Del Carmen Tejada Fabian (CON)</t>
  </si>
  <si>
    <t>Member of Assembly 78th Assembly District - General Election - November 5, 2024</t>
  </si>
  <si>
    <t>George A. Alvarez (DEM)</t>
  </si>
  <si>
    <t>John Santiago (REP)</t>
  </si>
  <si>
    <t>John Santiago (CON)</t>
  </si>
  <si>
    <t>Member of Assembly 79th Assembly District - General Election - November 5, 2024</t>
  </si>
  <si>
    <t>Chantel Jackson (DEM)</t>
  </si>
  <si>
    <t>Sharon Darby (REP)</t>
  </si>
  <si>
    <t>Emmanuel A. Findlay Jr (CON)</t>
  </si>
  <si>
    <t>Member of Assembly 80th Assembly District - General Election - November 5, 2024</t>
  </si>
  <si>
    <t>John Zaccaro Jr (DEM)</t>
  </si>
  <si>
    <t>Nicholas Marricco (REP)</t>
  </si>
  <si>
    <t>Grace Marrero (CON)</t>
  </si>
  <si>
    <t>Member of Assembly 81st Assembly District - General Election - November 5, 2024</t>
  </si>
  <si>
    <t>Jeffrey Dinowitz (DEM)</t>
  </si>
  <si>
    <t>Kevin Pazmino (REP)</t>
  </si>
  <si>
    <t>Kevin Pazmino (CON)</t>
  </si>
  <si>
    <t>Member of Assembly 82nd Assembly District - General Election - November 5, 2024</t>
  </si>
  <si>
    <t>Michael Benedetto (DEM)</t>
  </si>
  <si>
    <t>Juan De La Cruz (REP)</t>
  </si>
  <si>
    <t>Juan De La Cruz (CON)</t>
  </si>
  <si>
    <t>Member of Assembly 83rd Assembly District - General Election - November 5, 2024</t>
  </si>
  <si>
    <t>Carl E. Heastie (DEM)</t>
  </si>
  <si>
    <t>Stephanie Liggio (REP)</t>
  </si>
  <si>
    <t>Stephanie Liggio (CON)</t>
  </si>
  <si>
    <t>Member of Assembly 84th Assembly District - General Election - November 5, 2024</t>
  </si>
  <si>
    <t>Amanda N. Septimo (DEM)</t>
  </si>
  <si>
    <t>Rosaline Nieves (REP)</t>
  </si>
  <si>
    <t>Tyreek Goodman (CON)</t>
  </si>
  <si>
    <t>Amanda N. Septimo (WOR)</t>
  </si>
  <si>
    <t>Member of Assembly 85th Assembly District - General Election - November 5, 2024</t>
  </si>
  <si>
    <t>Emerita Torres (DEM)</t>
  </si>
  <si>
    <t>Kelly Atkinson (REP)</t>
  </si>
  <si>
    <t>Gary W. Lutz (CON)</t>
  </si>
  <si>
    <t>Member of Assembly 86th Assembly District - General Election - November 5, 2024</t>
  </si>
  <si>
    <t>Yudelka Tapia (DEM)</t>
  </si>
  <si>
    <t>Woodrow Hines Jr (REP)</t>
  </si>
  <si>
    <t>Darney Rivers (CON)</t>
  </si>
  <si>
    <t>Member of Assembly 87th Assembly District - General Election - November 5, 2024</t>
  </si>
  <si>
    <t>Karines Reyes (DEM)</t>
  </si>
  <si>
    <t>Karines Reyes (WOR)</t>
  </si>
  <si>
    <t>Member of Assembly 88th Assembly District - General Election - November 5, 2024</t>
  </si>
  <si>
    <t>Amy Paulin (DEM)</t>
  </si>
  <si>
    <t>Thomas H. Fix Jr (REP)</t>
  </si>
  <si>
    <t>Thomas H. Fix Jr (CON)</t>
  </si>
  <si>
    <t>Amy Paulin (WOR)</t>
  </si>
  <si>
    <t>Member of Assembly 89th Assembly District - General Election - November 5, 2024</t>
  </si>
  <si>
    <t>J. Gary Pretlow (DEM)</t>
  </si>
  <si>
    <t>Member of Assembly 90th Assembly District - General Election - November 5, 2024</t>
  </si>
  <si>
    <t>Nader J. Sayegh (DEM)</t>
  </si>
  <si>
    <t>John Isaac (REP)</t>
  </si>
  <si>
    <t>John Isaac (CON)</t>
  </si>
  <si>
    <t>Member of Assembly 91st Assembly District - General Election - November 5, 2024</t>
  </si>
  <si>
    <t>Steven Otis (DEM)</t>
  </si>
  <si>
    <t>Katie Manger (REP)</t>
  </si>
  <si>
    <t>Steven Otis (WOR)</t>
  </si>
  <si>
    <t>Member of Assembly 92nd Assembly District - General Election - November 5, 2024</t>
  </si>
  <si>
    <t>MaryJane C. Shimsky (DEM)</t>
  </si>
  <si>
    <t>Alessandro Crocco (REP)</t>
  </si>
  <si>
    <t>Alessandro Crocco (CON)</t>
  </si>
  <si>
    <t>MaryJane C. Shimsky (WOR)</t>
  </si>
  <si>
    <t>Member of Assembly 93rd Assembly District - General Election - November 5, 2024</t>
  </si>
  <si>
    <t>Chris Burdick (DEM)</t>
  </si>
  <si>
    <t>Chris Burdick (WOR)</t>
  </si>
  <si>
    <t>Member of Assembly 94th Assembly District - General Election - November 5, 2024</t>
  </si>
  <si>
    <t>Zachary C. Couzens (DEM)</t>
  </si>
  <si>
    <t>Matthew J. Slater (REP)</t>
  </si>
  <si>
    <t>Matthew J. Slater (CON)</t>
  </si>
  <si>
    <t>Member of Assembly 95th Assembly District - General Election - November 5, 2024</t>
  </si>
  <si>
    <t>Dana Levenberg (DEM)</t>
  </si>
  <si>
    <t>Michael L. Capalbo (REP)</t>
  </si>
  <si>
    <t>Michael L. Capalbo (CON)</t>
  </si>
  <si>
    <t>Dana Levenberg (WOR)</t>
  </si>
  <si>
    <t>Member of Assembly 96th Assembly District - General Election - November 5, 2024</t>
  </si>
  <si>
    <t>Patrick Carroll (DEM)</t>
  </si>
  <si>
    <t>Ronald D. Diz (REP)</t>
  </si>
  <si>
    <t>Ronald D. Diz (CON)</t>
  </si>
  <si>
    <t>Patrick Carroll (WOR)</t>
  </si>
  <si>
    <t>Member of Assembly 97th Assembly District - General Election - November 5, 2024</t>
  </si>
  <si>
    <t>Aron B. Wieder (DEM)</t>
  </si>
  <si>
    <t>John W. McGowan (REP)</t>
  </si>
  <si>
    <t>Thomas F. Sullivan (CON)</t>
  </si>
  <si>
    <t>Member of Assembly 98th Assembly District - General Election - November 5, 2024</t>
  </si>
  <si>
    <t>Karl A. Brabenec (REP)</t>
  </si>
  <si>
    <t>Karl A. Brabenec (CON)</t>
  </si>
  <si>
    <t>Member of Assembly 99th Assembly District - General Election - November 5, 2024</t>
  </si>
  <si>
    <t>Christopher W. Eachus (DEM)</t>
  </si>
  <si>
    <t>Tom Lapolla (REP)</t>
  </si>
  <si>
    <t>Tom Lapolla (CON)</t>
  </si>
  <si>
    <t>Christopher W. Eachus (WOR)</t>
  </si>
  <si>
    <t>Member of Assembly 100th Assembly District - General Election - November 5, 2024</t>
  </si>
  <si>
    <t>Part of Sullivan County Vote Results</t>
  </si>
  <si>
    <t>Paula Elaine Kay (DEM)</t>
  </si>
  <si>
    <t>Louis J. Ingrassia Jr (REP)</t>
  </si>
  <si>
    <t>Louis J. Ingrassia Jr (CON)</t>
  </si>
  <si>
    <t>Paula Elaine Kay (POP)</t>
  </si>
  <si>
    <t>Member of Assembly 101st Assembly District - General Election - November 5, 2024</t>
  </si>
  <si>
    <t>Part of Delaware County Vote Results</t>
  </si>
  <si>
    <t>Brian M. Maher (REP)</t>
  </si>
  <si>
    <t>Brian M. Maher (CON)</t>
  </si>
  <si>
    <t>Member of Assembly 102nd Assembly District - General Election - November 5, 2024</t>
  </si>
  <si>
    <t>Greene County Vote Results</t>
  </si>
  <si>
    <t>Part of Otsego County Vote Results</t>
  </si>
  <si>
    <t>Janet S. Tweed (DEM)</t>
  </si>
  <si>
    <t>Christopher Tague (REP)</t>
  </si>
  <si>
    <t>Christopher Tague (CON)</t>
  </si>
  <si>
    <t>Janet S. Tweed (WOR)</t>
  </si>
  <si>
    <t>Member of Assembly 103rd Assembly District - General Election - November 5, 2024</t>
  </si>
  <si>
    <t>Sarahana Shrestha (DEM)</t>
  </si>
  <si>
    <t>Jack Hayes (REP)</t>
  </si>
  <si>
    <t>Jack Hayes (CON)</t>
  </si>
  <si>
    <t>Sarahana Shrestha (WOR)</t>
  </si>
  <si>
    <t>Member of Assembly 104th Assembly District - General Election - November 5, 2024</t>
  </si>
  <si>
    <t>Jonathan G. Jacobson (DEM)</t>
  </si>
  <si>
    <t>Jonathan G. Jacobson (WOR)</t>
  </si>
  <si>
    <t>Member of Assembly 105th Assembly District - General Election - November 5, 2024</t>
  </si>
  <si>
    <t>Anil R. Beephan Jr (REP)</t>
  </si>
  <si>
    <t>Anil R. Beephan Jr (CON)</t>
  </si>
  <si>
    <t>Member of Assembly 106th Assembly District - General Election - November 5, 2024</t>
  </si>
  <si>
    <t>Part of Columbia County Vote Results</t>
  </si>
  <si>
    <t>Didi Barrett (DEM)</t>
  </si>
  <si>
    <t>Stephan L. Krakower (REP)</t>
  </si>
  <si>
    <t>Stephan L. Krakower (CON)</t>
  </si>
  <si>
    <t>Member of Assembly 107th Assembly District - General Election - November 5, 2024</t>
  </si>
  <si>
    <t>Part of Rensselaer County Vote Results</t>
  </si>
  <si>
    <t>Chloe E. Pierce (DEM)</t>
  </si>
  <si>
    <t>Scott H. Bendett (REP)</t>
  </si>
  <si>
    <t>Scott H. Bendett (CON)</t>
  </si>
  <si>
    <t>Member of Assembly 108th Assembly District - General Election - November 5, 2024</t>
  </si>
  <si>
    <t>Part of Saratoga County Vote Results</t>
  </si>
  <si>
    <t>John T. McDonald III (DEM)</t>
  </si>
  <si>
    <t>Member of Assembly 109th Assembly District - General Election - November 5, 2024</t>
  </si>
  <si>
    <t>Gabriella A. Romero (DEM)</t>
  </si>
  <si>
    <t>Alicia M. Purdy (REP)</t>
  </si>
  <si>
    <t>Alicia M. Purdy (CON)</t>
  </si>
  <si>
    <t>Gabriella A. Romero (WOR)</t>
  </si>
  <si>
    <t>Member of Assembly 110th Assembly District - General Election - November 5, 2024</t>
  </si>
  <si>
    <t>Phillip G. Steck (DEM)</t>
  </si>
  <si>
    <t>Jeff Madden (REP)</t>
  </si>
  <si>
    <t>Jeff Madden (CON)</t>
  </si>
  <si>
    <t>Phillip G. Steck (WOR)</t>
  </si>
  <si>
    <t>Member of Assembly 111th Assembly District - General Election - November 5, 2024</t>
  </si>
  <si>
    <t>Part of Montgomery County Vote Results</t>
  </si>
  <si>
    <t>Angelo L. Santabarbara (DEM)</t>
  </si>
  <si>
    <t>Joseph C. Mastroianni (REP)</t>
  </si>
  <si>
    <t>Joseph C. Mastroianni (CON)</t>
  </si>
  <si>
    <t>Angelo L. Santabarbara (PFP)</t>
  </si>
  <si>
    <t>Member of Assembly 112th Assembly District - General Election - November 5, 2024</t>
  </si>
  <si>
    <t>Part of Fulton County Vote Results</t>
  </si>
  <si>
    <t>Joe Seeman (DEM)</t>
  </si>
  <si>
    <t>Mary Beth Walsh (REP)</t>
  </si>
  <si>
    <t>Mary Beth Walsh (CON)</t>
  </si>
  <si>
    <t>Joe Seeman (WOR)</t>
  </si>
  <si>
    <t>Member of Assembly 113th Assembly District - General Election - November 5, 2024</t>
  </si>
  <si>
    <t>Part of Warren County Vote Results</t>
  </si>
  <si>
    <t>Carrie Woerner (DEM)</t>
  </si>
  <si>
    <t>Jeremy Messina (REP)</t>
  </si>
  <si>
    <t>Jeremy Messina (CON)</t>
  </si>
  <si>
    <t>Member of Assembly 114th Assembly District - General Election - November 5, 2024</t>
  </si>
  <si>
    <t>Part of Essex County Vote Results</t>
  </si>
  <si>
    <t>Matthew J. Simpson (REP)</t>
  </si>
  <si>
    <t>Matthew J. Simpson (CON)</t>
  </si>
  <si>
    <t>Member of Assembly 115th Assembly District - General Election - November 5, 2024</t>
  </si>
  <si>
    <t>D. Billy Jones (DEM)</t>
  </si>
  <si>
    <t>Member of Assembly 116th Assembly District - General Election - November 5, 2024</t>
  </si>
  <si>
    <t>Part of Jefferson County Vote Results</t>
  </si>
  <si>
    <t>Scott A. Gray (REP)</t>
  </si>
  <si>
    <t>Scott A. Gray (CON)</t>
  </si>
  <si>
    <t>Member of Assembly 117th Assembly District - General Election - November 5, 2024</t>
  </si>
  <si>
    <t>Lewis County Vote Results</t>
  </si>
  <si>
    <t>Part of Oneida County Vote Results</t>
  </si>
  <si>
    <t>Kenneth Blankenbush (REP)</t>
  </si>
  <si>
    <t>Kenneth Blankenbush (CON)</t>
  </si>
  <si>
    <t>Member of Assembly 118th Assembly District - General Election - November 5, 2024</t>
  </si>
  <si>
    <t>Part of Otsego Vote Results</t>
  </si>
  <si>
    <t>Robert J. Smullen (REP)</t>
  </si>
  <si>
    <t>Robert J. Smullen (CON)</t>
  </si>
  <si>
    <t>Member of Assembly 119th Assembly District - General Election - November 5, 2024</t>
  </si>
  <si>
    <t>Marianne Buttenschon (DEM)</t>
  </si>
  <si>
    <t>Christine Esposito (REP)</t>
  </si>
  <si>
    <t>Christine Esposito (CON)</t>
  </si>
  <si>
    <t>Marianne Buttenschon (MVF)</t>
  </si>
  <si>
    <t>Member of Assembly 120th Assembly District - General Election - November 5, 2024</t>
  </si>
  <si>
    <t>Part of Cayuga County Vote Results</t>
  </si>
  <si>
    <t>William A. Barclay (REP)</t>
  </si>
  <si>
    <t>William A. Barclay (CON)</t>
  </si>
  <si>
    <t>Member of Assembly 121st Assembly District - General Election - November 5, 2024</t>
  </si>
  <si>
    <t>Part of Madison County Vote Results</t>
  </si>
  <si>
    <t>Vicki Davis (DEM)</t>
  </si>
  <si>
    <t>Joe Angelino (REP)</t>
  </si>
  <si>
    <t>Joe Angelino (CON)</t>
  </si>
  <si>
    <t>Member of Assembly 122nd Assembly District - General Election - November 5, 2024</t>
  </si>
  <si>
    <t>Adrienne Martini (DEM)</t>
  </si>
  <si>
    <t>Brian D. Miller (REP)</t>
  </si>
  <si>
    <t>Brian D. Miller (CON)</t>
  </si>
  <si>
    <t>Adrienne Martini (WOR)</t>
  </si>
  <si>
    <t>Member of Assembly 123rd Assembly District - General Election - November 5, 2024</t>
  </si>
  <si>
    <t>Donna A. Lupardo (DEM)</t>
  </si>
  <si>
    <t>Lisa M. OKeefe (REP)</t>
  </si>
  <si>
    <t>Lisa M. OKeefe (CON)</t>
  </si>
  <si>
    <t>Donna A. Lupardo (WOR)</t>
  </si>
  <si>
    <t>Lisa M. OKeefe (ER)</t>
  </si>
  <si>
    <t>Member of Assembly 124th Assembly District - General Election - November 5, 2024</t>
  </si>
  <si>
    <t>Christopher S. Friend (REP)</t>
  </si>
  <si>
    <t>Christopher S. Friend (CON)</t>
  </si>
  <si>
    <t>Member of Assembly 125th Assembly District - General Election - November 5, 2024</t>
  </si>
  <si>
    <t>Part of Courtland County Vote Results</t>
  </si>
  <si>
    <t>Anna Kelles (DEM)</t>
  </si>
  <si>
    <t>Anna Kelles (WOR)</t>
  </si>
  <si>
    <t>Member of Assembly 126th Assembly District - General Election - November 5, 2024</t>
  </si>
  <si>
    <t>Ian Phillips (DEM)</t>
  </si>
  <si>
    <t>John Lemondes Jr (REP)</t>
  </si>
  <si>
    <t>John Lemondes Jr (CON)</t>
  </si>
  <si>
    <t>Ian Phillips (WOR)</t>
  </si>
  <si>
    <t>Member of Assembly 127th Assembly District - General Election - November 5, 2024</t>
  </si>
  <si>
    <t>Albert A. Stirpe Jr (DEM)</t>
  </si>
  <si>
    <t>Timothy R. Kelly (REP)</t>
  </si>
  <si>
    <t>Timothy R. Kelly (CON)</t>
  </si>
  <si>
    <t>Albert A. Stirpe Jr (WOR)</t>
  </si>
  <si>
    <t>Member of Assembly 128th Assembly District - General Election - November 5, 2024</t>
  </si>
  <si>
    <t>Pamela Jo Hunter (DEM)</t>
  </si>
  <si>
    <t>Daniel A. Ciciarelli (REP)</t>
  </si>
  <si>
    <t>Daniel A. Ciciarelli (CON)</t>
  </si>
  <si>
    <t>Pamela Jo Hunter (WOR)</t>
  </si>
  <si>
    <t>Member of Assembly 129th Assembly District - General Election - November 5, 2024</t>
  </si>
  <si>
    <t>William B. Magnarelli (DEM)</t>
  </si>
  <si>
    <t>Member of Assembly 130th Assembly District - General Election - November 5, 2024</t>
  </si>
  <si>
    <t>James Schuler (DEM)</t>
  </si>
  <si>
    <t>Brian D. Manktelow (REP)</t>
  </si>
  <si>
    <t>Brian D. Manktelow (CON)</t>
  </si>
  <si>
    <t>Member of Assembly 131st Assembly District - General Election - November 5, 2024</t>
  </si>
  <si>
    <t>Part of Cortland County Vote Results</t>
  </si>
  <si>
    <t>Part of Ontario County Vote Results</t>
  </si>
  <si>
    <t>Part of Seneca County Vote Results</t>
  </si>
  <si>
    <t>Jeff Gallahan (REP)</t>
  </si>
  <si>
    <t>Jeff Gallahan (CON)</t>
  </si>
  <si>
    <t>Member of Assembly 132nd Assembly District - General Election - November 5, 2024</t>
  </si>
  <si>
    <t>Part of Chemung County Vote Results</t>
  </si>
  <si>
    <t>Part of Steuben County Vote Results</t>
  </si>
  <si>
    <t>Philip A. Palmesano (REP)</t>
  </si>
  <si>
    <t>Philip A. Palmesano (CON)</t>
  </si>
  <si>
    <t>Member of Assembly 133rd Assembly District - General Election - November 5, 2024</t>
  </si>
  <si>
    <t>Part of Wyoming County Vote Results</t>
  </si>
  <si>
    <t>Colleen Walsh-Williams (DEM)</t>
  </si>
  <si>
    <t>Andrea K. Bailey (REP)</t>
  </si>
  <si>
    <t>Andrea K. Bailey (CON)</t>
  </si>
  <si>
    <t>Member of Assembly 134th Assembly District - General Election - November 5, 2024</t>
  </si>
  <si>
    <t>Josh Jensen (REP)</t>
  </si>
  <si>
    <t>Josh Jensen (CON)</t>
  </si>
  <si>
    <t>Member of Assembly 135th Assembly District - General Election - November 5, 2024</t>
  </si>
  <si>
    <t>Jen Lunsford (DEM)</t>
  </si>
  <si>
    <t>Kimberly DeRosa (REP)</t>
  </si>
  <si>
    <t>Kimberly DeRosa (CON)</t>
  </si>
  <si>
    <t>Jen Lunsford (WOR)</t>
  </si>
  <si>
    <t>Member of Assembly 136th Assembly District - General Election - November 5, 2024</t>
  </si>
  <si>
    <t>Sarah H. Clark (DEM)</t>
  </si>
  <si>
    <t>Orlando J. Rivera (REP)</t>
  </si>
  <si>
    <t>Orlando J. Rivera (CON)</t>
  </si>
  <si>
    <t>Sarah H. Clark (WOR)</t>
  </si>
  <si>
    <t>Member of Assembly 137th Assembly District - General Election - November 5, 2024</t>
  </si>
  <si>
    <t>Demond L. Meeks (DEM)</t>
  </si>
  <si>
    <t>Marcus C. Williams (REP)</t>
  </si>
  <si>
    <t>Marcus C. Williams (CON)</t>
  </si>
  <si>
    <t>Demond L. Meeks (WOR)</t>
  </si>
  <si>
    <t>Member of Assembly 138th Assembly District - General Election - November 5, 2024</t>
  </si>
  <si>
    <t>Harry B. Bronson (DEM)</t>
  </si>
  <si>
    <t>Tracy A. DiFlorio (REP)</t>
  </si>
  <si>
    <t>Tracy A. DiFlorio (CON)</t>
  </si>
  <si>
    <t>Harry B. Bronson (WOR)</t>
  </si>
  <si>
    <t>Member of Assembly 139th Assembly District - General Election - November 5, 2024</t>
  </si>
  <si>
    <t>Stephen M. Hawley (REP)</t>
  </si>
  <si>
    <t>Stephen M. Hawley (CON)</t>
  </si>
  <si>
    <t>Member of Assembly 140th Assembly District - General Election - November 5, 2024</t>
  </si>
  <si>
    <t>Part of Niagara County Vote Results</t>
  </si>
  <si>
    <t>William C. Conrad III (DEM)</t>
  </si>
  <si>
    <t>William C. Conrad III (WOR)</t>
  </si>
  <si>
    <t>Member of Assembly 141st Assembly District - General Election - November 5, 2024</t>
  </si>
  <si>
    <t>Crystal D. Peoples (DEM)</t>
  </si>
  <si>
    <t>Member of Assembly 142nd Assembly District - General Election - November 5, 2024</t>
  </si>
  <si>
    <t>Patrick B. Burke (DEM)</t>
  </si>
  <si>
    <t>Marc D. Priore (REP)</t>
  </si>
  <si>
    <t>Marc D. Priore (CON)</t>
  </si>
  <si>
    <t>Member of Assembly 143rd Assembly District - General Election - November 5, 2024</t>
  </si>
  <si>
    <t>Monica Piga Wallace (DEM)</t>
  </si>
  <si>
    <t>Patrick J. Chludzinski (REP)</t>
  </si>
  <si>
    <t>Patrick J. Chludzinski (CON)</t>
  </si>
  <si>
    <t>Monica Piga Wallace (WOR)</t>
  </si>
  <si>
    <t>Member of Assembly 144th Assembly District - General Election - November 5, 2024</t>
  </si>
  <si>
    <t>Michelle M. Roman (DEM)</t>
  </si>
  <si>
    <t>Paul A. Bologna (REP)</t>
  </si>
  <si>
    <t>Paul A. Bologna (CON)</t>
  </si>
  <si>
    <t>Michelle M. Roman (WOR)</t>
  </si>
  <si>
    <t>Member of Assembly 145th Assembly District - General Election - November 5, 2024</t>
  </si>
  <si>
    <t>Jeffrey Elder (DEM)</t>
  </si>
  <si>
    <t>Angelo J. Morinello (REP)</t>
  </si>
  <si>
    <t>Angelo J. Morinello (CON)</t>
  </si>
  <si>
    <t>Jeffrey Elder (WOR)</t>
  </si>
  <si>
    <t>Member of Assembly 146th Assembly District - General Election - November 5, 2024</t>
  </si>
  <si>
    <t>Karen M. McMahon (DEM)</t>
  </si>
  <si>
    <t>Deborah L. Kilbourn (REP)</t>
  </si>
  <si>
    <t>Deborah L. Kilbourn (CON)</t>
  </si>
  <si>
    <t>Karen M. McMahon (WOR)</t>
  </si>
  <si>
    <t>Member of Assembly 147th Assembly District - General Election - November 5, 2024</t>
  </si>
  <si>
    <t>Darci B. Cramer (DEM)</t>
  </si>
  <si>
    <t>David J. DiPietro (REP)</t>
  </si>
  <si>
    <t>David J. DiPietro (CON)</t>
  </si>
  <si>
    <t>Member of Assembly 148th Assembly District - General Election - November 5, 2024</t>
  </si>
  <si>
    <t>Daniel J. Brown (DEM)</t>
  </si>
  <si>
    <t>Joseph Sempolinski (REP)</t>
  </si>
  <si>
    <t>Joseph Sempolinski (CON)</t>
  </si>
  <si>
    <t>Member of Assembly 149th Assembly District - General Election - November 5, 2024</t>
  </si>
  <si>
    <t>Jonathan D. Rivera (DEM)</t>
  </si>
  <si>
    <t>Jonathan D. Rivera (WOR)</t>
  </si>
  <si>
    <t>Member of Assembly 150th Assembly District - General Election - November 5, 2024</t>
  </si>
  <si>
    <t>Mike Bobseine (DEM)</t>
  </si>
  <si>
    <t>Andrew M. Molitor (REP)</t>
  </si>
  <si>
    <t>Andrew M. Molitor (CON)</t>
  </si>
  <si>
    <t>Mike Bobseine (WOR)</t>
  </si>
  <si>
    <t>Mike Bobseine (RF)</t>
  </si>
  <si>
    <t>Proposition 1 - General Election - November 5, 2024</t>
  </si>
  <si>
    <t>Amendment to Protect Against Unequal Treatment
This proposal would protect against unequal treatment based on ethnicity, national origin, age, disability, and sex, including sexual orientation, gender identity and pregnancy. It also protects against unequal treatment based on reproductive healthcare and autonomy.
A “YES” vote puts these protections in the New York State Constitution.
A “NO” vote leaves these protections out of the State Constitution.</t>
  </si>
  <si>
    <t>Yes</t>
  </si>
  <si>
    <t>No</t>
  </si>
  <si>
    <t>Essex County</t>
  </si>
  <si>
    <t>Part of Putnam County
Vote Results</t>
  </si>
  <si>
    <t>Part of Rockland County
Vote Results</t>
  </si>
  <si>
    <t>Part of Bronx
County Vote Results</t>
  </si>
  <si>
    <t>Part of Bronx County
Vote Results</t>
  </si>
  <si>
    <t>Part of Albany County
Vote Results</t>
  </si>
  <si>
    <t>Clinton County
Vote Results</t>
  </si>
  <si>
    <t>Essex County
Vote Results</t>
  </si>
  <si>
    <t>Franklin County
Vote Results</t>
  </si>
  <si>
    <t>Warren County
Vote Results</t>
  </si>
  <si>
    <t>Fulton County
Vote Results</t>
  </si>
  <si>
    <t>Hamilton County
Vote Results</t>
  </si>
  <si>
    <t>Jefferson County
Vote Results</t>
  </si>
  <si>
    <t>Part of Oswego County
Vote Results</t>
  </si>
  <si>
    <t>Delaware County
Vote Results</t>
  </si>
  <si>
    <t>Schoharie County
Vote Results</t>
  </si>
  <si>
    <t>Sullivan County
Vote Results</t>
  </si>
  <si>
    <t>Cortland County
Vote Results</t>
  </si>
  <si>
    <t>Tompkins County
Vote Results</t>
  </si>
  <si>
    <t>Ontario County
Vote Results</t>
  </si>
  <si>
    <t>Wyoming County
Vote Results</t>
  </si>
  <si>
    <t>Chemung County
Vote Results</t>
  </si>
  <si>
    <t>Schuyler County
Vote Results</t>
  </si>
  <si>
    <t>Tioga County
Vote Results</t>
  </si>
  <si>
    <t>Yates County
Vote Results</t>
  </si>
  <si>
    <t>Part of Erie County
Vote Results</t>
  </si>
  <si>
    <t>Part of Niagara
Vote Results</t>
  </si>
  <si>
    <t>Oswego County
Vote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</si>
</sst>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0.00_);_(* \(#,##0.00\);_(* &quot;-&quot;??_);_(@_)"/>
  </numFmts>
  <fonts count="14" x14ac:knownFonts="1">
    <font>
      <sz val="10"/>
      <name val="Arial"/>
    </font>
    <font>
      <sz val="8"/>
      <name val="Arial"/>
      <family val="2"/>
    </font>
    <font>
      <b/>
      <sz val="14"/>
      <color theme="1"/>
      <name val="Calibri"/>
      <family val="2"/>
      <scheme val="minor"/>
    </font>
    <font>
      <b/>
      <sz val="10"/>
      <name val="Calibri"/>
      <family val="2"/>
      <scheme val="minor"/>
    </font>
    <font>
      <b/>
      <sz val="10"/>
      <color indexed="8"/>
      <name val="Calibri"/>
      <family val="2"/>
      <scheme val="minor"/>
    </font>
    <font>
      <sz val="10"/>
      <color theme="1"/>
      <name val="Calibri"/>
      <family val="2"/>
      <scheme val="minor"/>
    </font>
    <font>
      <b/>
      <sz val="10"/>
      <color theme="1"/>
      <name val="Calibri"/>
      <family val="2"/>
      <scheme val="minor"/>
    </font>
    <font>
      <sz val="10"/>
      <color rgb="FF000000"/>
      <name val="Calibri"/>
      <family val="2"/>
    </font>
    <font>
      <sz val="10"/>
      <color rgb="FF000000"/>
      <name val="Calibri"/>
      <family val="2"/>
      <scheme val="minor"/>
    </font>
    <font>
      <sz val="10"/>
      <color rgb="FF000000"/>
      <name val="Calibri"/>
      <family val="2"/>
    </font>
    <font>
      <sz val="10"/>
      <name val="Arial"/>
      <family val="2"/>
    </font>
    <font>
      <sz val="10"/>
      <name val="Verdana"/>
      <family val="2"/>
    </font>
    <font>
      <sz val="10"/>
      <name val="Arial"/>
      <family val="2"/>
    </font>
    <font>
      <sz val="10"/>
      <name val="Agency FB"/>
      <family val="2"/>
    </font>
  </fonts>
  <fills count="10">
    <fill>
      <patternFill patternType="none"/>
    </fill>
    <fill>
      <patternFill patternType="gray125"/>
    </fill>
    <fill>
      <patternFill patternType="solid">
        <fgColor theme="0" tint="-0.149967955565050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1" tint="0.24994659260841701"/>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FFFFFF"/>
        <bgColor indexed="64"/>
      </patternFill>
    </fill>
    <fill>
      <patternFill patternType="solid">
        <fgColor theme="1"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rgb="FF95B3D7"/>
      </top>
      <bottom style="thin">
        <color indexed="64"/>
      </bottom>
      <diagonal/>
    </border>
    <border>
      <left style="thin">
        <color indexed="64"/>
      </left>
      <right style="thin">
        <color indexed="64"/>
      </right>
      <top style="thin">
        <color indexed="64"/>
      </top>
      <bottom style="thin">
        <color rgb="FF95B3D7"/>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xf numFmtId="0" fontId="10" fillId="0" borderId="0"/>
    <xf numFmtId="43" fontId="12" fillId="0" borderId="0" applyFont="0" applyFill="0" applyBorder="0" applyAlignment="0" applyProtection="0"/>
  </cellStyleXfs>
  <cellXfs count="155">
    <xf numFmtId="0" fontId="0" fillId="0" borderId="0" xfId="0"/>
    <xf numFmtId="0" fontId="4" fillId="3" borderId="2" xfId="0" applyFont="1" applyFill="1" applyBorder="1" applyAlignment="1">
      <alignment horizontal="left" vertical="center" wrapText="1"/>
    </xf>
    <xf numFmtId="0" fontId="0" fillId="0" borderId="0" xfId="0" applyAlignment="1">
      <alignment horizontal="left" vertical="center"/>
    </xf>
    <xf numFmtId="0" fontId="6" fillId="2" borderId="6"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0" borderId="0" xfId="0" applyAlignment="1">
      <alignment horizontal="left"/>
    </xf>
    <xf numFmtId="0" fontId="6" fillId="2" borderId="6" xfId="0" applyFont="1" applyFill="1" applyBorder="1" applyAlignment="1">
      <alignment vertical="center"/>
    </xf>
    <xf numFmtId="0" fontId="6" fillId="4" borderId="2" xfId="0" applyFont="1" applyFill="1" applyBorder="1" applyAlignment="1">
      <alignment horizontal="right" vertical="center" wrapText="1"/>
    </xf>
    <xf numFmtId="0" fontId="6" fillId="2" borderId="2" xfId="0" applyFont="1" applyFill="1" applyBorder="1" applyAlignment="1">
      <alignment horizontal="right" vertical="center"/>
    </xf>
    <xf numFmtId="0" fontId="6" fillId="6" borderId="2" xfId="0" applyFont="1" applyFill="1" applyBorder="1" applyAlignment="1">
      <alignment horizontal="right" vertical="center"/>
    </xf>
    <xf numFmtId="0" fontId="6" fillId="3" borderId="4" xfId="0" applyFont="1" applyFill="1" applyBorder="1"/>
    <xf numFmtId="3" fontId="5" fillId="0" borderId="1" xfId="0" applyNumberFormat="1" applyFont="1" applyBorder="1"/>
    <xf numFmtId="3" fontId="5" fillId="4" borderId="1" xfId="0" applyNumberFormat="1" applyFont="1" applyFill="1" applyBorder="1"/>
    <xf numFmtId="3" fontId="5" fillId="7" borderId="1" xfId="0" applyNumberFormat="1" applyFont="1" applyFill="1" applyBorder="1"/>
    <xf numFmtId="3" fontId="5" fillId="5" borderId="1" xfId="0" applyNumberFormat="1" applyFont="1" applyFill="1" applyBorder="1"/>
    <xf numFmtId="0" fontId="6" fillId="3" borderId="5" xfId="0" applyFont="1" applyFill="1" applyBorder="1"/>
    <xf numFmtId="0" fontId="6" fillId="3" borderId="1" xfId="0" applyFont="1" applyFill="1" applyBorder="1"/>
    <xf numFmtId="3" fontId="7" fillId="0" borderId="1" xfId="0" applyNumberFormat="1" applyFont="1" applyBorder="1"/>
    <xf numFmtId="3" fontId="0" fillId="0" borderId="0" xfId="0" applyNumberFormat="1"/>
    <xf numFmtId="0" fontId="6" fillId="2" borderId="6" xfId="0" applyFont="1" applyFill="1" applyBorder="1" applyAlignment="1">
      <alignment vertical="center" wrapText="1"/>
    </xf>
    <xf numFmtId="0" fontId="6" fillId="2" borderId="2" xfId="0" applyFont="1" applyFill="1" applyBorder="1" applyAlignment="1">
      <alignment horizontal="right" vertical="center" wrapText="1"/>
    </xf>
    <xf numFmtId="0" fontId="6" fillId="6" borderId="2" xfId="0" applyFont="1" applyFill="1" applyBorder="1" applyAlignment="1">
      <alignment horizontal="right" vertical="center" wrapText="1"/>
    </xf>
    <xf numFmtId="3" fontId="5" fillId="8" borderId="1" xfId="0" applyNumberFormat="1" applyFont="1" applyFill="1" applyBorder="1"/>
    <xf numFmtId="3" fontId="6" fillId="5" borderId="1" xfId="0" applyNumberFormat="1" applyFont="1" applyFill="1" applyBorder="1"/>
    <xf numFmtId="0" fontId="0" fillId="0" borderId="0" xfId="0" applyAlignment="1">
      <alignment wrapText="1"/>
    </xf>
    <xf numFmtId="3" fontId="9" fillId="0" borderId="9" xfId="0" applyNumberFormat="1" applyFont="1" applyBorder="1"/>
    <xf numFmtId="3" fontId="9" fillId="0" borderId="1" xfId="0" applyNumberFormat="1" applyFont="1" applyBorder="1"/>
    <xf numFmtId="0" fontId="6" fillId="4" borderId="1" xfId="0" applyFont="1" applyFill="1" applyBorder="1" applyAlignment="1">
      <alignment horizontal="right" vertical="center" wrapText="1"/>
    </xf>
    <xf numFmtId="0" fontId="6" fillId="3" borderId="4" xfId="0" applyFont="1" applyFill="1" applyBorder="1" applyAlignment="1">
      <alignment vertical="center"/>
    </xf>
    <xf numFmtId="0" fontId="6" fillId="3" borderId="5" xfId="0" applyFont="1" applyFill="1" applyBorder="1" applyAlignment="1">
      <alignment vertical="center"/>
    </xf>
    <xf numFmtId="3" fontId="5" fillId="4" borderId="1" xfId="0" applyNumberFormat="1" applyFont="1" applyFill="1" applyBorder="1" applyAlignment="1">
      <alignment horizontal="right" vertical="center"/>
    </xf>
    <xf numFmtId="0" fontId="2" fillId="0" borderId="0" xfId="1" applyFont="1" applyAlignment="1">
      <alignment vertical="center"/>
    </xf>
    <xf numFmtId="0" fontId="10" fillId="0" borderId="0" xfId="1"/>
    <xf numFmtId="0" fontId="6" fillId="2" borderId="6" xfId="1" applyFont="1" applyFill="1" applyBorder="1" applyAlignment="1">
      <alignment vertical="center"/>
    </xf>
    <xf numFmtId="0" fontId="6" fillId="4" borderId="2" xfId="1" applyFont="1" applyFill="1" applyBorder="1" applyAlignment="1">
      <alignment horizontal="right" vertical="center" wrapText="1"/>
    </xf>
    <xf numFmtId="0" fontId="6" fillId="2" borderId="2" xfId="1" applyFont="1" applyFill="1" applyBorder="1" applyAlignment="1">
      <alignment horizontal="right" vertical="center"/>
    </xf>
    <xf numFmtId="0" fontId="6" fillId="6" borderId="2" xfId="1" applyFont="1" applyFill="1" applyBorder="1" applyAlignment="1">
      <alignment horizontal="right" vertical="center"/>
    </xf>
    <xf numFmtId="0" fontId="6" fillId="3" borderId="4" xfId="1" applyFont="1" applyFill="1" applyBorder="1"/>
    <xf numFmtId="3" fontId="7" fillId="0" borderId="1" xfId="1" applyNumberFormat="1" applyFont="1" applyBorder="1"/>
    <xf numFmtId="3" fontId="5" fillId="4" borderId="1" xfId="1" applyNumberFormat="1" applyFont="1" applyFill="1" applyBorder="1"/>
    <xf numFmtId="0" fontId="6" fillId="3" borderId="5" xfId="1" applyFont="1" applyFill="1" applyBorder="1"/>
    <xf numFmtId="3" fontId="5" fillId="0" borderId="1" xfId="1" applyNumberFormat="1" applyFont="1" applyBorder="1"/>
    <xf numFmtId="3" fontId="5" fillId="5" borderId="1" xfId="1" applyNumberFormat="1" applyFont="1" applyFill="1" applyBorder="1"/>
    <xf numFmtId="0" fontId="6" fillId="3" borderId="1" xfId="1" applyFont="1" applyFill="1" applyBorder="1"/>
    <xf numFmtId="0" fontId="7" fillId="0" borderId="1" xfId="1" applyFont="1" applyBorder="1"/>
    <xf numFmtId="0" fontId="6" fillId="3" borderId="4" xfId="1" applyFont="1" applyFill="1" applyBorder="1" applyAlignment="1">
      <alignment vertical="center"/>
    </xf>
    <xf numFmtId="3" fontId="10" fillId="0" borderId="0" xfId="1" applyNumberFormat="1"/>
    <xf numFmtId="3" fontId="5" fillId="0" borderId="3" xfId="1" applyNumberFormat="1" applyFont="1" applyBorder="1"/>
    <xf numFmtId="0" fontId="6" fillId="4" borderId="11" xfId="0" applyFont="1" applyFill="1" applyBorder="1" applyAlignment="1">
      <alignment horizontal="right" vertical="center" wrapText="1"/>
    </xf>
    <xf numFmtId="0" fontId="6" fillId="3" borderId="1" xfId="0" applyNumberFormat="1" applyFont="1" applyFill="1" applyBorder="1" applyAlignment="1" applyProtection="1"/>
    <xf numFmtId="3" fontId="5" fillId="0" borderId="1" xfId="0" applyNumberFormat="1" applyFont="1" applyFill="1" applyBorder="1" applyAlignment="1" applyProtection="1"/>
    <xf numFmtId="3" fontId="5" fillId="4" borderId="1" xfId="0" applyNumberFormat="1" applyFont="1" applyFill="1" applyBorder="1" applyAlignment="1" applyProtection="1"/>
    <xf numFmtId="3" fontId="5" fillId="5" borderId="1" xfId="0" applyNumberFormat="1" applyFont="1" applyFill="1" applyBorder="1" applyAlignment="1" applyProtection="1"/>
    <xf numFmtId="3" fontId="5" fillId="0" borderId="1" xfId="0" applyNumberFormat="1" applyFont="1" applyFill="1" applyBorder="1"/>
    <xf numFmtId="0" fontId="6" fillId="3" borderId="1" xfId="1" applyNumberFormat="1" applyFont="1" applyFill="1" applyBorder="1" applyAlignment="1"/>
    <xf numFmtId="0" fontId="10" fillId="0" borderId="0" xfId="1" applyAlignment="1">
      <alignment horizontal="left" vertical="center"/>
    </xf>
    <xf numFmtId="0" fontId="6" fillId="2" borderId="6" xfId="1" applyFont="1" applyFill="1" applyBorder="1" applyAlignment="1">
      <alignment horizontal="left" vertical="center" wrapText="1"/>
    </xf>
    <xf numFmtId="0" fontId="4" fillId="3" borderId="1" xfId="1" applyFont="1" applyFill="1" applyBorder="1" applyAlignment="1">
      <alignment horizontal="left" vertical="center" wrapText="1"/>
    </xf>
    <xf numFmtId="0" fontId="3" fillId="4" borderId="4" xfId="1" applyFont="1" applyFill="1" applyBorder="1" applyAlignment="1">
      <alignment horizontal="left" wrapText="1"/>
    </xf>
    <xf numFmtId="3" fontId="5" fillId="0" borderId="1" xfId="1" applyNumberFormat="1" applyFont="1" applyBorder="1" applyAlignment="1">
      <alignment horizontal="left"/>
    </xf>
    <xf numFmtId="3" fontId="6" fillId="0" borderId="1" xfId="1" applyNumberFormat="1" applyFont="1" applyBorder="1" applyAlignment="1">
      <alignment horizontal="left"/>
    </xf>
    <xf numFmtId="0" fontId="10" fillId="0" borderId="0" xfId="1" applyAlignment="1">
      <alignment horizontal="left"/>
    </xf>
    <xf numFmtId="3" fontId="5" fillId="8" borderId="1" xfId="1" applyNumberFormat="1" applyFont="1" applyFill="1" applyBorder="1" applyAlignment="1">
      <alignment horizontal="left"/>
    </xf>
    <xf numFmtId="3" fontId="6" fillId="8" borderId="1" xfId="1" applyNumberFormat="1" applyFont="1" applyFill="1" applyBorder="1" applyAlignment="1">
      <alignment horizontal="left"/>
    </xf>
    <xf numFmtId="3" fontId="7" fillId="8" borderId="1" xfId="1" applyNumberFormat="1" applyFont="1" applyFill="1" applyBorder="1" applyAlignment="1">
      <alignment horizontal="left"/>
    </xf>
    <xf numFmtId="3" fontId="7" fillId="0" borderId="1" xfId="1" applyNumberFormat="1" applyFont="1" applyBorder="1" applyAlignment="1">
      <alignment horizontal="left"/>
    </xf>
    <xf numFmtId="0" fontId="3" fillId="2" borderId="5" xfId="1" applyFont="1" applyFill="1" applyBorder="1" applyAlignment="1">
      <alignment horizontal="left" wrapText="1"/>
    </xf>
    <xf numFmtId="3" fontId="6" fillId="3" borderId="3" xfId="1" applyNumberFormat="1" applyFont="1" applyFill="1" applyBorder="1" applyAlignment="1">
      <alignment horizontal="left" vertical="top"/>
    </xf>
    <xf numFmtId="3" fontId="6" fillId="3" borderId="1" xfId="1" applyNumberFormat="1" applyFont="1" applyFill="1" applyBorder="1" applyAlignment="1">
      <alignment horizontal="left" vertical="top"/>
    </xf>
    <xf numFmtId="3" fontId="5" fillId="0" borderId="1" xfId="1" applyNumberFormat="1" applyFont="1" applyFill="1" applyBorder="1" applyAlignment="1">
      <alignment horizontal="left"/>
    </xf>
    <xf numFmtId="0" fontId="13" fillId="0" borderId="0" xfId="0" applyFont="1" applyAlignment="1">
      <alignment horizontal="left" vertical="center"/>
    </xf>
    <xf numFmtId="0" fontId="2" fillId="0" borderId="0" xfId="0" applyFont="1" applyAlignment="1">
      <alignment vertical="center"/>
    </xf>
    <xf numFmtId="0" fontId="2" fillId="0" borderId="0" xfId="0" applyFont="1" applyAlignment="1">
      <alignment vertical="center"/>
    </xf>
    <xf numFmtId="3" fontId="9" fillId="0" borderId="10" xfId="0" applyNumberFormat="1" applyFont="1" applyBorder="1"/>
    <xf numFmtId="0" fontId="2" fillId="0" borderId="0" xfId="0" applyFont="1" applyAlignment="1">
      <alignment vertical="center"/>
    </xf>
    <xf numFmtId="0" fontId="3" fillId="4" borderId="4" xfId="0" applyFont="1" applyFill="1" applyBorder="1" applyAlignment="1">
      <alignment horizontal="left" vertical="center" wrapText="1"/>
    </xf>
    <xf numFmtId="3" fontId="5" fillId="0" borderId="1" xfId="0" applyNumberFormat="1" applyFont="1" applyBorder="1" applyAlignment="1">
      <alignment horizontal="left" vertical="center"/>
    </xf>
    <xf numFmtId="3" fontId="6" fillId="0" borderId="1" xfId="0" applyNumberFormat="1" applyFont="1" applyBorder="1" applyAlignment="1">
      <alignment horizontal="left" vertical="center"/>
    </xf>
    <xf numFmtId="3" fontId="5" fillId="8" borderId="1" xfId="0" applyNumberFormat="1" applyFont="1" applyFill="1" applyBorder="1" applyAlignment="1">
      <alignment horizontal="left" vertical="center"/>
    </xf>
    <xf numFmtId="3" fontId="6" fillId="8" borderId="1" xfId="0" applyNumberFormat="1" applyFont="1" applyFill="1" applyBorder="1" applyAlignment="1">
      <alignment horizontal="left" vertical="center"/>
    </xf>
    <xf numFmtId="3" fontId="7" fillId="0" borderId="1" xfId="0" applyNumberFormat="1" applyFont="1" applyBorder="1" applyAlignment="1">
      <alignment horizontal="left" vertical="center"/>
    </xf>
    <xf numFmtId="3" fontId="8" fillId="0" borderId="1" xfId="0" applyNumberFormat="1" applyFont="1" applyBorder="1" applyAlignment="1">
      <alignment horizontal="left" vertical="center"/>
    </xf>
    <xf numFmtId="0" fontId="3" fillId="2" borderId="5" xfId="0" applyFont="1" applyFill="1" applyBorder="1" applyAlignment="1">
      <alignment horizontal="left" vertical="center" wrapText="1"/>
    </xf>
    <xf numFmtId="3" fontId="6" fillId="3" borderId="3" xfId="0" applyNumberFormat="1" applyFont="1" applyFill="1" applyBorder="1" applyAlignment="1">
      <alignment horizontal="left" vertical="center"/>
    </xf>
    <xf numFmtId="3" fontId="6" fillId="3" borderId="1" xfId="0" applyNumberFormat="1" applyFont="1" applyFill="1" applyBorder="1" applyAlignment="1">
      <alignment horizontal="left" vertical="center"/>
    </xf>
    <xf numFmtId="0" fontId="3" fillId="6" borderId="1" xfId="0" applyFont="1" applyFill="1" applyBorder="1" applyAlignment="1">
      <alignment horizontal="left" vertical="center" wrapText="1"/>
    </xf>
    <xf numFmtId="3" fontId="6" fillId="7" borderId="1" xfId="0" applyNumberFormat="1" applyFont="1" applyFill="1" applyBorder="1" applyAlignment="1">
      <alignment horizontal="left" vertical="center"/>
    </xf>
    <xf numFmtId="3" fontId="6" fillId="5" borderId="1" xfId="0" applyNumberFormat="1" applyFont="1" applyFill="1" applyBorder="1" applyAlignment="1">
      <alignment horizontal="left" vertical="center"/>
    </xf>
    <xf numFmtId="3" fontId="5" fillId="0" borderId="1" xfId="0" applyNumberFormat="1" applyFont="1" applyFill="1" applyBorder="1" applyAlignment="1">
      <alignment horizontal="left" vertical="center"/>
    </xf>
    <xf numFmtId="3" fontId="6" fillId="0" borderId="1" xfId="0" applyNumberFormat="1" applyFont="1" applyFill="1" applyBorder="1" applyAlignment="1">
      <alignment horizontal="left" vertical="center"/>
    </xf>
    <xf numFmtId="3" fontId="7" fillId="0" borderId="1" xfId="2" applyNumberFormat="1" applyFont="1" applyBorder="1" applyAlignment="1">
      <alignment horizontal="left" vertical="center"/>
    </xf>
    <xf numFmtId="0" fontId="6" fillId="2" borderId="6" xfId="0" applyFont="1" applyFill="1" applyBorder="1" applyAlignment="1"/>
    <xf numFmtId="0" fontId="6" fillId="4" borderId="2" xfId="0" applyFont="1" applyFill="1" applyBorder="1" applyAlignment="1">
      <alignment horizontal="right" wrapText="1"/>
    </xf>
    <xf numFmtId="0" fontId="6" fillId="2" borderId="2" xfId="0" applyFont="1" applyFill="1" applyBorder="1" applyAlignment="1">
      <alignment horizontal="right"/>
    </xf>
    <xf numFmtId="0" fontId="6" fillId="6" borderId="2" xfId="0" applyFont="1" applyFill="1" applyBorder="1" applyAlignment="1">
      <alignment horizontal="right"/>
    </xf>
    <xf numFmtId="0" fontId="6" fillId="3" borderId="4" xfId="0" applyFont="1" applyFill="1" applyBorder="1" applyAlignment="1"/>
    <xf numFmtId="3" fontId="5" fillId="0" borderId="1" xfId="0" applyNumberFormat="1" applyFont="1" applyBorder="1" applyAlignment="1"/>
    <xf numFmtId="3" fontId="5" fillId="4" borderId="1" xfId="0" applyNumberFormat="1" applyFont="1" applyFill="1" applyBorder="1" applyAlignment="1"/>
    <xf numFmtId="0" fontId="6" fillId="3" borderId="5" xfId="0" applyFont="1" applyFill="1" applyBorder="1" applyAlignment="1"/>
    <xf numFmtId="0" fontId="6" fillId="3" borderId="1" xfId="0" applyFont="1" applyFill="1" applyBorder="1" applyAlignment="1"/>
    <xf numFmtId="3" fontId="5" fillId="0" borderId="1" xfId="0" applyNumberFormat="1" applyFont="1" applyBorder="1" applyAlignment="1">
      <alignment vertical="center"/>
    </xf>
    <xf numFmtId="3" fontId="5" fillId="4" borderId="1" xfId="0" applyNumberFormat="1" applyFont="1" applyFill="1" applyBorder="1" applyAlignment="1">
      <alignment vertical="center"/>
    </xf>
    <xf numFmtId="3" fontId="5" fillId="4" borderId="3" xfId="0" applyNumberFormat="1" applyFont="1" applyFill="1" applyBorder="1" applyAlignment="1">
      <alignment vertical="center"/>
    </xf>
    <xf numFmtId="0" fontId="6" fillId="3" borderId="1" xfId="0" applyFont="1" applyFill="1" applyBorder="1" applyAlignment="1">
      <alignment vertical="center"/>
    </xf>
    <xf numFmtId="3" fontId="5" fillId="4" borderId="1" xfId="0" applyNumberFormat="1" applyFont="1" applyFill="1" applyBorder="1" applyAlignment="1" applyProtection="1">
      <alignment vertical="center"/>
    </xf>
    <xf numFmtId="3" fontId="5" fillId="0" borderId="3" xfId="0" applyNumberFormat="1" applyFont="1" applyFill="1" applyBorder="1" applyAlignment="1">
      <alignment vertical="center"/>
    </xf>
    <xf numFmtId="0" fontId="0" fillId="0" borderId="0" xfId="0" applyAlignment="1"/>
    <xf numFmtId="3" fontId="6" fillId="5" borderId="1" xfId="0" applyNumberFormat="1" applyFont="1" applyFill="1" applyBorder="1" applyAlignment="1"/>
    <xf numFmtId="0" fontId="0" fillId="0" borderId="0" xfId="0" applyAlignment="1">
      <alignment vertical="center"/>
    </xf>
    <xf numFmtId="3" fontId="5" fillId="8" borderId="1" xfId="0" applyNumberFormat="1" applyFont="1" applyFill="1" applyBorder="1" applyAlignment="1">
      <alignment vertical="center"/>
    </xf>
    <xf numFmtId="3" fontId="5" fillId="0" borderId="1" xfId="0" applyNumberFormat="1" applyFont="1" applyFill="1" applyBorder="1" applyAlignment="1">
      <alignment vertical="center"/>
    </xf>
    <xf numFmtId="3" fontId="6" fillId="5" borderId="1" xfId="0" applyNumberFormat="1" applyFont="1" applyFill="1" applyBorder="1" applyAlignment="1">
      <alignment vertical="center"/>
    </xf>
    <xf numFmtId="3" fontId="6" fillId="5" borderId="1" xfId="0" applyNumberFormat="1" applyFont="1" applyFill="1" applyBorder="1" applyAlignment="1" applyProtection="1">
      <alignment vertical="center"/>
    </xf>
    <xf numFmtId="3" fontId="6" fillId="7" borderId="1" xfId="0" applyNumberFormat="1" applyFont="1" applyFill="1" applyBorder="1" applyAlignment="1">
      <alignment vertical="center"/>
    </xf>
    <xf numFmtId="3" fontId="6" fillId="5" borderId="7" xfId="0" applyNumberFormat="1" applyFont="1" applyFill="1" applyBorder="1" applyAlignment="1">
      <alignment vertical="center"/>
    </xf>
    <xf numFmtId="3" fontId="6" fillId="5" borderId="8" xfId="0" applyNumberFormat="1" applyFont="1" applyFill="1" applyBorder="1" applyAlignment="1">
      <alignment vertical="center"/>
    </xf>
    <xf numFmtId="3" fontId="6" fillId="7" borderId="1" xfId="0" applyNumberFormat="1" applyFont="1" applyFill="1" applyBorder="1"/>
    <xf numFmtId="3" fontId="6" fillId="7" borderId="1" xfId="0" applyNumberFormat="1" applyFont="1" applyFill="1" applyBorder="1" applyAlignment="1"/>
    <xf numFmtId="3" fontId="7" fillId="0" borderId="1" xfId="0" applyNumberFormat="1" applyFont="1" applyBorder="1" applyAlignment="1">
      <alignment vertical="center"/>
    </xf>
    <xf numFmtId="3" fontId="5" fillId="0" borderId="3" xfId="0" applyNumberFormat="1" applyFont="1" applyBorder="1" applyAlignment="1">
      <alignment vertical="center"/>
    </xf>
    <xf numFmtId="0" fontId="6" fillId="3" borderId="4" xfId="0" applyFont="1" applyFill="1" applyBorder="1" applyAlignment="1">
      <alignment vertical="center" wrapText="1"/>
    </xf>
    <xf numFmtId="3" fontId="6" fillId="9" borderId="1" xfId="0" applyNumberFormat="1" applyFont="1" applyFill="1" applyBorder="1" applyAlignment="1">
      <alignment vertical="center"/>
    </xf>
    <xf numFmtId="3" fontId="7" fillId="0" borderId="1" xfId="2" applyNumberFormat="1" applyFont="1" applyBorder="1" applyAlignment="1">
      <alignment horizontal="right" vertical="center"/>
    </xf>
    <xf numFmtId="3" fontId="6" fillId="2" borderId="6" xfId="0" applyNumberFormat="1" applyFont="1" applyFill="1" applyBorder="1" applyAlignment="1">
      <alignment vertical="center"/>
    </xf>
    <xf numFmtId="3" fontId="6" fillId="4" borderId="2" xfId="0" applyNumberFormat="1" applyFont="1" applyFill="1" applyBorder="1" applyAlignment="1">
      <alignment horizontal="right" vertical="center" wrapText="1"/>
    </xf>
    <xf numFmtId="3" fontId="6" fillId="2" borderId="2" xfId="0" applyNumberFormat="1" applyFont="1" applyFill="1" applyBorder="1" applyAlignment="1">
      <alignment horizontal="right" vertical="center"/>
    </xf>
    <xf numFmtId="3" fontId="6" fillId="6" borderId="12" xfId="0" applyNumberFormat="1" applyFont="1" applyFill="1" applyBorder="1" applyAlignment="1">
      <alignment horizontal="right" vertical="center"/>
    </xf>
    <xf numFmtId="3" fontId="6" fillId="3" borderId="4" xfId="0" applyNumberFormat="1" applyFont="1" applyFill="1" applyBorder="1" applyAlignment="1">
      <alignment vertical="center"/>
    </xf>
    <xf numFmtId="3" fontId="6" fillId="7" borderId="8" xfId="0" applyNumberFormat="1" applyFont="1" applyFill="1" applyBorder="1" applyAlignment="1">
      <alignment vertical="center"/>
    </xf>
    <xf numFmtId="3" fontId="6" fillId="3" borderId="5" xfId="0" applyNumberFormat="1" applyFont="1" applyFill="1" applyBorder="1" applyAlignment="1">
      <alignment vertical="center"/>
    </xf>
    <xf numFmtId="3" fontId="9" fillId="0" borderId="9" xfId="0" applyNumberFormat="1" applyFont="1" applyBorder="1" applyAlignment="1">
      <alignment vertical="center"/>
    </xf>
    <xf numFmtId="3" fontId="9" fillId="0" borderId="1" xfId="0" applyNumberFormat="1" applyFont="1" applyBorder="1" applyAlignment="1">
      <alignment vertical="center"/>
    </xf>
    <xf numFmtId="3" fontId="9" fillId="0" borderId="10" xfId="0" applyNumberFormat="1" applyFont="1" applyBorder="1" applyAlignment="1">
      <alignment vertical="center"/>
    </xf>
    <xf numFmtId="3" fontId="6" fillId="7" borderId="1" xfId="1" applyNumberFormat="1" applyFont="1" applyFill="1" applyBorder="1"/>
    <xf numFmtId="3" fontId="6" fillId="5" borderId="1" xfId="1" applyNumberFormat="1" applyFont="1" applyFill="1" applyBorder="1"/>
    <xf numFmtId="0" fontId="10" fillId="0" borderId="0" xfId="1" applyAlignment="1">
      <alignment vertical="center"/>
    </xf>
    <xf numFmtId="3" fontId="5" fillId="0" borderId="1" xfId="1" applyNumberFormat="1" applyFont="1" applyBorder="1" applyAlignment="1">
      <alignment vertical="center"/>
    </xf>
    <xf numFmtId="3" fontId="5" fillId="4" borderId="1" xfId="1" applyNumberFormat="1" applyFont="1" applyFill="1" applyBorder="1" applyAlignment="1">
      <alignment vertical="center"/>
    </xf>
    <xf numFmtId="3" fontId="6" fillId="7" borderId="1" xfId="1" applyNumberFormat="1" applyFont="1" applyFill="1" applyBorder="1" applyAlignment="1">
      <alignment vertical="center"/>
    </xf>
    <xf numFmtId="3" fontId="6" fillId="5" borderId="1" xfId="1" applyNumberFormat="1" applyFont="1" applyFill="1" applyBorder="1" applyAlignment="1">
      <alignment vertical="center"/>
    </xf>
    <xf numFmtId="0" fontId="6" fillId="3" borderId="5" xfId="1" applyFont="1" applyFill="1" applyBorder="1" applyAlignment="1">
      <alignment vertical="center"/>
    </xf>
    <xf numFmtId="0" fontId="6" fillId="3" borderId="1" xfId="1" applyFont="1" applyFill="1" applyBorder="1" applyAlignment="1">
      <alignment vertical="center"/>
    </xf>
    <xf numFmtId="3" fontId="5" fillId="0" borderId="3" xfId="1" applyNumberFormat="1" applyFont="1" applyBorder="1" applyAlignment="1">
      <alignment vertical="center"/>
    </xf>
    <xf numFmtId="0" fontId="4" fillId="3" borderId="2" xfId="1" applyFont="1" applyFill="1" applyBorder="1" applyAlignment="1">
      <alignment horizontal="left" vertical="center" wrapText="1"/>
    </xf>
    <xf numFmtId="0" fontId="6" fillId="3" borderId="1" xfId="0" applyNumberFormat="1" applyFont="1" applyFill="1" applyBorder="1" applyAlignment="1" applyProtection="1">
      <alignment vertical="center"/>
    </xf>
    <xf numFmtId="3" fontId="5" fillId="0" borderId="1" xfId="0" applyNumberFormat="1" applyFont="1" applyFill="1" applyBorder="1" applyAlignment="1" applyProtection="1">
      <alignment vertical="center"/>
    </xf>
    <xf numFmtId="0" fontId="2" fillId="0" borderId="0" xfId="0" applyFont="1" applyAlignment="1">
      <alignment vertical="center"/>
    </xf>
    <xf numFmtId="0" fontId="2" fillId="0" borderId="0" xfId="0" applyFont="1" applyAlignment="1">
      <alignment vertical="center" wrapText="1"/>
    </xf>
    <xf numFmtId="0" fontId="11" fillId="0" borderId="0" xfId="1" applyFont="1" applyBorder="1" applyAlignment="1">
      <alignment horizontal="left" vertical="center" wrapText="1"/>
    </xf>
    <xf numFmtId="0" fontId="11" fillId="0" borderId="0" xfId="1" applyFont="1" applyBorder="1" applyAlignment="1">
      <alignment horizontal="left" vertical="center"/>
    </xf>
    <xf numFmtId="0" fontId="2" fillId="0" borderId="0" xfId="1" applyFont="1" applyBorder="1" applyAlignment="1">
      <alignment vertical="center" wrapText="1"/>
    </xf>
    <xf numFmtId="3" fontId="6" fillId="9" borderId="1" xfId="1" applyNumberFormat="1" applyFont="1" applyFill="1" applyBorder="1"/>
    <xf numFmtId="3" fontId="5" fillId="7" borderId="1" xfId="0" applyNumberFormat="1" applyFont="1" applyFill="1" applyBorder="1" applyAlignment="1">
      <alignment vertical="center"/>
    </xf>
    <xf numFmtId="3" fontId="5" fillId="5" borderId="1" xfId="0" applyNumberFormat="1" applyFont="1" applyFill="1" applyBorder="1" applyAlignment="1">
      <alignment vertical="center"/>
    </xf>
    <xf numFmtId="0" fontId="6" fillId="3" borderId="6" xfId="0" applyFont="1" applyFill="1" applyBorder="1" applyAlignment="1">
      <alignment vertical="center"/>
    </xf>
  </cellXfs>
  <cellStyles count="3">
    <cellStyle name="Comma" xfId="2" builtinId="3"/>
    <cellStyle name="Normal" xfId="0" builtinId="0"/>
    <cellStyle name="Normal 2" xfId="1" xr:uid="{F2D80B82-0D02-4311-84DF-DBFD5AD434E2}"/>
  </cellStyles>
  <dxfs count="4039">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dxf>
    <dxf>
      <border outline="0">
        <bottom style="thin">
          <color rgb="FF000000"/>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F00"/>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numFmt numFmtId="3" formatCode="#,##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vertical/>
        <horizontal/>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E2EFDA"/>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bottom"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bottom"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bottom"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bottom"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numFmt numFmtId="3" formatCode="#,##0"/>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6"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right style="thin">
          <color indexed="64"/>
        </right>
        <top style="thin">
          <color indexed="64"/>
        </top>
        <bottom style="thin">
          <color indexed="64"/>
        </bottom>
        <vertical style="thin">
          <color indexed="64"/>
        </vertical>
      </border>
    </dxf>
    <dxf>
      <border>
        <top style="thin">
          <color indexed="64"/>
        </top>
      </border>
    </dxf>
    <dxf>
      <numFmt numFmtId="3" formatCode="#,##0"/>
      <alignment vertical="center" textRotation="0" indent="0" justifyLastLine="0" shrinkToFit="0" readingOrder="0"/>
      <border diagonalUp="0" diagonalDown="0">
        <left style="thin">
          <color indexed="64"/>
        </left>
        <right style="thin">
          <color indexed="64"/>
        </right>
        <top/>
        <bottom/>
        <vertical style="thin">
          <color indexed="64"/>
        </vertic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left style="thin">
          <color indexed="64"/>
        </left>
        <right style="thin">
          <color indexed="64"/>
        </right>
        <top/>
        <bottom/>
        <vertical style="thin">
          <color indexed="64"/>
        </vertic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rgb="FF000000"/>
        <name val="Calibri"/>
        <family val="2"/>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alignment vertical="center" textRotation="0" indent="0" justifyLastLine="0" shrinkToFit="0" readingOrder="0"/>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border>
    </dxf>
    <dxf>
      <numFmt numFmtId="3" formatCode="#,##0"/>
      <alignment vertical="center" textRotation="0" indent="0" justifyLastLine="0" shrinkToFit="0" readingOrder="0"/>
      <border>
        <right style="thin">
          <color indexed="64"/>
        </right>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outline="0">
        <top style="thin">
          <color indexed="64"/>
        </top>
      </border>
    </dxf>
    <dxf>
      <alignment vertical="center" textRotation="0" indent="0" justifyLastLine="0" shrinkToFit="0" readingOrder="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rgb="FFFFF2CC"/>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alignment vertical="center" textRotation="0" indent="0" justifyLastLine="0" shrinkToFit="0" readingOrder="0"/>
      <border diagonalUp="0" diagonalDown="0" outline="0">
        <left style="thin">
          <color indexed="64"/>
        </left>
        <right style="thin">
          <color indexed="64"/>
        </right>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right style="thin">
          <color indexed="64"/>
        </right>
        <top style="thin">
          <color indexed="64"/>
        </top>
        <bottom/>
      </border>
    </dxf>
    <dxf>
      <border>
        <top style="thin">
          <color rgb="FF000000"/>
        </top>
      </border>
    </dxf>
    <dxf>
      <border diagonalUp="0" diagonalDown="0">
        <left style="thin">
          <color rgb="FF000000"/>
        </left>
        <right style="thin">
          <color rgb="FF000000"/>
        </right>
        <top/>
        <bottom/>
        <vertical style="thin">
          <color rgb="FF000000"/>
        </vertical>
        <horizontal style="thin">
          <color rgb="FF000000"/>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family val="2"/>
        <scheme val="minor"/>
      </font>
      <numFmt numFmtId="3" formatCode="#,##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border diagonalUp="0" diagonalDown="0">
        <left/>
        <right style="thin">
          <color indexed="64"/>
        </right>
        <top style="thin">
          <color indexed="64"/>
        </top>
        <bottom/>
        <vertical/>
        <horizontal/>
      </border>
    </dxf>
    <dxf>
      <border>
        <top style="thin">
          <color rgb="FF000000"/>
        </top>
      </border>
    </dxf>
    <dxf>
      <border diagonalUp="0" diagonalDown="0">
        <left style="thin">
          <color rgb="FF000000"/>
        </left>
        <right style="thin">
          <color rgb="FF000000"/>
        </right>
        <top/>
        <bottom/>
        <vertical style="thin">
          <color rgb="FF000000"/>
        </vertical>
        <horizontal style="thin">
          <color rgb="FF000000"/>
        </horizontal>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indexed="65"/>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rgb="FFFFFFFF"/>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0" tint="-4.9989318521683403E-2"/>
        </patternFill>
      </fill>
      <alignment vertical="center"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 formatCode="#,##0"/>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none">
          <fgColor indexed="64"/>
          <bgColor auto="1"/>
        </patternFill>
      </fill>
      <alignment vertical="center" textRotation="0"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rgb="FF000000"/>
        </top>
      </border>
    </dxf>
    <dxf>
      <alignment vertical="center" textRotation="0" indent="0" justifyLastLine="0" shrinkToFit="0" readingOrder="0"/>
      <border diagonalUp="0" diagonalDown="0" outline="0">
        <left style="thin">
          <color rgb="FF000000"/>
        </left>
        <right style="thin">
          <color rgb="FF000000"/>
        </right>
        <top/>
        <bottom/>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theme="1"/>
        <name val="Calibri"/>
        <family val="2"/>
        <scheme val="minor"/>
      </font>
      <fill>
        <patternFill patternType="solid">
          <fgColor indexed="64"/>
          <bgColor theme="0" tint="-4.9989318521683403E-2"/>
        </patternFill>
      </fill>
      <alignment horizontal="general" vertical="center" textRotation="0" wrapText="0"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numFmt numFmtId="3" formatCode="#,##0"/>
      <alignment horizontal="left" vertical="center" textRotation="0" wrapText="0" indent="0" justifyLastLine="0" shrinkToFit="0" readingOrder="0"/>
      <border outline="0">
        <left style="thin">
          <color indexed="64"/>
        </left>
        <right style="thin">
          <color indexed="64"/>
        </right>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horizontal="lef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1" tint="0.24994659260841701"/>
        </patternFill>
      </fill>
      <alignment horizontal="general" vertical="top" textRotation="0" wrapText="0" indent="0" justifyLastLine="0" shrinkToFit="0" readingOrder="0"/>
      <border diagonalUp="0" diagonalDown="0" outline="0">
        <left style="thin">
          <color indexed="64"/>
        </left>
        <right/>
        <top style="thin">
          <color indexed="64"/>
        </top>
        <bottom/>
      </border>
    </dxf>
    <dxf>
      <font>
        <b/>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family val="2"/>
        <scheme val="minor"/>
      </font>
      <numFmt numFmtId="3" formatCode="#,##0"/>
      <fill>
        <patternFill patternType="solid">
          <fgColor indexed="64"/>
          <bgColor theme="7"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Calibri"/>
        <family val="2"/>
        <scheme val="minor"/>
      </font>
      <numFmt numFmtId="3" formatCode="#,##0"/>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0"/>
        <color auto="1"/>
        <name val="Calibri"/>
        <family val="2"/>
        <scheme val="minor"/>
      </font>
      <fill>
        <patternFill patternType="solid">
          <fgColor indexed="64"/>
          <bgColor theme="0" tint="-0.14996795556505021"/>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i val="0"/>
        <strike val="0"/>
        <condense val="0"/>
        <extend val="0"/>
        <outline val="0"/>
        <shadow val="0"/>
        <u val="none"/>
        <vertAlign val="baseline"/>
        <sz val="10"/>
        <color auto="1"/>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center" textRotation="0" indent="0" justifyLastLine="0" shrinkToFit="0" readingOrder="0"/>
    </dxf>
    <dxf>
      <border outline="0">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solid">
          <fgColor rgb="FFDCE6F1"/>
          <bgColor rgb="FFDCE6F1"/>
        </patternFill>
      </fill>
    </dxf>
    <dxf>
      <fill>
        <patternFill patternType="solid">
          <fgColor rgb="FFDCE6F1"/>
          <bgColor rgb="FFDCE6F1"/>
        </patternFill>
      </fill>
    </dxf>
    <dxf>
      <font>
        <b/>
        <color rgb="FF000000"/>
      </font>
    </dxf>
    <dxf>
      <font>
        <b/>
        <color rgb="FF000000"/>
      </font>
    </dxf>
    <dxf>
      <font>
        <b/>
        <color rgb="FF000000"/>
      </font>
      <border>
        <top style="double">
          <color rgb="FF4F81BD"/>
        </top>
      </border>
    </dxf>
    <dxf>
      <font>
        <b/>
        <color rgb="FFFFFFFF"/>
      </font>
      <fill>
        <patternFill patternType="solid">
          <fgColor rgb="FF4F81BD"/>
          <bgColor rgb="FF4F81BD"/>
        </patternFill>
      </fill>
    </dxf>
    <dxf>
      <font>
        <color rgb="FF000000"/>
      </font>
      <border>
        <left style="thin">
          <color rgb="FF95B3D7"/>
        </left>
        <right style="thin">
          <color rgb="FF95B3D7"/>
        </right>
        <top style="thin">
          <color rgb="FF95B3D7"/>
        </top>
        <bottom style="thin">
          <color rgb="FF95B3D7"/>
        </bottom>
        <horizontal style="thin">
          <color rgb="FF95B3D7"/>
        </horizontal>
      </border>
    </dxf>
  </dxfs>
  <tableStyles count="1" defaultTableStyle="TableStyleMedium9" defaultPivotStyle="PivotStyleLight16">
    <tableStyle name="TableStyleMedium2 2" pivot="0" count="7" xr9:uid="{954C8CC6-83BD-495B-ABE7-F4B7E517F8CF}">
      <tableStyleElement type="wholeTable" dxfId="4038"/>
      <tableStyleElement type="headerRow" dxfId="4037"/>
      <tableStyleElement type="totalRow" dxfId="4036"/>
      <tableStyleElement type="firstColumn" dxfId="4035"/>
      <tableStyleElement type="lastColumn" dxfId="4034"/>
      <tableStyleElement type="firstRowStripe" dxfId="4033"/>
      <tableStyleElement type="firstColumnStripe" dxfId="403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226" Type="http://schemas.openxmlformats.org/officeDocument/2006/relationships/worksheet" Target="worksheets/sheet226.xml"/><Relationship Id="rId247" Type="http://schemas.openxmlformats.org/officeDocument/2006/relationships/worksheet" Target="worksheets/sheet247.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16" Type="http://schemas.openxmlformats.org/officeDocument/2006/relationships/worksheet" Target="worksheets/sheet216.xml"/><Relationship Id="rId237" Type="http://schemas.openxmlformats.org/officeDocument/2006/relationships/worksheet" Target="worksheets/sheet237.xml"/><Relationship Id="rId258" Type="http://schemas.openxmlformats.org/officeDocument/2006/relationships/customXml" Target="../customXml/item3.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worksheet" Target="worksheets/sheet206.xml"/><Relationship Id="rId227" Type="http://schemas.openxmlformats.org/officeDocument/2006/relationships/worksheet" Target="worksheets/sheet227.xml"/><Relationship Id="rId248" Type="http://schemas.openxmlformats.org/officeDocument/2006/relationships/worksheet" Target="worksheets/sheet248.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217" Type="http://schemas.openxmlformats.org/officeDocument/2006/relationships/worksheet" Target="worksheets/sheet217.xml"/><Relationship Id="rId6" Type="http://schemas.openxmlformats.org/officeDocument/2006/relationships/worksheet" Target="worksheets/sheet6.xml"/><Relationship Id="rId238" Type="http://schemas.openxmlformats.org/officeDocument/2006/relationships/worksheet" Target="worksheets/sheet238.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worksheet" Target="worksheets/sheet207.xml"/><Relationship Id="rId228" Type="http://schemas.openxmlformats.org/officeDocument/2006/relationships/worksheet" Target="worksheets/sheet228.xml"/><Relationship Id="rId249" Type="http://schemas.openxmlformats.org/officeDocument/2006/relationships/worksheet" Target="worksheets/sheet249.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18" Type="http://schemas.openxmlformats.org/officeDocument/2006/relationships/worksheet" Target="worksheets/sheet218.xml"/><Relationship Id="rId239" Type="http://schemas.openxmlformats.org/officeDocument/2006/relationships/worksheet" Target="worksheets/sheet239.xml"/><Relationship Id="rId250" Type="http://schemas.openxmlformats.org/officeDocument/2006/relationships/worksheet" Target="worksheets/sheet250.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208" Type="http://schemas.openxmlformats.org/officeDocument/2006/relationships/worksheet" Target="worksheets/sheet208.xml"/><Relationship Id="rId229" Type="http://schemas.openxmlformats.org/officeDocument/2006/relationships/worksheet" Target="worksheets/sheet229.xml"/><Relationship Id="rId240" Type="http://schemas.openxmlformats.org/officeDocument/2006/relationships/worksheet" Target="worksheets/sheet240.xml"/><Relationship Id="rId14" Type="http://schemas.openxmlformats.org/officeDocument/2006/relationships/worksheet" Target="worksheets/sheet14.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219" Type="http://schemas.openxmlformats.org/officeDocument/2006/relationships/worksheet" Target="worksheets/sheet219.xml"/><Relationship Id="rId230" Type="http://schemas.openxmlformats.org/officeDocument/2006/relationships/worksheet" Target="worksheets/sheet230.xml"/><Relationship Id="rId251" Type="http://schemas.openxmlformats.org/officeDocument/2006/relationships/theme" Target="theme/theme1.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95" Type="http://schemas.openxmlformats.org/officeDocument/2006/relationships/worksheet" Target="worksheets/sheet195.xml"/><Relationship Id="rId209" Type="http://schemas.openxmlformats.org/officeDocument/2006/relationships/worksheet" Target="worksheets/sheet209.xml"/><Relationship Id="rId220" Type="http://schemas.openxmlformats.org/officeDocument/2006/relationships/worksheet" Target="worksheets/sheet220.xml"/><Relationship Id="rId241" Type="http://schemas.openxmlformats.org/officeDocument/2006/relationships/worksheet" Target="worksheets/sheet24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78" Type="http://schemas.openxmlformats.org/officeDocument/2006/relationships/worksheet" Target="worksheets/sheet78.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64" Type="http://schemas.openxmlformats.org/officeDocument/2006/relationships/worksheet" Target="worksheets/sheet164.xml"/><Relationship Id="rId185" Type="http://schemas.openxmlformats.org/officeDocument/2006/relationships/worksheet" Target="worksheets/sheet185.xml"/><Relationship Id="rId9" Type="http://schemas.openxmlformats.org/officeDocument/2006/relationships/worksheet" Target="worksheets/sheet9.xml"/><Relationship Id="rId210" Type="http://schemas.openxmlformats.org/officeDocument/2006/relationships/worksheet" Target="worksheets/sheet210.xml"/><Relationship Id="rId26" Type="http://schemas.openxmlformats.org/officeDocument/2006/relationships/worksheet" Target="worksheets/sheet26.xml"/><Relationship Id="rId231" Type="http://schemas.openxmlformats.org/officeDocument/2006/relationships/worksheet" Target="worksheets/sheet231.xml"/><Relationship Id="rId252" Type="http://schemas.openxmlformats.org/officeDocument/2006/relationships/styles" Target="styles.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221" Type="http://schemas.openxmlformats.org/officeDocument/2006/relationships/worksheet" Target="worksheets/sheet221.xml"/><Relationship Id="rId242" Type="http://schemas.openxmlformats.org/officeDocument/2006/relationships/worksheet" Target="worksheets/sheet242.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11" Type="http://schemas.openxmlformats.org/officeDocument/2006/relationships/worksheet" Target="worksheets/sheet211.xml"/><Relationship Id="rId232" Type="http://schemas.openxmlformats.org/officeDocument/2006/relationships/worksheet" Target="worksheets/sheet232.xml"/><Relationship Id="rId253" Type="http://schemas.openxmlformats.org/officeDocument/2006/relationships/sharedStrings" Target="sharedStrings.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222" Type="http://schemas.openxmlformats.org/officeDocument/2006/relationships/worksheet" Target="worksheets/sheet222.xml"/><Relationship Id="rId243" Type="http://schemas.openxmlformats.org/officeDocument/2006/relationships/worksheet" Target="worksheets/sheet243.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12" Type="http://schemas.openxmlformats.org/officeDocument/2006/relationships/worksheet" Target="worksheets/sheet212.xml"/><Relationship Id="rId233" Type="http://schemas.openxmlformats.org/officeDocument/2006/relationships/worksheet" Target="worksheets/sheet233.xml"/><Relationship Id="rId254" Type="http://schemas.microsoft.com/office/2017/10/relationships/person" Target="persons/person.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223" Type="http://schemas.openxmlformats.org/officeDocument/2006/relationships/worksheet" Target="worksheets/sheet223.xml"/><Relationship Id="rId244" Type="http://schemas.openxmlformats.org/officeDocument/2006/relationships/worksheet" Target="worksheets/sheet244.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13" Type="http://schemas.openxmlformats.org/officeDocument/2006/relationships/worksheet" Target="worksheets/sheet213.xml"/><Relationship Id="rId234" Type="http://schemas.openxmlformats.org/officeDocument/2006/relationships/worksheet" Target="worksheets/sheet234.xml"/><Relationship Id="rId2" Type="http://schemas.openxmlformats.org/officeDocument/2006/relationships/worksheet" Target="worksheets/sheet2.xml"/><Relationship Id="rId29" Type="http://schemas.openxmlformats.org/officeDocument/2006/relationships/worksheet" Target="worksheets/sheet29.xml"/><Relationship Id="rId255" Type="http://schemas.openxmlformats.org/officeDocument/2006/relationships/calcChain" Target="calcChain.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99" Type="http://schemas.openxmlformats.org/officeDocument/2006/relationships/worksheet" Target="worksheets/sheet199.xml"/><Relationship Id="rId203" Type="http://schemas.openxmlformats.org/officeDocument/2006/relationships/worksheet" Target="worksheets/sheet203.xml"/><Relationship Id="rId19" Type="http://schemas.openxmlformats.org/officeDocument/2006/relationships/worksheet" Target="worksheets/sheet19.xml"/><Relationship Id="rId224" Type="http://schemas.openxmlformats.org/officeDocument/2006/relationships/worksheet" Target="worksheets/sheet224.xml"/><Relationship Id="rId245" Type="http://schemas.openxmlformats.org/officeDocument/2006/relationships/worksheet" Target="worksheets/sheet245.xml"/><Relationship Id="rId30" Type="http://schemas.openxmlformats.org/officeDocument/2006/relationships/worksheet" Target="worksheets/sheet3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189" Type="http://schemas.openxmlformats.org/officeDocument/2006/relationships/worksheet" Target="worksheets/sheet189.xml"/><Relationship Id="rId3" Type="http://schemas.openxmlformats.org/officeDocument/2006/relationships/worksheet" Target="worksheets/sheet3.xml"/><Relationship Id="rId214" Type="http://schemas.openxmlformats.org/officeDocument/2006/relationships/worksheet" Target="worksheets/sheet214.xml"/><Relationship Id="rId235" Type="http://schemas.openxmlformats.org/officeDocument/2006/relationships/worksheet" Target="worksheets/sheet235.xml"/><Relationship Id="rId256" Type="http://schemas.openxmlformats.org/officeDocument/2006/relationships/customXml" Target="../customXml/item1.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179" Type="http://schemas.openxmlformats.org/officeDocument/2006/relationships/worksheet" Target="worksheets/sheet179.xml"/><Relationship Id="rId190" Type="http://schemas.openxmlformats.org/officeDocument/2006/relationships/worksheet" Target="worksheets/sheet190.xml"/><Relationship Id="rId204" Type="http://schemas.openxmlformats.org/officeDocument/2006/relationships/worksheet" Target="worksheets/sheet204.xml"/><Relationship Id="rId225" Type="http://schemas.openxmlformats.org/officeDocument/2006/relationships/worksheet" Target="worksheets/sheet225.xml"/><Relationship Id="rId246" Type="http://schemas.openxmlformats.org/officeDocument/2006/relationships/worksheet" Target="worksheets/sheet246.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94" Type="http://schemas.openxmlformats.org/officeDocument/2006/relationships/worksheet" Target="worksheets/sheet94.xml"/><Relationship Id="rId148" Type="http://schemas.openxmlformats.org/officeDocument/2006/relationships/worksheet" Target="worksheets/sheet148.xml"/><Relationship Id="rId169" Type="http://schemas.openxmlformats.org/officeDocument/2006/relationships/worksheet" Target="worksheets/sheet169.xml"/><Relationship Id="rId4" Type="http://schemas.openxmlformats.org/officeDocument/2006/relationships/worksheet" Target="worksheets/sheet4.xml"/><Relationship Id="rId180" Type="http://schemas.openxmlformats.org/officeDocument/2006/relationships/worksheet" Target="worksheets/sheet180.xml"/><Relationship Id="rId215" Type="http://schemas.openxmlformats.org/officeDocument/2006/relationships/worksheet" Target="worksheets/sheet215.xml"/><Relationship Id="rId236" Type="http://schemas.openxmlformats.org/officeDocument/2006/relationships/worksheet" Target="worksheets/sheet236.xml"/><Relationship Id="rId257"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3DEDAF-3D5F-4F92-8A7A-8BBEE2EB7BC9}" name="GovLtGovGeneral" displayName="GovLtGovGeneral" ref="A2:U66" totalsRowShown="0" headerRowDxfId="4031" dataDxfId="4029" headerRowBorderDxfId="4030" tableBorderDxfId="4028" totalsRowBorderDxfId="4027">
  <tableColumns count="21">
    <tableColumn id="1" xr3:uid="{8E5DDF31-5933-4786-B892-EAC2AFE95455}" name="County" dataDxfId="4026" totalsRowDxfId="4025"/>
    <tableColumn id="2" xr3:uid="{0DC283FA-75D3-4AFF-8F1B-5B3A9E4279CF}" name="Kamala D. Harris_x000a_Tim Walz (DEM)" dataDxfId="4024" totalsRowDxfId="4023"/>
    <tableColumn id="16" xr3:uid="{EE1ADC1F-3E45-44A5-B5B2-141265E7EE78}" name="Donald J. Trump_x000a_JD Vance (REP)" dataDxfId="4022" totalsRowDxfId="4021"/>
    <tableColumn id="15" xr3:uid="{4A8A7D9A-093C-450A-9BB8-7F10F5872324}" name="Donald J. Trump_x000a_JD Vance (CON)" dataDxfId="4020" totalsRowDxfId="4019"/>
    <tableColumn id="14" xr3:uid="{FE2CC06A-ED76-4ABA-AB79-42A3A778851F}" name="Kamala D. Harris_x000a_Tim Walz (WOR)" dataDxfId="4018" totalsRowDxfId="4017"/>
    <tableColumn id="13" xr3:uid="{1E3007A5-05A7-431C-8972-20BA0036C617}" name="Shiva Ayyadurai_x000a_(Write-In)" dataDxfId="4016" totalsRowDxfId="4015"/>
    <tableColumn id="12" xr3:uid="{07405830-4512-4BA4-9653-55C299B66F85}" name="Claudia De la Cruz_x000a_(Write In)" dataDxfId="4014" totalsRowDxfId="4013"/>
    <tableColumn id="9" xr3:uid="{62A90D1A-7D44-4FDA-8F31-30738E6473E6}" name="Chris Garrity_x000a_(Write-In)" dataDxfId="4012" totalsRowDxfId="4011"/>
    <tableColumn id="19" xr3:uid="{2D1A462A-1464-4B1C-AC48-B84A5E0FF2A1}" name="Garry Hubbard_x000a_(Write-In)" dataDxfId="4010" totalsRowDxfId="4009"/>
    <tableColumn id="18" xr3:uid="{50884887-8EC1-44C3-8678-ADDEA774D5F2}" name="Andre Ramon McNeil Sr_x000a_(Write-In)" dataDxfId="4008" totalsRowDxfId="4007"/>
    <tableColumn id="17" xr3:uid="{BEA18ACD-E3C6-4522-A30A-9699208D105B}" name="Andrew O'Donnell_x000a_(Write-In)" dataDxfId="4006" totalsRowDxfId="4005"/>
    <tableColumn id="11" xr3:uid="{2860E215-91DA-46ED-957A-F9BA3136BA07}" name="Chase Oliver_x000a_(Write-In)" dataDxfId="4004" totalsRowDxfId="4003"/>
    <tableColumn id="10" xr3:uid="{7066DC56-7FC5-449E-8EAA-79B0B2DA05BA}" name="Future Madam Potus_x000a_(Write-In)" dataDxfId="4002" totalsRowDxfId="4001"/>
    <tableColumn id="5" xr3:uid="{8780D6F1-2A2E-4F17-979B-DA4B1F8C781F}" name="Raymond Anthony Scollin_x000a_(Write In)" dataDxfId="4000" totalsRowDxfId="3999"/>
    <tableColumn id="22" xr3:uid="{27063401-C989-4AB1-AD22-98C8D4A65EA2}" name="Peter Sonski_x000a_(Write In)" dataDxfId="3998" totalsRowDxfId="3997"/>
    <tableColumn id="21" xr3:uid="{155B0C13-F401-4CD4-991A-A6C87C2E8E4F}" name="Jill Stein_x000a_(Write-In)" dataDxfId="3996" totalsRowDxfId="3995"/>
    <tableColumn id="20" xr3:uid="{B95A230D-EB0C-427B-A41C-3DA0D3AFE59E}" name="Cornel West_x000a_(Write-In)" dataDxfId="3994" totalsRowDxfId="3993"/>
    <tableColumn id="30" xr3:uid="{F5FC692C-925B-44A2-9C19-AFA8F45A6A00}" name="Blank" dataDxfId="3992" totalsRowDxfId="3991"/>
    <tableColumn id="7" xr3:uid="{3E2DCB5F-2AC8-4507-B46A-34B83521102A}" name="Void" dataDxfId="3990" totalsRowDxfId="3989"/>
    <tableColumn id="6" xr3:uid="{088B638D-A471-4524-9C80-36C1A0D8451F}" name="Scattering" dataDxfId="3988" totalsRowDxfId="3987"/>
    <tableColumn id="4" xr3:uid="{2F4814DC-72AC-4FA8-B1C1-489B41C6DB8A}" name="Total Votes by County" dataDxfId="3986" totalsRowDxfId="3985">
      <calculatedColumnFormula>SUM(B3:T3)</calculatedColumnFormula>
    </tableColumn>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5" xr:uid="{A8457D6F-1571-4632-A882-D1EADA082FD4}" name="RepInCongressCongressionalDistrict1General245255256" displayName="RepInCongressCongressionalDistrict1General245255256" ref="A2:D7" totalsRowCount="1" headerRowDxfId="3823" dataDxfId="3821" totalsRowDxfId="3819" headerRowBorderDxfId="3822" tableBorderDxfId="3820" totalsRowBorderDxfId="3818">
  <autoFilter ref="A2:D6" xr:uid="{E4C80049-8B70-4EEE-86C5-EA95090A6C7F}">
    <filterColumn colId="0" hiddenButton="1"/>
    <filterColumn colId="1" hiddenButton="1"/>
    <filterColumn colId="2" hiddenButton="1"/>
    <filterColumn colId="3" hiddenButton="1"/>
  </autoFilter>
  <tableColumns count="4">
    <tableColumn id="1" xr3:uid="{73C1E8FC-9D0F-48FD-B859-9398EF2A425A}" name="Candidate Name (Party)" totalsRowLabel="Total Votes by County" dataDxfId="3817" totalsRowDxfId="3816"/>
    <tableColumn id="4" xr3:uid="{244206EF-FD2C-43C2-BD8C-ECA73815B4F1}" name="Bronx County _x000a_Vote Results" totalsRowFunction="custom" dataDxfId="3815" totalsRowDxfId="3814">
      <totalsRowFormula>SUM(RepInCongressCongressionalDistrict1General245255256[Bronx County 
Vote Results])</totalsRowFormula>
    </tableColumn>
    <tableColumn id="3" xr3:uid="{7C0781A4-FBAF-40BB-A63F-B273E73C8B84}" name="Total Votes by Party" totalsRowFunction="custom" dataDxfId="3813" totalsRowDxfId="3812">
      <calculatedColumnFormula>RepInCongressCongressionalDistrict1General245255256[[#This Row],[Bronx County 
Vote Results]]</calculatedColumnFormula>
      <totalsRowFormula>SUM(RepInCongressCongressionalDistrict1General245255256[Total Votes by Party])</totalsRowFormula>
    </tableColumn>
    <tableColumn id="2" xr3:uid="{9AB47E61-4F22-4E08-B0B6-FDB05751AC9D}" name="Total Votes by Candidate" dataDxfId="3811" totalsRowDxfId="3810"/>
  </tableColumns>
  <tableStyleInfo name="TableStyleMedium2" showFirstColumn="0" showLastColumn="0" showRowStripes="0" showColumnStripes="0"/>
</table>
</file>

<file path=xl/tables/table1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0" xr:uid="{1B01176A-C009-4450-8E95-1C0CE0786CEA}" name="MemberOfAssemblyAssemblyDistrict1General" displayName="MemberOfAssemblyAssemblyDistrict1General" ref="A2:D10" totalsRowCount="1" headerRowDxfId="2295" dataDxfId="2293" totalsRowDxfId="2291" headerRowBorderDxfId="2294" tableBorderDxfId="2292" totalsRowBorderDxfId="2290">
  <autoFilter ref="A2:D9" xr:uid="{3A650E04-D3BE-4799-8EA0-96F8843917A4}">
    <filterColumn colId="0" hiddenButton="1"/>
    <filterColumn colId="1" hiddenButton="1"/>
    <filterColumn colId="2" hiddenButton="1"/>
    <filterColumn colId="3" hiddenButton="1"/>
  </autoFilter>
  <tableColumns count="4">
    <tableColumn id="1" xr3:uid="{8AB36758-BC0F-4587-B2AE-D85C5D2CE249}" name="Candidate Name (Party)" totalsRowLabel="Total Votes by County" dataDxfId="2289" totalsRowDxfId="2288" totalsRowCellStyle="Normal 2"/>
    <tableColumn id="4" xr3:uid="{93F2A46C-3C61-4740-B870-B95A68D58F6D}" name="Part of Suffolk County Vote Results" totalsRowFunction="custom" dataDxfId="2287" totalsRowDxfId="2286" totalsRowCellStyle="Normal 2">
      <totalsRowFormula>SUM(MemberOfAssemblyAssemblyDistrict1General[Part of Suffolk County Vote Results])</totalsRowFormula>
    </tableColumn>
    <tableColumn id="3" xr3:uid="{D3EF6C6F-BD4C-469A-AAF6-15C7DB643F90}" name="Total Votes by Party" totalsRowFunction="custom" dataDxfId="2285" totalsRowDxfId="2284" totalsRowCellStyle="Normal 2">
      <calculatedColumnFormula>MemberOfAssemblyAssemblyDistrict1General[[#This Row],[Part of Suffolk County Vote Results]]</calculatedColumnFormula>
      <totalsRowFormula>SUM(MemberOfAssemblyAssemblyDistrict1General[Total Votes by Party])</totalsRowFormula>
    </tableColumn>
    <tableColumn id="2" xr3:uid="{E0E71220-E36F-4DC5-BEE6-12467E3D7D11}" name="Total Votes by Candidate" dataDxfId="2283" totalsRowDxfId="2282" totalsRowCellStyle="Normal 2"/>
  </tableColumns>
  <tableStyleInfo name="TableStyleMedium2" showFirstColumn="0" showLastColumn="0" showRowStripes="0" showColumnStripes="0"/>
</table>
</file>

<file path=xl/tables/table1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9" xr:uid="{5E4F7068-7863-49F4-B92B-DDBD5F657A11}" name="MemberOfAssemblyAssemblyDistrict2General" displayName="MemberOfAssemblyAssemblyDistrict2General" ref="A2:D9" totalsRowCount="1" headerRowDxfId="2281" dataDxfId="2279" totalsRowDxfId="2277" headerRowBorderDxfId="2280" tableBorderDxfId="2278" totalsRowBorderDxfId="2276">
  <autoFilter ref="A2:D8" xr:uid="{696B2B78-2511-4454-AD1C-99DC5E7F3A65}">
    <filterColumn colId="0" hiddenButton="1"/>
    <filterColumn colId="1" hiddenButton="1"/>
    <filterColumn colId="2" hiddenButton="1"/>
    <filterColumn colId="3" hiddenButton="1"/>
  </autoFilter>
  <tableColumns count="4">
    <tableColumn id="1" xr3:uid="{6DE303C0-3C33-4FC1-B048-47D16AFBEAA9}" name="Candidate Name (Party)" totalsRowLabel="Total Votes by County" dataDxfId="2275" totalsRowDxfId="2274" totalsRowCellStyle="Normal 2"/>
    <tableColumn id="4" xr3:uid="{F5A51BF6-C710-4AF0-AE9A-3C5F4C8696BE}" name="Part of Suffolk County Vote Results" totalsRowFunction="custom" dataDxfId="2273" totalsRowDxfId="2272" totalsRowCellStyle="Normal 2">
      <totalsRowFormula>SUM(MemberOfAssemblyAssemblyDistrict2General[Part of Suffolk County Vote Results])</totalsRowFormula>
    </tableColumn>
    <tableColumn id="3" xr3:uid="{7CF460D1-7BD7-4B73-94F3-462945999DEB}" name="Total Votes by Party" totalsRowFunction="custom" dataDxfId="2271" totalsRowDxfId="2270" totalsRowCellStyle="Normal 2">
      <calculatedColumnFormula>MemberOfAssemblyAssemblyDistrict2General[[#This Row],[Part of Suffolk County Vote Results]]</calculatedColumnFormula>
      <totalsRowFormula>SUM(MemberOfAssemblyAssemblyDistrict2General[Total Votes by Party])</totalsRowFormula>
    </tableColumn>
    <tableColumn id="2" xr3:uid="{083B8180-2E50-4735-96AA-75398D3EBCDB}" name="Total Votes by Candidate" dataDxfId="2269" totalsRowDxfId="2268" totalsRowCellStyle="Normal 2"/>
  </tableColumns>
  <tableStyleInfo name="TableStyleMedium2" showFirstColumn="0" showLastColumn="0" showRowStripes="0" showColumnStripes="0"/>
</table>
</file>

<file path=xl/tables/table1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8" xr:uid="{B04C251C-527D-4E01-ACEE-89D3223DAB49}" name="MemberOfAssemblyAssemblyDistrict3General" displayName="MemberOfAssemblyAssemblyDistrict3General" ref="A2:D9" totalsRowCount="1" headerRowDxfId="2267" dataDxfId="2265" totalsRowDxfId="2263" headerRowBorderDxfId="2266" tableBorderDxfId="2264" totalsRowBorderDxfId="2262">
  <autoFilter ref="A2:D8" xr:uid="{17193FA3-73E2-4E8E-A735-DC6FDE74813C}">
    <filterColumn colId="0" hiddenButton="1"/>
    <filterColumn colId="1" hiddenButton="1"/>
    <filterColumn colId="2" hiddenButton="1"/>
    <filterColumn colId="3" hiddenButton="1"/>
  </autoFilter>
  <tableColumns count="4">
    <tableColumn id="1" xr3:uid="{8E481595-AEE3-44A7-A6D2-729D563245EE}" name="Candidate Name (Party)" totalsRowLabel="Total Votes by County" dataDxfId="2261" totalsRowDxfId="2260" totalsRowCellStyle="Normal 2"/>
    <tableColumn id="4" xr3:uid="{FB491B84-42AB-46A3-81FF-71DB507E5B84}" name="Part of Suffolk County Vote Results" totalsRowFunction="custom" dataDxfId="2259" totalsRowDxfId="2258" totalsRowCellStyle="Normal 2">
      <totalsRowFormula>SUM(MemberOfAssemblyAssemblyDistrict3General[Part of Suffolk County Vote Results])</totalsRowFormula>
    </tableColumn>
    <tableColumn id="3" xr3:uid="{F0E0EDB2-44ED-4441-B8B6-995F4BA16A76}" name="Total Votes by Party" totalsRowFunction="custom" dataDxfId="2257" totalsRowDxfId="2256" totalsRowCellStyle="Normal 2">
      <calculatedColumnFormula>MemberOfAssemblyAssemblyDistrict3General[[#This Row],[Part of Suffolk County Vote Results]]</calculatedColumnFormula>
      <totalsRowFormula>SUM(MemberOfAssemblyAssemblyDistrict3General[Total Votes by Party])</totalsRowFormula>
    </tableColumn>
    <tableColumn id="2" xr3:uid="{DB024ADF-396B-48EC-84CB-24556E51C2FE}" name="Total Votes by Candidate" dataDxfId="2255" totalsRowDxfId="2254" totalsRowCellStyle="Normal 2"/>
  </tableColumns>
  <tableStyleInfo name="TableStyleMedium2" showFirstColumn="0" showLastColumn="0" showRowStripes="0" showColumnStripes="0"/>
</table>
</file>

<file path=xl/tables/table1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7" xr:uid="{E4741B3D-515B-4503-968F-568F4D9BC7D7}" name="MemberOfAssemblyAssemblyDistrict4General" displayName="MemberOfAssemblyAssemblyDistrict4General" ref="A2:D9" totalsRowCount="1" headerRowDxfId="2253" dataDxfId="2251" totalsRowDxfId="2249" headerRowBorderDxfId="2252" tableBorderDxfId="2250" totalsRowBorderDxfId="2248">
  <autoFilter ref="A2:D8" xr:uid="{C1DA58BB-00F7-421C-9DB1-B620D56EBEEE}">
    <filterColumn colId="0" hiddenButton="1"/>
    <filterColumn colId="1" hiddenButton="1"/>
    <filterColumn colId="2" hiddenButton="1"/>
    <filterColumn colId="3" hiddenButton="1"/>
  </autoFilter>
  <tableColumns count="4">
    <tableColumn id="1" xr3:uid="{9121D943-8FC9-4ADB-BB88-023FE1A86AF8}" name="Candidate Name (Party)" totalsRowLabel="Total Votes by County" dataDxfId="2247" totalsRowDxfId="2246" totalsRowCellStyle="Normal 2"/>
    <tableColumn id="4" xr3:uid="{43079BE2-7682-4ABC-9939-A3ADB463B2CC}" name="Part of Suffolk County Vote Results" totalsRowFunction="custom" dataDxfId="2245" totalsRowDxfId="2244" totalsRowCellStyle="Normal 2">
      <totalsRowFormula>SUM(MemberOfAssemblyAssemblyDistrict4General[Part of Suffolk County Vote Results])</totalsRowFormula>
    </tableColumn>
    <tableColumn id="3" xr3:uid="{59982CFD-6115-4BEB-AADF-A697F5CC45A9}" name="Total Votes by Party" totalsRowFunction="custom" dataDxfId="2243" totalsRowDxfId="2242" totalsRowCellStyle="Normal 2">
      <calculatedColumnFormula>MemberOfAssemblyAssemblyDistrict4General[[#This Row],[Part of Suffolk County Vote Results]]</calculatedColumnFormula>
      <totalsRowFormula>SUM(MemberOfAssemblyAssemblyDistrict4General[Total Votes by Party])</totalsRowFormula>
    </tableColumn>
    <tableColumn id="2" xr3:uid="{71907F8D-6C33-4B94-BEF1-BDD498D34670}" name="Total Votes by Candidate" dataDxfId="2241" totalsRowDxfId="2240" totalsRowCellStyle="Normal 2"/>
  </tableColumns>
  <tableStyleInfo name="TableStyleMedium2" showFirstColumn="0" showLastColumn="0" showRowStripes="0" showColumnStripes="0"/>
</table>
</file>

<file path=xl/tables/table1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6" xr:uid="{657A0ACE-EA1D-40DF-9E78-668E9A734154}" name="MemberOfAssemblyAssemblyDistrict5General" displayName="MemberOfAssemblyAssemblyDistrict5General" ref="A2:D9" totalsRowCount="1" headerRowDxfId="2239" dataDxfId="2237" totalsRowDxfId="2235" headerRowBorderDxfId="2238" tableBorderDxfId="2236" totalsRowBorderDxfId="2234">
  <autoFilter ref="A2:D8" xr:uid="{191796F6-EF24-43FD-BFBB-FAD42DF22204}">
    <filterColumn colId="0" hiddenButton="1"/>
    <filterColumn colId="1" hiddenButton="1"/>
    <filterColumn colId="2" hiddenButton="1"/>
    <filterColumn colId="3" hiddenButton="1"/>
  </autoFilter>
  <tableColumns count="4">
    <tableColumn id="1" xr3:uid="{ABDFA099-EB73-4C18-9066-CFC503A49D7B}" name="Candidate Name (Party)" totalsRowLabel="Total Votes by County" dataDxfId="2233" totalsRowDxfId="2232" totalsRowCellStyle="Normal 2"/>
    <tableColumn id="4" xr3:uid="{BD177141-5D41-407F-9BCB-4AC4EAAA2B82}" name="Part of Suffolk County Vote Results" totalsRowFunction="custom" dataDxfId="2231" totalsRowDxfId="2230" totalsRowCellStyle="Normal 2">
      <totalsRowFormula>SUM(MemberOfAssemblyAssemblyDistrict5General[Part of Suffolk County Vote Results])</totalsRowFormula>
    </tableColumn>
    <tableColumn id="3" xr3:uid="{5BC897B0-C07D-4DBC-801A-C2ABB8059A38}" name="Total Votes by Party" totalsRowFunction="custom" dataDxfId="2229" totalsRowDxfId="2228" totalsRowCellStyle="Normal 2">
      <calculatedColumnFormula>MemberOfAssemblyAssemblyDistrict5General[[#This Row],[Part of Suffolk County Vote Results]]</calculatedColumnFormula>
      <totalsRowFormula>SUM(MemberOfAssemblyAssemblyDistrict5General[Total Votes by Party])</totalsRowFormula>
    </tableColumn>
    <tableColumn id="2" xr3:uid="{CBB34673-DF70-4931-9AB1-6C5445E8F9D0}" name="Total Votes by Candidate" dataDxfId="2227" totalsRowDxfId="2226" totalsRowCellStyle="Normal 2"/>
  </tableColumns>
  <tableStyleInfo name="TableStyleMedium2" showFirstColumn="0" showLastColumn="0" showRowStripes="0" showColumnStripes="0"/>
</table>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5" xr:uid="{A476DFD8-DA5C-456C-92BA-D65DBD7C4AB4}" name="MemberOfAssemblyAssemblyDistrict6General" displayName="MemberOfAssemblyAssemblyDistrict6General" ref="A2:D9" totalsRowCount="1" headerRowDxfId="2225" dataDxfId="2223" totalsRowDxfId="2221" headerRowBorderDxfId="2224" tableBorderDxfId="2222" totalsRowBorderDxfId="2220">
  <autoFilter ref="A2:D8" xr:uid="{E7499BEB-4B2F-4A09-B862-9DDE62E733A6}">
    <filterColumn colId="0" hiddenButton="1"/>
    <filterColumn colId="1" hiddenButton="1"/>
    <filterColumn colId="2" hiddenButton="1"/>
    <filterColumn colId="3" hiddenButton="1"/>
  </autoFilter>
  <tableColumns count="4">
    <tableColumn id="1" xr3:uid="{E3542A35-7D9A-44DE-9377-9010E6C38BED}" name="Candidate Name (Party)" totalsRowLabel="Total Votes by County" dataDxfId="2219" totalsRowDxfId="2218" totalsRowCellStyle="Normal 2"/>
    <tableColumn id="4" xr3:uid="{987E2F33-B7D0-45BA-A05C-34865D23EB26}" name="Part of Suffolk County Vote Results" totalsRowFunction="custom" dataDxfId="2217" totalsRowDxfId="2216" totalsRowCellStyle="Normal 2">
      <totalsRowFormula>SUM(MemberOfAssemblyAssemblyDistrict6General[Part of Suffolk County Vote Results])</totalsRowFormula>
    </tableColumn>
    <tableColumn id="3" xr3:uid="{61AF7B18-C210-49B6-AA9C-FB982037333D}" name="Total Votes by Party" totalsRowFunction="custom" dataDxfId="2215" totalsRowDxfId="2214" totalsRowCellStyle="Normal 2">
      <calculatedColumnFormula>MemberOfAssemblyAssemblyDistrict6General[[#This Row],[Part of Suffolk County Vote Results]]</calculatedColumnFormula>
      <totalsRowFormula>SUM(MemberOfAssemblyAssemblyDistrict6General[Total Votes by Party])</totalsRowFormula>
    </tableColumn>
    <tableColumn id="2" xr3:uid="{5A81AA3C-B71F-4040-96BF-52D562A0A1F7}" name="Total Votes by Candidate" dataDxfId="2213" totalsRowDxfId="2212" totalsRowCellStyle="Normal 2">
      <calculatedColumnFormula>SUM(MemberOfAssemblyAssemblyDistrict6General[[#This Row],[Total Votes by Party]],#REF!,#REF!)</calculatedColumnFormula>
    </tableColumn>
  </tableColumns>
  <tableStyleInfo name="TableStyleMedium2" showFirstColumn="0" showLastColumn="0" showRowStripes="0" showColumnStripes="0"/>
</table>
</file>

<file path=xl/tables/table1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4" xr:uid="{6A8EA7AE-AFDC-42EB-97A9-0C4985D8BD32}" name="MemberOfAssemblyAssemblyDistrict7General" displayName="MemberOfAssemblyAssemblyDistrict7General" ref="A2:D9" totalsRowCount="1" headerRowDxfId="2211" dataDxfId="2209" totalsRowDxfId="2207" headerRowBorderDxfId="2210" tableBorderDxfId="2208" totalsRowBorderDxfId="2206">
  <autoFilter ref="A2:D8" xr:uid="{E19D91E1-7459-4196-84D7-F3AAF741A265}">
    <filterColumn colId="0" hiddenButton="1"/>
    <filterColumn colId="1" hiddenButton="1"/>
    <filterColumn colId="2" hiddenButton="1"/>
    <filterColumn colId="3" hiddenButton="1"/>
  </autoFilter>
  <tableColumns count="4">
    <tableColumn id="1" xr3:uid="{EC89216C-3FED-4FA1-BDA0-76EED2CD338C}" name="Candidate Name (Party)" totalsRowLabel="Total Votes by County" dataDxfId="2205" totalsRowDxfId="2204" totalsRowCellStyle="Normal 2"/>
    <tableColumn id="4" xr3:uid="{C8B5A851-D2A0-4105-A60E-FDBB8F1D4862}" name="Part of Suffolk County Vote Results" totalsRowFunction="custom" dataDxfId="2203" totalsRowDxfId="2202" totalsRowCellStyle="Normal 2">
      <totalsRowFormula>SUM(MemberOfAssemblyAssemblyDistrict7General[Part of Suffolk County Vote Results])</totalsRowFormula>
    </tableColumn>
    <tableColumn id="3" xr3:uid="{BA878C74-1028-480E-9725-FFEB89644B4E}" name="Total Votes by Party" totalsRowFunction="custom" dataDxfId="2201" totalsRowDxfId="2200" totalsRowCellStyle="Normal 2">
      <calculatedColumnFormula>MemberOfAssemblyAssemblyDistrict7General[[#This Row],[Part of Suffolk County Vote Results]]</calculatedColumnFormula>
      <totalsRowFormula>SUM(MemberOfAssemblyAssemblyDistrict7General[Total Votes by Party])</totalsRowFormula>
    </tableColumn>
    <tableColumn id="2" xr3:uid="{59B25EE6-F0CD-4DE1-970E-CA0872ABB7AD}" name="Total Votes by Candidate" dataDxfId="2199" totalsRowDxfId="2198" totalsRowCellStyle="Normal 2"/>
  </tableColumns>
  <tableStyleInfo name="TableStyleMedium2" showFirstColumn="0" showLastColumn="0" showRowStripes="0" showColumnStripes="0"/>
</table>
</file>

<file path=xl/tables/table1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3" xr:uid="{7D3F1E5F-6A50-429A-9E69-7A94936FC99C}" name="MemberOfAssemblyAssemblyDistrict8General" displayName="MemberOfAssemblyAssemblyDistrict8General" ref="A2:D10" totalsRowCount="1" headerRowDxfId="2197" dataDxfId="2195" totalsRowDxfId="2193" headerRowBorderDxfId="2196" tableBorderDxfId="2194" totalsRowBorderDxfId="2192">
  <autoFilter ref="A2:D9" xr:uid="{2EB45D3F-D06A-4F7A-81D8-067FDDEBE90C}">
    <filterColumn colId="0" hiddenButton="1"/>
    <filterColumn colId="1" hiddenButton="1"/>
    <filterColumn colId="2" hiddenButton="1"/>
    <filterColumn colId="3" hiddenButton="1"/>
  </autoFilter>
  <tableColumns count="4">
    <tableColumn id="1" xr3:uid="{2211B29F-39B5-4C24-ABAB-3305CCDE4BC8}" name="Candidate Name (Party)" totalsRowLabel="Total Votes by County" dataDxfId="2191" totalsRowDxfId="2190" totalsRowCellStyle="Normal 2"/>
    <tableColumn id="4" xr3:uid="{D40B04EC-543E-49FC-970A-F816B32AC842}" name="Part of Suffolk County Vote Results" totalsRowFunction="custom" dataDxfId="2189" totalsRowDxfId="2188" totalsRowCellStyle="Normal 2">
      <totalsRowFormula>SUM(MemberOfAssemblyAssemblyDistrict8General[Part of Suffolk County Vote Results])</totalsRowFormula>
    </tableColumn>
    <tableColumn id="3" xr3:uid="{5A24F464-6398-4B5F-9792-C6FDA8FDC0EF}" name="Total Votes by Party" totalsRowFunction="custom" dataDxfId="2187" totalsRowDxfId="2186" totalsRowCellStyle="Normal 2">
      <calculatedColumnFormula>MemberOfAssemblyAssemblyDistrict8General[[#This Row],[Part of Suffolk County Vote Results]]</calculatedColumnFormula>
      <totalsRowFormula>SUM(MemberOfAssemblyAssemblyDistrict8General[Total Votes by Party])</totalsRowFormula>
    </tableColumn>
    <tableColumn id="2" xr3:uid="{243396E5-7477-4B37-A905-F4D421C91AF6}" name="Total Votes by Candidate" dataDxfId="2185" totalsRowDxfId="2184" totalsRowCellStyle="Normal 2"/>
  </tableColumns>
  <tableStyleInfo name="TableStyleMedium2" showFirstColumn="0" showLastColumn="0" showRowStripes="0" showColumnStripes="0"/>
</table>
</file>

<file path=xl/tables/table1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2" xr:uid="{D1516178-A472-4CBC-8C1D-2395D6B4F397}" name="MemberOfAssemblyAssemblyDistrict9General" displayName="MemberOfAssemblyAssemblyDistrict9General" ref="A2:E9" totalsRowCount="1" headerRowDxfId="2183" dataDxfId="2181" totalsRowDxfId="2179" headerRowBorderDxfId="2182" tableBorderDxfId="2180" totalsRowBorderDxfId="2178">
  <autoFilter ref="A2:E8" xr:uid="{497AA758-8862-490B-A582-CE044EB3C620}">
    <filterColumn colId="0" hiddenButton="1"/>
    <filterColumn colId="1" hiddenButton="1"/>
    <filterColumn colId="2" hiddenButton="1"/>
    <filterColumn colId="3" hiddenButton="1"/>
    <filterColumn colId="4" hiddenButton="1"/>
  </autoFilter>
  <tableColumns count="5">
    <tableColumn id="1" xr3:uid="{BAA9C89A-F047-45ED-83AE-B41E53AEC0CA}" name="Candidate Name (Party)" totalsRowLabel="Total Votes by County" dataDxfId="2177" totalsRowDxfId="2176" totalsRowCellStyle="Normal 2"/>
    <tableColumn id="2" xr3:uid="{F55CC522-9F21-4EF9-82EA-BAF6CB256F3D}" name="Part of Nassau County Vote Results" totalsRowFunction="custom" dataDxfId="2175" totalsRowDxfId="2174" totalsRowCellStyle="Normal 2">
      <totalsRowFormula>SUM(MemberOfAssemblyAssemblyDistrict9General[Part of Nassau County Vote Results])</totalsRowFormula>
    </tableColumn>
    <tableColumn id="4" xr3:uid="{5C0918E6-1BAF-40BA-B3D2-840474B3728A}" name="Part of Suffolk County Vote Results" totalsRowFunction="custom" dataDxfId="2173" totalsRowDxfId="2172" totalsRowCellStyle="Normal 2">
      <totalsRowFormula>SUM(MemberOfAssemblyAssemblyDistrict9General[Part of Suffolk County Vote Results])</totalsRowFormula>
    </tableColumn>
    <tableColumn id="3" xr3:uid="{779DD518-6E0B-452D-A16C-C03DA3C30B5C}" name="Total Votes by Party" totalsRowFunction="custom" dataDxfId="2171" totalsRowDxfId="2170" totalsRowCellStyle="Normal 2">
      <calculatedColumnFormula>SUM(MemberOfAssemblyAssemblyDistrict9General[[#This Row],[Part of Nassau County Vote Results]:[Part of Suffolk County Vote Results]])</calculatedColumnFormula>
      <totalsRowFormula>SUM(MemberOfAssemblyAssemblyDistrict9General[Total Votes by Party])</totalsRowFormula>
    </tableColumn>
    <tableColumn id="5" xr3:uid="{F31838EE-1B31-421A-A1E3-79644A4F46FA}" name="Total Votes by Candidate" dataDxfId="2169" totalsRowDxfId="2168" totalsRowCellStyle="Normal 2">
      <calculatedColumnFormula>SUM(MemberOfAssemblyAssemblyDistrict9General[[#This Row],[Total Votes by Party]],#REF!)</calculatedColumnFormula>
    </tableColumn>
  </tableColumns>
  <tableStyleInfo name="TableStyleMedium2" showFirstColumn="0" showLastColumn="0" showRowStripes="0" showColumnStripes="0"/>
</table>
</file>

<file path=xl/tables/table1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1" xr:uid="{778C97D9-FA59-42C2-A523-53AFB6BBBFFD}" name="MemberOfAssemblyAssemblyDistrict10General" displayName="MemberOfAssemblyAssemblyDistrict10General" ref="A2:E9" totalsRowCount="1" headerRowDxfId="2167" dataDxfId="2165" totalsRowDxfId="2163" headerRowBorderDxfId="2166" tableBorderDxfId="2164" totalsRowBorderDxfId="2162">
  <autoFilter ref="A2:E8" xr:uid="{784F8CBD-14E3-44A5-A0D2-79783C1E721A}">
    <filterColumn colId="0" hiddenButton="1"/>
    <filterColumn colId="1" hiddenButton="1"/>
    <filterColumn colId="2" hiddenButton="1"/>
    <filterColumn colId="3" hiddenButton="1"/>
    <filterColumn colId="4" hiddenButton="1"/>
  </autoFilter>
  <tableColumns count="5">
    <tableColumn id="1" xr3:uid="{8EC7CF2E-EA6E-4400-9F33-03DEFAE0FD78}" name="Candidate Name (Party)" totalsRowLabel="Total Votes by County" dataDxfId="2161" totalsRowDxfId="2160"/>
    <tableColumn id="4" xr3:uid="{2F351D0C-C570-4967-8997-F2E6BF29047E}" name="Part of Nassau County Vote Results" totalsRowFunction="custom" dataDxfId="2159" totalsRowDxfId="2158">
      <totalsRowFormula>SUM(MemberOfAssemblyAssemblyDistrict10General[Part of Nassau County Vote Results])</totalsRowFormula>
    </tableColumn>
    <tableColumn id="5" xr3:uid="{CD6634C2-BCFE-4465-BBE1-9DC7B248A83E}" name="Part of Suffolk County Vote Results" totalsRowFunction="custom" dataDxfId="2157" totalsRowDxfId="2156">
      <totalsRowFormula>SUM(MemberOfAssemblyAssemblyDistrict10General[Part of Suffolk County Vote Results])</totalsRowFormula>
    </tableColumn>
    <tableColumn id="3" xr3:uid="{4DD76C68-C19E-4F58-B370-2D91DE7A35C8}" name="Total Votes by Party" totalsRowFunction="custom" dataDxfId="2155" totalsRowDxfId="2154">
      <calculatedColumnFormula>SUM(B3,C3)</calculatedColumnFormula>
      <totalsRowFormula>SUM(MemberOfAssemblyAssemblyDistrict10General[Total Votes by Party])</totalsRowFormula>
    </tableColumn>
    <tableColumn id="2" xr3:uid="{3E2C2C36-26A4-4D4D-8AC4-EAF8C9C8D8F5}" name="Total Votes by Candidate" dataDxfId="2153" totalsRowDxfId="2152"/>
  </tableColumns>
  <tableStyleInfo name="TableStyleMedium2"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95CB615-ECF8-4957-AD48-33DFCCAF788A}" name="RepInCongressCongressionalDistrict1General" displayName="RepInCongressCongressionalDistrict1General" ref="A2:D10" totalsRowCount="1" headerRowDxfId="3809" dataDxfId="3807" totalsRowDxfId="3805" headerRowBorderDxfId="3808" tableBorderDxfId="3806" totalsRowBorderDxfId="3804">
  <autoFilter ref="A2:D9" xr:uid="{E4C80049-8B70-4EEE-86C5-EA95090A6C7F}">
    <filterColumn colId="0" hiddenButton="1"/>
    <filterColumn colId="1" hiddenButton="1"/>
    <filterColumn colId="2" hiddenButton="1"/>
    <filterColumn colId="3" hiddenButton="1"/>
  </autoFilter>
  <tableColumns count="4">
    <tableColumn id="1" xr3:uid="{DDEDBCC8-4DF4-4E59-8873-9005AE4933FB}" name="Candidate Name (Party)" totalsRowLabel="Total Votes by County" dataDxfId="3803" totalsRowDxfId="3802"/>
    <tableColumn id="4" xr3:uid="{AEE2065C-9738-4F63-B627-A8AB4D03AEE9}" name="Part of Suffolk County Vote Results" totalsRowFunction="custom" dataDxfId="3801" totalsRowDxfId="3800">
      <totalsRowFormula>SUM(RepInCongressCongressionalDistrict1General[Part of Suffolk County Vote Results])</totalsRowFormula>
    </tableColumn>
    <tableColumn id="3" xr3:uid="{C729B3AE-46CF-4594-A02F-7380A4CFAD56}" name="Total Votes by Party" totalsRowFunction="custom" dataDxfId="3799" totalsRowDxfId="3798">
      <calculatedColumnFormula>RepInCongressCongressionalDistrict1General[[#This Row],[Part of Suffolk County Vote Results]]</calculatedColumnFormula>
      <totalsRowFormula>SUM(RepInCongressCongressionalDistrict1General[Total Votes by Party])</totalsRowFormula>
    </tableColumn>
    <tableColumn id="2" xr3:uid="{D319A2CC-8934-4433-80D9-F4F0B57641C4}" name="Total Votes by Candidate" dataDxfId="3797" totalsRowDxfId="3796"/>
  </tableColumns>
  <tableStyleInfo name="TableStyleMedium2" showFirstColumn="0" showLastColumn="0" showRowStripes="0" showColumnStripes="0"/>
</table>
</file>

<file path=xl/tables/table1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0" xr:uid="{DD0A7AEF-CFD3-42E4-A36F-7FC9BE5E088B}" name="MemberOfAssemblyAssemblyDistrict11General" displayName="MemberOfAssemblyAssemblyDistrict11General" ref="A2:E9" totalsRowCount="1" headerRowDxfId="2151" dataDxfId="2149" totalsRowDxfId="2147" headerRowBorderDxfId="2150" tableBorderDxfId="2148" totalsRowBorderDxfId="2146">
  <autoFilter ref="A2:E8" xr:uid="{212023E2-08E4-4969-BB5F-778E517EF91F}">
    <filterColumn colId="0" hiddenButton="1"/>
    <filterColumn colId="1" hiddenButton="1"/>
    <filterColumn colId="2" hiddenButton="1"/>
    <filterColumn colId="3" hiddenButton="1"/>
    <filterColumn colId="4" hiddenButton="1"/>
  </autoFilter>
  <tableColumns count="5">
    <tableColumn id="1" xr3:uid="{8FCAC456-C6CA-4DEC-9253-3FFD07A17E52}" name="Candidate Name (Party)" totalsRowLabel="Total Votes by County" dataDxfId="2145" totalsRowDxfId="2144"/>
    <tableColumn id="4" xr3:uid="{F23F9D06-55E4-40DB-A610-F32D031634F9}" name="Part of Nassau County Vote Results" totalsRowFunction="custom" dataDxfId="2143" totalsRowDxfId="2142">
      <totalsRowFormula>SUM(MemberOfAssemblyAssemblyDistrict11General[Part of Nassau County Vote Results])</totalsRowFormula>
    </tableColumn>
    <tableColumn id="5" xr3:uid="{3D847AE6-4AC0-4A99-8531-0CBCD420BDF6}" name="Part of Suffolk County Vote Results" totalsRowFunction="custom" dataDxfId="2141" totalsRowDxfId="2140">
      <totalsRowFormula>SUM(MemberOfAssemblyAssemblyDistrict11General[Part of Suffolk County Vote Results])</totalsRowFormula>
    </tableColumn>
    <tableColumn id="3" xr3:uid="{301569E8-9E14-4101-B4CD-04C8F3D4E163}" name="Total Votes by Party" totalsRowFunction="custom" dataDxfId="2139" totalsRowDxfId="2138">
      <calculatedColumnFormula>SUM(B3,C3)</calculatedColumnFormula>
      <totalsRowFormula>SUM(MemberOfAssemblyAssemblyDistrict11General[Total Votes by Party])</totalsRowFormula>
    </tableColumn>
    <tableColumn id="2" xr3:uid="{AB6D0A6C-B482-4D80-A97D-3AC57CB5E3CB}" name="Total Votes by Candidate" dataDxfId="2137" totalsRowDxfId="2136"/>
  </tableColumns>
  <tableStyleInfo name="TableStyleMedium2" showFirstColumn="0" showLastColumn="0" showRowStripes="0" showColumnStripes="0"/>
</table>
</file>

<file path=xl/tables/table1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9" xr:uid="{BB7A29A1-C16C-428E-B3E4-EC20D3EC9CD1}" name="MemberOfAssemblyAssemblyDistrict12General" displayName="MemberOfAssemblyAssemblyDistrict12General" ref="A2:D9" totalsRowCount="1" headerRowDxfId="2135" dataDxfId="2133" totalsRowDxfId="2131" headerRowBorderDxfId="2134" tableBorderDxfId="2132" totalsRowBorderDxfId="2130">
  <autoFilter ref="A2:D8" xr:uid="{D2E59698-95B0-470C-BD4B-D67BCE8889EB}">
    <filterColumn colId="0" hiddenButton="1"/>
    <filterColumn colId="1" hiddenButton="1"/>
    <filterColumn colId="2" hiddenButton="1"/>
    <filterColumn colId="3" hiddenButton="1"/>
  </autoFilter>
  <tableColumns count="4">
    <tableColumn id="1" xr3:uid="{A8EC2F2B-2DDA-466A-8EF3-6BF80522A4DE}" name="Candidate Name (Party)" totalsRowLabel="Total Votes by County" dataDxfId="2129" totalsRowDxfId="2128" totalsRowCellStyle="Normal 2"/>
    <tableColumn id="4" xr3:uid="{DFF5EA58-2C92-4107-BDD9-5A9EEF3DC949}" name="Part of Suffolk County Vote Results" totalsRowFunction="custom" dataDxfId="2127" totalsRowDxfId="2126" totalsRowCellStyle="Normal 2">
      <totalsRowFormula>SUM(MemberOfAssemblyAssemblyDistrict12General[Part of Suffolk County Vote Results])</totalsRowFormula>
    </tableColumn>
    <tableColumn id="3" xr3:uid="{1A6161BA-9036-47C4-9EB0-C919C17D0B91}" name="Total Votes by Party" totalsRowFunction="custom" dataDxfId="2125" totalsRowDxfId="2124" totalsRowCellStyle="Normal 2">
      <calculatedColumnFormula>MemberOfAssemblyAssemblyDistrict12General[[#This Row],[Part of Suffolk County Vote Results]]</calculatedColumnFormula>
      <totalsRowFormula>SUM(MemberOfAssemblyAssemblyDistrict12General[Total Votes by Party])</totalsRowFormula>
    </tableColumn>
    <tableColumn id="2" xr3:uid="{B3220187-8ECE-481D-B871-4E7792A7CE3C}" name="Total Votes by Candidate" dataDxfId="2123" totalsRowDxfId="2122" totalsRowCellStyle="Normal 2"/>
  </tableColumns>
  <tableStyleInfo name="TableStyleMedium2" showFirstColumn="0" showLastColumn="0" showRowStripes="0" showColumnStripes="0"/>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8" xr:uid="{6E208BCC-F806-4562-9622-950C18A223A8}" name="MemberOfAssemblyAssemblyDistrict13General" displayName="MemberOfAssemblyAssemblyDistrict13General" ref="A2:D9" totalsRowCount="1" headerRowDxfId="2121" dataDxfId="2119" totalsRowDxfId="2117" headerRowBorderDxfId="2120" tableBorderDxfId="2118" totalsRowBorderDxfId="2116">
  <autoFilter ref="A2:D8" xr:uid="{5EE8D162-0DA7-4872-A70E-4B2B44EC26B9}">
    <filterColumn colId="0" hiddenButton="1"/>
    <filterColumn colId="1" hiddenButton="1"/>
    <filterColumn colId="2" hiddenButton="1"/>
    <filterColumn colId="3" hiddenButton="1"/>
  </autoFilter>
  <tableColumns count="4">
    <tableColumn id="1" xr3:uid="{E8B80269-7F40-43E1-B618-9D81D82FFD1A}" name="Candidate Name (Party)" totalsRowLabel="Total Votes by County" dataDxfId="2115" totalsRowDxfId="2114" totalsRowCellStyle="Normal 2"/>
    <tableColumn id="4" xr3:uid="{15218AF0-9697-4140-B186-44CF489C78C2}" name="Part of Nassau County Vote Results" totalsRowFunction="custom" dataDxfId="2113" totalsRowDxfId="2112" totalsRowCellStyle="Normal 2">
      <totalsRowFormula>SUM(MemberOfAssemblyAssemblyDistrict13General[Part of Nassau County Vote Results])</totalsRowFormula>
    </tableColumn>
    <tableColumn id="3" xr3:uid="{A717578A-D0DA-48D2-8484-23BF453E6B7C}" name="Total Votes by Party" totalsRowFunction="custom" dataDxfId="2111" totalsRowDxfId="2110" totalsRowCellStyle="Normal 2">
      <calculatedColumnFormula>MemberOfAssemblyAssemblyDistrict13General[[#This Row],[Part of Nassau County Vote Results]]</calculatedColumnFormula>
      <totalsRowFormula>SUM(MemberOfAssemblyAssemblyDistrict13General[Total Votes by Party])</totalsRowFormula>
    </tableColumn>
    <tableColumn id="2" xr3:uid="{2E738241-000A-41CD-AFCA-9EA8F3947BD7}" name="Total Votes by Candidate" dataDxfId="2109" totalsRowDxfId="2108" totalsRowCellStyle="Normal 2"/>
  </tableColumns>
  <tableStyleInfo name="TableStyleMedium2" showFirstColumn="0" showLastColumn="0" showRowStripes="0" showColumnStripes="0"/>
</table>
</file>

<file path=xl/tables/table1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7" xr:uid="{089DB906-9A45-4230-89E6-2D6F78A2EA67}" name="MemberOfAssemblyAssemblyDistrict14General" displayName="MemberOfAssemblyAssemblyDistrict14General" ref="A2:D9" totalsRowCount="1" headerRowDxfId="2107" dataDxfId="2105" totalsRowDxfId="2103" headerRowBorderDxfId="2106" tableBorderDxfId="2104" totalsRowBorderDxfId="2102">
  <autoFilter ref="A2:D8" xr:uid="{F438094B-05A3-4A80-B6D4-572EB6EA794B}">
    <filterColumn colId="0" hiddenButton="1"/>
    <filterColumn colId="1" hiddenButton="1"/>
    <filterColumn colId="2" hiddenButton="1"/>
    <filterColumn colId="3" hiddenButton="1"/>
  </autoFilter>
  <tableColumns count="4">
    <tableColumn id="1" xr3:uid="{B9DEEF43-D108-489E-AF20-FCB4200975D5}" name="Candidate Name (Party)" totalsRowLabel="Total Votes by County" dataDxfId="2101" totalsRowDxfId="2100" totalsRowCellStyle="Normal 2"/>
    <tableColumn id="4" xr3:uid="{8C302CF0-173E-446B-B3FC-6262C27B7F89}" name="Part of Nassau County Vote Results" totalsRowFunction="custom" dataDxfId="2099" totalsRowDxfId="2098" totalsRowCellStyle="Normal 2">
      <totalsRowFormula>SUM(MemberOfAssemblyAssemblyDistrict14General[Part of Nassau County Vote Results])</totalsRowFormula>
    </tableColumn>
    <tableColumn id="3" xr3:uid="{A418B9BA-0246-4479-B630-0AF982D90A1C}" name="Total Votes by Party" totalsRowFunction="custom" dataDxfId="2097" totalsRowDxfId="2096" totalsRowCellStyle="Normal 2">
      <calculatedColumnFormula>MemberOfAssemblyAssemblyDistrict14General[[#This Row],[Part of Nassau County Vote Results]]</calculatedColumnFormula>
      <totalsRowFormula>SUM(MemberOfAssemblyAssemblyDistrict14General[Total Votes by Party])</totalsRowFormula>
    </tableColumn>
    <tableColumn id="2" xr3:uid="{85A11692-143A-4625-B0B0-F4989B0428F1}" name="Total Votes by Candidate" dataDxfId="2095" totalsRowDxfId="2094" totalsRowCellStyle="Normal 2"/>
  </tableColumns>
  <tableStyleInfo name="TableStyleMedium2" showFirstColumn="0" showLastColumn="0" showRowStripes="0" showColumnStripes="0"/>
</table>
</file>

<file path=xl/tables/table1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6" xr:uid="{DB86FE72-7DC3-4DD9-9189-044E26F7FAC0}" name="MemberOfAssemblyAssemblyDistrict15General" displayName="MemberOfAssemblyAssemblyDistrict15General" ref="A2:D9" totalsRowCount="1" headerRowDxfId="2093" dataDxfId="2091" totalsRowDxfId="2089" headerRowBorderDxfId="2092" tableBorderDxfId="2090" totalsRowBorderDxfId="2088">
  <autoFilter ref="A2:D8" xr:uid="{A06901D1-7C83-4F71-944B-794F9C28D23B}">
    <filterColumn colId="0" hiddenButton="1"/>
    <filterColumn colId="1" hiddenButton="1"/>
    <filterColumn colId="2" hiddenButton="1"/>
    <filterColumn colId="3" hiddenButton="1"/>
  </autoFilter>
  <tableColumns count="4">
    <tableColumn id="1" xr3:uid="{4114DB63-DA47-4D9A-A7A8-8C9A3518B528}" name="Candidate Name (Party)" totalsRowLabel="Total Votes by County" dataDxfId="2087" totalsRowDxfId="2086" totalsRowCellStyle="Normal 2"/>
    <tableColumn id="4" xr3:uid="{A3E85A83-1938-4DD2-B585-ADCEF55518D4}" name="Part of Nassau County Vote Results" totalsRowFunction="custom" dataDxfId="2085" totalsRowDxfId="2084" totalsRowCellStyle="Normal 2">
      <totalsRowFormula>SUM(MemberOfAssemblyAssemblyDistrict15General[Part of Nassau County Vote Results])</totalsRowFormula>
    </tableColumn>
    <tableColumn id="3" xr3:uid="{37E33F25-2C60-446F-B56B-D1C01A7A4A4D}" name="Total Votes by Party" totalsRowFunction="custom" dataDxfId="2083" totalsRowDxfId="2082" totalsRowCellStyle="Normal 2">
      <calculatedColumnFormula>MemberOfAssemblyAssemblyDistrict15General[[#This Row],[Part of Nassau County Vote Results]]</calculatedColumnFormula>
      <totalsRowFormula>SUM(MemberOfAssemblyAssemblyDistrict15General[Total Votes by Party])</totalsRowFormula>
    </tableColumn>
    <tableColumn id="2" xr3:uid="{5E0EA7BF-02D1-4EB1-A5F2-A51D79ECC165}" name="Total Votes by Candidate" dataDxfId="2081" totalsRowDxfId="2080" totalsRowCellStyle="Normal 2"/>
  </tableColumns>
  <tableStyleInfo name="TableStyleMedium2" showFirstColumn="0" showLastColumn="0" showRowStripes="0" showColumnStripes="0"/>
</table>
</file>

<file path=xl/tables/table1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5" xr:uid="{769BAE2B-E05E-4050-9CE2-F0374907A29B}" name="MemberOfAssemblyAssemblyDistrict16General" displayName="MemberOfAssemblyAssemblyDistrict16General" ref="A2:D9" totalsRowCount="1" headerRowDxfId="2079" dataDxfId="2077" totalsRowDxfId="2075" headerRowBorderDxfId="2078" tableBorderDxfId="2076" totalsRowBorderDxfId="2074">
  <autoFilter ref="A2:D8" xr:uid="{A1BDE8E9-32DC-4AB6-897F-9046979414CB}">
    <filterColumn colId="0" hiddenButton="1"/>
    <filterColumn colId="1" hiddenButton="1"/>
    <filterColumn colId="2" hiddenButton="1"/>
    <filterColumn colId="3" hiddenButton="1"/>
  </autoFilter>
  <tableColumns count="4">
    <tableColumn id="1" xr3:uid="{265F3D98-16FC-4A49-9AFF-1FB1496EE6F7}" name="Candidate Name (Party)" totalsRowLabel="Total Votes by County" dataDxfId="2073" totalsRowDxfId="2072" totalsRowCellStyle="Normal 2"/>
    <tableColumn id="4" xr3:uid="{53638B6B-3031-4F28-A7D0-911A22405CBF}" name="Part of Nassau County Vote Results" totalsRowFunction="custom" dataDxfId="2071" totalsRowDxfId="2070" totalsRowCellStyle="Normal 2">
      <totalsRowFormula>SUM(MemberOfAssemblyAssemblyDistrict16General[Part of Nassau County Vote Results])</totalsRowFormula>
    </tableColumn>
    <tableColumn id="3" xr3:uid="{DD1621E5-7AC1-493B-8964-A62261C8699F}" name="Total Votes by Party" totalsRowFunction="custom" dataDxfId="2069" totalsRowDxfId="2068" totalsRowCellStyle="Normal 2">
      <calculatedColumnFormula>MemberOfAssemblyAssemblyDistrict16General[[#This Row],[Part of Nassau County Vote Results]]</calculatedColumnFormula>
      <totalsRowFormula>SUM(MemberOfAssemblyAssemblyDistrict16General[Total Votes by Party])</totalsRowFormula>
    </tableColumn>
    <tableColumn id="2" xr3:uid="{6EB412B6-5456-4959-88BA-6FF558148079}" name="Total Votes by Candidate" dataDxfId="2067" totalsRowDxfId="2066" totalsRowCellStyle="Normal 2"/>
  </tableColumns>
  <tableStyleInfo name="TableStyleMedium2" showFirstColumn="0" showLastColumn="0" showRowStripes="0" showColumnStripes="0"/>
</table>
</file>

<file path=xl/tables/table1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4" xr:uid="{08C2FE61-A873-4885-A46C-5FC9E108429C}" name="MemberOfAssemblyAssemblyDistrict17General" displayName="MemberOfAssemblyAssemblyDistrict17General" ref="A2:D9" totalsRowCount="1" headerRowDxfId="2065" dataDxfId="2063" totalsRowDxfId="2061" headerRowBorderDxfId="2064" tableBorderDxfId="2062" totalsRowBorderDxfId="2060">
  <autoFilter ref="A2:D8" xr:uid="{B9463230-8AA1-4C9F-90C7-CC677E7A2CDF}">
    <filterColumn colId="0" hiddenButton="1"/>
    <filterColumn colId="1" hiddenButton="1"/>
    <filterColumn colId="2" hiddenButton="1"/>
    <filterColumn colId="3" hiddenButton="1"/>
  </autoFilter>
  <tableColumns count="4">
    <tableColumn id="1" xr3:uid="{464C7BAF-ECEA-4AE5-8D82-44CDCDDDA850}" name="Candidate Name (Party)" totalsRowLabel="Total Votes by County" dataDxfId="2059" totalsRowDxfId="2058" totalsRowCellStyle="Normal 2"/>
    <tableColumn id="4" xr3:uid="{36DA376B-CA63-40EF-8D1F-A34F3219AC1A}" name="Part of Nassau County Vote Results" totalsRowFunction="custom" dataDxfId="2057" totalsRowDxfId="2056" totalsRowCellStyle="Normal 2">
      <totalsRowFormula>SUM(MemberOfAssemblyAssemblyDistrict17General[Part of Nassau County Vote Results])</totalsRowFormula>
    </tableColumn>
    <tableColumn id="3" xr3:uid="{D177F891-8E37-4B59-AA4A-208F4CAF5B77}" name="Total Votes by Party" totalsRowFunction="custom" dataDxfId="2055" totalsRowDxfId="2054" totalsRowCellStyle="Normal 2">
      <calculatedColumnFormula>MemberOfAssemblyAssemblyDistrict17General[[#This Row],[Part of Nassau County Vote Results]]</calculatedColumnFormula>
      <totalsRowFormula>SUM(MemberOfAssemblyAssemblyDistrict17General[Total Votes by Party])</totalsRowFormula>
    </tableColumn>
    <tableColumn id="2" xr3:uid="{99EE3904-4024-4511-9418-8F25FCC71423}" name="Total Votes by Candidate" dataDxfId="2053" totalsRowDxfId="2052" totalsRowCellStyle="Normal 2"/>
  </tableColumns>
  <tableStyleInfo name="TableStyleMedium2" showFirstColumn="0" showLastColumn="0" showRowStripes="0" showColumnStripes="0"/>
</table>
</file>

<file path=xl/tables/table1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3" xr:uid="{2AAC2A0F-D67F-491D-A9C0-CE27C86BF319}" name="MemberOfAssemblyAssemblyDistrict18General" displayName="MemberOfAssemblyAssemblyDistrict18General" ref="A2:D10" totalsRowCount="1" headerRowDxfId="2051" dataDxfId="2049" totalsRowDxfId="2047" headerRowBorderDxfId="2050" tableBorderDxfId="2048" totalsRowBorderDxfId="2046">
  <autoFilter ref="A2:D9" xr:uid="{18BCF7A2-404D-4805-B098-E81F30740016}">
    <filterColumn colId="0" hiddenButton="1"/>
    <filterColumn colId="1" hiddenButton="1"/>
    <filterColumn colId="2" hiddenButton="1"/>
    <filterColumn colId="3" hiddenButton="1"/>
  </autoFilter>
  <tableColumns count="4">
    <tableColumn id="1" xr3:uid="{9838B5E3-2FB3-42A1-9744-F326A6435406}" name="Candidate Name (Party)" totalsRowLabel="Total Votes by County" dataDxfId="2045" totalsRowDxfId="2044" totalsRowCellStyle="Normal 2"/>
    <tableColumn id="4" xr3:uid="{970BB4C6-43B6-4964-8F7A-2783F7527073}" name="Part of Nassau County Vote Results" totalsRowFunction="custom" dataDxfId="2043" totalsRowDxfId="2042" totalsRowCellStyle="Normal 2">
      <totalsRowFormula>SUM(MemberOfAssemblyAssemblyDistrict18General[Part of Nassau County Vote Results])</totalsRowFormula>
    </tableColumn>
    <tableColumn id="3" xr3:uid="{4F49FFC4-2C8D-4D22-98BD-8B9140E64F54}" name="Total Votes by Party" totalsRowFunction="custom" dataDxfId="2041" totalsRowDxfId="2040" totalsRowCellStyle="Normal 2">
      <calculatedColumnFormula>MemberOfAssemblyAssemblyDistrict18General[[#This Row],[Part of Nassau County Vote Results]]</calculatedColumnFormula>
      <totalsRowFormula>SUM(MemberOfAssemblyAssemblyDistrict18General[Total Votes by Party])</totalsRowFormula>
    </tableColumn>
    <tableColumn id="2" xr3:uid="{37774FDC-83AF-4E27-BA63-0492DF2E0830}" name="Total Votes by Candidate" dataDxfId="2039" totalsRowDxfId="2038" totalsRowCellStyle="Normal 2"/>
  </tableColumns>
  <tableStyleInfo name="TableStyleMedium2" showFirstColumn="0" showLastColumn="0" showRowStripes="0" showColumnStripes="0"/>
</table>
</file>

<file path=xl/tables/table1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2" xr:uid="{530E94BD-0F77-45FF-A076-E36EEA11ABE7}" name="MemberOfAssemblyAssemblyDistrict19General" displayName="MemberOfAssemblyAssemblyDistrict19General" ref="A2:D9" totalsRowCount="1" headerRowDxfId="2037" dataDxfId="2035" totalsRowDxfId="2033" headerRowBorderDxfId="2036" tableBorderDxfId="2034" totalsRowBorderDxfId="2032">
  <autoFilter ref="A2:D8" xr:uid="{BF048453-C74C-4C32-858A-EAAFB448E338}">
    <filterColumn colId="0" hiddenButton="1"/>
    <filterColumn colId="1" hiddenButton="1"/>
    <filterColumn colId="2" hiddenButton="1"/>
    <filterColumn colId="3" hiddenButton="1"/>
  </autoFilter>
  <tableColumns count="4">
    <tableColumn id="1" xr3:uid="{C5ECE8D8-693D-4680-91CE-0C1725B2663D}" name="Candidate Name (Party)" totalsRowLabel="Total Votes by County" dataDxfId="2031" totalsRowDxfId="2030"/>
    <tableColumn id="4" xr3:uid="{7421B310-98EB-4698-A351-F8EC14E8EF60}" name="Part of Nassau County Vote Results" totalsRowFunction="custom" dataDxfId="2029" totalsRowDxfId="2028">
      <totalsRowFormula>SUM(MemberOfAssemblyAssemblyDistrict19General[Part of Nassau County Vote Results])</totalsRowFormula>
    </tableColumn>
    <tableColumn id="3" xr3:uid="{6661FA1C-AA54-4EAD-84CE-144A992B5D50}" name="Total Votes by Party" totalsRowFunction="custom" dataDxfId="2027" totalsRowDxfId="2026">
      <calculatedColumnFormula>MemberOfAssemblyAssemblyDistrict19General[[#This Row],[Part of Nassau County Vote Results]]</calculatedColumnFormula>
      <totalsRowFormula>SUM(MemberOfAssemblyAssemblyDistrict19General[Total Votes by Party])</totalsRowFormula>
    </tableColumn>
    <tableColumn id="2" xr3:uid="{45C1E8E0-7236-4117-A4F9-74753FF21703}" name="Total Votes by Candidate" dataDxfId="2025" totalsRowDxfId="2024"/>
  </tableColumns>
  <tableStyleInfo name="TableStyleMedium2" showFirstColumn="0" showLastColumn="0" showRowStripes="0" showColumnStripes="0"/>
</table>
</file>

<file path=xl/tables/table1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1" xr:uid="{6506C064-2048-4AC6-8FCB-666C8082150B}" name="MemberOfAssemblyAssemblyDistrict20General" displayName="MemberOfAssemblyAssemblyDistrict20General" ref="A2:D9" totalsRowCount="1" headerRowDxfId="2023" dataDxfId="2021" totalsRowDxfId="2019" headerRowBorderDxfId="2022" tableBorderDxfId="2020" totalsRowBorderDxfId="2018">
  <autoFilter ref="A2:D8" xr:uid="{25DDD440-A88F-479B-BD3F-C74273BAF0E3}">
    <filterColumn colId="0" hiddenButton="1"/>
    <filterColumn colId="1" hiddenButton="1"/>
    <filterColumn colId="2" hiddenButton="1"/>
    <filterColumn colId="3" hiddenButton="1"/>
  </autoFilter>
  <tableColumns count="4">
    <tableColumn id="1" xr3:uid="{782DA647-D7FD-4671-AB31-9D56908A63E1}" name="Candidate Name (Party)" totalsRowLabel="Total Votes by County" dataDxfId="2017" totalsRowDxfId="2016" totalsRowCellStyle="Normal 2"/>
    <tableColumn id="4" xr3:uid="{CA478D88-492D-48EB-8D52-71097626E48C}" name="Part of Nassau County Vote Results" totalsRowFunction="custom" dataDxfId="2015" totalsRowDxfId="2014" totalsRowCellStyle="Normal 2">
      <totalsRowFormula>SUM(MemberOfAssemblyAssemblyDistrict20General[Part of Nassau County Vote Results])</totalsRowFormula>
    </tableColumn>
    <tableColumn id="3" xr3:uid="{324E0C90-5BB8-4FF8-A8F2-94AF717A30A5}" name="Total Votes by Party" totalsRowFunction="custom" dataDxfId="2013" totalsRowDxfId="2012" totalsRowCellStyle="Normal 2">
      <calculatedColumnFormula>MemberOfAssemblyAssemblyDistrict20General[[#This Row],[Part of Nassau County Vote Results]]</calculatedColumnFormula>
      <totalsRowFormula>SUM(MemberOfAssemblyAssemblyDistrict20General[Total Votes by Party])</totalsRowFormula>
    </tableColumn>
    <tableColumn id="2" xr3:uid="{FD70906E-0C0C-4DA3-9FF8-7BCE343310BE}" name="Total Votes by Candidate" dataDxfId="2011" totalsRowDxfId="2010" totalsRowCellStyle="Normal 2"/>
  </tableColumns>
  <tableStyleInfo name="TableStyleMedium2"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B616E38-48F1-444F-AD83-BCCDD4EB5CE9}" name="RepInCongressCongressionalDistrict2General" displayName="RepInCongressCongressionalDistrict2General" ref="A2:E10" totalsRowCount="1" headerRowDxfId="3795" dataDxfId="3793" totalsRowDxfId="3791" headerRowBorderDxfId="3794" tableBorderDxfId="3792" totalsRowBorderDxfId="3790">
  <autoFilter ref="A2:E9" xr:uid="{D9123418-E292-4761-8C58-00BD38571541}">
    <filterColumn colId="0" hiddenButton="1"/>
    <filterColumn colId="1" hiddenButton="1"/>
    <filterColumn colId="2" hiddenButton="1"/>
    <filterColumn colId="3" hiddenButton="1"/>
    <filterColumn colId="4" hiddenButton="1"/>
  </autoFilter>
  <tableColumns count="5">
    <tableColumn id="1" xr3:uid="{E7440E41-EF82-45C4-8571-2B77C6038F85}" name="Candidate Name (Party)" totalsRowLabel="Total Votes by County" dataDxfId="3789" totalsRowDxfId="3788"/>
    <tableColumn id="2" xr3:uid="{DAAB2183-A02A-4E01-8F10-4AB2DCB4A29A}" name="Part of Nassau County Vote Results" totalsRowFunction="custom" dataDxfId="3787" totalsRowDxfId="3786">
      <totalsRowFormula>SUM(RepInCongressCongressionalDistrict2General[Part of Nassau County Vote Results])</totalsRowFormula>
    </tableColumn>
    <tableColumn id="4" xr3:uid="{AB7CF512-3C3D-424C-9F12-14297A61AF2E}" name="Part of Suffolk County Vote Results" totalsRowFunction="custom" dataDxfId="3785" totalsRowDxfId="3784">
      <totalsRowFormula>SUM(RepInCongressCongressionalDistrict2General[Part of Suffolk County Vote Results])</totalsRowFormula>
    </tableColumn>
    <tableColumn id="3" xr3:uid="{BCB735C6-D256-4415-8802-4A842652332B}" name="Total Votes by Party" totalsRowFunction="custom" dataDxfId="3783" totalsRowDxfId="3782">
      <calculatedColumnFormula>SUM(RepInCongressCongressionalDistrict2General[[#This Row],[Part of Nassau County Vote Results]:[Part of Suffolk County Vote Results]])</calculatedColumnFormula>
      <totalsRowFormula>SUM(RepInCongressCongressionalDistrict2General[Total Votes by Party])</totalsRowFormula>
    </tableColumn>
    <tableColumn id="5" xr3:uid="{70AD12AC-8596-4740-B87A-4D31C0361F53}" name="Total Votes by Candidate" dataDxfId="3781" totalsRowDxfId="3780"/>
  </tableColumns>
  <tableStyleInfo name="TableStyleMedium2" showFirstColumn="0" showLastColumn="0" showRowStripes="0" showColumnStripes="0"/>
</table>
</file>

<file path=xl/tables/table1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0" xr:uid="{0463345C-4143-45AD-A5CD-C80467A7FF0A}" name="MemberOfAssemblyAssemblyDistrict21General" displayName="MemberOfAssemblyAssemblyDistrict21General" ref="A2:D9" totalsRowCount="1" headerRowDxfId="2009" dataDxfId="2007" totalsRowDxfId="2005" headerRowBorderDxfId="2008" tableBorderDxfId="2006" totalsRowBorderDxfId="2004">
  <autoFilter ref="A2:D8" xr:uid="{3A7AD638-8A51-404C-84D4-F61B36DA1329}">
    <filterColumn colId="0" hiddenButton="1"/>
    <filterColumn colId="1" hiddenButton="1"/>
    <filterColumn colId="2" hiddenButton="1"/>
    <filterColumn colId="3" hiddenButton="1"/>
  </autoFilter>
  <tableColumns count="4">
    <tableColumn id="1" xr3:uid="{CC6A5ADB-0106-4550-97F3-C41164DBE03E}" name="Candidate Name (Party)" totalsRowLabel="Total Votes by County" dataDxfId="2003" totalsRowDxfId="2002" totalsRowCellStyle="Normal 2"/>
    <tableColumn id="4" xr3:uid="{650F4798-9BBD-498A-A4D5-98307530D13D}" name="Part of Nassau County Vote Results" totalsRowFunction="custom" dataDxfId="2001" totalsRowDxfId="2000" totalsRowCellStyle="Normal 2">
      <totalsRowFormula>SUM(MemberOfAssemblyAssemblyDistrict21General[Part of Nassau County Vote Results])</totalsRowFormula>
    </tableColumn>
    <tableColumn id="3" xr3:uid="{7F0E2A65-44D5-4C20-9282-76A035B1BD5C}" name="Total Votes by Party" totalsRowFunction="custom" dataDxfId="1999" totalsRowDxfId="1998" totalsRowCellStyle="Normal 2">
      <calculatedColumnFormula>MemberOfAssemblyAssemblyDistrict21General[[#This Row],[Part of Nassau County Vote Results]]</calculatedColumnFormula>
      <totalsRowFormula>SUM(MemberOfAssemblyAssemblyDistrict21General[Total Votes by Party])</totalsRowFormula>
    </tableColumn>
    <tableColumn id="2" xr3:uid="{40BB3524-22B0-4651-BCCD-0811682CB4B0}" name="Total Votes by Candidate" dataDxfId="1997" totalsRowDxfId="1996" totalsRowCellStyle="Normal 2"/>
  </tableColumns>
  <tableStyleInfo name="TableStyleMedium2" showFirstColumn="0" showLastColumn="0" showRowStripes="0" showColumnStripes="0"/>
</table>
</file>

<file path=xl/tables/table1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9" xr:uid="{627E3FFB-8AA9-42CA-926A-1927923A05B6}" name="MemberOfAssemblyAssemblyDistrict22General" displayName="MemberOfAssemblyAssemblyDistrict22General" ref="A2:D10" totalsRowCount="1" headerRowDxfId="1995" dataDxfId="1993" totalsRowDxfId="1991" headerRowBorderDxfId="1994" tableBorderDxfId="1992" totalsRowBorderDxfId="1990">
  <autoFilter ref="A2:D9" xr:uid="{7C034EBD-E807-4663-97C7-8205AE4A509B}">
    <filterColumn colId="0" hiddenButton="1"/>
    <filterColumn colId="1" hiddenButton="1"/>
    <filterColumn colId="2" hiddenButton="1"/>
    <filterColumn colId="3" hiddenButton="1"/>
  </autoFilter>
  <tableColumns count="4">
    <tableColumn id="1" xr3:uid="{1F5D865E-BC7A-4FF6-86E5-66834560F048}" name="Candidate Name (Party)" totalsRowLabel="Total Votes by County" dataDxfId="1989" totalsRowDxfId="1988" totalsRowCellStyle="Normal 2"/>
    <tableColumn id="4" xr3:uid="{C65E0A82-8228-4DC6-B64C-20949F96903F}" name="Part of Nassau County Vote Results" totalsRowFunction="custom" dataDxfId="1987" totalsRowDxfId="1986" totalsRowCellStyle="Normal 2">
      <totalsRowFormula>SUM(MemberOfAssemblyAssemblyDistrict22General[Part of Nassau County Vote Results])</totalsRowFormula>
    </tableColumn>
    <tableColumn id="3" xr3:uid="{14A30A15-4231-4885-8BE5-52BE6A4335BB}" name="Total Votes by Party" totalsRowFunction="custom" dataDxfId="1985" totalsRowDxfId="1984" totalsRowCellStyle="Normal 2">
      <calculatedColumnFormula>MemberOfAssemblyAssemblyDistrict22General[[#This Row],[Part of Nassau County Vote Results]]</calculatedColumnFormula>
      <totalsRowFormula>SUM(MemberOfAssemblyAssemblyDistrict22General[Total Votes by Party])</totalsRowFormula>
    </tableColumn>
    <tableColumn id="2" xr3:uid="{972333E3-55A2-4BCF-BE64-77BE801EF1DE}" name="Total Votes by Candidate" dataDxfId="1983" totalsRowDxfId="1982" totalsRowCellStyle="Normal 2"/>
  </tableColumns>
  <tableStyleInfo name="TableStyleMedium2" showFirstColumn="0" showLastColumn="0" showRowStripes="0" showColumnStripes="0"/>
</table>
</file>

<file path=xl/tables/table1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8" xr:uid="{FB94A9EF-64C5-4C7C-A43B-DBFEB1F95AE3}" name="MemberOfAssemblyAssemblyDistrict23General" displayName="MemberOfAssemblyAssemblyDistrict23General" ref="A2:D11" totalsRowCount="1" headerRowDxfId="1981" dataDxfId="1979" totalsRowDxfId="1977" headerRowBorderDxfId="1980" tableBorderDxfId="1978" totalsRowBorderDxfId="1976">
  <autoFilter ref="A2:D10" xr:uid="{679E52F4-40D4-4BED-AB89-6BDD478E0150}">
    <filterColumn colId="0" hiddenButton="1"/>
    <filterColumn colId="1" hiddenButton="1"/>
    <filterColumn colId="2" hiddenButton="1"/>
    <filterColumn colId="3" hiddenButton="1"/>
  </autoFilter>
  <tableColumns count="4">
    <tableColumn id="1" xr3:uid="{2680C648-B33F-4890-8C3D-2081273926DD}" name="Candidate Name (Party)" totalsRowLabel="Total Votes by County" dataDxfId="1975" totalsRowDxfId="1974"/>
    <tableColumn id="4" xr3:uid="{44D63E5A-FB9E-42C5-AF82-CB727FA6A6EF}" name="Part of Queens County Vote Results" totalsRowFunction="custom" dataDxfId="1973" totalsRowDxfId="1972">
      <totalsRowFormula>SUM(MemberOfAssemblyAssemblyDistrict23General[Part of Queens County Vote Results])</totalsRowFormula>
    </tableColumn>
    <tableColumn id="3" xr3:uid="{5CAAC9B4-1AF3-477D-ABD3-ECAEB9359998}" name="Total Votes by Party" totalsRowFunction="custom" dataDxfId="1971" totalsRowDxfId="1970">
      <calculatedColumnFormula>MemberOfAssemblyAssemblyDistrict23General[[#This Row],[Part of Queens County Vote Results]]</calculatedColumnFormula>
      <totalsRowFormula>SUM(MemberOfAssemblyAssemblyDistrict23General[Total Votes by Party])</totalsRowFormula>
    </tableColumn>
    <tableColumn id="2" xr3:uid="{0B16C79A-157B-40F2-B377-4D09A98E8F2A}" name="Total Votes by Candidate" dataDxfId="1969" totalsRowDxfId="1968"/>
  </tableColumns>
  <tableStyleInfo name="TableStyleMedium2" showFirstColumn="0" showLastColumn="0" showRowStripes="0" showColumnStripes="0"/>
</table>
</file>

<file path=xl/tables/table1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7" xr:uid="{8B2611F3-3C7C-48DB-ADFD-F692EE937649}" name="MemberOfAssemblyAssemblyDistrict24General" displayName="MemberOfAssemblyAssemblyDistrict24General" ref="A2:D11" totalsRowCount="1" headerRowDxfId="1967" dataDxfId="1965" totalsRowDxfId="1963" headerRowBorderDxfId="1966" tableBorderDxfId="1964" totalsRowBorderDxfId="1962">
  <autoFilter ref="A2:D10" xr:uid="{E5428B72-0FEF-4A9C-B5B3-DCA320CD638B}">
    <filterColumn colId="0" hiddenButton="1"/>
    <filterColumn colId="1" hiddenButton="1"/>
    <filterColumn colId="2" hiddenButton="1"/>
    <filterColumn colId="3" hiddenButton="1"/>
  </autoFilter>
  <tableColumns count="4">
    <tableColumn id="1" xr3:uid="{51E77935-9AEE-4EBB-AA36-C79DFC67E2D9}" name="Candidate Name (Party)" totalsRowLabel="Total Votes by County" dataDxfId="1961" totalsRowDxfId="1960"/>
    <tableColumn id="4" xr3:uid="{BFED569C-52C0-4607-B102-E108456F20FE}" name="Part of Queens County Vote Results" totalsRowFunction="custom" dataDxfId="1959" totalsRowDxfId="1958">
      <totalsRowFormula>SUM(MemberOfAssemblyAssemblyDistrict24General[Part of Queens County Vote Results])</totalsRowFormula>
    </tableColumn>
    <tableColumn id="3" xr3:uid="{9A8D9647-0597-4412-935F-066885A2A46E}" name="Total Votes by Party" totalsRowFunction="custom" dataDxfId="1957" totalsRowDxfId="1956">
      <calculatedColumnFormula>MemberOfAssemblyAssemblyDistrict24General[[#This Row],[Part of Queens County Vote Results]]</calculatedColumnFormula>
      <totalsRowFormula>SUM(MemberOfAssemblyAssemblyDistrict24General[Total Votes by Party])</totalsRowFormula>
    </tableColumn>
    <tableColumn id="2" xr3:uid="{94298C95-5351-43BC-B2CE-026A757C3D41}" name="Total Votes by Candidate" dataDxfId="1955" totalsRowDxfId="1954"/>
  </tableColumns>
  <tableStyleInfo name="TableStyleMedium2" showFirstColumn="0" showLastColumn="0" showRowStripes="0" showColumnStripes="0"/>
</table>
</file>

<file path=xl/tables/table1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6" xr:uid="{2FCD9749-0F38-4604-B997-A4B950E96CC6}" name="MemberOfAssemblyAssemblyDistrict25General" displayName="MemberOfAssemblyAssemblyDistrict25General" ref="A2:D10" totalsRowCount="1" headerRowDxfId="1953" dataDxfId="1951" totalsRowDxfId="1949" headerRowBorderDxfId="1952" tableBorderDxfId="1950" totalsRowBorderDxfId="1948">
  <autoFilter ref="A2:D9" xr:uid="{85D3B8C6-1152-498E-B5B7-A6648B0AEC07}">
    <filterColumn colId="0" hiddenButton="1"/>
    <filterColumn colId="1" hiddenButton="1"/>
    <filterColumn colId="2" hiddenButton="1"/>
    <filterColumn colId="3" hiddenButton="1"/>
  </autoFilter>
  <tableColumns count="4">
    <tableColumn id="1" xr3:uid="{73A4F177-D1D5-4B21-BDF1-9E8B5B558133}" name="Candidate Name (Party)" totalsRowLabel="Total Votes by County" dataDxfId="1947" totalsRowDxfId="1946"/>
    <tableColumn id="4" xr3:uid="{9FDB28BB-A292-4F6E-B6AF-B848F46811F1}" name="Part of Queens County Vote Results" totalsRowFunction="custom" dataDxfId="1945" totalsRowDxfId="1944">
      <totalsRowFormula>SUM(MemberOfAssemblyAssemblyDistrict25General[Part of Queens County Vote Results])</totalsRowFormula>
    </tableColumn>
    <tableColumn id="3" xr3:uid="{35BDBEA8-E56B-4A68-ADCD-DC1D0285E7C0}" name="Total Votes by Party" totalsRowFunction="custom" dataDxfId="1943" totalsRowDxfId="1942">
      <calculatedColumnFormula>MemberOfAssemblyAssemblyDistrict25General[[#This Row],[Part of Queens County Vote Results]]</calculatedColumnFormula>
      <totalsRowFormula>SUM(MemberOfAssemblyAssemblyDistrict25General[Total Votes by Party])</totalsRowFormula>
    </tableColumn>
    <tableColumn id="2" xr3:uid="{A6D66776-B9DB-485A-B611-D2339405359B}" name="Total Votes by Candidate" dataDxfId="1941" totalsRowDxfId="1940">
      <calculatedColumnFormula>SUM(MemberOfAssemblyAssemblyDistrict25General[[#This Row],[Total Votes by Party]],C4)</calculatedColumnFormula>
    </tableColumn>
  </tableColumns>
  <tableStyleInfo name="TableStyleMedium2" showFirstColumn="0" showLastColumn="0" showRowStripes="0" showColumnStripes="0"/>
</table>
</file>

<file path=xl/tables/table1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5" xr:uid="{48422655-DD88-4145-99DC-67D11A6DDCC5}" name="MemberOfAssemblyAssemblyDistrict26General" displayName="MemberOfAssemblyAssemblyDistrict26General" ref="A2:D9" totalsRowCount="1" headerRowDxfId="1939" dataDxfId="1937" totalsRowDxfId="1935" headerRowBorderDxfId="1938" tableBorderDxfId="1936" totalsRowBorderDxfId="1934">
  <autoFilter ref="A2:D8" xr:uid="{8114F151-BBFC-49B5-85E4-D0EA6C816C75}">
    <filterColumn colId="0" hiddenButton="1"/>
    <filterColumn colId="1" hiddenButton="1"/>
    <filterColumn colId="2" hiddenButton="1"/>
    <filterColumn colId="3" hiddenButton="1"/>
  </autoFilter>
  <tableColumns count="4">
    <tableColumn id="1" xr3:uid="{E148032E-3AF6-4D01-B996-1A3155100100}" name="Candidate Name (Party)" totalsRowLabel="Total Votes by County" dataDxfId="1933" totalsRowDxfId="1932"/>
    <tableColumn id="4" xr3:uid="{38334AB3-88F9-4032-8CEC-89D6EA36CEBE}" name="Part of Queens County Vote Results" totalsRowFunction="custom" dataDxfId="1931" totalsRowDxfId="1930">
      <totalsRowFormula>SUM(MemberOfAssemblyAssemblyDistrict26General[Part of Queens County Vote Results])</totalsRowFormula>
    </tableColumn>
    <tableColumn id="3" xr3:uid="{9ECB0219-445C-4EA2-B8FE-396C6440A57E}" name="Total Votes by Party" totalsRowFunction="custom" dataDxfId="1929" totalsRowDxfId="1928">
      <calculatedColumnFormula>MemberOfAssemblyAssemblyDistrict26General[[#This Row],[Part of Queens County Vote Results]]</calculatedColumnFormula>
      <totalsRowFormula>SUM(MemberOfAssemblyAssemblyDistrict26General[Total Votes by Party])</totalsRowFormula>
    </tableColumn>
    <tableColumn id="2" xr3:uid="{AB9FD897-34CB-4390-8806-9753885BF017}" name="Total Votes by Candidate" dataDxfId="1927" totalsRowDxfId="1926"/>
  </tableColumns>
  <tableStyleInfo name="TableStyleMedium2" showFirstColumn="0" showLastColumn="0" showRowStripes="0" showColumnStripes="0"/>
</table>
</file>

<file path=xl/tables/table1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4" xr:uid="{6D066191-22DE-4203-80D9-1A5A696C3427}" name="MemberOfAssemblyAssemblyDistrict27General" displayName="MemberOfAssemblyAssemblyDistrict27General" ref="A2:D8" totalsRowCount="1" headerRowDxfId="1925" dataDxfId="1923" totalsRowDxfId="1921" headerRowBorderDxfId="1924" tableBorderDxfId="1922" totalsRowBorderDxfId="1920">
  <autoFilter ref="A2:D7" xr:uid="{315C5E36-9C8F-4DAF-86E8-385D78480754}">
    <filterColumn colId="0" hiddenButton="1"/>
    <filterColumn colId="1" hiddenButton="1"/>
    <filterColumn colId="2" hiddenButton="1"/>
    <filterColumn colId="3" hiddenButton="1"/>
  </autoFilter>
  <tableColumns count="4">
    <tableColumn id="1" xr3:uid="{A3689B60-4B92-47A7-B75A-3C71C2145F69}" name="Candidate Name (Party)" totalsRowLabel="Total Votes by County" dataDxfId="1919" totalsRowDxfId="1918"/>
    <tableColumn id="4" xr3:uid="{6BE72B6D-A6E6-4AC1-A6E4-21C127050B4F}" name="Part of Queens County Vote Results" totalsRowFunction="custom" dataDxfId="1917" totalsRowDxfId="1916">
      <totalsRowFormula>SUM(MemberOfAssemblyAssemblyDistrict27General[Part of Queens County Vote Results])</totalsRowFormula>
    </tableColumn>
    <tableColumn id="3" xr3:uid="{DA027072-7D06-4B7B-B8A6-D27362C0A990}" name="Total Votes by Party" totalsRowFunction="custom" dataDxfId="1915" totalsRowDxfId="1914">
      <calculatedColumnFormula>MemberOfAssemblyAssemblyDistrict27General[[#This Row],[Part of Queens County Vote Results]]</calculatedColumnFormula>
      <totalsRowFormula>SUM(MemberOfAssemblyAssemblyDistrict27General[Total Votes by Party])</totalsRowFormula>
    </tableColumn>
    <tableColumn id="2" xr3:uid="{D13FB432-2846-447A-B355-3373EA2864DE}" name="Total Votes by Candidate" dataDxfId="1913" totalsRowDxfId="1912">
      <calculatedColumnFormula>SUM(MemberOfAssemblyAssemblyDistrict27General[[#This Row],[Total Votes by Party]])</calculatedColumnFormula>
    </tableColumn>
  </tableColumns>
  <tableStyleInfo name="TableStyleMedium2" showFirstColumn="0" showLastColumn="0" showRowStripes="0" showColumnStripes="0"/>
</table>
</file>

<file path=xl/tables/table1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3" xr:uid="{5133C5F7-77DA-45C7-B5A0-7E10CA3B6308}" name="MemberOfAssemblyAssemblyDistrict28General" displayName="MemberOfAssemblyAssemblyDistrict28General" ref="A2:D10" totalsRowCount="1" headerRowDxfId="1911" dataDxfId="1909" totalsRowDxfId="1907" headerRowBorderDxfId="1910" tableBorderDxfId="1908" totalsRowBorderDxfId="1906">
  <autoFilter ref="A2:D9" xr:uid="{76C1D6C9-9514-4308-9A84-A998AFEF83D5}">
    <filterColumn colId="0" hiddenButton="1"/>
    <filterColumn colId="1" hiddenButton="1"/>
    <filterColumn colId="2" hiddenButton="1"/>
    <filterColumn colId="3" hiddenButton="1"/>
  </autoFilter>
  <tableColumns count="4">
    <tableColumn id="1" xr3:uid="{7F5C85C1-87C2-4E9A-B74B-570970B58856}" name="Candidate Name (Party)" totalsRowLabel="Total Votes by County" dataDxfId="1905" totalsRowDxfId="1904"/>
    <tableColumn id="4" xr3:uid="{A00FB85C-DD37-4BAB-8A15-C479F7DEABC9}" name="Part of Queens County Vote Results" totalsRowFunction="custom" dataDxfId="1903" totalsRowDxfId="1902">
      <totalsRowFormula>SUM(MemberOfAssemblyAssemblyDistrict28General[Part of Queens County Vote Results])</totalsRowFormula>
    </tableColumn>
    <tableColumn id="3" xr3:uid="{E2468700-332F-4FD4-A196-D86F5A91B6DB}" name="Total Votes by Party" totalsRowFunction="custom" dataDxfId="1901" totalsRowDxfId="1900">
      <calculatedColumnFormula>MemberOfAssemblyAssemblyDistrict28General[[#This Row],[Part of Queens County Vote Results]]</calculatedColumnFormula>
      <totalsRowFormula>SUM(MemberOfAssemblyAssemblyDistrict28General[Total Votes by Party])</totalsRowFormula>
    </tableColumn>
    <tableColumn id="2" xr3:uid="{5BA87F0B-3609-4D17-8FC6-70BF17310D2F}" name="Total Votes by Candidate" dataDxfId="1899" totalsRowDxfId="1898"/>
  </tableColumns>
  <tableStyleInfo name="TableStyleMedium2" showFirstColumn="0" showLastColumn="0" showRowStripes="0" showColumnStripes="0"/>
</table>
</file>

<file path=xl/tables/table1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2" xr:uid="{30768C92-CC8D-4158-BE83-A9C97A867F33}" name="MemberOfAssemblyAssemblyDistrict29General" displayName="MemberOfAssemblyAssemblyDistrict29General" ref="A2:D8" totalsRowCount="1" headerRowDxfId="1897" dataDxfId="1895" totalsRowDxfId="1893" headerRowBorderDxfId="1896" tableBorderDxfId="1894" totalsRowBorderDxfId="1892">
  <autoFilter ref="A2:D7" xr:uid="{D7F287CE-B697-428E-8699-CC6846F2CCE4}">
    <filterColumn colId="0" hiddenButton="1"/>
    <filterColumn colId="1" hiddenButton="1"/>
    <filterColumn colId="2" hiddenButton="1"/>
    <filterColumn colId="3" hiddenButton="1"/>
  </autoFilter>
  <tableColumns count="4">
    <tableColumn id="1" xr3:uid="{FB2B2596-7DC5-475B-9AFB-83CDCA050402}" name="Candidate Name (Party)" totalsRowLabel="Total Votes by County" dataDxfId="1891" totalsRowDxfId="1890"/>
    <tableColumn id="4" xr3:uid="{66C3F808-B927-4C5F-BD12-F8A18676DE7A}" name="Part of Queens County Vote Results" totalsRowFunction="custom" dataDxfId="1889" totalsRowDxfId="1888">
      <totalsRowFormula>SUM(MemberOfAssemblyAssemblyDistrict29General[Part of Queens County Vote Results])</totalsRowFormula>
    </tableColumn>
    <tableColumn id="3" xr3:uid="{A6C3E059-2119-4926-A886-5226F47B4DFB}" name="Total Votes by Party" totalsRowFunction="custom" dataDxfId="1887" totalsRowDxfId="1886">
      <calculatedColumnFormula>MemberOfAssemblyAssemblyDistrict29General[[#This Row],[Part of Queens County Vote Results]]</calculatedColumnFormula>
      <totalsRowFormula>SUM(MemberOfAssemblyAssemblyDistrict29General[Total Votes by Party])</totalsRowFormula>
    </tableColumn>
    <tableColumn id="2" xr3:uid="{0C5423CA-A4E3-4506-9E04-DCE165F11794}" name="Total Votes by Candidate" dataDxfId="1885" totalsRowDxfId="1884">
      <calculatedColumnFormula>SUM(MemberOfAssemblyAssemblyDistrict29General[[#This Row],[Total Votes by Party]])</calculatedColumnFormula>
    </tableColumn>
  </tableColumns>
  <tableStyleInfo name="TableStyleMedium2" showFirstColumn="0" showLastColumn="0" showRowStripes="0" showColumnStripes="0"/>
</table>
</file>

<file path=xl/tables/table1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1" xr:uid="{5037EF2B-67A2-4E9A-B38D-FEAB18894968}" name="MemberOfAssemblyAssemblyDistrict30General" displayName="MemberOfAssemblyAssemblyDistrict30General" ref="A2:D10" totalsRowCount="1" headerRowDxfId="1883" dataDxfId="1881" totalsRowDxfId="1879" headerRowBorderDxfId="1882" tableBorderDxfId="1880" totalsRowBorderDxfId="1878">
  <autoFilter ref="A2:D9" xr:uid="{B5059E8C-6AED-43A3-88F6-785E94166D39}">
    <filterColumn colId="0" hiddenButton="1"/>
    <filterColumn colId="1" hiddenButton="1"/>
    <filterColumn colId="2" hiddenButton="1"/>
    <filterColumn colId="3" hiddenButton="1"/>
  </autoFilter>
  <tableColumns count="4">
    <tableColumn id="1" xr3:uid="{69D9BA6A-4FBE-4B6E-83E3-F5CA63020C1C}" name="Candidate Name (Party)" totalsRowLabel="Total Votes by County" dataDxfId="1877" totalsRowDxfId="1876"/>
    <tableColumn id="4" xr3:uid="{2F9B6EAD-D49E-4CDC-B34C-1C7354552489}" name="Part of Queens County Vote Results" totalsRowFunction="custom" dataDxfId="1875" totalsRowDxfId="1874">
      <totalsRowFormula>SUM(MemberOfAssemblyAssemblyDistrict30General[Part of Queens County Vote Results])</totalsRowFormula>
    </tableColumn>
    <tableColumn id="3" xr3:uid="{5A9FB55F-DAF9-4086-ADBC-F2DDE1EF6611}" name="Total Votes by Party" totalsRowFunction="custom" dataDxfId="1873" totalsRowDxfId="1872">
      <calculatedColumnFormula>MemberOfAssemblyAssemblyDistrict30General[[#This Row],[Part of Queens County Vote Results]]</calculatedColumnFormula>
      <totalsRowFormula>SUM(MemberOfAssemblyAssemblyDistrict30General[Total Votes by Party])</totalsRowFormula>
    </tableColumn>
    <tableColumn id="2" xr3:uid="{BFD7F115-E1BA-4108-A748-BB34AC93AE7C}" name="Total Votes by Candidate" dataDxfId="1871" totalsRowDxfId="1870">
      <calculatedColumnFormula>SUM(MemberOfAssemblyAssemblyDistrict30General[[#This Row],[Total Votes by Party]])</calculatedColumnFormula>
    </tableColumn>
  </tableColumns>
  <tableStyleInfo name="TableStyleMedium2"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0BB3A-3BBA-40B8-B7A0-EDA5EB90D3BD}" name="RepInCongressCongressionalDistrict3General" displayName="RepInCongressCongressionalDistrict3General" ref="A2:F10" totalsRowCount="1" headerRowDxfId="3779" dataDxfId="3777" totalsRowDxfId="3775" headerRowBorderDxfId="3778" tableBorderDxfId="3776" totalsRowBorderDxfId="3774">
  <autoFilter ref="A2:F9" xr:uid="{013F4201-9F43-4569-BC15-21711BC52D75}">
    <filterColumn colId="0" hiddenButton="1"/>
    <filterColumn colId="1" hiddenButton="1"/>
    <filterColumn colId="2" hiddenButton="1"/>
    <filterColumn colId="3" hiddenButton="1"/>
    <filterColumn colId="4" hiddenButton="1"/>
    <filterColumn colId="5" hiddenButton="1"/>
  </autoFilter>
  <tableColumns count="6">
    <tableColumn id="1" xr3:uid="{F69BBC93-97FE-42DB-9B25-350083A2A732}" name="Candidate Name (Party)" totalsRowLabel="Total Votes by County" dataDxfId="3773" totalsRowDxfId="3772"/>
    <tableColumn id="2" xr3:uid="{CE0A92A0-3F4B-47AA-B3BF-7801F1ECBC7D}" name="Part of Nassau County Vote Results" totalsRowFunction="custom" dataDxfId="3771" totalsRowDxfId="3770">
      <totalsRowFormula>SUM(RepInCongressCongressionalDistrict3General[Part of Nassau County Vote Results])</totalsRowFormula>
    </tableColumn>
    <tableColumn id="4" xr3:uid="{887761D9-C40E-4D34-8C05-CD2C857888D5}" name="Part of Queens County Vote Results" totalsRowFunction="custom" dataDxfId="3769" totalsRowDxfId="3768">
      <totalsRowFormula>SUM(RepInCongressCongressionalDistrict3General[Part of Queens County Vote Results])</totalsRowFormula>
    </tableColumn>
    <tableColumn id="3" xr3:uid="{6324D9B0-22B1-4AAC-A18A-423F902969A4}" name="Part of Suffolk County_x000a_Vote Results" totalsRowFunction="custom" dataDxfId="3767" totalsRowDxfId="3766">
      <totalsRowFormula>SUM(RepInCongressCongressionalDistrict3General[Part of Suffolk County
Vote Results])</totalsRowFormula>
    </tableColumn>
    <tableColumn id="6" xr3:uid="{C0F1B91E-7417-419F-963E-81E8793E9F39}" name="Total Votes by Party" totalsRowFunction="custom" dataDxfId="3765" totalsRowDxfId="3764">
      <calculatedColumnFormula>SUM(B3,C3,D3)</calculatedColumnFormula>
      <totalsRowFormula>SUM(RepInCongressCongressionalDistrict3General[Total Votes by Party])</totalsRowFormula>
    </tableColumn>
    <tableColumn id="5" xr3:uid="{DA2E5BFE-4E44-4AF4-80BC-AA19A3512E10}" name="Total Votes by Candidate" dataDxfId="3763" totalsRowDxfId="3762"/>
  </tableColumns>
  <tableStyleInfo name="TableStyleMedium2" showFirstColumn="0" showLastColumn="0" showRowStripes="0" showColumnStripes="0"/>
</table>
</file>

<file path=xl/tables/table1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0" xr:uid="{1242E6BC-1586-4B05-A51B-5C08AD51C868}" name="MemberOfAssemblyAssemblyDistrict31General" displayName="MemberOfAssemblyAssemblyDistrict31General" ref="A2:D8" totalsRowCount="1" headerRowDxfId="1869" dataDxfId="1867" totalsRowDxfId="1865" headerRowBorderDxfId="1868" tableBorderDxfId="1866" totalsRowBorderDxfId="1864">
  <autoFilter ref="A2:D7" xr:uid="{ED204ABA-78AA-47E6-9362-4C0F24E39B3E}">
    <filterColumn colId="0" hiddenButton="1"/>
    <filterColumn colId="1" hiddenButton="1"/>
    <filterColumn colId="2" hiddenButton="1"/>
    <filterColumn colId="3" hiddenButton="1"/>
  </autoFilter>
  <tableColumns count="4">
    <tableColumn id="1" xr3:uid="{9933E4D7-02BD-4EE9-949D-4C3DD60653B6}" name="Candidate Name (Party)" totalsRowLabel="Total Votes by County" dataDxfId="1863" totalsRowDxfId="1862"/>
    <tableColumn id="4" xr3:uid="{6766039B-BD97-4B1A-8D9B-186F86FE4263}" name="Part of Queens County Vote Results" totalsRowFunction="custom" dataDxfId="1861" totalsRowDxfId="1860">
      <totalsRowFormula>SUM(MemberOfAssemblyAssemblyDistrict31General[Part of Queens County Vote Results])</totalsRowFormula>
    </tableColumn>
    <tableColumn id="3" xr3:uid="{4902BB35-174A-4F1B-BB43-26C0B820A05F}" name="Total Votes by Party" totalsRowFunction="custom" dataDxfId="1859" totalsRowDxfId="1858">
      <calculatedColumnFormula>MemberOfAssemblyAssemblyDistrict31General[[#This Row],[Part of Queens County Vote Results]]</calculatedColumnFormula>
      <totalsRowFormula>SUM(MemberOfAssemblyAssemblyDistrict31General[Total Votes by Party])</totalsRowFormula>
    </tableColumn>
    <tableColumn id="2" xr3:uid="{40CB8E08-E1B0-4860-9DA9-7DE67682F43C}" name="Total Votes by Candidate" dataDxfId="1857" totalsRowDxfId="1856">
      <calculatedColumnFormula>SUM(C3:C4)</calculatedColumnFormula>
    </tableColumn>
  </tableColumns>
  <tableStyleInfo name="TableStyleMedium2" showFirstColumn="0" showLastColumn="0" showRowStripes="0" showColumnStripes="0"/>
</table>
</file>

<file path=xl/tables/table1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9" xr:uid="{581CDC72-5520-4615-BBA2-BB7E642C4A1D}" name="MemberOfAssemblyAssemblyDistrict32General" displayName="MemberOfAssemblyAssemblyDistrict32General" ref="A2:D7" totalsRowCount="1" headerRowDxfId="1855" dataDxfId="1853" totalsRowDxfId="1851" headerRowBorderDxfId="1854" tableBorderDxfId="1852" totalsRowBorderDxfId="1850">
  <autoFilter ref="A2:D6" xr:uid="{4DAC385A-82AE-4B93-BECC-64FD7EEA86D9}">
    <filterColumn colId="0" hiddenButton="1"/>
    <filterColumn colId="1" hiddenButton="1"/>
    <filterColumn colId="2" hiddenButton="1"/>
    <filterColumn colId="3" hiddenButton="1"/>
  </autoFilter>
  <tableColumns count="4">
    <tableColumn id="1" xr3:uid="{03C3EA54-058F-4F56-90C8-75B834CE486E}" name="Candidate Name (Party)" totalsRowLabel="Total Votes by County" dataDxfId="1849" totalsRowDxfId="1848" totalsRowCellStyle="Normal 2"/>
    <tableColumn id="4" xr3:uid="{383A5C69-45A8-4BCC-9009-50615F23966A}" name="Part of Queens County Vote Results" totalsRowFunction="custom" dataDxfId="1847" totalsRowDxfId="1846" totalsRowCellStyle="Normal 2">
      <totalsRowFormula>SUM(MemberOfAssemblyAssemblyDistrict32General[Part of Queens County Vote Results])</totalsRowFormula>
    </tableColumn>
    <tableColumn id="3" xr3:uid="{846857D9-8868-4605-93BF-CFFAD6D8E08F}" name="Total Votes by Party" totalsRowFunction="custom" dataDxfId="1845" totalsRowDxfId="1844" totalsRowCellStyle="Normal 2">
      <calculatedColumnFormula>MemberOfAssemblyAssemblyDistrict32General[[#This Row],[Part of Queens County Vote Results]]</calculatedColumnFormula>
      <totalsRowFormula>SUM(MemberOfAssemblyAssemblyDistrict32General[Total Votes by Party])</totalsRowFormula>
    </tableColumn>
    <tableColumn id="2" xr3:uid="{E1F094D7-2427-4D35-99DB-DCD59DC58797}" name="Total Votes by Candidate" dataDxfId="1843" totalsRowDxfId="1842" totalsRowCellStyle="Normal 2">
      <calculatedColumnFormula>SUM(MemberOfAssemblyAssemblyDistrict32General[[#This Row],[Total Votes by Party]])</calculatedColumnFormula>
    </tableColumn>
  </tableColumns>
  <tableStyleInfo name="TableStyleMedium2" showFirstColumn="0" showLastColumn="0" showRowStripes="0" showColumnStripes="0"/>
</table>
</file>

<file path=xl/tables/table1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8" xr:uid="{D0A9DED4-C58A-414B-B5E8-BD96C426B157}" name="MemberOfAssemblyAssemblyDistrict33General" displayName="MemberOfAssemblyAssemblyDistrict33General" ref="A2:D7" totalsRowCount="1" headerRowDxfId="1841" dataDxfId="1839" totalsRowDxfId="1837" headerRowBorderDxfId="1840" tableBorderDxfId="1838" totalsRowBorderDxfId="1836">
  <autoFilter ref="A2:D6" xr:uid="{B4ECF71C-0BF6-4688-8134-CA1EDCBF44BC}">
    <filterColumn colId="0" hiddenButton="1"/>
    <filterColumn colId="1" hiddenButton="1"/>
    <filterColumn colId="2" hiddenButton="1"/>
    <filterColumn colId="3" hiddenButton="1"/>
  </autoFilter>
  <tableColumns count="4">
    <tableColumn id="1" xr3:uid="{DF11E27D-ADAD-47E6-9840-47BBDF9E3FB3}" name="Candidate Name (Party)" totalsRowLabel="Total Votes by County" dataDxfId="1835" totalsRowDxfId="1834" totalsRowCellStyle="Normal 2"/>
    <tableColumn id="4" xr3:uid="{54680296-68F2-4999-8A64-4FEAB94B9981}" name="Part of Queens County Vote Results" totalsRowFunction="custom" dataDxfId="1833" totalsRowDxfId="1832" totalsRowCellStyle="Normal 2">
      <totalsRowFormula>SUM(MemberOfAssemblyAssemblyDistrict33General[Part of Queens County Vote Results])</totalsRowFormula>
    </tableColumn>
    <tableColumn id="3" xr3:uid="{2E94C1CB-B2E0-4EF9-B5A1-93E02FA34A31}" name="Total Votes by Party" totalsRowFunction="custom" dataDxfId="1831" totalsRowDxfId="1830" totalsRowCellStyle="Normal 2">
      <calculatedColumnFormula>MemberOfAssemblyAssemblyDistrict33General[[#This Row],[Part of Queens County Vote Results]]</calculatedColumnFormula>
      <totalsRowFormula>SUM(MemberOfAssemblyAssemblyDistrict33General[Total Votes by Party])</totalsRowFormula>
    </tableColumn>
    <tableColumn id="2" xr3:uid="{F0C75B60-34FA-46B1-82C0-570C86393F58}" name="Total Votes by Candidate" dataDxfId="1829" totalsRowDxfId="1828" totalsRowCellStyle="Normal 2">
      <calculatedColumnFormula>SUM(MemberOfAssemblyAssemblyDistrict33General[[#This Row],[Total Votes by Party]])</calculatedColumnFormula>
    </tableColumn>
  </tableColumns>
  <tableStyleInfo name="TableStyleMedium2" showFirstColumn="0" showLastColumn="0" showRowStripes="0" showColumnStripes="0"/>
</table>
</file>

<file path=xl/tables/table1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7" xr:uid="{DA3ABF6C-67E3-49F1-A73E-385BB651771A}" name="MemberOfAssemblyAssemblyDistrict34General" displayName="MemberOfAssemblyAssemblyDistrict34General" ref="A2:D8" totalsRowCount="1" headerRowDxfId="1827" dataDxfId="1825" totalsRowDxfId="1823" headerRowBorderDxfId="1826" tableBorderDxfId="1824" totalsRowBorderDxfId="1822">
  <autoFilter ref="A2:D7" xr:uid="{17A2092C-D04F-49FE-A19A-7D1A5B52CBAE}">
    <filterColumn colId="0" hiddenButton="1"/>
    <filterColumn colId="1" hiddenButton="1"/>
    <filterColumn colId="2" hiddenButton="1"/>
    <filterColumn colId="3" hiddenButton="1"/>
  </autoFilter>
  <tableColumns count="4">
    <tableColumn id="1" xr3:uid="{6CEF12A5-E384-44C1-BA41-652CD6725CF8}" name="Candidate Name (Party)" totalsRowLabel="Total Votes by County" dataDxfId="1821" totalsRowDxfId="1820"/>
    <tableColumn id="4" xr3:uid="{272D1A6E-EEAE-43D8-B351-5710F2D2603A}" name="Part of Queens County Vote Results" totalsRowFunction="custom" dataDxfId="1819" totalsRowDxfId="1818">
      <totalsRowFormula>SUM(MemberOfAssemblyAssemblyDistrict34General[Part of Queens County Vote Results])</totalsRowFormula>
    </tableColumn>
    <tableColumn id="3" xr3:uid="{E55F9200-AE65-4973-BB7F-28A521CC05FE}" name="Total Votes by Party" totalsRowFunction="custom" dataDxfId="1817" totalsRowDxfId="1816">
      <calculatedColumnFormula>MemberOfAssemblyAssemblyDistrict34General[[#This Row],[Part of Queens County Vote Results]]</calculatedColumnFormula>
      <totalsRowFormula>SUM(MemberOfAssemblyAssemblyDistrict34General[Total Votes by Party])</totalsRowFormula>
    </tableColumn>
    <tableColumn id="2" xr3:uid="{FED23C19-B735-4125-9B18-CD61C664A70B}" name="Total Votes by Candidate" dataDxfId="1815" totalsRowDxfId="1814">
      <calculatedColumnFormula>SUM(MemberOfAssemblyAssemblyDistrict34General[[#This Row],[Total Votes by Party]],#REF!)</calculatedColumnFormula>
    </tableColumn>
  </tableColumns>
  <tableStyleInfo name="TableStyleMedium2" showFirstColumn="0" showLastColumn="0" showRowStripes="0" showColumnStripes="0"/>
</table>
</file>

<file path=xl/tables/table1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6" xr:uid="{D11FA356-810C-4BF7-A5F3-5A0763423804}" name="MemberOfAssemblyAssemblyDistrict35General" displayName="MemberOfAssemblyAssemblyDistrict35General" ref="A2:D8" totalsRowCount="1" headerRowDxfId="1813" dataDxfId="1811" totalsRowDxfId="1809" headerRowBorderDxfId="1812" tableBorderDxfId="1810" totalsRowBorderDxfId="1808">
  <autoFilter ref="A2:D7" xr:uid="{1EB8363C-646C-4620-B421-B6C3565C17E2}">
    <filterColumn colId="0" hiddenButton="1"/>
    <filterColumn colId="1" hiddenButton="1"/>
    <filterColumn colId="2" hiddenButton="1"/>
    <filterColumn colId="3" hiddenButton="1"/>
  </autoFilter>
  <tableColumns count="4">
    <tableColumn id="1" xr3:uid="{D14B22B8-1C8D-45D9-82BB-B4E4564A6039}" name="Candidate Name (Party)" totalsRowLabel="Total Votes by County" dataDxfId="1807" totalsRowDxfId="1806"/>
    <tableColumn id="4" xr3:uid="{6339FF9A-077A-49E9-A36F-B552B9DD4283}" name="Part of Queens County Vote Results" totalsRowFunction="custom" dataDxfId="1805" totalsRowDxfId="1804">
      <totalsRowFormula>SUM(MemberOfAssemblyAssemblyDistrict35General[Part of Queens County Vote Results])</totalsRowFormula>
    </tableColumn>
    <tableColumn id="3" xr3:uid="{503A35F1-5503-4684-9727-685A4426FA05}" name="Total Votes by Party" totalsRowFunction="custom" dataDxfId="1803" totalsRowDxfId="1802">
      <calculatedColumnFormula>MemberOfAssemblyAssemblyDistrict35General[[#This Row],[Part of Queens County Vote Results]]</calculatedColumnFormula>
      <totalsRowFormula>SUM(MemberOfAssemblyAssemblyDistrict35General[Total Votes by Party])</totalsRowFormula>
    </tableColumn>
    <tableColumn id="2" xr3:uid="{098C0BC1-143B-4640-A5CB-B0E0BF85F58F}" name="Total Votes by Candidate" dataDxfId="1801" totalsRowDxfId="1800"/>
  </tableColumns>
  <tableStyleInfo name="TableStyleMedium2" showFirstColumn="0" showLastColumn="0" showRowStripes="0" showColumnStripes="0"/>
</table>
</file>

<file path=xl/tables/table1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5" xr:uid="{3A959EC1-FCCD-4988-9FF3-BEFB1876D436}" name="MemberOfAssemblyAssemblyDistrict36General" displayName="MemberOfAssemblyAssemblyDistrict36General" ref="A2:D8" totalsRowCount="1" headerRowDxfId="1799" dataDxfId="1797" totalsRowDxfId="1795" headerRowBorderDxfId="1798" tableBorderDxfId="1796" totalsRowBorderDxfId="1794">
  <autoFilter ref="A2:D7" xr:uid="{31DCC498-482B-4F33-BE43-0400294C2D8A}">
    <filterColumn colId="0" hiddenButton="1"/>
    <filterColumn colId="1" hiddenButton="1"/>
    <filterColumn colId="2" hiddenButton="1"/>
    <filterColumn colId="3" hiddenButton="1"/>
  </autoFilter>
  <tableColumns count="4">
    <tableColumn id="1" xr3:uid="{F4834ADD-173D-4E8C-A921-C9BCCD3A0946}" name="Candidate Name (Party)" totalsRowLabel="Total Votes by County" dataDxfId="1793" totalsRowDxfId="1792"/>
    <tableColumn id="4" xr3:uid="{5BEE5644-DF48-4B05-8E1E-4ADF8F61C9FA}" name="Part of Queens County Vote Results" totalsRowFunction="custom" dataDxfId="1791" totalsRowDxfId="1790">
      <totalsRowFormula>SUM(MemberOfAssemblyAssemblyDistrict36General[Part of Queens County Vote Results])</totalsRowFormula>
    </tableColumn>
    <tableColumn id="3" xr3:uid="{5B01BD58-A6EF-480E-9CDA-7BE1650043EC}" name="Total Votes by Party" totalsRowFunction="custom" dataDxfId="1789" totalsRowDxfId="1788">
      <calculatedColumnFormula>MemberOfAssemblyAssemblyDistrict36General[[#This Row],[Part of Queens County Vote Results]]</calculatedColumnFormula>
      <totalsRowFormula>SUM(MemberOfAssemblyAssemblyDistrict36General[Total Votes by Party])</totalsRowFormula>
    </tableColumn>
    <tableColumn id="2" xr3:uid="{A32703FA-3666-43C3-96AC-A33A1863439E}" name="Total Votes by Candidate" dataDxfId="1787" totalsRowDxfId="1786">
      <calculatedColumnFormula>SUM(MemberOfAssemblyAssemblyDistrict36General[[#This Row],[Total Votes by Party]])</calculatedColumnFormula>
    </tableColumn>
  </tableColumns>
  <tableStyleInfo name="TableStyleMedium2" showFirstColumn="0" showLastColumn="0" showRowStripes="0" showColumnStripes="0"/>
</table>
</file>

<file path=xl/tables/table1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4" xr:uid="{DB9C242F-15CD-45C6-A5F6-F9070F2A34A8}" name="MemberOfAssemblyAssemblyDistrict37General" displayName="MemberOfAssemblyAssemblyDistrict37General" ref="A2:E8" totalsRowCount="1" headerRowDxfId="1785" dataDxfId="1783" totalsRowDxfId="1781" headerRowBorderDxfId="1784" tableBorderDxfId="1782" totalsRowBorderDxfId="1780">
  <autoFilter ref="A2:E7" xr:uid="{6234759C-B62B-4523-B671-315DE9E93999}">
    <filterColumn colId="0" hiddenButton="1"/>
    <filterColumn colId="1" hiddenButton="1"/>
    <filterColumn colId="2" hiddenButton="1"/>
    <filterColumn colId="3" hiddenButton="1"/>
    <filterColumn colId="4" hiddenButton="1"/>
  </autoFilter>
  <tableColumns count="5">
    <tableColumn id="1" xr3:uid="{3CB37FD1-07B2-4B0C-92EA-47F3AAB73256}" name="Candidate Name (Party)" totalsRowLabel="Total Votes by County" dataDxfId="1779" totalsRowDxfId="1778"/>
    <tableColumn id="4" xr3:uid="{01039708-D082-4CF2-98AF-B6051B689A89}" name="Part of New York County Vote Results" totalsRowFunction="custom" dataDxfId="1777" totalsRowDxfId="1776">
      <totalsRowFormula>SUM(MemberOfAssemblyAssemblyDistrict37General[Part of New York County Vote Results])</totalsRowFormula>
    </tableColumn>
    <tableColumn id="5" xr3:uid="{ACDD9F77-D57F-4F1B-9AEC-A669F9764895}" name="Part of Queens County Vote Results" totalsRowFunction="custom" dataDxfId="1775" totalsRowDxfId="1774">
      <totalsRowFormula>SUM(MemberOfAssemblyAssemblyDistrict37General[Part of Queens County Vote Results])</totalsRowFormula>
    </tableColumn>
    <tableColumn id="3" xr3:uid="{E36C0138-1F69-41F4-B73C-EEFFB3096D7E}" name="Total Votes by Party" totalsRowFunction="custom" dataDxfId="1773" totalsRowDxfId="1772">
      <calculatedColumnFormula>SUM(B3,C3)</calculatedColumnFormula>
      <totalsRowFormula>SUM(MemberOfAssemblyAssemblyDistrict37General[Total Votes by Party])</totalsRowFormula>
    </tableColumn>
    <tableColumn id="2" xr3:uid="{EB32DCFC-F2A9-4589-A9CF-65A91565B857}" name="Total Votes by Candidate" dataDxfId="1771" totalsRowDxfId="1770">
      <calculatedColumnFormula>SUM(MemberOfAssemblyAssemblyDistrict37General[[#This Row],[Total Votes by Party]])</calculatedColumnFormula>
    </tableColumn>
  </tableColumns>
  <tableStyleInfo name="TableStyleMedium2" showFirstColumn="0" showLastColumn="0" showRowStripes="0" showColumnStripes="0"/>
</table>
</file>

<file path=xl/tables/table1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3" xr:uid="{AFFE2A94-E1AD-4CBA-9A26-AF2AE5FB1F32}" name="MemberOfAssemblyAssemblyDistrict38General" displayName="MemberOfAssemblyAssemblyDistrict38General" ref="A2:D7" totalsRowCount="1" headerRowDxfId="1769" dataDxfId="1767" totalsRowDxfId="1765" headerRowBorderDxfId="1768" tableBorderDxfId="1766" totalsRowBorderDxfId="1764">
  <autoFilter ref="A2:D6" xr:uid="{9B4D3939-FAFD-41E4-BE4A-89D8C63A9B13}">
    <filterColumn colId="0" hiddenButton="1"/>
    <filterColumn colId="1" hiddenButton="1"/>
    <filterColumn colId="2" hiddenButton="1"/>
    <filterColumn colId="3" hiddenButton="1"/>
  </autoFilter>
  <tableColumns count="4">
    <tableColumn id="1" xr3:uid="{AF91E589-E75D-4818-A684-895E35E4D8B0}" name="Candidate Name (Party)" totalsRowLabel="Total Votes by County" dataDxfId="1763" totalsRowDxfId="1762" totalsRowCellStyle="Normal 2"/>
    <tableColumn id="4" xr3:uid="{E3F43EC0-A1BD-4A7A-971F-D560CE1BFBD1}" name="Part of Queens County Vote Results" totalsRowFunction="custom" dataDxfId="1761" totalsRowDxfId="1760" totalsRowCellStyle="Normal 2">
      <totalsRowFormula>SUM(MemberOfAssemblyAssemblyDistrict38General[Part of Queens County Vote Results])</totalsRowFormula>
    </tableColumn>
    <tableColumn id="3" xr3:uid="{503C81B9-6E89-4C40-BDFF-00C4A9FBD390}" name="Total Votes by Party" totalsRowFunction="custom" dataDxfId="1759" totalsRowDxfId="1758" totalsRowCellStyle="Normal 2">
      <calculatedColumnFormula>MemberOfAssemblyAssemblyDistrict38General[[#This Row],[Part of Queens County Vote Results]]</calculatedColumnFormula>
      <totalsRowFormula>SUM(MemberOfAssemblyAssemblyDistrict38General[Total Votes by Party])</totalsRowFormula>
    </tableColumn>
    <tableColumn id="2" xr3:uid="{08EEBB97-9368-4C5A-9125-29E0D23E2102}" name="Total Votes by Candidate" dataDxfId="1757" totalsRowDxfId="1756" totalsRowCellStyle="Normal 2"/>
  </tableColumns>
  <tableStyleInfo name="TableStyleMedium2" showFirstColumn="0" showLastColumn="0" showRowStripes="0" showColumnStripes="0"/>
</table>
</file>

<file path=xl/tables/table1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2" xr:uid="{79A130AB-E40D-4610-893F-D9F0C8D59000}" name="MemberOfAssemblyAssemblyDistrict39General" displayName="MemberOfAssemblyAssemblyDistrict39General" ref="A2:D7" totalsRowCount="1" headerRowDxfId="1755" dataDxfId="1753" totalsRowDxfId="1751" headerRowBorderDxfId="1754" tableBorderDxfId="1752" totalsRowBorderDxfId="1750">
  <autoFilter ref="A2:D6" xr:uid="{BEC8AD1F-1472-4FA5-863E-8D544C0F76D7}">
    <filterColumn colId="0" hiddenButton="1"/>
    <filterColumn colId="1" hiddenButton="1"/>
    <filterColumn colId="2" hiddenButton="1"/>
    <filterColumn colId="3" hiddenButton="1"/>
  </autoFilter>
  <tableColumns count="4">
    <tableColumn id="1" xr3:uid="{AB027471-A732-4671-B783-74DFB04E83F1}" name="Candidate Name (Party)" totalsRowLabel="Total Votes by County" dataDxfId="1749" totalsRowDxfId="1748" totalsRowCellStyle="Normal 2"/>
    <tableColumn id="4" xr3:uid="{FC78CC06-26A0-4575-A236-1DD203BE416B}" name="Part of Queens County Vote Results" totalsRowFunction="custom" dataDxfId="1747" totalsRowDxfId="1746" totalsRowCellStyle="Normal 2">
      <totalsRowFormula>SUM(MemberOfAssemblyAssemblyDistrict39General[Part of Queens County Vote Results])</totalsRowFormula>
    </tableColumn>
    <tableColumn id="3" xr3:uid="{313D5F09-49FD-4775-918F-92D056C3FEFE}" name="Total Votes by Party" totalsRowFunction="custom" dataDxfId="1745" totalsRowDxfId="1744" totalsRowCellStyle="Normal 2">
      <calculatedColumnFormula>MemberOfAssemblyAssemblyDistrict39General[[#This Row],[Part of Queens County Vote Results]]</calculatedColumnFormula>
      <totalsRowFormula>SUM(MemberOfAssemblyAssemblyDistrict39General[Total Votes by Party])</totalsRowFormula>
    </tableColumn>
    <tableColumn id="2" xr3:uid="{84EAAFA3-C5D3-4AED-9D2F-5B082805C4BA}" name="Total Votes by Candidate" dataDxfId="1743" totalsRowDxfId="1742" totalsRowCellStyle="Normal 2">
      <calculatedColumnFormula>SUM(MemberOfAssemblyAssemblyDistrict39General[[#This Row],[Total Votes by Party]])</calculatedColumnFormula>
    </tableColumn>
  </tableColumns>
  <tableStyleInfo name="TableStyleMedium2" showFirstColumn="0" showLastColumn="0" showRowStripes="0" showColumnStripes="0"/>
</table>
</file>

<file path=xl/tables/table1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1" xr:uid="{58C35D69-7CCD-441E-9597-56E94CE06764}" name="MemberOfAssemblyAssemblyDistrict40General" displayName="MemberOfAssemblyAssemblyDistrict40General" ref="A2:D10" totalsRowCount="1" headerRowDxfId="1741" dataDxfId="1739" totalsRowDxfId="1737" headerRowBorderDxfId="1740" tableBorderDxfId="1738" totalsRowBorderDxfId="1736">
  <autoFilter ref="A2:D9" xr:uid="{B9EEE381-163E-435C-B9FB-96CE851BCFFC}">
    <filterColumn colId="0" hiddenButton="1"/>
    <filterColumn colId="1" hiddenButton="1"/>
    <filterColumn colId="2" hiddenButton="1"/>
    <filterColumn colId="3" hiddenButton="1"/>
  </autoFilter>
  <tableColumns count="4">
    <tableColumn id="1" xr3:uid="{0D02E111-160D-4972-A258-55829F2665C5}" name="Candidate Name (Party)" totalsRowLabel="Total Votes by County" dataDxfId="1735" totalsRowDxfId="1734"/>
    <tableColumn id="4" xr3:uid="{5FF89BB4-9EF1-4D04-A898-83AF567FBF64}" name="Part of Queens County Vote Results" totalsRowFunction="custom" dataDxfId="1733" totalsRowDxfId="1732">
      <totalsRowFormula>SUM(MemberOfAssemblyAssemblyDistrict40General[Part of Queens County Vote Results])</totalsRowFormula>
    </tableColumn>
    <tableColumn id="3" xr3:uid="{90BEC5FF-A4EC-4265-9F28-2AE43988CD3C}" name="Total Votes by Party" totalsRowFunction="custom" dataDxfId="1731" totalsRowDxfId="1730">
      <calculatedColumnFormula>MemberOfAssemblyAssemblyDistrict40General[[#This Row],[Part of Queens County Vote Results]]</calculatedColumnFormula>
      <totalsRowFormula>SUM(MemberOfAssemblyAssemblyDistrict40General[Total Votes by Party])</totalsRowFormula>
    </tableColumn>
    <tableColumn id="2" xr3:uid="{E471AFE5-84B3-49CA-8E70-6E673D4E00B4}" name="Total Votes by Candidate" dataDxfId="1729" totalsRowDxfId="1728"/>
  </tableColumns>
  <tableStyleInfo name="TableStyleMedium2"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CB7CBE9-7BEF-4FE8-843A-9C82E9A7DED5}" name="RepInCongressCongressionalDistrict4General" displayName="RepInCongressCongressionalDistrict4General" ref="A2:D10" totalsRowCount="1" headerRowDxfId="3761" dataDxfId="3759" totalsRowDxfId="3757" headerRowBorderDxfId="3760" tableBorderDxfId="3758" totalsRowBorderDxfId="3756">
  <autoFilter ref="A2:D9" xr:uid="{921EDB68-DC53-40F7-A5D9-925E119F012C}">
    <filterColumn colId="0" hiddenButton="1"/>
    <filterColumn colId="1" hiddenButton="1"/>
    <filterColumn colId="2" hiddenButton="1"/>
    <filterColumn colId="3" hiddenButton="1"/>
  </autoFilter>
  <tableColumns count="4">
    <tableColumn id="1" xr3:uid="{422BE283-2158-4A0A-99AF-0346CF901B1A}" name="Candidate Name (Party)" totalsRowLabel="Total Votes by County" dataDxfId="3755" totalsRowDxfId="3754"/>
    <tableColumn id="4" xr3:uid="{EB248FBF-840E-4B1C-8F7F-C754CF8E5A40}" name="Part of Nassau County Vote Results" totalsRowFunction="custom" dataDxfId="3753" totalsRowDxfId="3752">
      <totalsRowFormula>SUM(RepInCongressCongressionalDistrict4General[Part of Nassau County Vote Results])</totalsRowFormula>
    </tableColumn>
    <tableColumn id="3" xr3:uid="{B5ED1151-5CBD-4844-A60B-BBEE7FA76608}" name="Total Votes by Party" totalsRowFunction="custom" dataDxfId="3751" totalsRowDxfId="3750">
      <calculatedColumnFormula>RepInCongressCongressionalDistrict4General[[#This Row],[Part of Nassau County Vote Results]]</calculatedColumnFormula>
      <totalsRowFormula>SUM(RepInCongressCongressionalDistrict4General[Total Votes by Party])</totalsRowFormula>
    </tableColumn>
    <tableColumn id="2" xr3:uid="{1C749E18-B750-48AE-BCCE-C4E4A9100066}" name="Total Votes by Candidate" dataDxfId="3749" totalsRowDxfId="3748">
      <calculatedColumnFormula>SUM(RepInCongressCongressionalDistrict4General[[#This Row],[Total Votes by Party]],C4)</calculatedColumnFormula>
    </tableColumn>
  </tableColumns>
  <tableStyleInfo name="TableStyleMedium2" showFirstColumn="0" showLastColumn="0" showRowStripes="0" showColumnStripes="0"/>
</table>
</file>

<file path=xl/tables/table1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0" xr:uid="{8DA29507-D39A-40C0-9C1F-03BA654D719F}" name="MemberOfAssemblyAssemblyDistrict41General" displayName="MemberOfAssemblyAssemblyDistrict41General" ref="A2:D9" totalsRowCount="1" headerRowDxfId="1727" dataDxfId="1725" totalsRowDxfId="1723" headerRowBorderDxfId="1726" tableBorderDxfId="1724" totalsRowBorderDxfId="1722">
  <autoFilter ref="A2:D8" xr:uid="{E913C536-E0A8-4B7A-8CEB-34AD3DFB923F}">
    <filterColumn colId="0" hiddenButton="1"/>
    <filterColumn colId="1" hiddenButton="1"/>
    <filterColumn colId="2" hiddenButton="1"/>
    <filterColumn colId="3" hiddenButton="1"/>
  </autoFilter>
  <tableColumns count="4">
    <tableColumn id="1" xr3:uid="{E6BE85CC-1FFC-4D0D-BCCC-594AA002070E}" name="Candidate Name (Party)" totalsRowLabel="Total Votes by County" dataDxfId="1721" totalsRowDxfId="1720"/>
    <tableColumn id="4" xr3:uid="{AF2C8CFF-7ADD-4184-B55E-C8D5DBAACF78}" name="Part of Kings County Vote Results" totalsRowFunction="custom" dataDxfId="1719" totalsRowDxfId="1718">
      <totalsRowFormula>SUM(MemberOfAssemblyAssemblyDistrict41General[Part of Kings County Vote Results])</totalsRowFormula>
    </tableColumn>
    <tableColumn id="3" xr3:uid="{34E32B7C-C088-4B36-9A3F-D8C4F4DAE256}" name="Total Votes by Party" totalsRowFunction="custom" dataDxfId="1717" totalsRowDxfId="1716">
      <calculatedColumnFormula>MemberOfAssemblyAssemblyDistrict41General[[#This Row],[Part of Kings County Vote Results]]</calculatedColumnFormula>
      <totalsRowFormula>SUM(MemberOfAssemblyAssemblyDistrict41General[Total Votes by Party])</totalsRowFormula>
    </tableColumn>
    <tableColumn id="2" xr3:uid="{5EE5345C-C6F1-4FFF-8B1E-21465390D7FD}" name="Total Votes by Candidate" dataDxfId="1715" totalsRowDxfId="1714"/>
  </tableColumns>
  <tableStyleInfo name="TableStyleMedium2" showFirstColumn="0" showLastColumn="0" showRowStripes="0" showColumnStripes="0"/>
</table>
</file>

<file path=xl/tables/table1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9" xr:uid="{C29AB9C7-2BEB-4987-AC13-41364E0ABFC4}" name="MemberOfAssemblyAssemblyDistrict42General" displayName="MemberOfAssemblyAssemblyDistrict42General" ref="A2:D7" totalsRowCount="1" headerRowDxfId="1713" dataDxfId="1711" totalsRowDxfId="1709" headerRowBorderDxfId="1712" tableBorderDxfId="1710" totalsRowBorderDxfId="1708">
  <autoFilter ref="A2:D6" xr:uid="{02027DAB-EEA2-4592-AAA2-F47BF2CD7479}">
    <filterColumn colId="0" hiddenButton="1"/>
    <filterColumn colId="1" hiddenButton="1"/>
    <filterColumn colId="2" hiddenButton="1"/>
    <filterColumn colId="3" hiddenButton="1"/>
  </autoFilter>
  <tableColumns count="4">
    <tableColumn id="1" xr3:uid="{BE2DD2DD-35E2-4F64-AD35-7F508D904775}" name="Candidate Name (Party)" totalsRowLabel="Total Votes by County" dataDxfId="1707" totalsRowDxfId="1706"/>
    <tableColumn id="4" xr3:uid="{33724650-079B-4E7B-90D9-F26851841470}" name="Part of Kings County Vote Results" totalsRowFunction="custom" dataDxfId="1705" totalsRowDxfId="1704">
      <totalsRowFormula>SUM(MemberOfAssemblyAssemblyDistrict42General[Part of Kings County Vote Results])</totalsRowFormula>
    </tableColumn>
    <tableColumn id="3" xr3:uid="{A6912196-186B-417E-8008-73D61182787B}" name="Total Votes by Party" totalsRowFunction="custom" dataDxfId="1703" totalsRowDxfId="1702">
      <calculatedColumnFormula>MemberOfAssemblyAssemblyDistrict42General[[#This Row],[Part of Kings County Vote Results]]</calculatedColumnFormula>
      <totalsRowFormula>SUM(MemberOfAssemblyAssemblyDistrict42General[Total Votes by Party])</totalsRowFormula>
    </tableColumn>
    <tableColumn id="2" xr3:uid="{7C2D23B2-CC6B-47FF-8784-992E8031D226}" name="Total Votes by Candidate" dataDxfId="1701" totalsRowDxfId="1700">
      <calculatedColumnFormula>SUM(MemberOfAssemblyAssemblyDistrict42General[[#This Row],[Total Votes by Party]])</calculatedColumnFormula>
    </tableColumn>
  </tableColumns>
  <tableStyleInfo name="TableStyleMedium2" showFirstColumn="0" showLastColumn="0" showRowStripes="0" showColumnStripes="0"/>
</table>
</file>

<file path=xl/tables/table1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8" xr:uid="{B6B33685-E219-499E-91AB-E7D1DCD70037}" name="MemberOfAssemblyAssemblyDistrict43General" displayName="MemberOfAssemblyAssemblyDistrict43General" ref="A2:D8" totalsRowCount="1" headerRowDxfId="1699" dataDxfId="1697" totalsRowDxfId="1695" headerRowBorderDxfId="1698" tableBorderDxfId="1696" totalsRowBorderDxfId="1694">
  <autoFilter ref="A2:D7" xr:uid="{9AE16682-B515-45EE-912B-69FCDE72BB7E}">
    <filterColumn colId="0" hiddenButton="1"/>
    <filterColumn colId="1" hiddenButton="1"/>
    <filterColumn colId="2" hiddenButton="1"/>
    <filterColumn colId="3" hiddenButton="1"/>
  </autoFilter>
  <tableColumns count="4">
    <tableColumn id="1" xr3:uid="{3CCB5CBB-3FB4-40AE-8F39-34F3CA0B1BB7}" name="Candidate Name (Party)" totalsRowLabel="Total Votes by County" dataDxfId="1693" totalsRowDxfId="1692"/>
    <tableColumn id="4" xr3:uid="{42B62510-1FA5-4479-BB4B-7C3DCCC63E17}" name="Part of Kings County Vote Results" totalsRowFunction="custom" dataDxfId="1691" totalsRowDxfId="1690">
      <totalsRowFormula>SUM(MemberOfAssemblyAssemblyDistrict43General[Part of Kings County Vote Results])</totalsRowFormula>
    </tableColumn>
    <tableColumn id="3" xr3:uid="{E5B4FF20-D4AF-4A4C-9BD8-4740D1C39ECD}" name="Total Votes by Party" totalsRowFunction="custom" dataDxfId="1689" totalsRowDxfId="1688">
      <calculatedColumnFormula>MemberOfAssemblyAssemblyDistrict43General[[#This Row],[Part of Kings County Vote Results]]</calculatedColumnFormula>
      <totalsRowFormula>SUM(MemberOfAssemblyAssemblyDistrict43General[Total Votes by Party])</totalsRowFormula>
    </tableColumn>
    <tableColumn id="2" xr3:uid="{A025AA50-941F-42A1-A50F-8B4B84348F37}" name="Total Votes by Candidate" dataDxfId="1687" totalsRowDxfId="1686"/>
  </tableColumns>
  <tableStyleInfo name="TableStyleMedium2" showFirstColumn="0" showLastColumn="0" showRowStripes="0" showColumnStripes="0"/>
</table>
</file>

<file path=xl/tables/table1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7" xr:uid="{F321E463-5A37-4092-BBCA-272D66B75121}" name="MemberOfAssemblyAssemblyDistrict44General" displayName="MemberOfAssemblyAssemblyDistrict44General" ref="A2:D10" totalsRowCount="1" headerRowDxfId="1685" dataDxfId="1683" totalsRowDxfId="1681" headerRowBorderDxfId="1684" tableBorderDxfId="1682" totalsRowBorderDxfId="1680">
  <autoFilter ref="A2:D9" xr:uid="{BF443498-A9FC-4D58-8AD9-9DD17D2D8AD3}">
    <filterColumn colId="0" hiddenButton="1"/>
    <filterColumn colId="1" hiddenButton="1"/>
    <filterColumn colId="2" hiddenButton="1"/>
    <filterColumn colId="3" hiddenButton="1"/>
  </autoFilter>
  <tableColumns count="4">
    <tableColumn id="1" xr3:uid="{8E0A299B-6B4D-41C0-9C75-5BC2E5349F03}" name="Candidate Name (Party)" totalsRowLabel="Total Votes by County" dataDxfId="1679" totalsRowDxfId="1678"/>
    <tableColumn id="4" xr3:uid="{A4903807-8225-4164-B585-9351E16B04F4}" name="Part of Kings County Vote Results" totalsRowFunction="custom" dataDxfId="1677" totalsRowDxfId="1676">
      <totalsRowFormula>SUM(MemberOfAssemblyAssemblyDistrict44General[Part of Kings County Vote Results])</totalsRowFormula>
    </tableColumn>
    <tableColumn id="3" xr3:uid="{9E2690D8-8D52-4C9D-ADAF-3E54ED9648DD}" name="Total Votes by Party" totalsRowFunction="custom" dataDxfId="1675" totalsRowDxfId="1674">
      <calculatedColumnFormula>MemberOfAssemblyAssemblyDistrict44General[[#This Row],[Part of Kings County Vote Results]]</calculatedColumnFormula>
      <totalsRowFormula>SUM(MemberOfAssemblyAssemblyDistrict44General[Total Votes by Party])</totalsRowFormula>
    </tableColumn>
    <tableColumn id="2" xr3:uid="{F6E17786-3614-4E26-A877-E286F4AB253D}" name="Total Votes by Candidate" dataDxfId="1673" totalsRowDxfId="1672"/>
  </tableColumns>
  <tableStyleInfo name="TableStyleMedium2" showFirstColumn="0" showLastColumn="0" showRowStripes="0" showColumnStripes="0"/>
</table>
</file>

<file path=xl/tables/table1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6" xr:uid="{E0427A67-74A6-47E8-9925-724936149195}" name="MemberOfAssemblyAssemblyDistrict45General" displayName="MemberOfAssemblyAssemblyDistrict45General" ref="A2:D9" totalsRowCount="1" headerRowDxfId="1671" dataDxfId="1669" totalsRowDxfId="1667" headerRowBorderDxfId="1670" tableBorderDxfId="1668" totalsRowBorderDxfId="1666">
  <autoFilter ref="A2:D8" xr:uid="{9E2524FB-8412-449B-91CD-51AF3E3C3668}">
    <filterColumn colId="0" hiddenButton="1"/>
    <filterColumn colId="1" hiddenButton="1"/>
    <filterColumn colId="2" hiddenButton="1"/>
    <filterColumn colId="3" hiddenButton="1"/>
  </autoFilter>
  <tableColumns count="4">
    <tableColumn id="1" xr3:uid="{85DF2E5B-0A64-439A-BE0E-267BB37C9C71}" name="Candidate Name (Party)" totalsRowLabel="Total Votes by County" dataDxfId="1665" totalsRowDxfId="1664"/>
    <tableColumn id="4" xr3:uid="{75C793B2-8C4F-4B0C-A83A-2420C9C4A109}" name="Part of Kings County Vote Results" totalsRowFunction="custom" dataDxfId="1663" totalsRowDxfId="1662">
      <totalsRowFormula>SUM(MemberOfAssemblyAssemblyDistrict45General[Part of Kings County Vote Results])</totalsRowFormula>
    </tableColumn>
    <tableColumn id="3" xr3:uid="{F891A4E9-B7BA-48CC-AA64-755D60E03F4C}" name="Total Votes by Party" totalsRowFunction="custom" dataDxfId="1661" totalsRowDxfId="1660">
      <calculatedColumnFormula>MemberOfAssemblyAssemblyDistrict45General[[#This Row],[Part of Kings County Vote Results]]</calculatedColumnFormula>
      <totalsRowFormula>SUM(MemberOfAssemblyAssemblyDistrict45General[Total Votes by Party])</totalsRowFormula>
    </tableColumn>
    <tableColumn id="2" xr3:uid="{2A0A8C1B-49A7-4637-811C-36349DE3ABD2}" name="Total Votes by Candidate" dataDxfId="1659" totalsRowDxfId="1658">
      <calculatedColumnFormula>SUM(MemberOfAssemblyAssemblyDistrict45General[[#This Row],[Total Votes by Party]],C4,C5)</calculatedColumnFormula>
    </tableColumn>
  </tableColumns>
  <tableStyleInfo name="TableStyleMedium2" showFirstColumn="0" showLastColumn="0" showRowStripes="0" showColumnStripes="0"/>
</table>
</file>

<file path=xl/tables/table1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5" xr:uid="{B5090B3C-E659-4ACD-BE18-A15F4AC35943}" name="MemberOfAssemblyAssemblyDistrict46General" displayName="MemberOfAssemblyAssemblyDistrict46General" ref="A2:D9" totalsRowCount="1" headerRowDxfId="1657" dataDxfId="1655" totalsRowDxfId="1653" headerRowBorderDxfId="1656" tableBorderDxfId="1654" totalsRowBorderDxfId="1652">
  <autoFilter ref="A2:D8" xr:uid="{19AF2228-AB79-4BFC-9FF2-B9E556269E0B}">
    <filterColumn colId="0" hiddenButton="1"/>
    <filterColumn colId="1" hiddenButton="1"/>
    <filterColumn colId="2" hiddenButton="1"/>
    <filterColumn colId="3" hiddenButton="1"/>
  </autoFilter>
  <tableColumns count="4">
    <tableColumn id="1" xr3:uid="{C5F1B4EE-C332-4135-AA1E-EBEA381F1859}" name="Candidate Name (Party)" totalsRowLabel="Total Votes by County" dataDxfId="1651" totalsRowDxfId="1650"/>
    <tableColumn id="4" xr3:uid="{43FD436F-6036-4173-A580-102EE3943ACF}" name="Part of Kings County Vote Results" totalsRowFunction="custom" dataDxfId="1649" totalsRowDxfId="1648">
      <totalsRowFormula>SUM(MemberOfAssemblyAssemblyDistrict46General[Part of Kings County Vote Results])</totalsRowFormula>
    </tableColumn>
    <tableColumn id="3" xr3:uid="{FC5DEF75-CB99-4C6C-B204-7A8201B5B470}" name="Total Votes by Party" totalsRowFunction="custom" dataDxfId="1647" totalsRowDxfId="1646">
      <calculatedColumnFormula>MemberOfAssemblyAssemblyDistrict46General[[#This Row],[Part of Kings County Vote Results]]</calculatedColumnFormula>
      <totalsRowFormula>SUM(MemberOfAssemblyAssemblyDistrict46General[Total Votes by Party])</totalsRowFormula>
    </tableColumn>
    <tableColumn id="2" xr3:uid="{770FAF7B-59B0-4E34-A071-7D0E84E2F1F1}" name="Total Votes by Candidate" dataDxfId="1645" totalsRowDxfId="1644"/>
  </tableColumns>
  <tableStyleInfo name="TableStyleMedium2" showFirstColumn="0" showLastColumn="0" showRowStripes="0" showColumnStripes="0"/>
</table>
</file>

<file path=xl/tables/table1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4" xr:uid="{1612150C-7696-457C-8716-022E23E9E8A5}" name="MemberOfAssemblyAssemblyDistrict47General" displayName="MemberOfAssemblyAssemblyDistrict47General" ref="A2:D9" totalsRowCount="1" headerRowDxfId="1643" dataDxfId="1641" totalsRowDxfId="1639" headerRowBorderDxfId="1642" tableBorderDxfId="1640" totalsRowBorderDxfId="1638">
  <autoFilter ref="A2:D8" xr:uid="{0FB500D4-5CF3-4FDD-8B03-C8032820ABE3}">
    <filterColumn colId="0" hiddenButton="1"/>
    <filterColumn colId="1" hiddenButton="1"/>
    <filterColumn colId="2" hiddenButton="1"/>
    <filterColumn colId="3" hiddenButton="1"/>
  </autoFilter>
  <tableColumns count="4">
    <tableColumn id="1" xr3:uid="{DBCD6108-EED8-4435-A60A-CDF6B91BA609}" name="Candidate Name (Party)" totalsRowLabel="Total Votes by County" dataDxfId="1637" totalsRowDxfId="1636"/>
    <tableColumn id="4" xr3:uid="{F2F22E6F-0E4C-4BC9-9D5C-4AD8FBF60AC9}" name="Part of Kings County Vote Results" totalsRowFunction="custom" dataDxfId="1635" totalsRowDxfId="1634">
      <totalsRowFormula>SUM(MemberOfAssemblyAssemblyDistrict47General[Part of Kings County Vote Results])</totalsRowFormula>
    </tableColumn>
    <tableColumn id="3" xr3:uid="{E3BD216C-D8EC-4DAA-ACE4-50FEBC983C2E}" name="Total Votes by Party" totalsRowFunction="custom" dataDxfId="1633" totalsRowDxfId="1632">
      <calculatedColumnFormula>MemberOfAssemblyAssemblyDistrict47General[[#This Row],[Part of Kings County Vote Results]]</calculatedColumnFormula>
      <totalsRowFormula>SUM(MemberOfAssemblyAssemblyDistrict47General[Total Votes by Party])</totalsRowFormula>
    </tableColumn>
    <tableColumn id="2" xr3:uid="{1136B82E-C10E-4919-981D-5DA7CB96B81A}" name="Total Votes by Candidate" dataDxfId="1631" totalsRowDxfId="1630"/>
  </tableColumns>
  <tableStyleInfo name="TableStyleMedium2" showFirstColumn="0" showLastColumn="0" showRowStripes="0" showColumnStripes="0"/>
</table>
</file>

<file path=xl/tables/table1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3" xr:uid="{EDEB2BA3-B467-48AF-AA2A-B285BCFA0EBD}" name="MemberOfAssemblyAssemblyDistrict48General" displayName="MemberOfAssemblyAssemblyDistrict48General" ref="A2:D8" totalsRowCount="1" headerRowDxfId="1629" dataDxfId="1627" totalsRowDxfId="1625" headerRowBorderDxfId="1628" tableBorderDxfId="1626" totalsRowBorderDxfId="1624">
  <autoFilter ref="A2:D7" xr:uid="{53D9526B-6E5F-4B46-9406-5E6519827817}">
    <filterColumn colId="0" hiddenButton="1"/>
    <filterColumn colId="1" hiddenButton="1"/>
    <filterColumn colId="2" hiddenButton="1"/>
    <filterColumn colId="3" hiddenButton="1"/>
  </autoFilter>
  <tableColumns count="4">
    <tableColumn id="1" xr3:uid="{1906E2D4-E560-48A2-938F-3824B751B9B5}" name="Candidate Name (Party)" totalsRowLabel="Total Votes by County" dataDxfId="1623" totalsRowDxfId="1622"/>
    <tableColumn id="4" xr3:uid="{6EF1F42C-2BE9-4E55-A3DD-D35FE2096BC0}" name="Part of Kings County Vote Results" totalsRowFunction="custom" dataDxfId="1621" totalsRowDxfId="1620">
      <totalsRowFormula>SUM(MemberOfAssemblyAssemblyDistrict48General[Part of Kings County Vote Results])</totalsRowFormula>
    </tableColumn>
    <tableColumn id="3" xr3:uid="{9C384AE6-E4CD-4065-B052-42C1BB406954}" name="Total Votes by Party" totalsRowFunction="custom" dataDxfId="1619" totalsRowDxfId="1618">
      <calculatedColumnFormula>MemberOfAssemblyAssemblyDistrict48General[[#This Row],[Part of Kings County Vote Results]]</calculatedColumnFormula>
      <totalsRowFormula>SUM(MemberOfAssemblyAssemblyDistrict48General[Total Votes by Party])</totalsRowFormula>
    </tableColumn>
    <tableColumn id="2" xr3:uid="{F7C34EAB-4465-4439-B6F9-A850164F9C80}" name="Total Votes by Candidate" dataDxfId="1617" totalsRowDxfId="1616">
      <calculatedColumnFormula>SUM(MemberOfAssemblyAssemblyDistrict48General[[#This Row],[Total Votes by Party]],C4)</calculatedColumnFormula>
    </tableColumn>
  </tableColumns>
  <tableStyleInfo name="TableStyleMedium2" showFirstColumn="0" showLastColumn="0" showRowStripes="0" showColumnStripes="0"/>
</table>
</file>

<file path=xl/tables/table1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2" xr:uid="{D6AD87C1-9FB6-4338-8EE9-064F583F2532}" name="MemberOfAssemblyAssemblyDistrict49General" displayName="MemberOfAssemblyAssemblyDistrict49General" ref="A2:D8" totalsRowCount="1" headerRowDxfId="1615" dataDxfId="1613" totalsRowDxfId="1611" headerRowBorderDxfId="1614" tableBorderDxfId="1612" totalsRowBorderDxfId="1610">
  <autoFilter ref="A2:D7" xr:uid="{C8C88C05-06A4-4214-ADD0-4029FF45B686}">
    <filterColumn colId="0" hiddenButton="1"/>
    <filterColumn colId="1" hiddenButton="1"/>
    <filterColumn colId="2" hiddenButton="1"/>
    <filterColumn colId="3" hiddenButton="1"/>
  </autoFilter>
  <tableColumns count="4">
    <tableColumn id="1" xr3:uid="{E1C58934-E98F-4EEB-B563-BB32F8976790}" name="Candidate Name (Party)" totalsRowLabel="Total Votes by County" dataDxfId="1609" totalsRowDxfId="1608"/>
    <tableColumn id="4" xr3:uid="{53C1543A-BE7E-4AEB-86D7-308864649454}" name="Part of Kings County Vote Results" totalsRowFunction="custom" dataDxfId="1607" totalsRowDxfId="1606">
      <totalsRowFormula>SUM(MemberOfAssemblyAssemblyDistrict49General[Part of Kings County Vote Results])</totalsRowFormula>
    </tableColumn>
    <tableColumn id="3" xr3:uid="{7917344F-4039-4B34-B2D3-D0C83175CE10}" name="Total Votes by Party" totalsRowFunction="custom" dataDxfId="1605" totalsRowDxfId="1604">
      <calculatedColumnFormula>MemberOfAssemblyAssemblyDistrict49General[[#This Row],[Part of Kings County Vote Results]]</calculatedColumnFormula>
      <totalsRowFormula>SUM(MemberOfAssemblyAssemblyDistrict49General[Total Votes by Party])</totalsRowFormula>
    </tableColumn>
    <tableColumn id="2" xr3:uid="{AEA891AE-4B8E-4FBB-894E-73E75BE2C178}" name="Total Votes by Candidate" dataDxfId="1603" totalsRowDxfId="1602"/>
  </tableColumns>
  <tableStyleInfo name="TableStyleMedium2" showFirstColumn="0" showLastColumn="0" showRowStripes="0" showColumnStripes="0"/>
</table>
</file>

<file path=xl/tables/table1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1" xr:uid="{553FBE89-D524-46D3-AD7A-8A43A62DB8CE}" name="MemberOfAssemblyAssemblyDistrict50General" displayName="MemberOfAssemblyAssemblyDistrict50General" ref="A2:D8" totalsRowCount="1" headerRowDxfId="1601" dataDxfId="1599" totalsRowDxfId="1597" headerRowBorderDxfId="1600" tableBorderDxfId="1598" totalsRowBorderDxfId="1596">
  <autoFilter ref="A2:D7" xr:uid="{EB6FA8A7-AE60-48F2-AE64-A3CE1B8F5364}">
    <filterColumn colId="0" hiddenButton="1"/>
    <filterColumn colId="1" hiddenButton="1"/>
    <filterColumn colId="2" hiddenButton="1"/>
    <filterColumn colId="3" hiddenButton="1"/>
  </autoFilter>
  <tableColumns count="4">
    <tableColumn id="1" xr3:uid="{E0ABA620-6EA0-42E0-96E1-52E643A3964A}" name="Candidate Name (Party)" totalsRowLabel="Total Votes by County" dataDxfId="1595" totalsRowDxfId="1594"/>
    <tableColumn id="4" xr3:uid="{1985DE49-359F-4F76-ACF7-E08C8C797FFB}" name="Part of Kings County Vote Results" totalsRowFunction="custom" dataDxfId="1593" totalsRowDxfId="1592">
      <totalsRowFormula>SUM(MemberOfAssemblyAssemblyDistrict50General[Part of Kings County Vote Results])</totalsRowFormula>
    </tableColumn>
    <tableColumn id="3" xr3:uid="{B7922865-D422-48A4-B49D-4D56A809947D}" name="Total Votes by Party" totalsRowFunction="custom" dataDxfId="1591" totalsRowDxfId="1590">
      <calculatedColumnFormula>MemberOfAssemblyAssemblyDistrict50General[[#This Row],[Part of Kings County Vote Results]]</calculatedColumnFormula>
      <totalsRowFormula>SUM(MemberOfAssemblyAssemblyDistrict50General[Total Votes by Party])</totalsRowFormula>
    </tableColumn>
    <tableColumn id="2" xr3:uid="{E07701D1-13BA-427B-8CF7-7D8CE3DE140E}" name="Total Votes by Candidate" dataDxfId="1589" totalsRowDxfId="1588">
      <calculatedColumnFormula>SUM(MemberOfAssemblyAssemblyDistrict50General[[#This Row],[Total Votes by Party]])</calculatedColumnFormula>
    </tableColumn>
  </tableColumns>
  <tableStyleInfo name="TableStyleMedium2" showFirstColumn="0"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76791C1-3855-44F7-8910-F1EB3D5BF558}" name="RepInCongressCongressionalDistrict5General" displayName="RepInCongressCongressionalDistrict5General" ref="A2:D9" totalsRowCount="1" headerRowDxfId="3747" dataDxfId="3745" totalsRowDxfId="3743" headerRowBorderDxfId="3746" tableBorderDxfId="3744" totalsRowBorderDxfId="3742">
  <autoFilter ref="A2:D8" xr:uid="{B823C752-69AB-40CC-A239-F27F579B07E4}">
    <filterColumn colId="0" hiddenButton="1"/>
    <filterColumn colId="1" hiddenButton="1"/>
    <filterColumn colId="2" hiddenButton="1"/>
    <filterColumn colId="3" hiddenButton="1"/>
  </autoFilter>
  <tableColumns count="4">
    <tableColumn id="1" xr3:uid="{CAF26B34-E23A-4305-9C11-F67C4FB57ED2}" name="Candidate Name (Party)" totalsRowLabel="Total Votes by County" dataDxfId="3741" totalsRowDxfId="3740"/>
    <tableColumn id="4" xr3:uid="{AFF712D7-7595-44EB-AC2C-5E3334AC8E4F}" name="Part of Queens County Vote Results" totalsRowFunction="custom" dataDxfId="3739" totalsRowDxfId="3738">
      <totalsRowFormula>SUM(RepInCongressCongressionalDistrict5General[Part of Queens County Vote Results])</totalsRowFormula>
    </tableColumn>
    <tableColumn id="3" xr3:uid="{0002DD2B-9C15-4871-ADAC-F7F70E6EAF7F}" name="Total Votes by Party" totalsRowFunction="custom" dataDxfId="3737" totalsRowDxfId="3736">
      <calculatedColumnFormula>SUM(RepInCongressCongressionalDistrict5General[[#This Row],[Part of Queens County Vote Results]])</calculatedColumnFormula>
      <totalsRowFormula>SUM(RepInCongressCongressionalDistrict5General[Total Votes by Party])</totalsRowFormula>
    </tableColumn>
    <tableColumn id="5" xr3:uid="{916D9BD5-FEF8-47BC-9B63-29E9001CDB6F}" name="Total Votes by Candidate" dataDxfId="3735" totalsRowDxfId="3734"/>
  </tableColumns>
  <tableStyleInfo name="TableStyleMedium2" showFirstColumn="0" showLastColumn="0" showRowStripes="0" showColumnStripes="0"/>
</table>
</file>

<file path=xl/tables/table1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0" xr:uid="{EEF7DBF3-D54A-4E62-93D4-D4F4593AC480}" name="MemberOfAssemblyAssemblyDistrict51General" displayName="MemberOfAssemblyAssemblyDistrict51General" ref="A2:D10" totalsRowCount="1" headerRowDxfId="1587" dataDxfId="1585" totalsRowDxfId="1583" headerRowBorderDxfId="1586" tableBorderDxfId="1584" totalsRowBorderDxfId="1582">
  <autoFilter ref="A2:D9" xr:uid="{BC690E10-EB3A-4CC2-91D0-994F8CCA005D}">
    <filterColumn colId="0" hiddenButton="1"/>
    <filterColumn colId="1" hiddenButton="1"/>
    <filterColumn colId="2" hiddenButton="1"/>
    <filterColumn colId="3" hiddenButton="1"/>
  </autoFilter>
  <tableColumns count="4">
    <tableColumn id="1" xr3:uid="{673C79E4-8223-4337-AB78-D0C90B85B00A}" name="Candidate Name (Party)" totalsRowLabel="Total Votes by County" dataDxfId="1581" totalsRowDxfId="1580"/>
    <tableColumn id="4" xr3:uid="{98F81190-AA2D-4F62-B57D-D2D97CDBA17F}" name="Part of Kings County Vote Results" totalsRowFunction="custom" dataDxfId="1579" totalsRowDxfId="1578">
      <totalsRowFormula>SUM(MemberOfAssemblyAssemblyDistrict51General[Part of Kings County Vote Results])</totalsRowFormula>
    </tableColumn>
    <tableColumn id="3" xr3:uid="{B832B928-38BC-40BB-953C-8AF76CB17D6B}" name="Total Votes by Party" totalsRowFunction="custom" dataDxfId="1577" totalsRowDxfId="1576">
      <calculatedColumnFormula>MemberOfAssemblyAssemblyDistrict51General[[#This Row],[Part of Kings County Vote Results]]</calculatedColumnFormula>
      <totalsRowFormula>SUM(MemberOfAssemblyAssemblyDistrict51General[Total Votes by Party])</totalsRowFormula>
    </tableColumn>
    <tableColumn id="2" xr3:uid="{BC0E813E-0B25-4A2B-8510-4CBC6CDC8CF1}" name="Total Votes by Candidate" dataDxfId="1575" totalsRowDxfId="1574">
      <calculatedColumnFormula>SUM(MemberOfAssemblyAssemblyDistrict51General[[#This Row],[Total Votes by Party]],C4)</calculatedColumnFormula>
    </tableColumn>
  </tableColumns>
  <tableStyleInfo name="TableStyleMedium2" showFirstColumn="0" showLastColumn="0" showRowStripes="0" showColumnStripes="0"/>
</table>
</file>

<file path=xl/tables/table1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9" xr:uid="{AD5A6116-2871-4490-9D76-BC41AB968482}" name="MemberOfAssemblyAssemblyDistrict52General" displayName="MemberOfAssemblyAssemblyDistrict52General" ref="A2:D9" totalsRowCount="1" headerRowDxfId="1573" dataDxfId="1571" totalsRowDxfId="1569" headerRowBorderDxfId="1572" tableBorderDxfId="1570" totalsRowBorderDxfId="1568">
  <autoFilter ref="A2:D8" xr:uid="{43466E36-55A7-49C8-A7BF-50584D28DAF0}">
    <filterColumn colId="0" hiddenButton="1"/>
    <filterColumn colId="1" hiddenButton="1"/>
    <filterColumn colId="2" hiddenButton="1"/>
    <filterColumn colId="3" hiddenButton="1"/>
  </autoFilter>
  <tableColumns count="4">
    <tableColumn id="1" xr3:uid="{2BD9DA28-8E44-418C-9C63-6615134AB0AC}" name="Candidate Name (Party)" totalsRowLabel="Total Votes by County" dataDxfId="1567" totalsRowDxfId="1566"/>
    <tableColumn id="4" xr3:uid="{2295F8F7-D14D-420B-91ED-E81177ED0008}" name="Part of Kings County Vote Results" totalsRowFunction="custom" dataDxfId="1565" totalsRowDxfId="1564">
      <totalsRowFormula>SUM(MemberOfAssemblyAssemblyDistrict52General[Part of Kings County Vote Results])</totalsRowFormula>
    </tableColumn>
    <tableColumn id="3" xr3:uid="{FA0D03FA-18A9-4BE4-8A6D-CCDD62E8D8E4}" name="Total Votes by Party" totalsRowFunction="custom" dataDxfId="1563" totalsRowDxfId="1562">
      <calculatedColumnFormula>MemberOfAssemblyAssemblyDistrict52General[[#This Row],[Part of Kings County Vote Results]]</calculatedColumnFormula>
      <totalsRowFormula>SUM(MemberOfAssemblyAssemblyDistrict52General[Total Votes by Party])</totalsRowFormula>
    </tableColumn>
    <tableColumn id="2" xr3:uid="{1088EED8-3812-4FF9-B60F-6BB070A87C6E}" name="Total Votes by Candidate" dataDxfId="1561" totalsRowDxfId="1560">
      <calculatedColumnFormula>SUM(MemberOfAssemblyAssemblyDistrict52General[[#This Row],[Total Votes by Party]],C4)</calculatedColumnFormula>
    </tableColumn>
  </tableColumns>
  <tableStyleInfo name="TableStyleMedium2" showFirstColumn="0" showLastColumn="0" showRowStripes="0" showColumnStripes="0"/>
</table>
</file>

<file path=xl/tables/table1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8" xr:uid="{B2ACE975-87D9-4230-A737-479276B200D7}" name="MemberOfAssemblyAssemblyDistrict53General" displayName="MemberOfAssemblyAssemblyDistrict53General" ref="A2:D7" totalsRowCount="1" headerRowDxfId="1559" dataDxfId="1557" totalsRowDxfId="1555" headerRowBorderDxfId="1558" tableBorderDxfId="1556" totalsRowBorderDxfId="1554">
  <autoFilter ref="A2:D6" xr:uid="{8D067293-3DBB-4DA1-A7C5-D1CEAD629054}">
    <filterColumn colId="0" hiddenButton="1"/>
    <filterColumn colId="1" hiddenButton="1"/>
    <filterColumn colId="2" hiddenButton="1"/>
    <filterColumn colId="3" hiddenButton="1"/>
  </autoFilter>
  <tableColumns count="4">
    <tableColumn id="1" xr3:uid="{3AE0D8E5-E59B-4895-AF0C-37C473B227D3}" name="Candidate Name (Party)" totalsRowLabel="Total Votes by County" dataDxfId="1553" totalsRowDxfId="1552"/>
    <tableColumn id="4" xr3:uid="{E98B0542-1D6A-4CD5-A097-5CCE815183AC}" name="Part of Kings County Vote Results" totalsRowFunction="custom" dataDxfId="1551" totalsRowDxfId="1550">
      <totalsRowFormula>SUM(MemberOfAssemblyAssemblyDistrict53General[Part of Kings County Vote Results])</totalsRowFormula>
    </tableColumn>
    <tableColumn id="3" xr3:uid="{3C776914-3E3C-4900-AFC7-E5851855500A}" name="Total Votes by Party" totalsRowFunction="custom" dataDxfId="1549" totalsRowDxfId="1548">
      <calculatedColumnFormula>MemberOfAssemblyAssemblyDistrict53General[[#This Row],[Part of Kings County Vote Results]]</calculatedColumnFormula>
      <totalsRowFormula>SUM(MemberOfAssemblyAssemblyDistrict53General[Total Votes by Party])</totalsRowFormula>
    </tableColumn>
    <tableColumn id="2" xr3:uid="{F3AEFEF2-87C7-49C0-BF9E-0E5457FF0780}" name="Total Votes by Candidate" dataDxfId="1547" totalsRowDxfId="1546">
      <calculatedColumnFormula>SUM(MemberOfAssemblyAssemblyDistrict53General[[#This Row],[Total Votes by Party]])</calculatedColumnFormula>
    </tableColumn>
  </tableColumns>
  <tableStyleInfo name="TableStyleMedium2" showFirstColumn="0" showLastColumn="0" showRowStripes="0" showColumnStripes="0"/>
</table>
</file>

<file path=xl/tables/table1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7" xr:uid="{A6887242-6AE0-403B-858A-7BC36E6D5FD9}" name="MemberOfAssemblyAssemblyDistrict54General" displayName="MemberOfAssemblyAssemblyDistrict54General" ref="A2:D7" totalsRowCount="1" headerRowDxfId="1545" dataDxfId="1543" totalsRowDxfId="1541" headerRowBorderDxfId="1544" tableBorderDxfId="1542" totalsRowBorderDxfId="1540">
  <autoFilter ref="A2:D6" xr:uid="{1CF8D885-C45F-4D89-A766-3A66B39900A8}">
    <filterColumn colId="0" hiddenButton="1"/>
    <filterColumn colId="1" hiddenButton="1"/>
    <filterColumn colId="2" hiddenButton="1"/>
    <filterColumn colId="3" hiddenButton="1"/>
  </autoFilter>
  <tableColumns count="4">
    <tableColumn id="1" xr3:uid="{074910D2-A988-4FE8-9F9C-CD1995DA12F7}" name="Candidate Name (Party)" totalsRowLabel="Total Votes by County" dataDxfId="1539" totalsRowDxfId="1538"/>
    <tableColumn id="4" xr3:uid="{99700884-B96F-4D1F-8CA2-D2FD0583942A}" name="Part of Kings County Vote Results" totalsRowFunction="custom" dataDxfId="1537" totalsRowDxfId="1536">
      <totalsRowFormula>SUM(MemberOfAssemblyAssemblyDistrict54General[Part of Kings County Vote Results])</totalsRowFormula>
    </tableColumn>
    <tableColumn id="3" xr3:uid="{1E902689-DCF1-45DB-8AA9-B189DAF711E5}" name="Total Votes by Party" totalsRowFunction="custom" dataDxfId="1535" totalsRowDxfId="1534">
      <calculatedColumnFormula>MemberOfAssemblyAssemblyDistrict54General[[#This Row],[Part of Kings County Vote Results]]</calculatedColumnFormula>
      <totalsRowFormula>SUM(MemberOfAssemblyAssemblyDistrict54General[Total Votes by Party])</totalsRowFormula>
    </tableColumn>
    <tableColumn id="2" xr3:uid="{CC839405-BBB3-4358-8DAD-5445BFC4BA6F}" name="Total Votes by Candidate" dataDxfId="1533" totalsRowDxfId="1532"/>
  </tableColumns>
  <tableStyleInfo name="TableStyleMedium2" showFirstColumn="0" showLastColumn="0" showRowStripes="0" showColumnStripes="0"/>
</table>
</file>

<file path=xl/tables/table1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6" xr:uid="{60AF5E34-58A6-4201-8478-E59913150457}" name="MemberOfAssemblyAssemblyDistrict55General" displayName="MemberOfAssemblyAssemblyDistrict55General" ref="A2:D9" totalsRowCount="1" headerRowDxfId="1531" dataDxfId="1529" totalsRowDxfId="1527" headerRowBorderDxfId="1530" tableBorderDxfId="1528" totalsRowBorderDxfId="1526">
  <autoFilter ref="A2:D8" xr:uid="{F456B5FE-B223-4E84-BC39-EED62A2AF260}">
    <filterColumn colId="0" hiddenButton="1"/>
    <filterColumn colId="1" hiddenButton="1"/>
    <filterColumn colId="2" hiddenButton="1"/>
    <filterColumn colId="3" hiddenButton="1"/>
  </autoFilter>
  <tableColumns count="4">
    <tableColumn id="1" xr3:uid="{9343E3BA-8438-4FBA-94D5-F2E38E135B13}" name="Candidate Name (Party)" totalsRowLabel="Total Votes by County" dataDxfId="1525" totalsRowDxfId="1524"/>
    <tableColumn id="4" xr3:uid="{15A3E62D-DD5F-4AA9-B1EF-9878B28F95F1}" name="Part of Kings County Vote Results" totalsRowFunction="custom" dataDxfId="1523" totalsRowDxfId="1522">
      <totalsRowFormula>SUM(MemberOfAssemblyAssemblyDistrict55General[Part of Kings County Vote Results])</totalsRowFormula>
    </tableColumn>
    <tableColumn id="3" xr3:uid="{3CECD614-9539-4411-A311-30041ABE9B37}" name="Total Votes by Party" totalsRowFunction="custom" dataDxfId="1521" totalsRowDxfId="1520">
      <calculatedColumnFormula>MemberOfAssemblyAssemblyDistrict55General[[#This Row],[Part of Kings County Vote Results]]</calculatedColumnFormula>
      <totalsRowFormula>SUM(MemberOfAssemblyAssemblyDistrict55General[Total Votes by Party])</totalsRowFormula>
    </tableColumn>
    <tableColumn id="2" xr3:uid="{E6A08907-52D7-4387-B892-2126B683A77F}" name="Total Votes by Candidate" dataDxfId="1519" totalsRowDxfId="1518"/>
  </tableColumns>
  <tableStyleInfo name="TableStyleMedium2" showFirstColumn="0" showLastColumn="0" showRowStripes="0" showColumnStripes="0"/>
</table>
</file>

<file path=xl/tables/table1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5" xr:uid="{B44F77A4-12B4-4454-8D2E-5A79CC2EDF2D}" name="MemberOfAssemblyAssemblyDistrict56General" displayName="MemberOfAssemblyAssemblyDistrict56General" ref="A2:D7" totalsRowCount="1" headerRowDxfId="1517" dataDxfId="1515" totalsRowDxfId="1513" headerRowBorderDxfId="1516" tableBorderDxfId="1514" totalsRowBorderDxfId="1512">
  <autoFilter ref="A2:D6" xr:uid="{B43538B1-6F61-46C2-AEC0-8740BACEBF7F}">
    <filterColumn colId="0" hiddenButton="1"/>
    <filterColumn colId="1" hiddenButton="1"/>
    <filterColumn colId="2" hiddenButton="1"/>
    <filterColumn colId="3" hiddenButton="1"/>
  </autoFilter>
  <tableColumns count="4">
    <tableColumn id="1" xr3:uid="{E29884F2-5B05-4BA1-87C2-DFB8D02654A2}" name="Candidate Name (Party)" totalsRowLabel="Total Votes by County" dataDxfId="1511" totalsRowDxfId="1510"/>
    <tableColumn id="4" xr3:uid="{C7490CD7-A9A9-4CC0-A3AA-6DACADF04A4E}" name="Part of Kings County Vote Results" totalsRowFunction="custom" dataDxfId="1509" totalsRowDxfId="1508">
      <totalsRowFormula>SUM(MemberOfAssemblyAssemblyDistrict56General[Part of Kings County Vote Results])</totalsRowFormula>
    </tableColumn>
    <tableColumn id="3" xr3:uid="{78946B60-4F7D-44D5-8084-F7841356F76B}" name="Total Votes by Party" totalsRowFunction="custom" dataDxfId="1507" totalsRowDxfId="1506">
      <calculatedColumnFormula>MemberOfAssemblyAssemblyDistrict56General[[#This Row],[Part of Kings County Vote Results]]</calculatedColumnFormula>
      <totalsRowFormula>SUM(MemberOfAssemblyAssemblyDistrict56General[Total Votes by Party])</totalsRowFormula>
    </tableColumn>
    <tableColumn id="2" xr3:uid="{132A5B3A-BE51-422A-A144-E15A0C15D12D}" name="Total Votes by Candidate" dataDxfId="1505" totalsRowDxfId="1504">
      <calculatedColumnFormula>SUM(MemberOfAssemblyAssemblyDistrict56General[[#This Row],[Total Votes by Party]])</calculatedColumnFormula>
    </tableColumn>
  </tableColumns>
  <tableStyleInfo name="TableStyleMedium2" showFirstColumn="0" showLastColumn="0" showRowStripes="0" showColumnStripes="0"/>
</table>
</file>

<file path=xl/tables/table1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4" xr:uid="{34EA2101-4287-4A3E-B023-790A6A0341CE}" name="MemberOfAssemblyAssemblyDistrict57General" displayName="MemberOfAssemblyAssemblyDistrict57General" ref="A2:D7" totalsRowCount="1" headerRowDxfId="1503" dataDxfId="1501" totalsRowDxfId="1499" headerRowBorderDxfId="1502" tableBorderDxfId="1500" totalsRowBorderDxfId="1498">
  <autoFilter ref="A2:D6" xr:uid="{06885FD3-6BA0-4A8B-A771-AA4B6AD34E9B}">
    <filterColumn colId="0" hiddenButton="1"/>
    <filterColumn colId="1" hiddenButton="1"/>
    <filterColumn colId="2" hiddenButton="1"/>
    <filterColumn colId="3" hiddenButton="1"/>
  </autoFilter>
  <tableColumns count="4">
    <tableColumn id="1" xr3:uid="{50C31140-2EC4-4FC4-BAB1-93869C84CDC6}" name="Candidate Name (Party)" totalsRowLabel="Total Votes by County" dataDxfId="1497" totalsRowDxfId="1496"/>
    <tableColumn id="4" xr3:uid="{9E606A68-17F8-4F67-AD52-C4F51E532F43}" name="Part of Kings County Vote Results" totalsRowFunction="custom" dataDxfId="1495" totalsRowDxfId="1494">
      <totalsRowFormula>SUM(MemberOfAssemblyAssemblyDistrict57General[Part of Kings County Vote Results])</totalsRowFormula>
    </tableColumn>
    <tableColumn id="3" xr3:uid="{E0C0DE40-9B01-4D2D-BDEB-58B8817BE94E}" name="Total Votes by Party" totalsRowFunction="custom" dataDxfId="1493" totalsRowDxfId="1492">
      <calculatedColumnFormula>MemberOfAssemblyAssemblyDistrict57General[[#This Row],[Part of Kings County Vote Results]]</calculatedColumnFormula>
      <totalsRowFormula>SUM(MemberOfAssemblyAssemblyDistrict57General[Total Votes by Party])</totalsRowFormula>
    </tableColumn>
    <tableColumn id="2" xr3:uid="{62C3CE8F-BE27-45AA-A331-40DA1BB4881D}" name="Total Votes by Candidate" dataDxfId="1491" totalsRowDxfId="1490"/>
  </tableColumns>
  <tableStyleInfo name="TableStyleMedium2" showFirstColumn="0" showLastColumn="0" showRowStripes="0" showColumnStripes="0"/>
</table>
</file>

<file path=xl/tables/table1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3" xr:uid="{51FF0257-1580-47A3-8DF4-020B0BB609DC}" name="MemberOfAssemblyAssemblyDistrict58General" displayName="MemberOfAssemblyAssemblyDistrict58General" ref="A2:D7" totalsRowCount="1" headerRowDxfId="1489" dataDxfId="1487" totalsRowDxfId="1485" headerRowBorderDxfId="1488" tableBorderDxfId="1486" totalsRowBorderDxfId="1484">
  <autoFilter ref="A2:D6" xr:uid="{62F76209-C641-4D99-AF0C-3E463FCF6991}">
    <filterColumn colId="0" hiddenButton="1"/>
    <filterColumn colId="1" hiddenButton="1"/>
    <filterColumn colId="2" hiddenButton="1"/>
    <filterColumn colId="3" hiddenButton="1"/>
  </autoFilter>
  <tableColumns count="4">
    <tableColumn id="1" xr3:uid="{DF9C50B1-CA47-4D05-89D7-89F9F08DAAC2}" name="Candidate Name (Party)" totalsRowLabel="Total Votes by County" dataDxfId="1483" totalsRowDxfId="1482"/>
    <tableColumn id="4" xr3:uid="{E15675C7-D897-4A32-A423-C430247FC963}" name="Part of Kings County Vote Results" totalsRowFunction="custom" dataDxfId="1481" totalsRowDxfId="1480">
      <totalsRowFormula>SUM(MemberOfAssemblyAssemblyDistrict58General[Part of Kings County Vote Results])</totalsRowFormula>
    </tableColumn>
    <tableColumn id="3" xr3:uid="{459D27DD-25A0-4125-88A4-B4A00089C534}" name="Total Votes by Party" totalsRowFunction="custom" dataDxfId="1479" totalsRowDxfId="1478">
      <calculatedColumnFormula>MemberOfAssemblyAssemblyDistrict58General[[#This Row],[Part of Kings County Vote Results]]</calculatedColumnFormula>
      <totalsRowFormula>SUM(MemberOfAssemblyAssemblyDistrict58General[Total Votes by Party])</totalsRowFormula>
    </tableColumn>
    <tableColumn id="2" xr3:uid="{35853EB2-5BF7-4900-B6F2-0954B103343C}" name="Total Votes by Candidate" dataDxfId="1477" totalsRowDxfId="1476">
      <calculatedColumnFormula>SUM(MemberOfAssemblyAssemblyDistrict58General[[#This Row],[Total Votes by Party]])</calculatedColumnFormula>
    </tableColumn>
  </tableColumns>
  <tableStyleInfo name="TableStyleMedium2" showFirstColumn="0" showLastColumn="0" showRowStripes="0" showColumnStripes="0"/>
</table>
</file>

<file path=xl/tables/table1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2" xr:uid="{5FB19215-A1B9-4E4F-BE33-310F5C907A3E}" name="MemberOfAssemblyAssemblyDistrict59General" displayName="MemberOfAssemblyAssemblyDistrict59General" ref="A2:D9" totalsRowCount="1" headerRowDxfId="1475" dataDxfId="1473" totalsRowDxfId="1471" headerRowBorderDxfId="1474" tableBorderDxfId="1472" totalsRowBorderDxfId="1470">
  <autoFilter ref="A2:D8" xr:uid="{B879D523-A7B9-4628-BDB2-94E50B233A7C}">
    <filterColumn colId="0" hiddenButton="1"/>
    <filterColumn colId="1" hiddenButton="1"/>
    <filterColumn colId="2" hiddenButton="1"/>
    <filterColumn colId="3" hiddenButton="1"/>
  </autoFilter>
  <tableColumns count="4">
    <tableColumn id="1" xr3:uid="{45877FA0-A448-4A8C-A3A5-80A8E0D9BF0E}" name="Candidate Name (Party)" totalsRowLabel="Total Votes by County" dataDxfId="1469" totalsRowDxfId="1468"/>
    <tableColumn id="4" xr3:uid="{D2174138-3B73-4AD6-B244-2C79B0A05F30}" name="Part of Kings County Vote Results" totalsRowFunction="custom" dataDxfId="1467" totalsRowDxfId="1466">
      <totalsRowFormula>SUM(MemberOfAssemblyAssemblyDistrict59General[Part of Kings County Vote Results])</totalsRowFormula>
    </tableColumn>
    <tableColumn id="3" xr3:uid="{039C4EDA-B78E-416C-82E7-E63334A2EAA2}" name="Total Votes by Party" totalsRowFunction="custom" dataDxfId="1465" totalsRowDxfId="1464">
      <calculatedColumnFormula>MemberOfAssemblyAssemblyDistrict59General[[#This Row],[Part of Kings County Vote Results]]</calculatedColumnFormula>
      <totalsRowFormula>SUM(MemberOfAssemblyAssemblyDistrict59General[Total Votes by Party])</totalsRowFormula>
    </tableColumn>
    <tableColumn id="2" xr3:uid="{742F674D-C98D-4993-95C4-AF8BCFFC6964}" name="Total Votes by Candidate" dataDxfId="1463" totalsRowDxfId="1462">
      <calculatedColumnFormula>SUM(MemberOfAssemblyAssemblyDistrict59General[[#This Row],[Total Votes by Party]])</calculatedColumnFormula>
    </tableColumn>
  </tableColumns>
  <tableStyleInfo name="TableStyleMedium2" showFirstColumn="0" showLastColumn="0" showRowStripes="0" showColumnStripes="0"/>
</table>
</file>

<file path=xl/tables/table1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1" xr:uid="{06A389CF-07C5-4AE1-8022-4D2CCB441008}" name="MemberOfAssemblyAssemblyDistrict60General" displayName="MemberOfAssemblyAssemblyDistrict60General" ref="A2:D7" totalsRowCount="1" headerRowDxfId="1461" dataDxfId="1459" totalsRowDxfId="1457" headerRowBorderDxfId="1460" tableBorderDxfId="1458" totalsRowBorderDxfId="1456">
  <autoFilter ref="A2:D6" xr:uid="{2271CA26-1FB7-4662-AE25-2C1CA44CB5E7}">
    <filterColumn colId="0" hiddenButton="1"/>
    <filterColumn colId="1" hiddenButton="1"/>
    <filterColumn colId="2" hiddenButton="1"/>
    <filterColumn colId="3" hiddenButton="1"/>
  </autoFilter>
  <tableColumns count="4">
    <tableColumn id="1" xr3:uid="{E26892AC-F8BB-427C-A85D-AB25A8EAA6D4}" name="Candidate Name (Party)" totalsRowLabel="Total Votes by County" dataDxfId="1455" totalsRowDxfId="1454"/>
    <tableColumn id="4" xr3:uid="{5674069F-6B26-4651-ABDF-57BCE08AA566}" name="Part of Kings County Vote Results" totalsRowFunction="custom" dataDxfId="1453" totalsRowDxfId="1452">
      <totalsRowFormula>SUM(MemberOfAssemblyAssemblyDistrict60General[Part of Kings County Vote Results])</totalsRowFormula>
    </tableColumn>
    <tableColumn id="3" xr3:uid="{47E19BA9-BE41-4718-9FA6-3885EACE43FA}" name="Total Votes by Party" totalsRowFunction="custom" dataDxfId="1451" totalsRowDxfId="1450">
      <calculatedColumnFormula>MemberOfAssemblyAssemblyDistrict60General[[#This Row],[Part of Kings County Vote Results]]</calculatedColumnFormula>
      <totalsRowFormula>SUM(MemberOfAssemblyAssemblyDistrict60General[Total Votes by Party])</totalsRowFormula>
    </tableColumn>
    <tableColumn id="2" xr3:uid="{4693BF7D-48A3-4A59-AB5A-E3616337974A}" name="Total Votes by Candidate" dataDxfId="1449" totalsRowDxfId="1448">
      <calculatedColumnFormula>SUM(MemberOfAssemblyAssemblyDistrict60General[[#This Row],[Total Votes by Party]])</calculatedColumnFormula>
    </tableColumn>
  </tableColumns>
  <tableStyleInfo name="TableStyleMedium2" showFirstColumn="0"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49EF23-3073-41EE-B221-9AA5CDD8B069}" name="RepInCongressCongressionalDistrict6General" displayName="RepInCongressCongressionalDistrict6General" ref="A2:D10" totalsRowCount="1" headerRowDxfId="3733" dataDxfId="3731" totalsRowDxfId="3729" headerRowBorderDxfId="3732" tableBorderDxfId="3730" totalsRowBorderDxfId="3728">
  <autoFilter ref="A2:D9" xr:uid="{A5D383CB-B61F-4561-ADC3-55A409D5E370}">
    <filterColumn colId="0" hiddenButton="1"/>
    <filterColumn colId="1" hiddenButton="1"/>
    <filterColumn colId="2" hiddenButton="1"/>
    <filterColumn colId="3" hiddenButton="1"/>
  </autoFilter>
  <tableColumns count="4">
    <tableColumn id="1" xr3:uid="{DBBDC8DB-A564-4C09-BC7D-AFE18B06C5DB}" name="Candidate Name (Party)" totalsRowLabel="Total Votes by County" dataDxfId="3727" totalsRowDxfId="3726"/>
    <tableColumn id="4" xr3:uid="{79004065-7C2E-49E4-A183-33DDAA4EB05E}" name="Part of Queens County Vote Results" totalsRowFunction="custom" dataDxfId="3725" totalsRowDxfId="3724">
      <totalsRowFormula>SUM(RepInCongressCongressionalDistrict6General[Part of Queens County Vote Results])</totalsRowFormula>
    </tableColumn>
    <tableColumn id="3" xr3:uid="{1E8AE91C-2688-413F-AFED-4BD33BF88D05}" name="Total Votes by Party" totalsRowFunction="custom" dataDxfId="3723" totalsRowDxfId="3722">
      <calculatedColumnFormula>RepInCongressCongressionalDistrict6General[[#This Row],[Part of Queens County Vote Results]]</calculatedColumnFormula>
      <totalsRowFormula>SUM(RepInCongressCongressionalDistrict6General[Total Votes by Party])</totalsRowFormula>
    </tableColumn>
    <tableColumn id="2" xr3:uid="{E0F7D378-154A-457B-9A54-5C25A3DA99C6}" name="Total Votes by Candidate" dataDxfId="3721" totalsRowDxfId="3720"/>
  </tableColumns>
  <tableStyleInfo name="TableStyleMedium2" showFirstColumn="0" showLastColumn="0" showRowStripes="0" showColumnStripes="0"/>
</table>
</file>

<file path=xl/tables/table1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0" xr:uid="{AC7FC12B-FCB2-4A8B-BD18-D2F3EBBDCF76}" name="MemberOfAssemblyAssemblyDistrict61General" displayName="MemberOfAssemblyAssemblyDistrict61General" ref="A2:F7" totalsRowCount="1" headerRowDxfId="1447" dataDxfId="1445" totalsRowDxfId="1443" headerRowBorderDxfId="1446" tableBorderDxfId="1444" totalsRowBorderDxfId="1442">
  <autoFilter ref="A2:F6" xr:uid="{E0863EA8-6184-4D0D-A38A-2078EB59A87C}">
    <filterColumn colId="0" hiddenButton="1"/>
    <filterColumn colId="1" hiddenButton="1"/>
    <filterColumn colId="2" hiddenButton="1"/>
    <filterColumn colId="3" hiddenButton="1"/>
    <filterColumn colId="4" hiddenButton="1"/>
    <filterColumn colId="5" hiddenButton="1"/>
  </autoFilter>
  <tableColumns count="6">
    <tableColumn id="1" xr3:uid="{349B643B-A98F-454B-9424-918D32BA37AD}" name="Candidate Name (Party)" totalsRowLabel="Total Votes by County" dataDxfId="1441" totalsRowDxfId="1440"/>
    <tableColumn id="4" xr3:uid="{9FBC328B-9C15-4F27-B317-760FD71A51E6}" name="Part of Kings County Vote Results" totalsRowFunction="custom" dataDxfId="1439" totalsRowDxfId="1438">
      <totalsRowFormula>SUM(MemberOfAssemblyAssemblyDistrict61General[Part of Kings County Vote Results])</totalsRowFormula>
    </tableColumn>
    <tableColumn id="6" xr3:uid="{78183953-5768-4991-AB49-F48E64861713}" name="Part of New York County Vote Results" totalsRowFunction="custom" dataDxfId="1437" totalsRowDxfId="1436">
      <totalsRowFormula>SUM(MemberOfAssemblyAssemblyDistrict61General[Part of New York County Vote Results])</totalsRowFormula>
    </tableColumn>
    <tableColumn id="5" xr3:uid="{760263C0-9D01-4C5E-99C1-16E0B806F1E0}" name="Part of Richmond County Vote Results" totalsRowFunction="custom" dataDxfId="1435" totalsRowDxfId="1434">
      <totalsRowFormula>SUM(MemberOfAssemblyAssemblyDistrict61General[Part of Richmond County Vote Results])</totalsRowFormula>
    </tableColumn>
    <tableColumn id="3" xr3:uid="{CEA5571F-0096-4403-9B73-45E72D520615}" name="Total Votes by Party" totalsRowFunction="custom" dataDxfId="1433" totalsRowDxfId="1432">
      <calculatedColumnFormula>SUM(B3,C3,D3)</calculatedColumnFormula>
      <totalsRowFormula>SUM(MemberOfAssemblyAssemblyDistrict61General[Total Votes by Party])</totalsRowFormula>
    </tableColumn>
    <tableColumn id="2" xr3:uid="{814058DF-4B65-408C-AF27-BE68272E50F6}" name="Total Votes by Candidate" dataDxfId="1431" totalsRowDxfId="1430"/>
  </tableColumns>
  <tableStyleInfo name="TableStyleMedium2" showFirstColumn="0" showLastColumn="0" showRowStripes="0" showColumnStripes="0"/>
</table>
</file>

<file path=xl/tables/table1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9" xr:uid="{062C25E1-04FC-43D3-A8CE-69A367861AF6}" name="MemberOfAssemblyAssemblyDistrict62General" displayName="MemberOfAssemblyAssemblyDistrict62General" ref="A2:D8" totalsRowCount="1" headerRowDxfId="1429" dataDxfId="1427" totalsRowDxfId="1425" headerRowBorderDxfId="1428" tableBorderDxfId="1426" totalsRowBorderDxfId="1424">
  <autoFilter ref="A2:D7" xr:uid="{2008F531-EE74-4162-AF6E-B18BD452C710}">
    <filterColumn colId="0" hiddenButton="1"/>
    <filterColumn colId="1" hiddenButton="1"/>
    <filterColumn colId="2" hiddenButton="1"/>
    <filterColumn colId="3" hiddenButton="1"/>
  </autoFilter>
  <tableColumns count="4">
    <tableColumn id="1" xr3:uid="{B69C8FFB-4885-4653-9220-E5FCFB696CF0}" name="Candidate Name (Party)" totalsRowLabel="Total Votes by County" dataDxfId="1423" totalsRowDxfId="1422"/>
    <tableColumn id="4" xr3:uid="{52099A0A-84B2-4830-8B86-E38E0AC0DBF5}" name="Part of Richmond County Vote Results" totalsRowFunction="custom" dataDxfId="1421" totalsRowDxfId="1420">
      <totalsRowFormula>SUM(MemberOfAssemblyAssemblyDistrict62General[Part of Richmond County Vote Results])</totalsRowFormula>
    </tableColumn>
    <tableColumn id="3" xr3:uid="{26EB1015-710B-4C08-B42E-CD42B812A59B}" name="Total Votes by Party" totalsRowFunction="custom" dataDxfId="1419" totalsRowDxfId="1418">
      <calculatedColumnFormula>MemberOfAssemblyAssemblyDistrict62General[[#This Row],[Part of Richmond County Vote Results]]</calculatedColumnFormula>
      <totalsRowFormula>SUM(MemberOfAssemblyAssemblyDistrict62General[Total Votes by Party])</totalsRowFormula>
    </tableColumn>
    <tableColumn id="2" xr3:uid="{953D9C50-DF7D-4647-B795-1C4FCEDAFB89}" name="Total Votes by Candidate" dataDxfId="1417" totalsRowDxfId="1416">
      <calculatedColumnFormula>SUM(MemberOfAssemblyAssemblyDistrict62General[[#This Row],[Total Votes by Party]],C4)</calculatedColumnFormula>
    </tableColumn>
  </tableColumns>
  <tableStyleInfo name="TableStyleMedium2" showFirstColumn="0" showLastColumn="0" showRowStripes="0" showColumnStripes="0"/>
</table>
</file>

<file path=xl/tables/table1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8" xr:uid="{064211FF-FF66-46A2-967D-0E199E8F5903}" name="MemberOfAssemblyAssemblyDistrict63General" displayName="MemberOfAssemblyAssemblyDistrict63General" ref="A2:D9" totalsRowCount="1" headerRowDxfId="1415" dataDxfId="1413" totalsRowDxfId="1411" headerRowBorderDxfId="1414" tableBorderDxfId="1412" totalsRowBorderDxfId="1410">
  <autoFilter ref="A2:D8" xr:uid="{CD12E5BF-E9AF-4AB7-96CD-801D41AE948E}">
    <filterColumn colId="0" hiddenButton="1"/>
    <filterColumn colId="1" hiddenButton="1"/>
    <filterColumn colId="2" hiddenButton="1"/>
    <filterColumn colId="3" hiddenButton="1"/>
  </autoFilter>
  <tableColumns count="4">
    <tableColumn id="1" xr3:uid="{6E337597-27D9-403E-AFA4-C0C7A02CC8C0}" name="Candidate Name (Party)" totalsRowLabel="Total Votes by County" dataDxfId="1409" totalsRowDxfId="1408"/>
    <tableColumn id="4" xr3:uid="{8FE8AD78-ED4D-49C4-A929-50F5467C0D5D}" name="Part of Richmond County Vote Results" totalsRowFunction="custom" dataDxfId="1407" totalsRowDxfId="1406">
      <totalsRowFormula>SUM(MemberOfAssemblyAssemblyDistrict63General[Part of Richmond County Vote Results])</totalsRowFormula>
    </tableColumn>
    <tableColumn id="3" xr3:uid="{CC021DF8-F926-4183-87A3-3609434F14D0}" name="Total Votes by Party" totalsRowFunction="custom" dataDxfId="1405" totalsRowDxfId="1404">
      <calculatedColumnFormula>MemberOfAssemblyAssemblyDistrict63General[[#This Row],[Part of Richmond County Vote Results]]</calculatedColumnFormula>
      <totalsRowFormula>SUM(MemberOfAssemblyAssemblyDistrict63General[Total Votes by Party])</totalsRowFormula>
    </tableColumn>
    <tableColumn id="2" xr3:uid="{842693A7-6DBA-47B9-8108-15E703A55F82}" name="Total Votes by Candidate" dataDxfId="1403" totalsRowDxfId="1402"/>
  </tableColumns>
  <tableStyleInfo name="TableStyleMedium2" showFirstColumn="0" showLastColumn="0" showRowStripes="0" showColumnStripes="0"/>
</table>
</file>

<file path=xl/tables/table1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7" xr:uid="{0FE6D22A-14B3-4192-B00D-061DAB9DB0B3}" name="MemberOfAssemblyAssemblyDistrict64General" displayName="MemberOfAssemblyAssemblyDistrict64General" ref="A2:E8" totalsRowCount="1" headerRowDxfId="1401" dataDxfId="1399" totalsRowDxfId="1397" headerRowBorderDxfId="1400" tableBorderDxfId="1398" totalsRowBorderDxfId="1396">
  <autoFilter ref="A2:E7" xr:uid="{6E679F01-FEC9-4F10-BEC2-66FBB32BDB31}">
    <filterColumn colId="0" hiddenButton="1"/>
    <filterColumn colId="1" hiddenButton="1"/>
    <filterColumn colId="2" hiddenButton="1"/>
    <filterColumn colId="3" hiddenButton="1"/>
    <filterColumn colId="4" hiddenButton="1"/>
  </autoFilter>
  <tableColumns count="5">
    <tableColumn id="1" xr3:uid="{C86DC80A-B84B-4436-9203-6D22C57DC8B4}" name="Candidate Name (Party)" totalsRowLabel="Total Votes by County" dataDxfId="1395" totalsRowDxfId="1394"/>
    <tableColumn id="2" xr3:uid="{4CF1D8CD-3F03-4A7E-9401-134F05E9B98B}" name="Part of Kings County Vote Results" totalsRowFunction="custom" dataDxfId="1393" totalsRowDxfId="1392">
      <totalsRowFormula>SUM(MemberOfAssemblyAssemblyDistrict64General[Part of Kings County Vote Results])</totalsRowFormula>
    </tableColumn>
    <tableColumn id="4" xr3:uid="{462B6101-42CC-481B-A23C-C0F0F2E22831}" name="Part of Richmond County Vote Results" totalsRowFunction="custom" dataDxfId="1391" totalsRowDxfId="1390">
      <totalsRowFormula>SUM(MemberOfAssemblyAssemblyDistrict64General[Part of Richmond County Vote Results])</totalsRowFormula>
    </tableColumn>
    <tableColumn id="3" xr3:uid="{09C71B08-BCE8-4369-836C-E4ECAC3D3B30}" name="Total Votes by Party" totalsRowFunction="custom" dataDxfId="1389" totalsRowDxfId="1388">
      <calculatedColumnFormula>SUM(MemberOfAssemblyAssemblyDistrict64General[[#This Row],[Part of Kings County Vote Results]:[Part of Richmond County Vote Results]])</calculatedColumnFormula>
      <totalsRowFormula>SUM(D3:D7)</totalsRowFormula>
    </tableColumn>
    <tableColumn id="5" xr3:uid="{A49C8C3C-54E1-4CC7-A296-F0F2B4624597}" name="Total Votes by Candidate" dataDxfId="1387" totalsRowDxfId="1386"/>
  </tableColumns>
  <tableStyleInfo name="TableStyleMedium2" showFirstColumn="0" showLastColumn="0" showRowStripes="0" showColumnStripes="0"/>
</table>
</file>

<file path=xl/tables/table1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6" xr:uid="{3053BD80-3E1B-4AB3-B4EE-4224818DE728}" name="MemberOfAssemblyAssemblyDistrict65General" displayName="MemberOfAssemblyAssemblyDistrict65General" ref="A2:D8" totalsRowCount="1" headerRowDxfId="1385" dataDxfId="1383" totalsRowDxfId="1381" headerRowBorderDxfId="1384" tableBorderDxfId="1382" totalsRowBorderDxfId="1380">
  <autoFilter ref="A2:D7" xr:uid="{7E494556-0D9D-4D28-95F5-DF8B28663B44}">
    <filterColumn colId="0" hiddenButton="1"/>
    <filterColumn colId="1" hiddenButton="1"/>
    <filterColumn colId="2" hiddenButton="1"/>
    <filterColumn colId="3" hiddenButton="1"/>
  </autoFilter>
  <tableColumns count="4">
    <tableColumn id="1" xr3:uid="{4F8902CB-BD68-4D38-8C6E-520EDCAC6EB4}" name="Candidate Name (Party)" totalsRowLabel="Total Votes by County" dataDxfId="1379" totalsRowDxfId="1378"/>
    <tableColumn id="4" xr3:uid="{B7AEE5C1-422A-45B3-858A-F5F4F227C088}" name="Part of New York County Vote Results" totalsRowFunction="custom" dataDxfId="1377" totalsRowDxfId="1376">
      <totalsRowFormula>SUM(MemberOfAssemblyAssemblyDistrict65General[Part of New York County Vote Results])</totalsRowFormula>
    </tableColumn>
    <tableColumn id="3" xr3:uid="{3933EF11-5E98-4C2E-91E0-94D008E979AB}" name="Total Votes by Party" totalsRowFunction="custom" dataDxfId="1375" totalsRowDxfId="1374">
      <calculatedColumnFormula>MemberOfAssemblyAssemblyDistrict65General[[#This Row],[Part of New York County Vote Results]]</calculatedColumnFormula>
      <totalsRowFormula>SUM(MemberOfAssemblyAssemblyDistrict65General[Total Votes by Party])</totalsRowFormula>
    </tableColumn>
    <tableColumn id="2" xr3:uid="{A64D685D-6262-40CC-927E-F679625C0E5C}" name="Total Votes by Candidate" dataDxfId="1373" totalsRowDxfId="1372">
      <calculatedColumnFormula>SUM(MemberOfAssemblyAssemblyDistrict65General[[#This Row],[Total Votes by Party]],C4)</calculatedColumnFormula>
    </tableColumn>
  </tableColumns>
  <tableStyleInfo name="TableStyleMedium2" showFirstColumn="0" showLastColumn="0" showRowStripes="0" showColumnStripes="0"/>
</table>
</file>

<file path=xl/tables/table1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5" xr:uid="{8DBBB2BB-80B0-47D6-B5C4-481F2815AD37}" name="MemberOfAssemblyAssemblyDistrict66General" displayName="MemberOfAssemblyAssemblyDistrict66General" ref="A2:D7" totalsRowCount="1" headerRowDxfId="1371" dataDxfId="1369" totalsRowDxfId="1367" headerRowBorderDxfId="1370" tableBorderDxfId="1368" totalsRowBorderDxfId="1366">
  <autoFilter ref="A2:D6" xr:uid="{DB588E57-B3EA-45ED-B396-65AD89BE7DBB}">
    <filterColumn colId="0" hiddenButton="1"/>
    <filterColumn colId="1" hiddenButton="1"/>
    <filterColumn colId="2" hiddenButton="1"/>
    <filterColumn colId="3" hiddenButton="1"/>
  </autoFilter>
  <tableColumns count="4">
    <tableColumn id="1" xr3:uid="{11FF09F1-4D73-4195-849F-F48B2F646B96}" name="Candidate Name (Party)" totalsRowLabel="Total Votes by County" dataDxfId="1365" totalsRowDxfId="1364"/>
    <tableColumn id="4" xr3:uid="{84AEEA3E-1516-45C4-AEF2-732BC47226EE}" name="Part of New York County Vote Results" totalsRowFunction="custom" dataDxfId="1363" totalsRowDxfId="1362">
      <totalsRowFormula>SUM(MemberOfAssemblyAssemblyDistrict66General[Part of New York County Vote Results])</totalsRowFormula>
    </tableColumn>
    <tableColumn id="3" xr3:uid="{CCD776CD-FF1C-4C42-8CD4-25C748476307}" name="Total Votes by Party" totalsRowFunction="custom" dataDxfId="1361" totalsRowDxfId="1360">
      <calculatedColumnFormula>MemberOfAssemblyAssemblyDistrict66General[[#This Row],[Part of New York County Vote Results]]</calculatedColumnFormula>
      <totalsRowFormula>SUM(MemberOfAssemblyAssemblyDistrict66General[Total Votes by Party])</totalsRowFormula>
    </tableColumn>
    <tableColumn id="2" xr3:uid="{AA8D8824-FBBE-45A8-B46B-66FC048DDD83}" name="Total Votes by Candidate" dataDxfId="1359" totalsRowDxfId="1358"/>
  </tableColumns>
  <tableStyleInfo name="TableStyleMedium2" showFirstColumn="0" showLastColumn="0" showRowStripes="0" showColumnStripes="0"/>
</table>
</file>

<file path=xl/tables/table1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4" xr:uid="{D2CC4F20-8D9E-445E-A084-67BCB6C6D7CA}" name="MemberOfAssemblyAssemblyDistrict67General" displayName="MemberOfAssemblyAssemblyDistrict67General" ref="A2:D8" totalsRowCount="1" headerRowDxfId="1357" dataDxfId="1355" totalsRowDxfId="1353" headerRowBorderDxfId="1356" tableBorderDxfId="1354" totalsRowBorderDxfId="1352">
  <autoFilter ref="A2:D7" xr:uid="{0E084527-67C2-40AC-B2D5-2A8904DBFF70}">
    <filterColumn colId="0" hiddenButton="1"/>
    <filterColumn colId="1" hiddenButton="1"/>
    <filterColumn colId="2" hiddenButton="1"/>
    <filterColumn colId="3" hiddenButton="1"/>
  </autoFilter>
  <tableColumns count="4">
    <tableColumn id="1" xr3:uid="{88890A63-A39F-440D-AFDB-DD47055D55F5}" name="Candidate Name (Party)" totalsRowLabel="Total Votes by County" dataDxfId="1351" totalsRowDxfId="1350"/>
    <tableColumn id="5" xr3:uid="{14D24C5D-DE7D-4602-B7A2-CC3F4B472E6E}" name="Part of New York County Vote Results" totalsRowFunction="custom" dataDxfId="1349" totalsRowDxfId="1348">
      <totalsRowFormula>SUM(MemberOfAssemblyAssemblyDistrict67General[Part of New York County Vote Results])</totalsRowFormula>
    </tableColumn>
    <tableColumn id="3" xr3:uid="{42EBAEC7-9FAA-46D2-8608-3ED147BB0928}" name="Total Votes by Party" totalsRowFunction="custom" dataDxfId="1347" totalsRowDxfId="1346">
      <calculatedColumnFormula>MemberOfAssemblyAssemblyDistrict67General[[#This Row],[Part of New York County Vote Results]]</calculatedColumnFormula>
      <totalsRowFormula>SUM(MemberOfAssemblyAssemblyDistrict67General[Total Votes by Party])</totalsRowFormula>
    </tableColumn>
    <tableColumn id="2" xr3:uid="{BE77E215-6977-408E-B842-074ED0D8804E}" name="Total Votes by Candidate" dataDxfId="1345" totalsRowDxfId="1344">
      <calculatedColumnFormula>SUM(MemberOfAssemblyAssemblyDistrict67General[[#This Row],[Total Votes by Party]],C4)</calculatedColumnFormula>
    </tableColumn>
  </tableColumns>
  <tableStyleInfo name="TableStyleMedium2" showFirstColumn="0" showLastColumn="0" showRowStripes="0" showColumnStripes="0"/>
</table>
</file>

<file path=xl/tables/table1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3" xr:uid="{3D4FACDD-4449-4C35-B47A-7E6E57AE0249}" name="MemberOfAssemblyAssemblyDistrict68General" displayName="MemberOfAssemblyAssemblyDistrict68General" ref="A2:D7" totalsRowCount="1" headerRowDxfId="1343" dataDxfId="1341" totalsRowDxfId="1339" headerRowBorderDxfId="1342" tableBorderDxfId="1340" totalsRowBorderDxfId="1338">
  <autoFilter ref="A2:D6" xr:uid="{7C0C90E0-7094-436E-AE33-860942F94EB6}">
    <filterColumn colId="0" hiddenButton="1"/>
    <filterColumn colId="1" hiddenButton="1"/>
    <filterColumn colId="2" hiddenButton="1"/>
    <filterColumn colId="3" hiddenButton="1"/>
  </autoFilter>
  <tableColumns count="4">
    <tableColumn id="1" xr3:uid="{BBD8CAB8-3589-41E5-A655-099C18C8E22A}" name="Candidate Name (Party)" totalsRowLabel="Total Votes by County" dataDxfId="1337" totalsRowDxfId="1336"/>
    <tableColumn id="4" xr3:uid="{5AC96CF9-00E0-45B8-9D7E-845DF4431A35}" name="Part of New York County Vote Results" totalsRowFunction="custom" dataDxfId="1335" totalsRowDxfId="1334">
      <totalsRowFormula>SUM(MemberOfAssemblyAssemblyDistrict68General[Part of New York County Vote Results])</totalsRowFormula>
    </tableColumn>
    <tableColumn id="3" xr3:uid="{73DF8AD3-A029-40FA-B8C8-6E1A6F988C7B}" name="Total Votes by Party" totalsRowFunction="custom" dataDxfId="1333" totalsRowDxfId="1332">
      <calculatedColumnFormula>MemberOfAssemblyAssemblyDistrict68General[[#This Row],[Part of New York County Vote Results]]</calculatedColumnFormula>
      <totalsRowFormula>SUM(MemberOfAssemblyAssemblyDistrict68General[Total Votes by Party])</totalsRowFormula>
    </tableColumn>
    <tableColumn id="2" xr3:uid="{D65C9C97-0492-41D3-8289-9624542FDD09}" name="Total Votes by Candidate" dataDxfId="1331" totalsRowDxfId="1330">
      <calculatedColumnFormula>SUM(MemberOfAssemblyAssemblyDistrict68General[[#This Row],[Total Votes by Party]])</calculatedColumnFormula>
    </tableColumn>
  </tableColumns>
  <tableStyleInfo name="TableStyleMedium2" showFirstColumn="0" showLastColumn="0" showRowStripes="0" showColumnStripes="0"/>
</table>
</file>

<file path=xl/tables/table1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2" xr:uid="{A80983F5-E328-46B9-B782-B3EF41B73AFD}" name="MemberOfAssemblyAssemblyDistrict69General" displayName="MemberOfAssemblyAssemblyDistrict69General" ref="A2:D7" totalsRowCount="1" headerRowDxfId="1329" dataDxfId="1327" totalsRowDxfId="1325" headerRowBorderDxfId="1328" tableBorderDxfId="1326" totalsRowBorderDxfId="1324">
  <autoFilter ref="A2:D6" xr:uid="{49F6F76A-2CF7-46A3-9E61-C944DC0AA3FE}">
    <filterColumn colId="0" hiddenButton="1"/>
    <filterColumn colId="1" hiddenButton="1"/>
    <filterColumn colId="2" hiddenButton="1"/>
    <filterColumn colId="3" hiddenButton="1"/>
  </autoFilter>
  <tableColumns count="4">
    <tableColumn id="1" xr3:uid="{ABB32299-882A-4B42-959B-684C83E0F633}" name="Candidate Name (Party)" totalsRowLabel="Total Votes by County" dataDxfId="1323" totalsRowDxfId="1322"/>
    <tableColumn id="4" xr3:uid="{3C9BA85D-85F2-48DB-811A-BADC0DABE49A}" name="Part of New York County Vote Results" totalsRowFunction="custom" dataDxfId="1321" totalsRowDxfId="1320">
      <totalsRowFormula>SUM(MemberOfAssemblyAssemblyDistrict69General[Part of New York County Vote Results])</totalsRowFormula>
    </tableColumn>
    <tableColumn id="3" xr3:uid="{40BDEFCD-EE3C-4198-B61C-47C54B92A7FA}" name="Total Votes by Party" totalsRowFunction="custom" dataDxfId="1319" totalsRowDxfId="1318">
      <calculatedColumnFormula>MemberOfAssemblyAssemblyDistrict69General[[#This Row],[Part of New York County Vote Results]]</calculatedColumnFormula>
      <totalsRowFormula>SUM(MemberOfAssemblyAssemblyDistrict69General[Total Votes by Party])</totalsRowFormula>
    </tableColumn>
    <tableColumn id="2" xr3:uid="{F28D9E9C-6E74-44D3-B876-2FA8FEF33FE6}" name="Total Votes by Candidate" dataDxfId="1317" totalsRowDxfId="1316">
      <calculatedColumnFormula>SUM(MemberOfAssemblyAssemblyDistrict69General[[#This Row],[Total Votes by Party]])</calculatedColumnFormula>
    </tableColumn>
  </tableColumns>
  <tableStyleInfo name="TableStyleMedium2" showFirstColumn="0" showLastColumn="0" showRowStripes="0" showColumnStripes="0"/>
</table>
</file>

<file path=xl/tables/table1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1" xr:uid="{83018B84-100C-44FB-A0F1-DCAAD8618F91}" name="MemberOfAssemblyAssemblyDistrict70General" displayName="MemberOfAssemblyAssemblyDistrict70General" ref="A2:D8" totalsRowCount="1" headerRowDxfId="1315" dataDxfId="1313" totalsRowDxfId="1311" headerRowBorderDxfId="1314" tableBorderDxfId="1312" totalsRowBorderDxfId="1310">
  <autoFilter ref="A2:D7" xr:uid="{7C41311A-532C-46E5-9E8C-EAC4A30F20BE}">
    <filterColumn colId="0" hiddenButton="1"/>
    <filterColumn colId="1" hiddenButton="1"/>
    <filterColumn colId="2" hiddenButton="1"/>
    <filterColumn colId="3" hiddenButton="1"/>
  </autoFilter>
  <tableColumns count="4">
    <tableColumn id="1" xr3:uid="{761FE681-CFD2-4005-A1A7-176059D50DA1}" name="Candidate Name (Party)" totalsRowLabel="Total Votes by County" dataDxfId="1309" totalsRowDxfId="1308"/>
    <tableColumn id="4" xr3:uid="{4F48B608-FA82-4B52-9D59-A53B8C71EA1D}" name="Part of New York County Vote Results" totalsRowFunction="custom" dataDxfId="1307" totalsRowDxfId="1306">
      <totalsRowFormula>SUM(MemberOfAssemblyAssemblyDistrict70General[Part of New York County Vote Results])</totalsRowFormula>
    </tableColumn>
    <tableColumn id="3" xr3:uid="{7DBD5C1C-B322-48E1-8A7D-B5E5941DD37A}" name="Total Votes by Party" totalsRowFunction="custom" dataDxfId="1305" totalsRowDxfId="1304">
      <calculatedColumnFormula>MemberOfAssemblyAssemblyDistrict70General[[#This Row],[Part of New York County Vote Results]]</calculatedColumnFormula>
      <totalsRowFormula>SUM(MemberOfAssemblyAssemblyDistrict70General[Total Votes by Party])</totalsRowFormula>
    </tableColumn>
    <tableColumn id="2" xr3:uid="{F623A524-6ADF-4812-868D-854E7470F9E1}" name="Total Votes by Candidate" dataDxfId="1303" totalsRowDxfId="1302"/>
  </tableColumns>
  <tableStyleInfo name="TableStyleMedium2" showFirstColumn="0" showLastColumn="0" showRowStripes="0"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61C2964-E31A-4DA6-BBED-B0238AB997EF}" name="RepInCongressCongressionalDistrict7General" displayName="RepInCongressCongressionalDistrict7General" ref="A2:E10" totalsRowCount="1" headerRowDxfId="3719" dataDxfId="3717" totalsRowDxfId="3715" headerRowBorderDxfId="3718" tableBorderDxfId="3716" totalsRowBorderDxfId="3714">
  <autoFilter ref="A2:E9" xr:uid="{44B01D1C-45DF-49CF-8E6C-ADBDB09A4024}">
    <filterColumn colId="0" hiddenButton="1"/>
    <filterColumn colId="1" hiddenButton="1"/>
    <filterColumn colId="2" hiddenButton="1"/>
    <filterColumn colId="3" hiddenButton="1"/>
    <filterColumn colId="4" hiddenButton="1"/>
  </autoFilter>
  <tableColumns count="5">
    <tableColumn id="1" xr3:uid="{992910C4-AD83-468C-B3DC-BA21CC3CABEC}" name="Candidate Name (Party)" totalsRowLabel="Total Votes by County" dataDxfId="3713" totalsRowDxfId="3712"/>
    <tableColumn id="2" xr3:uid="{14AB3CF6-46F8-48AA-9FDA-F44357A80BBF}" name="Part of Kings County Vote Results" totalsRowFunction="custom" dataDxfId="3711" totalsRowDxfId="3710">
      <totalsRowFormula>SUM(RepInCongressCongressionalDistrict7General[Part of Kings County Vote Results])</totalsRowFormula>
    </tableColumn>
    <tableColumn id="4" xr3:uid="{0A033926-DCCB-4219-A3DF-FBFAF9C580BB}" name="Part of Queens County Vote Results" totalsRowFunction="custom" dataDxfId="3709" totalsRowDxfId="3708">
      <totalsRowFormula>SUM(RepInCongressCongressionalDistrict7General[Part of Queens County Vote Results])</totalsRowFormula>
    </tableColumn>
    <tableColumn id="6" xr3:uid="{5FA024EE-E687-4A4A-B792-7E4C7EF52CEB}" name="Total Votes by Party" totalsRowFunction="custom" dataDxfId="3707" totalsRowDxfId="3706">
      <calculatedColumnFormula>SUM(B3,C3)</calculatedColumnFormula>
      <totalsRowFormula>SUM(RepInCongressCongressionalDistrict7General[Total Votes by Party])</totalsRowFormula>
    </tableColumn>
    <tableColumn id="5" xr3:uid="{D1A1235D-E5D6-4854-8D82-07174D94F6B4}" name="Total Votes by Candidate" dataDxfId="3705" totalsRowDxfId="3704"/>
  </tableColumns>
  <tableStyleInfo name="TableStyleMedium2" showFirstColumn="0" showLastColumn="0" showRowStripes="0" showColumnStripes="0"/>
</table>
</file>

<file path=xl/tables/table1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0" xr:uid="{26F5D512-1E38-4801-AA3B-D44BBAAEB321}" name="MemberOfAssemblyAssemblyDistrict71General" displayName="MemberOfAssemblyAssemblyDistrict71General" ref="A2:D8" totalsRowCount="1" headerRowDxfId="1301" dataDxfId="1299" totalsRowDxfId="1297" headerRowBorderDxfId="1300" tableBorderDxfId="1298" totalsRowBorderDxfId="1296">
  <autoFilter ref="A2:D7" xr:uid="{77E001F6-E3E2-4F4D-98EF-A36C4F19460C}">
    <filterColumn colId="0" hiddenButton="1"/>
    <filterColumn colId="1" hiddenButton="1"/>
    <filterColumn colId="2" hiddenButton="1"/>
    <filterColumn colId="3" hiddenButton="1"/>
  </autoFilter>
  <tableColumns count="4">
    <tableColumn id="1" xr3:uid="{4561995C-9935-485E-9E1D-A83BA0B807C0}" name="Candidate Name (Party)" totalsRowLabel="Total Votes by County" dataDxfId="1295" totalsRowDxfId="1294"/>
    <tableColumn id="4" xr3:uid="{81AFDCD1-698B-45B1-87F0-B337C1940CFD}" name="Part of New York County Vote Results" totalsRowFunction="custom" dataDxfId="1293" totalsRowDxfId="1292">
      <totalsRowFormula>SUM(MemberOfAssemblyAssemblyDistrict71General[Part of New York County Vote Results])</totalsRowFormula>
    </tableColumn>
    <tableColumn id="3" xr3:uid="{88174B3C-69DB-463F-BB4E-45F8C6FA5A5B}" name="Total Votes by Party" totalsRowFunction="custom" dataDxfId="1291" totalsRowDxfId="1290">
      <calculatedColumnFormula>MemberOfAssemblyAssemblyDistrict71General[[#This Row],[Part of New York County Vote Results]]</calculatedColumnFormula>
      <totalsRowFormula>SUM(MemberOfAssemblyAssemblyDistrict71General[Total Votes by Party])</totalsRowFormula>
    </tableColumn>
    <tableColumn id="2" xr3:uid="{EA411C4D-673C-4466-B419-DE7C118500BE}" name="Total Votes by Candidate" dataDxfId="1289" totalsRowDxfId="1288">
      <calculatedColumnFormula>SUM(MemberOfAssemblyAssemblyDistrict71General[[#This Row],[Total Votes by Party]])</calculatedColumnFormula>
    </tableColumn>
  </tableColumns>
  <tableStyleInfo name="TableStyleMedium2" showFirstColumn="0" showLastColumn="0" showRowStripes="0" showColumnStripes="0"/>
</table>
</file>

<file path=xl/tables/table1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9" xr:uid="{0966CBC6-F0BE-416A-A05A-86CCCE9CEE21}" name="MemberOfAssemblyAssemblyDistrict72General" displayName="MemberOfAssemblyAssemblyDistrict72General" ref="A2:D8" totalsRowCount="1" headerRowDxfId="1287" dataDxfId="1285" totalsRowDxfId="1283" headerRowBorderDxfId="1286" tableBorderDxfId="1284" totalsRowBorderDxfId="1282">
  <autoFilter ref="A2:D7" xr:uid="{5EBC0DDE-FD36-4287-9275-1AA487E169B4}">
    <filterColumn colId="0" hiddenButton="1"/>
    <filterColumn colId="1" hiddenButton="1"/>
    <filterColumn colId="2" hiddenButton="1"/>
    <filterColumn colId="3" hiddenButton="1"/>
  </autoFilter>
  <tableColumns count="4">
    <tableColumn id="1" xr3:uid="{D8D08C0D-FEFA-4464-A479-7D22F5597764}" name="Candidate Name (Party)" totalsRowLabel="Total Votes by County" dataDxfId="1281" totalsRowDxfId="1280"/>
    <tableColumn id="4" xr3:uid="{11FC974B-402C-4453-BA90-5E0065F60AFB}" name="Part of New York County Vote Results" totalsRowFunction="custom" dataDxfId="1279" totalsRowDxfId="1278">
      <totalsRowFormula>SUM(MemberOfAssemblyAssemblyDistrict72General[Part of New York County Vote Results])</totalsRowFormula>
    </tableColumn>
    <tableColumn id="3" xr3:uid="{19EB81DD-9D46-40B0-998B-3C3697F7156D}" name="Total Votes by Party" totalsRowFunction="custom" dataDxfId="1277" totalsRowDxfId="1276">
      <calculatedColumnFormula>MemberOfAssemblyAssemblyDistrict72General[[#This Row],[Part of New York County Vote Results]]</calculatedColumnFormula>
      <totalsRowFormula>SUM(MemberOfAssemblyAssemblyDistrict72General[Total Votes by Party])</totalsRowFormula>
    </tableColumn>
    <tableColumn id="2" xr3:uid="{2C545CA2-80F4-4294-82FA-EBC5D3083CB4}" name="Total Votes by Candidate" dataDxfId="1275" totalsRowDxfId="1274">
      <calculatedColumnFormula>SUM(MemberOfAssemblyAssemblyDistrict72General[[#This Row],[Total Votes by Party]],C4)</calculatedColumnFormula>
    </tableColumn>
  </tableColumns>
  <tableStyleInfo name="TableStyleMedium2" showFirstColumn="0" showLastColumn="0" showRowStripes="0" showColumnStripes="0"/>
</table>
</file>

<file path=xl/tables/table1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B947340F-2F2F-455D-8E48-8E83FFB1FDD9}" name="MemberOfAssemblyAssemblyDistrict73General" displayName="MemberOfAssemblyAssemblyDistrict73General" ref="A2:D9" totalsRowCount="1" headerRowDxfId="1273" dataDxfId="1271" totalsRowDxfId="1269" headerRowBorderDxfId="1272" tableBorderDxfId="1270" totalsRowBorderDxfId="1268">
  <autoFilter ref="A2:D8" xr:uid="{F8344306-FA5C-4A2A-866C-4B4891817A6F}">
    <filterColumn colId="0" hiddenButton="1"/>
    <filterColumn colId="1" hiddenButton="1"/>
    <filterColumn colId="2" hiddenButton="1"/>
    <filterColumn colId="3" hiddenButton="1"/>
  </autoFilter>
  <tableColumns count="4">
    <tableColumn id="1" xr3:uid="{FB3F5E20-FD28-43B7-B01E-0B8FC22904F0}" name="Candidate Name (Party)" totalsRowLabel="Total Votes by County" dataDxfId="1267" totalsRowDxfId="1266"/>
    <tableColumn id="4" xr3:uid="{4713F8C2-9336-4DB5-90AB-DF81AF791B5B}" name="Part of New York County Vote Results" totalsRowFunction="custom" dataDxfId="1265" totalsRowDxfId="1264">
      <totalsRowFormula>SUM(MemberOfAssemblyAssemblyDistrict73General[Part of New York County Vote Results])</totalsRowFormula>
    </tableColumn>
    <tableColumn id="3" xr3:uid="{826C43D2-663E-4A19-8C99-0960A09402A2}" name="Total Votes by Party" totalsRowFunction="custom" dataDxfId="1263" totalsRowDxfId="1262">
      <calculatedColumnFormula>MemberOfAssemblyAssemblyDistrict73General[[#This Row],[Part of New York County Vote Results]]</calculatedColumnFormula>
      <totalsRowFormula>SUM(MemberOfAssemblyAssemblyDistrict73General[Total Votes by Party])</totalsRowFormula>
    </tableColumn>
    <tableColumn id="2" xr3:uid="{F80E83D7-ACA6-4546-90FD-BE6D8FA5D865}" name="Total Votes by Candidate" dataDxfId="1261" totalsRowDxfId="1260"/>
  </tableColumns>
  <tableStyleInfo name="TableStyleMedium2" showFirstColumn="0" showLastColumn="0" showRowStripes="0" showColumnStripes="0"/>
</table>
</file>

<file path=xl/tables/table1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2CC4DEAC-BB64-4019-B235-017FF626E206}" name="MemberOfAssemblyAssemblyDistrict74General" displayName="MemberOfAssemblyAssemblyDistrict74General" ref="A2:D8" totalsRowCount="1" headerRowDxfId="1259" dataDxfId="1257" totalsRowDxfId="1255" headerRowBorderDxfId="1258" tableBorderDxfId="1256" totalsRowBorderDxfId="1254">
  <autoFilter ref="A2:D7" xr:uid="{6AAEA862-096D-426F-818F-6A9BEB4EB583}">
    <filterColumn colId="0" hiddenButton="1"/>
    <filterColumn colId="1" hiddenButton="1"/>
    <filterColumn colId="2" hiddenButton="1"/>
    <filterColumn colId="3" hiddenButton="1"/>
  </autoFilter>
  <tableColumns count="4">
    <tableColumn id="1" xr3:uid="{9A22811B-1381-415C-9004-12173BFDD8B8}" name="Candidate Name (Party)" totalsRowLabel="Total Votes by County" dataDxfId="1253" totalsRowDxfId="1252"/>
    <tableColumn id="4" xr3:uid="{41567CD5-2835-459F-BED1-386BE73FBB2D}" name="Part of New York County Vote Results" totalsRowFunction="custom" dataDxfId="1251" totalsRowDxfId="1250">
      <totalsRowFormula>SUM(MemberOfAssemblyAssemblyDistrict74General[Part of New York County Vote Results])</totalsRowFormula>
    </tableColumn>
    <tableColumn id="3" xr3:uid="{48AC09D4-3D3E-4223-A61E-88801CDFCC26}" name="Total Votes by Party" totalsRowFunction="custom" dataDxfId="1249" totalsRowDxfId="1248">
      <calculatedColumnFormula>MemberOfAssemblyAssemblyDistrict74General[[#This Row],[Part of New York County Vote Results]]</calculatedColumnFormula>
      <totalsRowFormula>SUM(MemberOfAssemblyAssemblyDistrict74General[Total Votes by Party])</totalsRowFormula>
    </tableColumn>
    <tableColumn id="2" xr3:uid="{C43888E9-608F-427C-9D7A-3C8880070060}" name="Total Votes by Candidate" dataDxfId="1247" totalsRowDxfId="1246">
      <calculatedColumnFormula>SUM(MemberOfAssemblyAssemblyDistrict74General[[#This Row],[Total Votes by Party]],C4)</calculatedColumnFormula>
    </tableColumn>
  </tableColumns>
  <tableStyleInfo name="TableStyleMedium2" showFirstColumn="0" showLastColumn="0" showRowStripes="0" showColumnStripes="0"/>
</table>
</file>

<file path=xl/tables/table1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6" xr:uid="{9C6DA6EA-D7D6-4839-A618-9EACCAFF3584}" name="MemberOfAssemblyAssemblyDistrict75General" displayName="MemberOfAssemblyAssemblyDistrict75General" ref="A2:D8" totalsRowCount="1" headerRowDxfId="1245" dataDxfId="1243" totalsRowDxfId="1241" headerRowBorderDxfId="1244" tableBorderDxfId="1242" totalsRowBorderDxfId="1240">
  <autoFilter ref="A2:D7" xr:uid="{26E716A0-5533-40E4-B82D-C8105E11FC7B}">
    <filterColumn colId="0" hiddenButton="1"/>
    <filterColumn colId="1" hiddenButton="1"/>
    <filterColumn colId="2" hiddenButton="1"/>
    <filterColumn colId="3" hiddenButton="1"/>
  </autoFilter>
  <tableColumns count="4">
    <tableColumn id="1" xr3:uid="{06751AE9-80D5-4991-A1FB-C77382A318B9}" name="Candidate Name (Party)" totalsRowLabel="Total Votes by County" dataDxfId="1239" totalsRowDxfId="1238"/>
    <tableColumn id="4" xr3:uid="{6CDFC900-B6AE-4616-A0AF-689DD1FCCEFD}" name="Part of New York County Vote Results" totalsRowFunction="custom" dataDxfId="1237" totalsRowDxfId="1236">
      <totalsRowFormula>SUM(MemberOfAssemblyAssemblyDistrict75General[Part of New York County Vote Results])</totalsRowFormula>
    </tableColumn>
    <tableColumn id="3" xr3:uid="{810BE30F-4AEE-42A9-94CC-2831666A41F3}" name="Total Votes by Party" totalsRowFunction="custom" dataDxfId="1235" totalsRowDxfId="1234">
      <calculatedColumnFormula>MemberOfAssemblyAssemblyDistrict75General[[#This Row],[Part of New York County Vote Results]]</calculatedColumnFormula>
      <totalsRowFormula>SUM(MemberOfAssemblyAssemblyDistrict75General[Total Votes by Party])</totalsRowFormula>
    </tableColumn>
    <tableColumn id="2" xr3:uid="{FF93D8BD-DA83-465E-833C-8F666AFFE54F}" name="Total Votes by Candidate" dataDxfId="1233" totalsRowDxfId="1232">
      <calculatedColumnFormula>SUM(MemberOfAssemblyAssemblyDistrict75General[[#This Row],[Total Votes by Party]],C4)</calculatedColumnFormula>
    </tableColumn>
  </tableColumns>
  <tableStyleInfo name="TableStyleMedium2" showFirstColumn="0" showLastColumn="0" showRowStripes="0" showColumnStripes="0"/>
</table>
</file>

<file path=xl/tables/table1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5" xr:uid="{A3306FB6-9039-43D7-BE61-391107F62D1F}" name="MemberOfAssemblyAssemblyDistrict76General" displayName="MemberOfAssemblyAssemblyDistrict76General" ref="A2:D8" totalsRowCount="1" headerRowDxfId="1231" dataDxfId="1229" totalsRowDxfId="1227" headerRowBorderDxfId="1230" tableBorderDxfId="1228" totalsRowBorderDxfId="1226">
  <autoFilter ref="A2:D7" xr:uid="{E4C5F385-3618-4C3A-AA69-7444438E6F16}">
    <filterColumn colId="0" hiddenButton="1"/>
    <filterColumn colId="1" hiddenButton="1"/>
    <filterColumn colId="2" hiddenButton="1"/>
    <filterColumn colId="3" hiddenButton="1"/>
  </autoFilter>
  <tableColumns count="4">
    <tableColumn id="1" xr3:uid="{57646B33-8DD4-4E68-A736-FAE8AE626CC3}" name="Candidate Name (Party)" totalsRowLabel="Total Votes by County" dataDxfId="1225" totalsRowDxfId="1224"/>
    <tableColumn id="4" xr3:uid="{1848ACC9-7DC1-4E03-B196-7D5AE01D1A4B}" name="Part of New York County Vote Results" totalsRowFunction="custom" dataDxfId="1223" totalsRowDxfId="1222">
      <totalsRowFormula>SUM(MemberOfAssemblyAssemblyDistrict76General[Part of New York County Vote Results])</totalsRowFormula>
    </tableColumn>
    <tableColumn id="3" xr3:uid="{0B5BF9CD-1237-41B0-831D-A7F86AED428F}" name="Total Votes by Party" totalsRowFunction="custom" dataDxfId="1221" totalsRowDxfId="1220">
      <calculatedColumnFormula>MemberOfAssemblyAssemblyDistrict76General[[#This Row],[Part of New York County Vote Results]]</calculatedColumnFormula>
      <totalsRowFormula>SUM(MemberOfAssemblyAssemblyDistrict76General[Total Votes by Party])</totalsRowFormula>
    </tableColumn>
    <tableColumn id="2" xr3:uid="{F75944BC-7AC6-424B-A20F-D2B845857A51}" name="Total Votes by Candidate" dataDxfId="1219" totalsRowDxfId="1218"/>
  </tableColumns>
  <tableStyleInfo name="TableStyleMedium2" showFirstColumn="0" showLastColumn="0" showRowStripes="0" showColumnStripes="0"/>
</table>
</file>

<file path=xl/tables/table1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4" xr:uid="{297BF291-3856-4204-8E30-5379B40B4A5B}" name="MemberOfAssemblyAssemblyDistrict77General" displayName="MemberOfAssemblyAssemblyDistrict77General" ref="A2:D9" totalsRowCount="1" headerRowDxfId="1217" dataDxfId="1215" totalsRowDxfId="1213" headerRowBorderDxfId="1216" tableBorderDxfId="1214" totalsRowBorderDxfId="1212">
  <autoFilter ref="A2:D8" xr:uid="{D5902526-686A-44DC-97B7-8F01FD67572F}">
    <filterColumn colId="0" hiddenButton="1"/>
    <filterColumn colId="1" hiddenButton="1"/>
    <filterColumn colId="2" hiddenButton="1"/>
    <filterColumn colId="3" hiddenButton="1"/>
  </autoFilter>
  <tableColumns count="4">
    <tableColumn id="1" xr3:uid="{F8DC1145-5AC6-478D-945D-A74239EF3F28}" name="Candidate Name (Party)" totalsRowLabel="Total Votes by County" dataDxfId="1211" totalsRowDxfId="1210"/>
    <tableColumn id="4" xr3:uid="{4640E517-AC5B-41BE-A8B5-67BB85CDBD78}" name="Part of Bronx County Vote Results" totalsRowFunction="custom" dataDxfId="1209" totalsRowDxfId="1208">
      <totalsRowFormula>SUM(MemberOfAssemblyAssemblyDistrict77General[Part of Bronx County Vote Results])</totalsRowFormula>
    </tableColumn>
    <tableColumn id="3" xr3:uid="{432A5AFD-4215-4521-9173-405748CC2700}" name="Total Votes by Party" totalsRowFunction="custom" dataDxfId="1207" totalsRowDxfId="1206">
      <calculatedColumnFormula>MemberOfAssemblyAssemblyDistrict77General[[#This Row],[Part of Bronx County Vote Results]]</calculatedColumnFormula>
      <totalsRowFormula>SUM(MemberOfAssemblyAssemblyDistrict77General[Total Votes by Party])</totalsRowFormula>
    </tableColumn>
    <tableColumn id="2" xr3:uid="{F23E1876-3F01-4C60-865B-99655DB85C8B}" name="Total Votes by Candidate" dataDxfId="1205" totalsRowDxfId="1204"/>
  </tableColumns>
  <tableStyleInfo name="TableStyleMedium2" showFirstColumn="0" showLastColumn="0" showRowStripes="0" showColumnStripes="0"/>
</table>
</file>

<file path=xl/tables/table1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3" xr:uid="{C7251A8F-9D64-4D77-B7FE-B8278355B915}" name="MemberOfAssemblyAssemblyDistrict78General" displayName="MemberOfAssemblyAssemblyDistrict78General" ref="A2:D9" totalsRowCount="1" headerRowDxfId="1203" dataDxfId="1201" totalsRowDxfId="1199" headerRowBorderDxfId="1202" tableBorderDxfId="1200" totalsRowBorderDxfId="1198">
  <autoFilter ref="A2:D8" xr:uid="{1C186A63-5704-4871-B9D8-63A1F2032F8D}">
    <filterColumn colId="0" hiddenButton="1"/>
    <filterColumn colId="1" hiddenButton="1"/>
    <filterColumn colId="2" hiddenButton="1"/>
    <filterColumn colId="3" hiddenButton="1"/>
  </autoFilter>
  <tableColumns count="4">
    <tableColumn id="1" xr3:uid="{43F16214-37C9-40ED-9B29-9BA7F3905400}" name="Candidate Name (Party)" totalsRowLabel="Total Votes by County" dataDxfId="1197" totalsRowDxfId="1196"/>
    <tableColumn id="4" xr3:uid="{9F29C1A2-A2D6-4515-B9FF-626E52B23C7B}" name="Part of Bronx County Vote Results" totalsRowFunction="custom" dataDxfId="1195" totalsRowDxfId="1194">
      <totalsRowFormula>SUM(MemberOfAssemblyAssemblyDistrict78General[Part of Bronx County Vote Results])</totalsRowFormula>
    </tableColumn>
    <tableColumn id="3" xr3:uid="{4DE9ADD4-0144-483B-A196-EBA92C334B4A}" name="Total Votes by Party" totalsRowFunction="custom" dataDxfId="1193" totalsRowDxfId="1192">
      <calculatedColumnFormula>MemberOfAssemblyAssemblyDistrict78General[[#This Row],[Part of Bronx County Vote Results]]</calculatedColumnFormula>
      <totalsRowFormula>SUM(MemberOfAssemblyAssemblyDistrict78General[Total Votes by Party])</totalsRowFormula>
    </tableColumn>
    <tableColumn id="2" xr3:uid="{9893868C-11D2-4A1C-B9C9-E0EF1498EA18}" name="Total Votes by Candidate" dataDxfId="1191" totalsRowDxfId="1190"/>
  </tableColumns>
  <tableStyleInfo name="TableStyleMedium2" showFirstColumn="0" showLastColumn="0" showRowStripes="0" showColumnStripes="0"/>
</table>
</file>

<file path=xl/tables/table1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2" xr:uid="{077A6EE4-EF3E-43BB-87AC-4DE20DED7C7B}" name="MemberOfAssemblyAssemblyDistrict79General" displayName="MemberOfAssemblyAssemblyDistrict79General" ref="A2:D9" totalsRowCount="1" headerRowDxfId="1189" dataDxfId="1187" totalsRowDxfId="1185" headerRowBorderDxfId="1188" tableBorderDxfId="1186" totalsRowBorderDxfId="1184">
  <autoFilter ref="A2:D8" xr:uid="{81BBD529-E491-4025-BCA0-C38B200E086B}">
    <filterColumn colId="0" hiddenButton="1"/>
    <filterColumn colId="1" hiddenButton="1"/>
    <filterColumn colId="2" hiddenButton="1"/>
    <filterColumn colId="3" hiddenButton="1"/>
  </autoFilter>
  <tableColumns count="4">
    <tableColumn id="1" xr3:uid="{78E80F26-E1AB-4EDF-85F8-62AD618A86CA}" name="Candidate Name (Party)" totalsRowLabel="Total Votes by County" dataDxfId="1183" totalsRowDxfId="1182"/>
    <tableColumn id="4" xr3:uid="{11853E8C-DEEF-4577-BD0F-E39DC5358EB8}" name="Part of Bronx County Vote Results" totalsRowFunction="custom" dataDxfId="1181" totalsRowDxfId="1180">
      <totalsRowFormula>SUM(MemberOfAssemblyAssemblyDistrict79General[Part of Bronx County Vote Results])</totalsRowFormula>
    </tableColumn>
    <tableColumn id="3" xr3:uid="{F65285CD-D97E-4F64-8875-CC7DA7649442}" name="Total Votes by Party" totalsRowFunction="custom" dataDxfId="1179" totalsRowDxfId="1178">
      <calculatedColumnFormula>MemberOfAssemblyAssemblyDistrict79General[[#This Row],[Part of Bronx County Vote Results]]</calculatedColumnFormula>
      <totalsRowFormula>SUM(MemberOfAssemblyAssemblyDistrict79General[Total Votes by Party])</totalsRowFormula>
    </tableColumn>
    <tableColumn id="2" xr3:uid="{B87CE55F-6AEE-4471-A6CB-B11EB138363C}" name="Total Votes by Candidate" dataDxfId="1177" totalsRowDxfId="1176"/>
  </tableColumns>
  <tableStyleInfo name="TableStyleMedium2" showFirstColumn="0" showLastColumn="0" showRowStripes="0" showColumnStripes="0"/>
</table>
</file>

<file path=xl/tables/table1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1" xr:uid="{BFC4F345-BAD7-4ED6-AA8E-64DBD574D477}" name="MemberOfAssemblyAssemblyDistrict80General" displayName="MemberOfAssemblyAssemblyDistrict80General" ref="A2:D9" totalsRowCount="1" headerRowDxfId="1175" dataDxfId="1173" totalsRowDxfId="1171" headerRowBorderDxfId="1174" tableBorderDxfId="1172" totalsRowBorderDxfId="1170">
  <autoFilter ref="A2:D8" xr:uid="{34869E17-FACC-4DEE-BEBD-AF2020546F5C}">
    <filterColumn colId="0" hiddenButton="1"/>
    <filterColumn colId="1" hiddenButton="1"/>
    <filterColumn colId="2" hiddenButton="1"/>
    <filterColumn colId="3" hiddenButton="1"/>
  </autoFilter>
  <tableColumns count="4">
    <tableColumn id="1" xr3:uid="{7147F674-C7A4-49B9-9B97-7E0A3D688EF3}" name="Candidate Name (Party)" totalsRowLabel="Total Votes by County" dataDxfId="1169" totalsRowDxfId="1168"/>
    <tableColumn id="4" xr3:uid="{DE959F62-49FA-468C-8F39-7875A2AF5AF4}" name="Part of Bronx County Vote Results" totalsRowFunction="custom" dataDxfId="1167" totalsRowDxfId="1166">
      <totalsRowFormula>SUM(MemberOfAssemblyAssemblyDistrict80General[Part of Bronx County Vote Results])</totalsRowFormula>
    </tableColumn>
    <tableColumn id="3" xr3:uid="{F9B6DD24-94FE-49BB-BEB4-1FC9A5D890D5}" name="Total Votes by Party" totalsRowFunction="custom" dataDxfId="1165" totalsRowDxfId="1164">
      <calculatedColumnFormula>MemberOfAssemblyAssemblyDistrict80General[[#This Row],[Part of Bronx County Vote Results]]</calculatedColumnFormula>
      <totalsRowFormula>SUM(MemberOfAssemblyAssemblyDistrict80General[Total Votes by Party])</totalsRowFormula>
    </tableColumn>
    <tableColumn id="2" xr3:uid="{406D1123-FB0F-4166-931D-CAACC338A154}" name="Total Votes by Candidate" dataDxfId="1163" totalsRowDxfId="1162"/>
  </tableColumns>
  <tableStyleInfo name="TableStyleMedium2" showFirstColumn="0" showLastColumn="0" showRowStripes="0"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92CE587-BD66-4659-AD1B-50C20AD01AFD}" name="RepInCongressCongressionalDistrict8General" displayName="RepInCongressCongressionalDistrict8General" ref="A2:D9" totalsRowCount="1" headerRowDxfId="3703" dataDxfId="3701" totalsRowDxfId="3699" headerRowBorderDxfId="3702" tableBorderDxfId="3700" totalsRowBorderDxfId="3698">
  <autoFilter ref="A2:D8" xr:uid="{9F90E68D-AC1A-410B-ACBC-D9097683019C}">
    <filterColumn colId="0" hiddenButton="1"/>
    <filterColumn colId="1" hiddenButton="1"/>
    <filterColumn colId="2" hiddenButton="1"/>
    <filterColumn colId="3" hiddenButton="1"/>
  </autoFilter>
  <tableColumns count="4">
    <tableColumn id="1" xr3:uid="{5F906D96-2AC2-483F-B052-C3B8ADD17736}" name="Candidate Name (Party)" totalsRowLabel="Total Votes by County" dataDxfId="3697" totalsRowDxfId="3696"/>
    <tableColumn id="2" xr3:uid="{27B4E213-CF1E-4F31-9FA5-720EA7DABD8E}" name="Part of Kings County Vote Results" totalsRowFunction="custom" dataDxfId="3695" totalsRowDxfId="3694">
      <totalsRowFormula>SUM(RepInCongressCongressionalDistrict8General[Part of Kings County Vote Results])</totalsRowFormula>
    </tableColumn>
    <tableColumn id="3" xr3:uid="{DC4CFCFD-0DD9-4D20-98C2-B370915D7C33}" name="Total Votes by Party" totalsRowFunction="custom" dataDxfId="3693" totalsRowDxfId="3692">
      <calculatedColumnFormula>SUM(RepInCongressCongressionalDistrict8General[[#This Row],[Part of Kings County Vote Results]])</calculatedColumnFormula>
      <totalsRowFormula>SUM(RepInCongressCongressionalDistrict8General[Total Votes by Party])</totalsRowFormula>
    </tableColumn>
    <tableColumn id="5" xr3:uid="{A9D4E0F7-99B7-4D76-B1C6-7DC0D8BE5659}" name="Total Votes by Candidate" dataDxfId="3691" totalsRowDxfId="3690"/>
  </tableColumns>
  <tableStyleInfo name="TableStyleMedium2" showFirstColumn="0" showLastColumn="0" showRowStripes="0" showColumnStripes="0"/>
</table>
</file>

<file path=xl/tables/table1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 xr:uid="{E3D7EF34-7CFE-4CC4-8ED8-26A3607DA322}" name="MemberOfAssemblyAssemblyDistrict81General" displayName="MemberOfAssemblyAssemblyDistrict81General" ref="A2:D9" totalsRowCount="1" headerRowDxfId="1161" dataDxfId="1159" totalsRowDxfId="1157" headerRowBorderDxfId="1160" tableBorderDxfId="1158" totalsRowBorderDxfId="1156">
  <autoFilter ref="A2:D8" xr:uid="{F688E563-A249-421F-8710-78C49E88BC06}">
    <filterColumn colId="0" hiddenButton="1"/>
    <filterColumn colId="1" hiddenButton="1"/>
    <filterColumn colId="2" hiddenButton="1"/>
    <filterColumn colId="3" hiddenButton="1"/>
  </autoFilter>
  <tableColumns count="4">
    <tableColumn id="1" xr3:uid="{AB199627-8172-4799-9742-70CC013CF564}" name="Candidate Name (Party)" totalsRowLabel="Total Votes by County" dataDxfId="1155" totalsRowDxfId="1154"/>
    <tableColumn id="4" xr3:uid="{6A29A0C5-A5B7-4DE2-9D67-0D8102C6CE06}" name="Part of Bronx County Vote Results" totalsRowFunction="custom" dataDxfId="1153" totalsRowDxfId="1152">
      <totalsRowFormula>SUM(MemberOfAssemblyAssemblyDistrict81General[Part of Bronx County Vote Results])</totalsRowFormula>
    </tableColumn>
    <tableColumn id="3" xr3:uid="{66741546-4A24-4A44-AF9D-2C2A3B5444B6}" name="Total Votes by Party" totalsRowFunction="custom" dataDxfId="1151" totalsRowDxfId="1150">
      <calculatedColumnFormula>MemberOfAssemblyAssemblyDistrict81General[[#This Row],[Part of Bronx County Vote Results]]</calculatedColumnFormula>
      <totalsRowFormula>SUM(MemberOfAssemblyAssemblyDistrict81General[Total Votes by Party])</totalsRowFormula>
    </tableColumn>
    <tableColumn id="2" xr3:uid="{3DA9056B-7DA9-443F-9210-EF990D391561}" name="Total Votes by Candidate" dataDxfId="1149" totalsRowDxfId="1148"/>
  </tableColumns>
  <tableStyleInfo name="TableStyleMedium2" showFirstColumn="0" showLastColumn="0" showRowStripes="0" showColumnStripes="0"/>
</table>
</file>

<file path=xl/tables/table1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9" xr:uid="{4AACB856-593A-48E0-AA63-F720591FB923}" name="MemberOfAssemblyAssemblyDistrict82General" displayName="MemberOfAssemblyAssemblyDistrict82General" ref="A2:D9" totalsRowCount="1" headerRowDxfId="1147" dataDxfId="1145" totalsRowDxfId="1143" headerRowBorderDxfId="1146" tableBorderDxfId="1144" totalsRowBorderDxfId="1142">
  <autoFilter ref="A2:D8" xr:uid="{B76A93E2-1975-4BD7-8DD6-7CEB7D707669}">
    <filterColumn colId="0" hiddenButton="1"/>
    <filterColumn colId="1" hiddenButton="1"/>
    <filterColumn colId="2" hiddenButton="1"/>
    <filterColumn colId="3" hiddenButton="1"/>
  </autoFilter>
  <tableColumns count="4">
    <tableColumn id="1" xr3:uid="{EC18D3C4-5C91-421B-8FEC-0391281F14EC}" name="Candidate Name (Party)" totalsRowLabel="Total Votes by County" dataDxfId="1141" totalsRowDxfId="1140"/>
    <tableColumn id="4" xr3:uid="{EBE4C9DA-EC01-4510-8DFC-4B2FD0E9D2E9}" name="Part of Bronx County Vote Results" totalsRowFunction="custom" dataDxfId="1139" totalsRowDxfId="1138">
      <totalsRowFormula>SUM(MemberOfAssemblyAssemblyDistrict82General[Part of Bronx County Vote Results])</totalsRowFormula>
    </tableColumn>
    <tableColumn id="3" xr3:uid="{A2744113-46F9-4E5E-A836-C03DB2951D1B}" name="Total Votes by Party" totalsRowFunction="custom" dataDxfId="1137" totalsRowDxfId="1136">
      <calculatedColumnFormula>MemberOfAssemblyAssemblyDistrict82General[[#This Row],[Part of Bronx County Vote Results]]</calculatedColumnFormula>
      <totalsRowFormula>SUM(MemberOfAssemblyAssemblyDistrict82General[Total Votes by Party])</totalsRowFormula>
    </tableColumn>
    <tableColumn id="2" xr3:uid="{631B1078-FA7D-4AC6-9837-374C01E1E609}" name="Total Votes by Candidate" dataDxfId="1135" totalsRowDxfId="1134"/>
  </tableColumns>
  <tableStyleInfo name="TableStyleMedium2" showFirstColumn="0" showLastColumn="0" showRowStripes="0" showColumnStripes="0"/>
</table>
</file>

<file path=xl/tables/table1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A39A6BB2-A347-4D5E-A7F8-CBF37E8E9A35}" name="MemberOfAssemblyAssemblyDistrict83General" displayName="MemberOfAssemblyAssemblyDistrict83General" ref="A2:D9" totalsRowCount="1" headerRowDxfId="1133" dataDxfId="1131" totalsRowDxfId="1129" headerRowBorderDxfId="1132" tableBorderDxfId="1130" totalsRowBorderDxfId="1128">
  <autoFilter ref="A2:D8" xr:uid="{3E26DF29-ABA1-4EAF-8B47-B7644EBFBFA0}">
    <filterColumn colId="0" hiddenButton="1"/>
    <filterColumn colId="1" hiddenButton="1"/>
    <filterColumn colId="2" hiddenButton="1"/>
    <filterColumn colId="3" hiddenButton="1"/>
  </autoFilter>
  <tableColumns count="4">
    <tableColumn id="1" xr3:uid="{0D8EA4CF-0EF1-4079-9ED0-36F38B019138}" name="Candidate Name (Party)" totalsRowLabel="Total Votes by County" dataDxfId="1127" totalsRowDxfId="1126"/>
    <tableColumn id="4" xr3:uid="{615D35B7-0227-45BD-8BC0-013648F6BA0D}" name="Part of Bronx County Vote Results" totalsRowFunction="custom" dataDxfId="1125" totalsRowDxfId="1124">
      <totalsRowFormula>SUM(MemberOfAssemblyAssemblyDistrict83General[Part of Bronx County Vote Results])</totalsRowFormula>
    </tableColumn>
    <tableColumn id="3" xr3:uid="{1CA9025E-0CB8-4301-8A7C-D8B51E4D7760}" name="Total Votes by Party" totalsRowFunction="custom" dataDxfId="1123" totalsRowDxfId="1122">
      <calculatedColumnFormula>MemberOfAssemblyAssemblyDistrict83General[[#This Row],[Part of Bronx County Vote Results]]</calculatedColumnFormula>
      <totalsRowFormula>SUM(MemberOfAssemblyAssemblyDistrict83General[Total Votes by Party])</totalsRowFormula>
    </tableColumn>
    <tableColumn id="2" xr3:uid="{660763F3-A80D-44E4-A816-14323D48039F}" name="Total Votes by Candidate" dataDxfId="1121" totalsRowDxfId="1120"/>
  </tableColumns>
  <tableStyleInfo name="TableStyleMedium2" showFirstColumn="0" showLastColumn="0" showRowStripes="0" showColumnStripes="0"/>
</table>
</file>

<file path=xl/tables/table1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3F92202D-D91F-4513-89EC-252A1E76ACB4}" name="MemberOfAssemblyAssemblyDistrict84General" displayName="MemberOfAssemblyAssemblyDistrict84General" ref="A2:D10" totalsRowCount="1" headerRowDxfId="1119" dataDxfId="1117" totalsRowDxfId="1115" headerRowBorderDxfId="1118" tableBorderDxfId="1116" totalsRowBorderDxfId="1114">
  <autoFilter ref="A2:D9" xr:uid="{047F2C91-73B1-462F-AD15-DB76F9BDD6BC}">
    <filterColumn colId="0" hiddenButton="1"/>
    <filterColumn colId="1" hiddenButton="1"/>
    <filterColumn colId="2" hiddenButton="1"/>
    <filterColumn colId="3" hiddenButton="1"/>
  </autoFilter>
  <tableColumns count="4">
    <tableColumn id="1" xr3:uid="{B737DD11-3C8A-4202-93AE-E1A6B2D2D0F7}" name="Candidate Name (Party)" totalsRowLabel="Total Votes by County" dataDxfId="1113" totalsRowDxfId="1112"/>
    <tableColumn id="4" xr3:uid="{96EC0955-2D3A-41D7-A699-290D1021B8AD}" name="Part of Bronx County Vote Results" totalsRowFunction="custom" dataDxfId="1111" totalsRowDxfId="1110">
      <totalsRowFormula>SUM(MemberOfAssemblyAssemblyDistrict84General[Part of Bronx County Vote Results])</totalsRowFormula>
    </tableColumn>
    <tableColumn id="3" xr3:uid="{8E3AC98C-A8E4-4845-8831-95602807C60B}" name="Total Votes by Party" totalsRowFunction="custom" dataDxfId="1109" totalsRowDxfId="1108">
      <calculatedColumnFormula>MemberOfAssemblyAssemblyDistrict84General[[#This Row],[Part of Bronx County Vote Results]]</calculatedColumnFormula>
      <totalsRowFormula>SUM(MemberOfAssemblyAssemblyDistrict84General[Total Votes by Party])</totalsRowFormula>
    </tableColumn>
    <tableColumn id="2" xr3:uid="{58E9A281-3D37-438D-83DD-CACAD953AC7C}" name="Total Votes by Candidate" dataDxfId="1107" totalsRowDxfId="1106"/>
  </tableColumns>
  <tableStyleInfo name="TableStyleMedium2" showFirstColumn="0" showLastColumn="0" showRowStripes="0" showColumnStripes="0"/>
</table>
</file>

<file path=xl/tables/table1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FB2BFE9A-2E35-40F6-9BEF-B9EA3020FB36}" name="MemberOfAssemblyAssemblyDistrict85General" displayName="MemberOfAssemblyAssemblyDistrict85General" ref="A2:D9" totalsRowCount="1" headerRowDxfId="1105" dataDxfId="1103" totalsRowDxfId="1101" headerRowBorderDxfId="1104" tableBorderDxfId="1102" totalsRowBorderDxfId="1100">
  <autoFilter ref="A2:D8" xr:uid="{CEB3E35A-3F54-4D50-A9AF-773FC7AF02B5}">
    <filterColumn colId="0" hiddenButton="1"/>
    <filterColumn colId="1" hiddenButton="1"/>
    <filterColumn colId="2" hiddenButton="1"/>
    <filterColumn colId="3" hiddenButton="1"/>
  </autoFilter>
  <tableColumns count="4">
    <tableColumn id="1" xr3:uid="{09D08FC7-3AFB-4EF1-8F32-D0CA6DC81882}" name="Candidate Name (Party)" totalsRowLabel="Total Votes by County" dataDxfId="1099" totalsRowDxfId="1098"/>
    <tableColumn id="4" xr3:uid="{8277987E-643D-4D51-9A97-70FAA102FE82}" name="Part of Bronx County Vote Results" totalsRowFunction="custom" dataDxfId="1097" totalsRowDxfId="1096">
      <totalsRowFormula>SUM(MemberOfAssemblyAssemblyDistrict85General[Part of Bronx County Vote Results])</totalsRowFormula>
    </tableColumn>
    <tableColumn id="3" xr3:uid="{1099B5D0-E740-4669-8090-46322153DCE0}" name="Total Votes by Party" totalsRowFunction="custom" dataDxfId="1095" totalsRowDxfId="1094">
      <calculatedColumnFormula>MemberOfAssemblyAssemblyDistrict85General[[#This Row],[Part of Bronx County Vote Results]]</calculatedColumnFormula>
      <totalsRowFormula>SUM(MemberOfAssemblyAssemblyDistrict85General[Total Votes by Party])</totalsRowFormula>
    </tableColumn>
    <tableColumn id="2" xr3:uid="{E7AC1E96-1D9B-41A5-A7A8-244EADC49032}" name="Total Votes by Candidate" dataDxfId="1093" totalsRowDxfId="1092"/>
  </tableColumns>
  <tableStyleInfo name="TableStyleMedium2" showFirstColumn="0" showLastColumn="0" showRowStripes="0" showColumnStripes="0"/>
</table>
</file>

<file path=xl/tables/table1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4676E114-9988-4656-80A5-11A96D52BA91}" name="MemberOfAssemblyAssemblyDistrict86General" displayName="MemberOfAssemblyAssemblyDistrict86General" ref="A2:D9" totalsRowCount="1" headerRowDxfId="1091" dataDxfId="1089" totalsRowDxfId="1087" headerRowBorderDxfId="1090" tableBorderDxfId="1088" totalsRowBorderDxfId="1086">
  <autoFilter ref="A2:D8" xr:uid="{2B5704FE-706F-47C3-959B-9BA0632CF0E7}">
    <filterColumn colId="0" hiddenButton="1"/>
    <filterColumn colId="1" hiddenButton="1"/>
    <filterColumn colId="2" hiddenButton="1"/>
    <filterColumn colId="3" hiddenButton="1"/>
  </autoFilter>
  <tableColumns count="4">
    <tableColumn id="1" xr3:uid="{3A1D28C9-BCAF-4684-A05E-ECBC6D14AF76}" name="Candidate Name (Party)" totalsRowLabel="Total Votes by County" dataDxfId="1085" totalsRowDxfId="1084"/>
    <tableColumn id="4" xr3:uid="{D3E24431-86C8-4576-823E-8FFEB571B64B}" name="Part of Bronx County Vote Results" totalsRowFunction="custom" dataDxfId="1083" totalsRowDxfId="1082">
      <totalsRowFormula>SUM(MemberOfAssemblyAssemblyDistrict86General[Part of Bronx County Vote Results])</totalsRowFormula>
    </tableColumn>
    <tableColumn id="3" xr3:uid="{1E027510-6EC6-45DC-8E8D-89B8380FA10C}" name="Total Votes by Party" totalsRowFunction="custom" dataDxfId="1081" totalsRowDxfId="1080">
      <calculatedColumnFormula>MemberOfAssemblyAssemblyDistrict86General[[#This Row],[Part of Bronx County Vote Results]]</calculatedColumnFormula>
      <totalsRowFormula>SUM(MemberOfAssemblyAssemblyDistrict86General[Total Votes by Party])</totalsRowFormula>
    </tableColumn>
    <tableColumn id="2" xr3:uid="{A299B6F7-BBE5-48E1-8143-221E14AB3397}" name="Total Votes by Candidate" dataDxfId="1079" totalsRowDxfId="1078"/>
  </tableColumns>
  <tableStyleInfo name="TableStyleMedium2" showFirstColumn="0" showLastColumn="0" showRowStripes="0" showColumnStripes="0"/>
</table>
</file>

<file path=xl/tables/table1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D0B6AAC4-AB56-4E89-A220-61E465107211}" name="MemberOfAssemblyAssemblyDistrict87General" displayName="MemberOfAssemblyAssemblyDistrict87General" ref="A2:D8" totalsRowCount="1" headerRowDxfId="1077" dataDxfId="1075" totalsRowDxfId="1073" headerRowBorderDxfId="1076" tableBorderDxfId="1074" totalsRowBorderDxfId="1072">
  <autoFilter ref="A2:D7" xr:uid="{517D48A4-44D2-4D42-9D5F-B6FA55B3BDFE}">
    <filterColumn colId="0" hiddenButton="1"/>
    <filterColumn colId="1" hiddenButton="1"/>
    <filterColumn colId="2" hiddenButton="1"/>
    <filterColumn colId="3" hiddenButton="1"/>
  </autoFilter>
  <tableColumns count="4">
    <tableColumn id="1" xr3:uid="{9D66ED4D-48D3-44E3-9C92-9A6CF22C8EC3}" name="Candidate Name (Party)" totalsRowLabel="Total Votes by County" dataDxfId="1071" totalsRowDxfId="1070"/>
    <tableColumn id="4" xr3:uid="{C0C6A265-F472-4DD8-8DC4-80C8CA395910}" name="Part of Bronx County Vote Results" totalsRowFunction="custom" dataDxfId="1069" totalsRowDxfId="1068">
      <totalsRowFormula>SUM(MemberOfAssemblyAssemblyDistrict87General[Part of Bronx County Vote Results])</totalsRowFormula>
    </tableColumn>
    <tableColumn id="3" xr3:uid="{4239DD0A-91B4-465F-AEA1-B2C24BE3DD79}" name="Total Votes by Party" totalsRowFunction="custom" dataDxfId="1067" totalsRowDxfId="1066">
      <calculatedColumnFormula>MemberOfAssemblyAssemblyDistrict87General[[#This Row],[Part of Bronx County Vote Results]]</calculatedColumnFormula>
      <totalsRowFormula>SUM(MemberOfAssemblyAssemblyDistrict87General[Total Votes by Party])</totalsRowFormula>
    </tableColumn>
    <tableColumn id="2" xr3:uid="{9F6B1AE1-816F-4FF9-A17C-9628FF9C1CC4}" name="Total Votes by Candidate" dataDxfId="1065" totalsRowDxfId="1064"/>
  </tableColumns>
  <tableStyleInfo name="TableStyleMedium2" showFirstColumn="0" showLastColumn="0" showRowStripes="0" showColumnStripes="0"/>
</table>
</file>

<file path=xl/tables/table1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6E332B0D-85CE-4971-B293-E67C1DC65152}" name="MemberOfAssemblyAssemblyDistrict88General" displayName="MemberOfAssemblyAssemblyDistrict88General" ref="A2:D10" totalsRowCount="1" headerRowDxfId="1063" dataDxfId="1061" totalsRowDxfId="1059" headerRowBorderDxfId="1062" tableBorderDxfId="1060" totalsRowBorderDxfId="1058">
  <autoFilter ref="A2:D9" xr:uid="{5222BB5E-8B89-464E-89E2-E688BB379254}">
    <filterColumn colId="0" hiddenButton="1"/>
    <filterColumn colId="1" hiddenButton="1"/>
    <filterColumn colId="2" hiddenButton="1"/>
    <filterColumn colId="3" hiddenButton="1"/>
  </autoFilter>
  <tableColumns count="4">
    <tableColumn id="1" xr3:uid="{07AD1407-D161-46F5-B7DE-4B63234A8DDE}" name="Candidate Name (Party)" totalsRowLabel="Total Votes by County" dataDxfId="1057" totalsRowDxfId="1056"/>
    <tableColumn id="4" xr3:uid="{94231154-59F8-4ABD-B200-78234A485935}" name="Part of Westchester County Vote Results" totalsRowFunction="custom" dataDxfId="1055" totalsRowDxfId="1054">
      <totalsRowFormula>SUM(MemberOfAssemblyAssemblyDistrict88General[Part of Westchester County Vote Results])</totalsRowFormula>
    </tableColumn>
    <tableColumn id="3" xr3:uid="{5504B0B4-5168-4118-A723-393B7B6C1B4F}" name="Total Votes by Party" totalsRowFunction="custom" dataDxfId="1053" totalsRowDxfId="1052">
      <calculatedColumnFormula>MemberOfAssemblyAssemblyDistrict88General[[#This Row],[Part of Westchester County Vote Results]]</calculatedColumnFormula>
      <totalsRowFormula>SUM(MemberOfAssemblyAssemblyDistrict88General[Total Votes by Party])</totalsRowFormula>
    </tableColumn>
    <tableColumn id="2" xr3:uid="{FC4F1582-AEA6-476A-86B0-7C5D2B4F63F7}" name="Total Votes by Candidate" dataDxfId="1051" totalsRowDxfId="1050">
      <calculatedColumnFormula>SUM(MemberOfAssemblyAssemblyDistrict88General[[#This Row],[Total Votes by Party]],C4,C5)</calculatedColumnFormula>
    </tableColumn>
  </tableColumns>
  <tableStyleInfo name="TableStyleMedium2" showFirstColumn="0" showLastColumn="0" showRowStripes="0" showColumnStripes="0"/>
</table>
</file>

<file path=xl/tables/table1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80E00357-B855-443C-81BB-8836D2F5B478}" name="MemberOfAssemblyAssemblyDistrict89General" displayName="MemberOfAssemblyAssemblyDistrict89General" ref="A2:D7" totalsRowCount="1" headerRowDxfId="1049" dataDxfId="1047" totalsRowDxfId="1045" headerRowBorderDxfId="1048" tableBorderDxfId="1046" totalsRowBorderDxfId="1044">
  <autoFilter ref="A2:D6" xr:uid="{A9FD1674-D6E7-45DA-9FDE-95E5B1ED6D2B}">
    <filterColumn colId="0" hiddenButton="1"/>
    <filterColumn colId="1" hiddenButton="1"/>
    <filterColumn colId="2" hiddenButton="1"/>
    <filterColumn colId="3" hiddenButton="1"/>
  </autoFilter>
  <tableColumns count="4">
    <tableColumn id="1" xr3:uid="{2005BC62-17F7-402D-B23B-7EEF60DBFF6C}" name="Candidate Name (Party)" totalsRowLabel="Total Votes by County" dataDxfId="1043" totalsRowDxfId="1042"/>
    <tableColumn id="4" xr3:uid="{F028D45A-6024-43CB-8A72-582E49CBC04A}" name="Part of Westchester County Vote Results" totalsRowFunction="custom" dataDxfId="1041" totalsRowDxfId="1040">
      <totalsRowFormula>SUM(MemberOfAssemblyAssemblyDistrict89General[Part of Westchester County Vote Results])</totalsRowFormula>
    </tableColumn>
    <tableColumn id="3" xr3:uid="{85A2D79F-A99D-48E6-A5DA-99911CCF4BAF}" name="Total Votes by Party" totalsRowFunction="custom" dataDxfId="1039" totalsRowDxfId="1038">
      <calculatedColumnFormula>MemberOfAssemblyAssemblyDistrict89General[[#This Row],[Part of Westchester County Vote Results]]</calculatedColumnFormula>
      <totalsRowFormula>SUM(MemberOfAssemblyAssemblyDistrict89General[Total Votes by Party])</totalsRowFormula>
    </tableColumn>
    <tableColumn id="2" xr3:uid="{F037C996-C427-4472-9476-75C546125C98}" name="Total Votes by Candidate" dataDxfId="1037" totalsRowDxfId="1036">
      <calculatedColumnFormula>SUM(MemberOfAssemblyAssemblyDistrict89General[[#This Row],[Total Votes by Party]])</calculatedColumnFormula>
    </tableColumn>
  </tableColumns>
  <tableStyleInfo name="TableStyleMedium2" showFirstColumn="0" showLastColumn="0" showRowStripes="0" showColumnStripes="0"/>
</table>
</file>

<file path=xl/tables/table1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1" xr:uid="{D75632C7-E375-4619-8BD2-01D5BC1F9028}" name="MemberOfAssemblyAssemblyDistrict90General" displayName="MemberOfAssemblyAssemblyDistrict90General" ref="A2:D9" totalsRowCount="1" headerRowDxfId="1035" dataDxfId="1033" totalsRowDxfId="1031" headerRowBorderDxfId="1034" tableBorderDxfId="1032" totalsRowBorderDxfId="1030">
  <autoFilter ref="A2:D8" xr:uid="{0AD0D9E1-FBC6-45BE-AB9F-3850A5A8348A}">
    <filterColumn colId="0" hiddenButton="1"/>
    <filterColumn colId="1" hiddenButton="1"/>
    <filterColumn colId="2" hiddenButton="1"/>
    <filterColumn colId="3" hiddenButton="1"/>
  </autoFilter>
  <tableColumns count="4">
    <tableColumn id="1" xr3:uid="{38E4115E-47C3-4F86-A1C7-1BCD7C8C5BD8}" name="Candidate Name (Party)" totalsRowLabel="Total Votes by County" dataDxfId="1029" totalsRowDxfId="1028"/>
    <tableColumn id="4" xr3:uid="{95F46BA6-460B-4BC9-8524-D87D2192DA9E}" name="Part of Westchester County Vote Results" totalsRowFunction="custom" dataDxfId="1027" totalsRowDxfId="1026">
      <totalsRowFormula>SUM(MemberOfAssemblyAssemblyDistrict90General[Part of Westchester County Vote Results])</totalsRowFormula>
    </tableColumn>
    <tableColumn id="3" xr3:uid="{A6E4CAB6-BD86-43E8-9B62-66AA84ED5D37}" name="Total Votes by Party" totalsRowFunction="custom" dataDxfId="1025" totalsRowDxfId="1024">
      <calculatedColumnFormula>MemberOfAssemblyAssemblyDistrict90General[[#This Row],[Part of Westchester County Vote Results]]</calculatedColumnFormula>
      <totalsRowFormula>SUM(MemberOfAssemblyAssemblyDistrict90General[Total Votes by Party])</totalsRowFormula>
    </tableColumn>
    <tableColumn id="2" xr3:uid="{7D0C14F6-2049-4787-98E6-EC64D93AF48D}" name="Total Votes by Candidate" dataDxfId="1023" totalsRowDxfId="1022"/>
  </tableColumns>
  <tableStyleInfo name="TableStyleMedium2" showFirstColumn="0" showLastColumn="0" showRowStripes="0"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C57877-BB55-4E74-A4AD-B73BBBEBE5C0}" name="RepInCongressCongressionalDistrict9General" displayName="RepInCongressCongressionalDistrict9General" ref="A2:D9" totalsRowCount="1" headerRowDxfId="3689" dataDxfId="3687" totalsRowDxfId="3685" headerRowBorderDxfId="3688" tableBorderDxfId="3686" totalsRowBorderDxfId="3684">
  <autoFilter ref="A2:D8" xr:uid="{2ABB5165-DA54-458E-948F-F67912A9FB1C}">
    <filterColumn colId="0" hiddenButton="1"/>
    <filterColumn colId="1" hiddenButton="1"/>
    <filterColumn colId="2" hiddenButton="1"/>
    <filterColumn colId="3" hiddenButton="1"/>
  </autoFilter>
  <tableColumns count="4">
    <tableColumn id="1" xr3:uid="{BC53B0DF-AAEC-4FCC-8FD7-7C1A1B9F4F4E}" name="Candidate Name (Party)" totalsRowLabel="Total Votes by County" dataDxfId="3683" totalsRowDxfId="3682"/>
    <tableColumn id="4" xr3:uid="{DD5BB9F0-A990-4358-B885-C717F999718A}" name="Part of Kings County Vote Results" totalsRowFunction="custom" dataDxfId="3681" totalsRowDxfId="3680">
      <totalsRowFormula>SUM(RepInCongressCongressionalDistrict9General[Part of Kings County Vote Results])</totalsRowFormula>
    </tableColumn>
    <tableColumn id="3" xr3:uid="{5C6E0EFA-EAC7-4F9D-B5B7-BE5963ADFF61}" name="Total Votes by Party" totalsRowFunction="custom" dataDxfId="3679" totalsRowDxfId="3678">
      <calculatedColumnFormula>RepInCongressCongressionalDistrict9General[[#This Row],[Part of Kings County Vote Results]]</calculatedColumnFormula>
      <totalsRowFormula>SUM(RepInCongressCongressionalDistrict9General[Total Votes by Party])</totalsRowFormula>
    </tableColumn>
    <tableColumn id="2" xr3:uid="{697320E9-B0EE-44DB-B44D-044C40E84BD8}" name="Total Votes by Candidate" dataDxfId="3677" totalsRowDxfId="3676"/>
  </tableColumns>
  <tableStyleInfo name="TableStyleMedium2" showFirstColumn="0" showLastColumn="0" showRowStripes="0" showColumnStripes="0"/>
</table>
</file>

<file path=xl/tables/table1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0" xr:uid="{3C32815C-D8E0-4088-A783-D1C1DDAC1499}" name="MemberOfAssemblyAssemblyDistrict91General" displayName="MemberOfAssemblyAssemblyDistrict91General" ref="A2:D9" totalsRowCount="1" headerRowDxfId="1021" dataDxfId="1019" totalsRowDxfId="1017" headerRowBorderDxfId="1020" tableBorderDxfId="1018" totalsRowBorderDxfId="1016">
  <autoFilter ref="A2:D8" xr:uid="{839267D8-4641-4BF3-971C-2C7A8148B1D5}">
    <filterColumn colId="0" hiddenButton="1"/>
    <filterColumn colId="1" hiddenButton="1"/>
    <filterColumn colId="2" hiddenButton="1"/>
    <filterColumn colId="3" hiddenButton="1"/>
  </autoFilter>
  <tableColumns count="4">
    <tableColumn id="1" xr3:uid="{B6AB1628-8923-4D8E-9FF2-2530876229B0}" name="Candidate Name (Party)" totalsRowLabel="Total Votes by County" dataDxfId="1015" totalsRowDxfId="1014"/>
    <tableColumn id="4" xr3:uid="{2D8D5577-73AF-4C25-B07D-E882CF221FD9}" name="Part of Westchester County Vote Results" totalsRowFunction="custom" dataDxfId="1013" totalsRowDxfId="1012">
      <totalsRowFormula>SUM(MemberOfAssemblyAssemblyDistrict91General[Part of Westchester County Vote Results])</totalsRowFormula>
    </tableColumn>
    <tableColumn id="3" xr3:uid="{DF80B1A5-CEF8-4696-92E8-B01A409568BA}" name="Total Votes by Party" totalsRowFunction="custom" dataDxfId="1011" totalsRowDxfId="1010">
      <calculatedColumnFormula>MemberOfAssemblyAssemblyDistrict91General[[#This Row],[Part of Westchester County Vote Results]]</calculatedColumnFormula>
      <totalsRowFormula>SUM(MemberOfAssemblyAssemblyDistrict91General[Total Votes by Party])</totalsRowFormula>
    </tableColumn>
    <tableColumn id="2" xr3:uid="{A960EE9A-9D34-4A06-A8AB-648CB605CF27}" name="Total Votes by Candidate" dataDxfId="1009" totalsRowDxfId="1008">
      <calculatedColumnFormula>SUM(MemberOfAssemblyAssemblyDistrict91General[[#This Row],[Total Votes by Party]],C4,C5)</calculatedColumnFormula>
    </tableColumn>
  </tableColumns>
  <tableStyleInfo name="TableStyleMedium2" showFirstColumn="0" showLastColumn="0" showRowStripes="0" showColumnStripes="0"/>
</table>
</file>

<file path=xl/tables/table1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9" xr:uid="{F3412815-1CB4-4716-B797-DDB953D4926B}" name="MemberOfAssemblyAssemblyDistrict92General" displayName="MemberOfAssemblyAssemblyDistrict92General" ref="A2:D10" totalsRowCount="1" headerRowDxfId="1007" dataDxfId="1005" totalsRowDxfId="1003" headerRowBorderDxfId="1006" tableBorderDxfId="1004" totalsRowBorderDxfId="1002">
  <autoFilter ref="A2:D9" xr:uid="{10FE8981-0724-4C55-9706-64F4E23666C5}">
    <filterColumn colId="0" hiddenButton="1"/>
    <filterColumn colId="1" hiddenButton="1"/>
    <filterColumn colId="2" hiddenButton="1"/>
    <filterColumn colId="3" hiddenButton="1"/>
  </autoFilter>
  <tableColumns count="4">
    <tableColumn id="1" xr3:uid="{E098E5E1-BCA0-40A0-8083-16EC8345007C}" name="Candidate Name (Party)" totalsRowLabel="Total Votes by County" dataDxfId="1001" totalsRowDxfId="1000"/>
    <tableColumn id="4" xr3:uid="{ED2772F9-3A42-4005-A7FF-B97E4622286F}" name="Part of Westchester County Vote Results" totalsRowFunction="custom" dataDxfId="999" totalsRowDxfId="998">
      <totalsRowFormula>SUM(MemberOfAssemblyAssemblyDistrict92General[Part of Westchester County Vote Results])</totalsRowFormula>
    </tableColumn>
    <tableColumn id="3" xr3:uid="{7D302934-3F1C-4003-8A78-F616DBFF1F4D}" name="Total Votes by Party" totalsRowFunction="custom" dataDxfId="997" totalsRowDxfId="996">
      <calculatedColumnFormula>MemberOfAssemblyAssemblyDistrict92General[[#This Row],[Part of Westchester County Vote Results]]</calculatedColumnFormula>
      <totalsRowFormula>SUM(MemberOfAssemblyAssemblyDistrict92General[Total Votes by Party])</totalsRowFormula>
    </tableColumn>
    <tableColumn id="2" xr3:uid="{E0963B33-1D1C-459D-A8F2-A19F38A572FC}" name="Total Votes by Candidate" dataDxfId="995" totalsRowDxfId="994"/>
  </tableColumns>
  <tableStyleInfo name="TableStyleMedium2" showFirstColumn="0" showLastColumn="0" showRowStripes="0" showColumnStripes="0"/>
</table>
</file>

<file path=xl/tables/table1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8" xr:uid="{0E22FE73-19CC-48FF-8672-686BF614D199}" name="MemberOfAssemblyAssemblyDistrict93General" displayName="MemberOfAssemblyAssemblyDistrict93General" ref="A2:D8" totalsRowCount="1" headerRowDxfId="993" dataDxfId="991" totalsRowDxfId="989" headerRowBorderDxfId="992" tableBorderDxfId="990" totalsRowBorderDxfId="988">
  <autoFilter ref="A2:D7" xr:uid="{D55BDE7E-2331-4939-833D-ACA4034F7547}">
    <filterColumn colId="0" hiddenButton="1"/>
    <filterColumn colId="1" hiddenButton="1"/>
    <filterColumn colId="2" hiddenButton="1"/>
    <filterColumn colId="3" hiddenButton="1"/>
  </autoFilter>
  <tableColumns count="4">
    <tableColumn id="1" xr3:uid="{815EF02E-11C6-475A-B924-036BDA3B5B60}" name="Candidate Name (Party)" totalsRowLabel="Total Votes by County" dataDxfId="987" totalsRowDxfId="986"/>
    <tableColumn id="4" xr3:uid="{8245F91B-9EE7-4090-A6A9-CE0BC0931AFE}" name="Part of Westchester County Vote Results" totalsRowFunction="custom" dataDxfId="985" totalsRowDxfId="984">
      <totalsRowFormula>SUM(MemberOfAssemblyAssemblyDistrict93General[Part of Westchester County Vote Results])</totalsRowFormula>
    </tableColumn>
    <tableColumn id="3" xr3:uid="{589545AE-2DAE-49BA-8B8C-5F214206E63B}" name="Total Votes by Party" totalsRowFunction="custom" dataDxfId="983" totalsRowDxfId="982">
      <calculatedColumnFormula>MemberOfAssemblyAssemblyDistrict93General[[#This Row],[Part of Westchester County Vote Results]]</calculatedColumnFormula>
      <totalsRowFormula>SUM(MemberOfAssemblyAssemblyDistrict93General[Total Votes by Party])</totalsRowFormula>
    </tableColumn>
    <tableColumn id="2" xr3:uid="{489FCE29-22BA-436B-AD50-DB0DD91D3861}" name="Total Votes by Candidate" dataDxfId="981" totalsRowDxfId="980"/>
  </tableColumns>
  <tableStyleInfo name="TableStyleMedium2" showFirstColumn="0" showLastColumn="0" showRowStripes="0" showColumnStripes="0"/>
</table>
</file>

<file path=xl/tables/table1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7" xr:uid="{E25649AB-4B46-4CEC-8F33-D31AAD9A3170}" name="MemberOfAssemblyAssemblyDistrict94General" displayName="MemberOfAssemblyAssemblyDistrict94General" ref="A2:E9" totalsRowCount="1" headerRowDxfId="979" dataDxfId="977" totalsRowDxfId="975" headerRowBorderDxfId="978" tableBorderDxfId="976" totalsRowBorderDxfId="974">
  <autoFilter ref="A2:E8" xr:uid="{DED7A81C-DF94-495E-BD4D-90CA60902883}">
    <filterColumn colId="0" hiddenButton="1"/>
    <filterColumn colId="1" hiddenButton="1"/>
    <filterColumn colId="2" hiddenButton="1"/>
    <filterColumn colId="3" hiddenButton="1"/>
    <filterColumn colId="4" hiddenButton="1"/>
  </autoFilter>
  <tableColumns count="5">
    <tableColumn id="1" xr3:uid="{4EC8A684-210A-4557-B9A6-F2371871AFB9}" name="Candidate Name (Party)" totalsRowLabel="Total Votes by County" dataDxfId="973" totalsRowDxfId="972"/>
    <tableColumn id="2" xr3:uid="{14CF4078-A7C0-4B6B-8C35-6501D52827C8}" name="Part of Putnam County Vote Results" totalsRowFunction="custom" dataDxfId="971" totalsRowDxfId="970">
      <totalsRowFormula>SUM(MemberOfAssemblyAssemblyDistrict94General[Part of Putnam County Vote Results])</totalsRowFormula>
    </tableColumn>
    <tableColumn id="4" xr3:uid="{1379219A-AB2C-43DB-9773-D3332E895661}" name="Part of Westchester County Vote Results" totalsRowFunction="custom" dataDxfId="969" totalsRowDxfId="968">
      <totalsRowFormula>SUM(MemberOfAssemblyAssemblyDistrict94General[Part of Westchester County Vote Results])</totalsRowFormula>
    </tableColumn>
    <tableColumn id="3" xr3:uid="{B58D9436-56F9-4D90-AF6F-07FFD2787F62}" name="Total Votes by Party" totalsRowFunction="custom" dataDxfId="967" totalsRowDxfId="966">
      <calculatedColumnFormula>SUM(MemberOfAssemblyAssemblyDistrict94General[[#This Row],[Part of Putnam County Vote Results]:[Part of Westchester County Vote Results]])</calculatedColumnFormula>
      <totalsRowFormula>SUM(MemberOfAssemblyAssemblyDistrict94General[Total Votes by Party])</totalsRowFormula>
    </tableColumn>
    <tableColumn id="5" xr3:uid="{0E4E10BC-E0C8-4567-8E38-25139177E809}" name="Total Votes by Candidate" dataDxfId="965" totalsRowDxfId="964"/>
  </tableColumns>
  <tableStyleInfo name="TableStyleMedium2" showFirstColumn="0" showLastColumn="0" showRowStripes="0" showColumnStripes="0"/>
</table>
</file>

<file path=xl/tables/table1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6" xr:uid="{CF11467E-FA0A-4D9A-B04E-E2FDDEBF1A8B}" name="MemberOfAssemblyAssemblyDistrict95General" displayName="MemberOfAssemblyAssemblyDistrict95General" ref="A2:E10" totalsRowCount="1" headerRowDxfId="963" dataDxfId="961" totalsRowDxfId="959" headerRowBorderDxfId="962" tableBorderDxfId="960" totalsRowBorderDxfId="958">
  <autoFilter ref="A2:E9" xr:uid="{6D7F6935-EB82-47B3-81C1-C37CF71DBB01}">
    <filterColumn colId="0" hiddenButton="1"/>
    <filterColumn colId="1" hiddenButton="1"/>
    <filterColumn colId="2" hiddenButton="1"/>
    <filterColumn colId="3" hiddenButton="1"/>
    <filterColumn colId="4" hiddenButton="1"/>
  </autoFilter>
  <tableColumns count="5">
    <tableColumn id="1" xr3:uid="{4E8CCE20-5C22-4AAF-8BCE-45F848ACEBBF}" name="Candidate Name (Party)" totalsRowLabel="Total Votes by County" dataDxfId="957" totalsRowDxfId="956"/>
    <tableColumn id="2" xr3:uid="{795D7259-1661-49C9-B1E9-D425B4BFB741}" name="Part of Putnam County Vote Results" totalsRowFunction="custom" dataDxfId="955" totalsRowDxfId="954">
      <totalsRowFormula>SUM(MemberOfAssemblyAssemblyDistrict95General[Part of Putnam County Vote Results])</totalsRowFormula>
    </tableColumn>
    <tableColumn id="4" xr3:uid="{B5E0F070-4B04-4E78-AC53-05E56F9E59D5}" name="Part of Westchester County Vote Results" totalsRowFunction="custom" dataDxfId="953" totalsRowDxfId="952">
      <totalsRowFormula>SUM(MemberOfAssemblyAssemblyDistrict95General[Part of Westchester County Vote Results])</totalsRowFormula>
    </tableColumn>
    <tableColumn id="3" xr3:uid="{BD7229F9-AC3D-47B5-83EE-ECF2B61BC03E}" name="Total Votes by Party" totalsRowFunction="custom" dataDxfId="951" totalsRowDxfId="950">
      <calculatedColumnFormula>SUM(MemberOfAssemblyAssemblyDistrict95General[[#This Row],[Part of Putnam County Vote Results]:[Part of Westchester County Vote Results]])</calculatedColumnFormula>
      <totalsRowFormula>SUM(MemberOfAssemblyAssemblyDistrict95General[Total Votes by Party])</totalsRowFormula>
    </tableColumn>
    <tableColumn id="5" xr3:uid="{69F5814C-004A-4B4C-92D2-D982C0DE84EB}" name="Total Votes by Candidate" dataDxfId="949" totalsRowDxfId="948"/>
  </tableColumns>
  <tableStyleInfo name="TableStyleMedium2" showFirstColumn="0" showLastColumn="0" showRowStripes="0" showColumnStripes="0"/>
</table>
</file>

<file path=xl/tables/table1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5" xr:uid="{A49039B3-54C0-421E-9D2A-3720CDCC7778}" name="MemberOfAssemblyAssemblyDistrict96General" displayName="MemberOfAssemblyAssemblyDistrict96General" ref="A2:D10" totalsRowCount="1" headerRowDxfId="947" dataDxfId="945" totalsRowDxfId="943" headerRowBorderDxfId="946" tableBorderDxfId="944" totalsRowBorderDxfId="942">
  <autoFilter ref="A2:D9" xr:uid="{371FD33B-E0F1-4828-9D45-F6A7C6042C07}">
    <filterColumn colId="0" hiddenButton="1"/>
    <filterColumn colId="1" hiddenButton="1"/>
    <filterColumn colId="2" hiddenButton="1"/>
    <filterColumn colId="3" hiddenButton="1"/>
  </autoFilter>
  <tableColumns count="4">
    <tableColumn id="1" xr3:uid="{37A53BF9-292B-4F3E-9221-C58ECABF5F61}" name="Candidate Name (Party)" totalsRowLabel="Total Votes by County" dataDxfId="941" totalsRowDxfId="940"/>
    <tableColumn id="4" xr3:uid="{3D6430E6-7B46-44B3-8173-278665143B07}" name="Part of Rockland County Vote Results" totalsRowFunction="custom" dataDxfId="939" totalsRowDxfId="938">
      <totalsRowFormula>SUM(MemberOfAssemblyAssemblyDistrict96General[Part of Rockland County Vote Results])</totalsRowFormula>
    </tableColumn>
    <tableColumn id="3" xr3:uid="{71ACD75A-8922-4BD0-936D-8B47B6863608}" name="Total Votes by Party" totalsRowFunction="custom" dataDxfId="937" totalsRowDxfId="936">
      <calculatedColumnFormula>MemberOfAssemblyAssemblyDistrict96General[[#This Row],[Part of Rockland County Vote Results]]</calculatedColumnFormula>
      <totalsRowFormula>SUM(MemberOfAssemblyAssemblyDistrict96General[Total Votes by Party])</totalsRowFormula>
    </tableColumn>
    <tableColumn id="2" xr3:uid="{0EBA5651-B5F6-4A87-8B30-7A8522C3DBB7}" name="Total Votes by Candidate" dataDxfId="935" totalsRowDxfId="934">
      <calculatedColumnFormula>SUM(MemberOfAssemblyAssemblyDistrict96General[[#This Row],[Total Votes by Party]],C4,C6)</calculatedColumnFormula>
    </tableColumn>
  </tableColumns>
  <tableStyleInfo name="TableStyleMedium2" showFirstColumn="0" showLastColumn="0" showRowStripes="0" showColumnStripes="0"/>
</table>
</file>

<file path=xl/tables/table1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4" xr:uid="{1AB72DD1-E825-4596-9C0F-6D5A8DE80CC3}" name="MemberOfAssemblyAssemblyDistrict97General" displayName="MemberOfAssemblyAssemblyDistrict97General" ref="A2:D9" totalsRowCount="1" headerRowDxfId="933" dataDxfId="931" totalsRowDxfId="929" headerRowBorderDxfId="932" tableBorderDxfId="930" totalsRowBorderDxfId="928">
  <autoFilter ref="A2:D8" xr:uid="{97B32511-51F3-4A1E-A166-F3369638BE7F}">
    <filterColumn colId="0" hiddenButton="1"/>
    <filterColumn colId="1" hiddenButton="1"/>
    <filterColumn colId="2" hiddenButton="1"/>
    <filterColumn colId="3" hiddenButton="1"/>
  </autoFilter>
  <tableColumns count="4">
    <tableColumn id="1" xr3:uid="{C1E44476-4ABC-4313-88E3-D15A205930DA}" name="Candidate Name (Party)" totalsRowLabel="Total Votes by County" dataDxfId="927" totalsRowDxfId="926"/>
    <tableColumn id="4" xr3:uid="{7DE2EEA5-43A3-4A52-9A13-97FA92EAF154}" name="Part of Rockland County Vote Results" totalsRowFunction="custom" dataDxfId="925" totalsRowDxfId="924">
      <totalsRowFormula>SUM(MemberOfAssemblyAssemblyDistrict97General[Part of Rockland County Vote Results])</totalsRowFormula>
    </tableColumn>
    <tableColumn id="3" xr3:uid="{2789D6C5-D989-48AF-AFA9-778167928FA9}" name="Total Votes by Party" totalsRowFunction="custom" dataDxfId="923" totalsRowDxfId="922">
      <calculatedColumnFormula>MemberOfAssemblyAssemblyDistrict97General[[#This Row],[Part of Rockland County Vote Results]]</calculatedColumnFormula>
      <totalsRowFormula>SUM(MemberOfAssemblyAssemblyDistrict97General[Total Votes by Party])</totalsRowFormula>
    </tableColumn>
    <tableColumn id="2" xr3:uid="{E0BC6F76-134A-41AF-B4FC-9C803BFF0E1E}" name="Total Votes by Candidate" dataDxfId="921" totalsRowDxfId="920"/>
  </tableColumns>
  <tableStyleInfo name="TableStyleMedium2" showFirstColumn="0" showLastColumn="0" showRowStripes="0" showColumnStripes="0"/>
</table>
</file>

<file path=xl/tables/table1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3" xr:uid="{6165E2EC-E7B4-4367-A3CC-8C8180C1623B}" name="MemberOfAssemblyAssemblyDistrict98General" displayName="MemberOfAssemblyAssemblyDistrict98General" ref="A2:E8" totalsRowCount="1" headerRowDxfId="919" dataDxfId="917" totalsRowDxfId="915" headerRowBorderDxfId="918" tableBorderDxfId="916" totalsRowBorderDxfId="914">
  <autoFilter ref="A2:E7" xr:uid="{50755AB1-F623-4EC1-9E7E-CC0ED57A2539}">
    <filterColumn colId="0" hiddenButton="1"/>
    <filterColumn colId="1" hiddenButton="1"/>
    <filterColumn colId="2" hiddenButton="1"/>
    <filterColumn colId="3" hiddenButton="1"/>
    <filterColumn colId="4" hiddenButton="1"/>
  </autoFilter>
  <tableColumns count="5">
    <tableColumn id="1" xr3:uid="{69F96F02-38F5-4A8D-8733-9F378C718E8D}" name="Candidate Name (Party)" totalsRowLabel="Total Votes by County" dataDxfId="913" totalsRowDxfId="912"/>
    <tableColumn id="2" xr3:uid="{F538D366-B5EA-4CFF-B0BD-C908AA68D1A0}" name="Part of Orange County Vote Results" totalsRowFunction="custom" dataDxfId="911" totalsRowDxfId="910">
      <totalsRowFormula>SUM(MemberOfAssemblyAssemblyDistrict98General[Part of Orange County Vote Results])</totalsRowFormula>
    </tableColumn>
    <tableColumn id="4" xr3:uid="{E85212E7-73F3-493A-AB48-62C80B6471BA}" name="Part of Rockland County Vote Results" totalsRowFunction="custom" dataDxfId="909" totalsRowDxfId="908">
      <totalsRowFormula>SUM(MemberOfAssemblyAssemblyDistrict98General[Part of Rockland County Vote Results])</totalsRowFormula>
    </tableColumn>
    <tableColumn id="3" xr3:uid="{2748D15D-2CCE-458B-8E56-2D12CB4021BA}" name="Total Votes by Party" totalsRowFunction="custom" dataDxfId="907" totalsRowDxfId="906">
      <calculatedColumnFormula>SUM(MemberOfAssemblyAssemblyDistrict98General[[#This Row],[Part of Orange County Vote Results]:[Part of Rockland County Vote Results]])</calculatedColumnFormula>
      <totalsRowFormula>SUM(MemberOfAssemblyAssemblyDistrict98General[Total Votes by Party])</totalsRowFormula>
    </tableColumn>
    <tableColumn id="5" xr3:uid="{921B3F83-0521-4220-96DF-EDCBC5259943}" name="Total Votes by Candidate" dataDxfId="905" totalsRowDxfId="904">
      <calculatedColumnFormula>SUM(MemberOfAssemblyAssemblyDistrict98General[[#This Row],[Total Votes by Party]],D4)</calculatedColumnFormula>
    </tableColumn>
  </tableColumns>
  <tableStyleInfo name="TableStyleMedium2" showFirstColumn="0" showLastColumn="0" showRowStripes="0" showColumnStripes="0"/>
</table>
</file>

<file path=xl/tables/table1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2" xr:uid="{ABC01FAA-EDDB-41E4-9AF5-F378D16E0438}" name="MemberOfAssemblyAssemblyDistrict99General" displayName="MemberOfAssemblyAssemblyDistrict99General" ref="A2:E10" totalsRowCount="1" headerRowDxfId="903" dataDxfId="901" totalsRowDxfId="899" headerRowBorderDxfId="902" tableBorderDxfId="900" totalsRowBorderDxfId="898">
  <autoFilter ref="A2:E9" xr:uid="{7954D400-A973-4CA4-A173-A394218CD0DC}">
    <filterColumn colId="0" hiddenButton="1"/>
    <filterColumn colId="1" hiddenButton="1"/>
    <filterColumn colId="2" hiddenButton="1"/>
    <filterColumn colId="3" hiddenButton="1"/>
    <filterColumn colId="4" hiddenButton="1"/>
  </autoFilter>
  <tableColumns count="5">
    <tableColumn id="1" xr3:uid="{1BE3171B-109E-49EB-81AF-5AD05D485FFE}" name="Candidate Name (Party)" totalsRowLabel="Total Votes by County" dataDxfId="897" totalsRowDxfId="896"/>
    <tableColumn id="2" xr3:uid="{D611F56A-D69C-4D07-B7FA-6A80BAB324B9}" name="Part of Orange County Vote Results" totalsRowFunction="custom" dataDxfId="895" totalsRowDxfId="894">
      <totalsRowFormula>SUM(MemberOfAssemblyAssemblyDistrict99General[Part of Orange County Vote Results])</totalsRowFormula>
    </tableColumn>
    <tableColumn id="4" xr3:uid="{43F74614-1A3D-427C-B1AB-B277D84D7F9C}" name="Part of Rockland County Vote Results" totalsRowFunction="custom" dataDxfId="893" totalsRowDxfId="892">
      <totalsRowFormula>SUM(MemberOfAssemblyAssemblyDistrict99General[Part of Rockland County Vote Results])</totalsRowFormula>
    </tableColumn>
    <tableColumn id="3" xr3:uid="{807CB33A-2BE5-4076-81C0-079F5C4B03E3}" name="Total Votes by Party" totalsRowFunction="custom" dataDxfId="891" totalsRowDxfId="890">
      <calculatedColumnFormula>SUM(MemberOfAssemblyAssemblyDistrict99General[[#This Row],[Part of Orange County Vote Results]:[Part of Rockland County Vote Results]])</calculatedColumnFormula>
      <totalsRowFormula>SUM(MemberOfAssemblyAssemblyDistrict99General[Total Votes by Party])</totalsRowFormula>
    </tableColumn>
    <tableColumn id="5" xr3:uid="{FB90BB1D-4EC8-4951-BE84-1B63CE2D37B5}" name="Total Votes by Candidate" dataDxfId="889" totalsRowDxfId="888"/>
  </tableColumns>
  <tableStyleInfo name="TableStyleMedium2" showFirstColumn="0" showLastColumn="0" showRowStripes="0" showColumnStripes="0"/>
</table>
</file>

<file path=xl/tables/table1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1" xr:uid="{D3B0CDFF-B819-494A-B424-A1462925AA1C}" name="MemberOfAssemblyAssemblyDistrict100General" displayName="MemberOfAssemblyAssemblyDistrict100General" ref="A2:E10" totalsRowCount="1" headerRowDxfId="887" dataDxfId="885" totalsRowDxfId="883" headerRowBorderDxfId="886" tableBorderDxfId="884" totalsRowBorderDxfId="882">
  <autoFilter ref="A2:E9" xr:uid="{DCA4E2B6-7050-4201-AFC1-F92DCDF029DF}">
    <filterColumn colId="0" hiddenButton="1"/>
    <filterColumn colId="1" hiddenButton="1"/>
    <filterColumn colId="2" hiddenButton="1"/>
    <filterColumn colId="3" hiddenButton="1"/>
    <filterColumn colId="4" hiddenButton="1"/>
  </autoFilter>
  <tableColumns count="5">
    <tableColumn id="1" xr3:uid="{AFB3EB99-90DE-4612-9A18-A230BF100BED}" name="Candidate Name (Party)" totalsRowLabel="Total Votes by County" dataDxfId="881" totalsRowDxfId="880"/>
    <tableColumn id="2" xr3:uid="{0470E27C-8224-407A-B3B6-5CE5E0AC8747}" name="Part of Orange County Vote Results" totalsRowFunction="custom" dataDxfId="879" totalsRowDxfId="878">
      <totalsRowFormula>SUM(MemberOfAssemblyAssemblyDistrict100General[Part of Orange County Vote Results])</totalsRowFormula>
    </tableColumn>
    <tableColumn id="4" xr3:uid="{6289A8A8-DB8B-440F-B010-DF3701B6DAF8}" name="Part of Sullivan County Vote Results" totalsRowFunction="custom" dataDxfId="877" totalsRowDxfId="876">
      <totalsRowFormula>SUM(MemberOfAssemblyAssemblyDistrict100General[Part of Sullivan County Vote Results])</totalsRowFormula>
    </tableColumn>
    <tableColumn id="3" xr3:uid="{A8993C4C-55C4-4919-8680-A0B29C0E7FFD}" name="Total Votes by Party" totalsRowFunction="custom" dataDxfId="875" totalsRowDxfId="874">
      <calculatedColumnFormula>SUM(MemberOfAssemblyAssemblyDistrict100General[[#This Row],[Part of Orange County Vote Results]:[Part of Sullivan County Vote Results]])</calculatedColumnFormula>
      <totalsRowFormula>SUM(MemberOfAssemblyAssemblyDistrict100General[Total Votes by Party])</totalsRowFormula>
    </tableColumn>
    <tableColumn id="5" xr3:uid="{F0D6503C-EC73-496C-BAFB-A5EDD6BB4071}" name="Total Votes by Candidate" dataDxfId="873" totalsRowDxfId="872">
      <calculatedColumnFormula>SUM(D3,D4,D5)</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1" xr:uid="{15E2B4BE-98E8-4E5F-BC4C-E42F4B441579}" name="GovLtGovGeneral242" displayName="GovLtGovGeneral242" ref="A2:J66" totalsRowShown="0" headerRowDxfId="3984" dataDxfId="3982" headerRowBorderDxfId="3983" tableBorderDxfId="3981" totalsRowBorderDxfId="3980">
  <tableColumns count="10">
    <tableColumn id="1" xr3:uid="{40DD8C32-6976-49D9-8D91-098659B6D0D5}" name="County" dataDxfId="3979" totalsRowDxfId="3978"/>
    <tableColumn id="2" xr3:uid="{802D2982-BF2A-4CB0-A5A3-18B22F32D91D}" name="Kirsten E. Gillibrand _x000a_(DEM)" dataDxfId="3977" totalsRowDxfId="3976"/>
    <tableColumn id="16" xr3:uid="{629D58DB-A0E9-4C14-8FEA-5AF2C752ACAB}" name="Michael D. Sapraicone _x000a_(REP)" dataDxfId="3975" totalsRowDxfId="3974"/>
    <tableColumn id="15" xr3:uid="{1759D98E-53BD-4469-81B9-8E739966B3A2}" name="Michael D. Sapraicone_x000a_(CON)" dataDxfId="3973" totalsRowDxfId="3972"/>
    <tableColumn id="14" xr3:uid="{D4AD8820-DE6E-4A3A-B2E2-F148F5EB379C}" name="Kirsten E. Gillibrand_x000a_(WOR)" dataDxfId="3971" totalsRowDxfId="3970"/>
    <tableColumn id="13" xr3:uid="{CB90D387-983E-43AD-8A6C-C14B99C707B4}" name="Diane Sare_x000a_(LIP)" dataDxfId="3969" totalsRowDxfId="3968"/>
    <tableColumn id="3" xr3:uid="{C2805E39-0FDF-4B9C-BB2C-41E60F6FCFB1}" name="Blank" dataDxfId="3967" totalsRowDxfId="3966"/>
    <tableColumn id="12" xr3:uid="{DC131C24-E119-417A-BE4B-09908414C9AD}" name="Void" dataDxfId="3965" totalsRowDxfId="3964"/>
    <tableColumn id="6" xr3:uid="{1EA537F5-CEAB-49D5-8BB0-4C70D2EC7278}" name="Scattering" dataDxfId="3963" totalsRowDxfId="3962"/>
    <tableColumn id="4" xr3:uid="{D68C74FC-C522-4A4C-A72A-187A71D1BF90}" name="Total Votes by County" dataDxfId="3961" totalsRowDxfId="3960">
      <calculatedColumnFormula>SUM(B3:I3)</calculatedColumnFormula>
    </tableColumn>
  </tableColumns>
  <tableStyleInfo name="TableStyleMedium2"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4FA18B93-2FAB-4BB4-83C5-776498C90261}" name="RepInCongressCongressionalDistrict10General" displayName="RepInCongressCongressionalDistrict10General" ref="A2:E9" totalsRowCount="1" headerRowDxfId="3675" dataDxfId="3673" totalsRowDxfId="3671" headerRowBorderDxfId="3674" tableBorderDxfId="3672" totalsRowBorderDxfId="3670">
  <autoFilter ref="A2:E8" xr:uid="{466D8A0E-FA77-4AB9-9F29-55E4B0D53A89}">
    <filterColumn colId="0" hiddenButton="1"/>
    <filterColumn colId="1" hiddenButton="1"/>
    <filterColumn colId="2" hiddenButton="1"/>
    <filterColumn colId="3" hiddenButton="1"/>
    <filterColumn colId="4" hiddenButton="1"/>
  </autoFilter>
  <tableColumns count="5">
    <tableColumn id="1" xr3:uid="{8D9C8ABF-BC5F-41B8-8C2F-FD36DD55CE01}" name="Candidate Name (Party)" totalsRowLabel="Total Votes by County" dataDxfId="3669" totalsRowDxfId="3668"/>
    <tableColumn id="2" xr3:uid="{8D0730BE-A1DB-4ADF-A8A5-8FCB8F23EBBA}" name="Part of Kings County Vote Results" totalsRowFunction="custom" dataDxfId="3667" totalsRowDxfId="3666">
      <totalsRowFormula>SUM(RepInCongressCongressionalDistrict10General[Part of Kings County Vote Results])</totalsRowFormula>
    </tableColumn>
    <tableColumn id="4" xr3:uid="{379E268D-E496-422E-A292-4CFC61F6E70F}" name="Part of New York County Vote Results" totalsRowFunction="custom" dataDxfId="3665" totalsRowDxfId="3664">
      <totalsRowFormula>SUM(RepInCongressCongressionalDistrict10General[Part of New York County Vote Results])</totalsRowFormula>
    </tableColumn>
    <tableColumn id="3" xr3:uid="{9F341E17-CB65-4628-89E6-BD8DF390F47F}" name="Total Votes by Party" totalsRowFunction="custom" dataDxfId="3663" totalsRowDxfId="3662">
      <calculatedColumnFormula>SUM(RepInCongressCongressionalDistrict10General[[#This Row],[Part of Kings County Vote Results]:[Part of New York County Vote Results]])</calculatedColumnFormula>
      <totalsRowFormula>SUM(RepInCongressCongressionalDistrict10General[Total Votes by Party])</totalsRowFormula>
    </tableColumn>
    <tableColumn id="5" xr3:uid="{4EDC1BD6-1409-4BE6-9337-C943BD92F398}" name="Total Votes by Candidate" dataDxfId="3661" totalsRowDxfId="3660"/>
  </tableColumns>
  <tableStyleInfo name="TableStyleMedium2" showFirstColumn="0" showLastColumn="0" showRowStripes="0" showColumnStripes="0"/>
</table>
</file>

<file path=xl/tables/table20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0" xr:uid="{5584141D-8B63-4DD4-86F8-1A194A9B6F85}" name="MemberOfAssemblyAssemblyDistrict101General" displayName="MemberOfAssemblyAssemblyDistrict101General" ref="A2:G8" totalsRowCount="1" headerRowDxfId="871" dataDxfId="869" totalsRowDxfId="867" headerRowBorderDxfId="870" tableBorderDxfId="868" totalsRowBorderDxfId="866">
  <autoFilter ref="A2:G7" xr:uid="{879D58E5-43D4-4437-B9F1-EC5E7D69597B}">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9626B60D-41B5-4606-856C-72B3FC7F21B6}" name="Candidate Name (Party)" totalsRowLabel="Total Votes by County" dataDxfId="865" totalsRowDxfId="864"/>
    <tableColumn id="2" xr3:uid="{85682D81-7263-4F9A-9333-56F07AC5AD8D}" name="Part of Delaware County Vote Results" totalsRowFunction="custom" dataDxfId="863" totalsRowDxfId="862">
      <totalsRowFormula>SUM(MemberOfAssemblyAssemblyDistrict101General[Part of Delaware County Vote Results])</totalsRowFormula>
    </tableColumn>
    <tableColumn id="9" xr3:uid="{0A88F386-F20F-4577-94C2-B4413E5B8DCF}" name="Part of Orange County Vote Results" totalsRowFunction="custom" dataDxfId="861" totalsRowDxfId="860">
      <totalsRowFormula>SUM(MemberOfAssemblyAssemblyDistrict101General[Part of Orange County Vote Results])</totalsRowFormula>
    </tableColumn>
    <tableColumn id="6" xr3:uid="{A3763CC0-4A37-40B3-A15C-480CE0861C8A}" name="Part of Sullivan County Vote Results" totalsRowFunction="custom" dataDxfId="859" totalsRowDxfId="858">
      <totalsRowFormula>SUM(MemberOfAssemblyAssemblyDistrict101General[Part of Sullivan County Vote Results])</totalsRowFormula>
    </tableColumn>
    <tableColumn id="4" xr3:uid="{787882B5-8003-467F-9432-5C6B0BEF677D}" name="Part of Ulster County Vote Results" totalsRowFunction="custom" dataDxfId="857" totalsRowDxfId="856">
      <totalsRowFormula>SUM(MemberOfAssemblyAssemblyDistrict101General[Part of Ulster County Vote Results])</totalsRowFormula>
    </tableColumn>
    <tableColumn id="3" xr3:uid="{90C909EB-9431-4376-A509-D9A41AB9ABCD}" name="Total Votes by Party" totalsRowFunction="custom" dataDxfId="855" totalsRowDxfId="854">
      <calculatedColumnFormula>SUM(MemberOfAssemblyAssemblyDistrict101General[[#This Row],[Part of Delaware County Vote Results]:[Part of Ulster County Vote Results]])</calculatedColumnFormula>
      <totalsRowFormula>SUM(MemberOfAssemblyAssemblyDistrict101General[Total Votes by Party])</totalsRowFormula>
    </tableColumn>
    <tableColumn id="5" xr3:uid="{BDB9E849-4DEE-4B91-98A2-1C3DB2592C2F}" name="Total Votes by Candidate" dataDxfId="853" totalsRowDxfId="852">
      <calculatedColumnFormula>SUM(MemberOfAssemblyAssemblyDistrict101General[[#This Row],[Total Votes by Party]],F4)</calculatedColumnFormula>
    </tableColumn>
  </tableColumns>
  <tableStyleInfo name="TableStyleMedium2" showFirstColumn="0" showLastColumn="0" showRowStripes="0" showColumnStripes="0"/>
</table>
</file>

<file path=xl/tables/table20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9" xr:uid="{2B08CD6C-85B1-4F44-BE42-99612408172B}" name="MemberOfAssemblyAssemblyDistrict102General" displayName="MemberOfAssemblyAssemblyDistrict102General" ref="A2:H10" totalsRowCount="1" headerRowDxfId="851" dataDxfId="849" totalsRowDxfId="847" headerRowBorderDxfId="850" tableBorderDxfId="848" totalsRowBorderDxfId="846">
  <autoFilter ref="A2:H9" xr:uid="{67401BB3-CFC4-47CC-B246-2E1D572C3D2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6CC70E1-46F8-4DE3-ABE3-1CFF8E5C29B8}" name="Candidate Name (Party)" totalsRowLabel="Total Votes by County" dataDxfId="845" totalsRowDxfId="844"/>
    <tableColumn id="2" xr3:uid="{4CBD3395-65F8-4A68-8289-CC3FC8470BE9}" name="Part of Albany County Vote Results" totalsRowFunction="custom" dataDxfId="843" totalsRowDxfId="842">
      <totalsRowFormula>SUM(MemberOfAssemblyAssemblyDistrict102General[Part of Albany County Vote Results])</totalsRowFormula>
    </tableColumn>
    <tableColumn id="10" xr3:uid="{82644F11-5E03-47EA-9AA7-0E418E6C35A8}" name="Part of Delaware County Vote Results" totalsRowFunction="custom" dataDxfId="841" totalsRowDxfId="840">
      <totalsRowFormula>SUM(MemberOfAssemblyAssemblyDistrict102General[Part of Delaware County Vote Results])</totalsRowFormula>
    </tableColumn>
    <tableColumn id="8" xr3:uid="{B1551A7C-F160-4780-804B-C3296C6BEA57}" name="Greene County Vote Results" totalsRowFunction="custom" dataDxfId="839" totalsRowDxfId="838">
      <totalsRowFormula>SUM(MemberOfAssemblyAssemblyDistrict102General[Greene County Vote Results])</totalsRowFormula>
    </tableColumn>
    <tableColumn id="7" xr3:uid="{5C850753-5EDE-48B5-9455-AE6EF2E6A37F}" name="Part of Otsego County Vote Results" totalsRowFunction="custom" dataDxfId="837" totalsRowDxfId="836">
      <totalsRowFormula>SUM(MemberOfAssemblyAssemblyDistrict102General[Part of Otsego County Vote Results])</totalsRowFormula>
    </tableColumn>
    <tableColumn id="4" xr3:uid="{F1A66CA4-72A4-4F20-B491-716EC1CB9EEB}" name="Schoharie County Vote Results" totalsRowFunction="custom" dataDxfId="835" totalsRowDxfId="834">
      <totalsRowFormula>SUM(MemberOfAssemblyAssemblyDistrict102General[Schoharie County Vote Results])</totalsRowFormula>
    </tableColumn>
    <tableColumn id="3" xr3:uid="{ECC1FD82-612B-4404-986F-2B00840E3579}" name="Total Votes by Party" totalsRowFunction="custom" dataDxfId="833" totalsRowDxfId="832">
      <calculatedColumnFormula>SUM(MemberOfAssemblyAssemblyDistrict102General[[#This Row],[Part of Albany County Vote Results]:[Schoharie County Vote Results]])</calculatedColumnFormula>
      <totalsRowFormula>SUM(MemberOfAssemblyAssemblyDistrict102General[Total Votes by Party])</totalsRowFormula>
    </tableColumn>
    <tableColumn id="5" xr3:uid="{CFF8BCAA-656E-4AE5-A569-99D375791F92}" name="Total Votes by Candidate" dataDxfId="831" totalsRowDxfId="830"/>
  </tableColumns>
  <tableStyleInfo name="TableStyleMedium2" showFirstColumn="0" showLastColumn="0" showRowStripes="0" showColumnStripes="0"/>
</table>
</file>

<file path=xl/tables/table20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8" xr:uid="{691D0EDA-9479-47D9-9189-75B4D583CE88}" name="MemberOfAssemblyAssemblyDistrict103General" displayName="MemberOfAssemblyAssemblyDistrict103General" ref="A2:E10" totalsRowCount="1" headerRowDxfId="829" dataDxfId="827" totalsRowDxfId="825" headerRowBorderDxfId="828" tableBorderDxfId="826" totalsRowBorderDxfId="824">
  <autoFilter ref="A2:E9" xr:uid="{F877A077-3BBC-4C6E-88B4-3CF33C730691}">
    <filterColumn colId="0" hiddenButton="1"/>
    <filterColumn colId="1" hiddenButton="1"/>
    <filterColumn colId="2" hiddenButton="1"/>
    <filterColumn colId="3" hiddenButton="1"/>
    <filterColumn colId="4" hiddenButton="1"/>
  </autoFilter>
  <tableColumns count="5">
    <tableColumn id="1" xr3:uid="{7BFF717F-8F6F-4150-8F5B-FDE0426FB9DC}" name="Candidate Name (Party)" totalsRowLabel="Total Votes by County" dataDxfId="823" totalsRowDxfId="822"/>
    <tableColumn id="2" xr3:uid="{F0F63085-138E-45C5-A060-62C7F2104B30}" name="Part of Dutchess County Vote Results" totalsRowFunction="custom" dataDxfId="821" totalsRowDxfId="820">
      <totalsRowFormula>SUM(MemberOfAssemblyAssemblyDistrict103General[Part of Dutchess County Vote Results])</totalsRowFormula>
    </tableColumn>
    <tableColumn id="4" xr3:uid="{FF2386A3-2308-4BBE-B54E-6808DB2032E1}" name="Part of Ulster County Vote Results" totalsRowFunction="custom" dataDxfId="819" totalsRowDxfId="818">
      <totalsRowFormula>SUM(MemberOfAssemblyAssemblyDistrict103General[Part of Ulster County Vote Results])</totalsRowFormula>
    </tableColumn>
    <tableColumn id="3" xr3:uid="{B1859F3D-43D0-446F-AB8E-57BCB5833C83}" name="Total Votes by Party" totalsRowFunction="custom" dataDxfId="817" totalsRowDxfId="816">
      <calculatedColumnFormula>SUM(MemberOfAssemblyAssemblyDistrict103General[[#This Row],[Part of Dutchess County Vote Results]:[Part of Ulster County Vote Results]])</calculatedColumnFormula>
      <totalsRowFormula>SUM(MemberOfAssemblyAssemblyDistrict103General[Total Votes by Party])</totalsRowFormula>
    </tableColumn>
    <tableColumn id="5" xr3:uid="{D75C5CA4-B0F6-4BFC-8742-88E84DF31996}" name="Total Votes by Candidate" dataDxfId="815" totalsRowDxfId="814">
      <calculatedColumnFormula>SUM(MemberOfAssemblyAssemblyDistrict103General[[#This Row],[Total Votes by Party]],D6,#REF!)</calculatedColumnFormula>
    </tableColumn>
  </tableColumns>
  <tableStyleInfo name="TableStyleMedium2" showFirstColumn="0" showLastColumn="0" showRowStripes="0" showColumnStripes="0"/>
</table>
</file>

<file path=xl/tables/table20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7" xr:uid="{E8890942-EBEB-4249-8A23-8E8D1DA9166F}" name="MemberOfAssemblyAssemblyDistrict104General" displayName="MemberOfAssemblyAssemblyDistrict104General" ref="A2:F8" totalsRowCount="1" headerRowDxfId="813" dataDxfId="811" totalsRowDxfId="809" headerRowBorderDxfId="812" tableBorderDxfId="810" totalsRowBorderDxfId="808">
  <autoFilter ref="A2:F7" xr:uid="{76D4C6D2-6514-4E33-B8CA-CAAAA53E943A}">
    <filterColumn colId="0" hiddenButton="1"/>
    <filterColumn colId="1" hiddenButton="1"/>
    <filterColumn colId="2" hiddenButton="1"/>
    <filterColumn colId="3" hiddenButton="1"/>
    <filterColumn colId="4" hiddenButton="1"/>
    <filterColumn colId="5" hiddenButton="1"/>
  </autoFilter>
  <tableColumns count="6">
    <tableColumn id="1" xr3:uid="{B6E11A93-CAB3-43D4-BA57-24B84E2A4172}" name="Candidate Name (Party)" totalsRowLabel="Total Votes by County" dataDxfId="807" totalsRowDxfId="806"/>
    <tableColumn id="2" xr3:uid="{6BC6CAAB-594B-4FE8-8834-B4B96FE54F30}" name="Part of Dutchess County Vote Results" totalsRowFunction="custom" dataDxfId="805" totalsRowDxfId="804">
      <totalsRowFormula>SUM(MemberOfAssemblyAssemblyDistrict104General[Part of Dutchess County Vote Results])</totalsRowFormula>
    </tableColumn>
    <tableColumn id="3" xr3:uid="{EBB2775A-FAF2-4D5E-90E5-14CAACCD9239}" name="Part of Orange County Vote Results" totalsRowFunction="custom" dataDxfId="803" totalsRowDxfId="802">
      <totalsRowFormula>SUM(MemberOfAssemblyAssemblyDistrict104General[Part of Orange County Vote Results])</totalsRowFormula>
    </tableColumn>
    <tableColumn id="4" xr3:uid="{8639F814-F5A9-4F58-A88D-AF0E04DA5C13}" name="Part of Ulster County Vote Results" totalsRowFunction="custom" dataDxfId="801" totalsRowDxfId="800">
      <totalsRowFormula>SUM(MemberOfAssemblyAssemblyDistrict104General[Part of Ulster County Vote Results])</totalsRowFormula>
    </tableColumn>
    <tableColumn id="6" xr3:uid="{CE0978F9-68FD-456C-A267-37733C293CAC}" name="Total Votes by Party" totalsRowFunction="custom" dataDxfId="799" totalsRowDxfId="798">
      <calculatedColumnFormula>SUM(MemberOfAssemblyAssemblyDistrict104General[[#This Row],[Part of Dutchess County Vote Results]:[Part of Ulster County Vote Results]])</calculatedColumnFormula>
      <totalsRowFormula>SUM(MemberOfAssemblyAssemblyDistrict104General[Total Votes by Party])</totalsRowFormula>
    </tableColumn>
    <tableColumn id="5" xr3:uid="{4DFDC764-EC72-41AD-B1EC-A66BD247908A}" name="Total Votes by Candidate" dataDxfId="797" totalsRowDxfId="796"/>
  </tableColumns>
  <tableStyleInfo name="TableStyleMedium2" showFirstColumn="0" showLastColumn="0" showRowStripes="0" showColumnStripes="0"/>
</table>
</file>

<file path=xl/tables/table20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6" xr:uid="{62F4ECDD-E1CA-4437-BE29-30FCF42526AD}" name="MemberOfAssemblyAssemblyDistrict105General" displayName="MemberOfAssemblyAssemblyDistrict105General" ref="A2:D8" totalsRowCount="1" headerRowDxfId="795" dataDxfId="793" totalsRowDxfId="791" headerRowBorderDxfId="794" tableBorderDxfId="792" totalsRowBorderDxfId="790">
  <autoFilter ref="A2:D7" xr:uid="{123EF28F-8EA3-4F75-B5C2-5C0EA23BBC10}">
    <filterColumn colId="0" hiddenButton="1"/>
    <filterColumn colId="1" hiddenButton="1"/>
    <filterColumn colId="2" hiddenButton="1"/>
    <filterColumn colId="3" hiddenButton="1"/>
  </autoFilter>
  <tableColumns count="4">
    <tableColumn id="1" xr3:uid="{E945A56D-2BF8-49BB-8679-71C570ABACDB}" name="Candidate Name (Party)" totalsRowLabel="Total Votes by County" dataDxfId="789" totalsRowDxfId="788"/>
    <tableColumn id="4" xr3:uid="{346E7536-D42F-4115-86B4-DF04ABC4A561}" name="Part of Dutchess County Vote Results" totalsRowFunction="custom" dataDxfId="787" totalsRowDxfId="786">
      <totalsRowFormula>SUM(MemberOfAssemblyAssemblyDistrict105General[Part of Dutchess County Vote Results])</totalsRowFormula>
    </tableColumn>
    <tableColumn id="3" xr3:uid="{53042A29-2E09-45E4-A06B-53BEFD7DBEF2}" name="Total Votes by Party" totalsRowFunction="custom" dataDxfId="785" totalsRowDxfId="784">
      <calculatedColumnFormula>MemberOfAssemblyAssemblyDistrict105General[[#This Row],[Part of Dutchess County Vote Results]]</calculatedColumnFormula>
      <totalsRowFormula>SUM(MemberOfAssemblyAssemblyDistrict105General[Total Votes by Party])</totalsRowFormula>
    </tableColumn>
    <tableColumn id="2" xr3:uid="{51E6E55B-AFCA-48DE-9C21-50376AD071BC}" name="Total Votes by Candidate" dataDxfId="783" totalsRowDxfId="782"/>
  </tableColumns>
  <tableStyleInfo name="TableStyleMedium2" showFirstColumn="0" showLastColumn="0" showRowStripes="0" showColumnStripes="0"/>
</table>
</file>

<file path=xl/tables/table2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5" xr:uid="{5A767F49-A92D-4170-9004-54EF0118F6AB}" name="MemberOfAssemblyAssemblyDistrict106General" displayName="MemberOfAssemblyAssemblyDistrict106General" ref="A2:E9" totalsRowCount="1" headerRowDxfId="781" dataDxfId="779" totalsRowDxfId="777" headerRowBorderDxfId="780" tableBorderDxfId="778" totalsRowBorderDxfId="776">
  <autoFilter ref="A2:E8" xr:uid="{42CA49A3-C0EE-449B-8AEB-31CDBCCA969A}">
    <filterColumn colId="0" hiddenButton="1"/>
    <filterColumn colId="1" hiddenButton="1"/>
    <filterColumn colId="2" hiddenButton="1"/>
    <filterColumn colId="3" hiddenButton="1"/>
    <filterColumn colId="4" hiddenButton="1"/>
  </autoFilter>
  <tableColumns count="5">
    <tableColumn id="1" xr3:uid="{B5A9ACE1-4037-42CB-B25A-884BA0104E74}" name="Candidate Name (Party)" totalsRowLabel="Total Votes by County" dataDxfId="775" totalsRowDxfId="774"/>
    <tableColumn id="2" xr3:uid="{62D29302-20E6-4502-9746-F52F7D44995F}" name="Part of Columbia County Vote Results" totalsRowFunction="custom" dataDxfId="773" totalsRowDxfId="772">
      <totalsRowFormula>SUM(MemberOfAssemblyAssemblyDistrict106General[Part of Columbia County Vote Results])</totalsRowFormula>
    </tableColumn>
    <tableColumn id="4" xr3:uid="{A7EE5F57-EB35-4C5B-9901-D3C81BE6AD35}" name="Part of Dutchess County Vote Results" totalsRowFunction="custom" dataDxfId="771" totalsRowDxfId="770">
      <totalsRowFormula>SUM(MemberOfAssemblyAssemblyDistrict106General[Part of Dutchess County Vote Results])</totalsRowFormula>
    </tableColumn>
    <tableColumn id="3" xr3:uid="{E03C26D9-554B-4EC4-B44D-5B8F38A324AE}" name="Total Votes by Party" totalsRowFunction="custom" dataDxfId="769" totalsRowDxfId="768">
      <calculatedColumnFormula>SUM(MemberOfAssemblyAssemblyDistrict106General[[#This Row],[Part of Columbia County Vote Results]:[Part of Dutchess County Vote Results]])</calculatedColumnFormula>
      <totalsRowFormula>SUM(MemberOfAssemblyAssemblyDistrict106General[Total Votes by Party])</totalsRowFormula>
    </tableColumn>
    <tableColumn id="5" xr3:uid="{1FE47664-E367-4CD2-80AD-4B37E239D5B0}" name="Total Votes by Candidate" dataDxfId="767" totalsRowDxfId="766"/>
  </tableColumns>
  <tableStyleInfo name="TableStyleMedium2" showFirstColumn="0" showLastColumn="0" showRowStripes="0" showColumnStripes="0"/>
</table>
</file>

<file path=xl/tables/table20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4" xr:uid="{F08BE2B1-1F23-4F33-BBC5-7FDF8AF24692}" name="MemberOfAssemblyAssemblyDistrict107General" displayName="MemberOfAssemblyAssemblyDistrict107General" ref="A2:G9" totalsRowCount="1" headerRowDxfId="765" dataDxfId="763" totalsRowDxfId="761" headerRowBorderDxfId="764" tableBorderDxfId="762" totalsRowBorderDxfId="760">
  <autoFilter ref="A2:G8" xr:uid="{F6E41C3A-2077-4ECA-A06A-C16955B2C39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4E032AE-61C9-4916-BBB0-9667E097ED67}" name="Candidate Name (Party)" totalsRowLabel="Total Votes by County" dataDxfId="759" totalsRowDxfId="758"/>
    <tableColumn id="2" xr3:uid="{FD567610-939C-4952-8805-F81C5738C835}" name="Part of Albany County Vote Results" totalsRowFunction="custom" dataDxfId="757" totalsRowDxfId="756">
      <totalsRowFormula>SUM(MemberOfAssemblyAssemblyDistrict107General[Part of Albany County Vote Results])</totalsRowFormula>
    </tableColumn>
    <tableColumn id="7" xr3:uid="{020B9010-7E44-4B65-99C6-86C5A41BF9D3}" name="Part of Columbia County Vote Results" totalsRowFunction="custom" dataDxfId="755" totalsRowDxfId="754">
      <totalsRowFormula>SUM(MemberOfAssemblyAssemblyDistrict107General[Part of Columbia County Vote Results])</totalsRowFormula>
    </tableColumn>
    <tableColumn id="3" xr3:uid="{33E2C750-D451-4CD7-A85F-3FD5D302E440}" name="Part of Rensselaer County Vote Results" totalsRowFunction="custom" dataDxfId="753" totalsRowDxfId="752">
      <totalsRowFormula>SUM(MemberOfAssemblyAssemblyDistrict107General[Part of Rensselaer County Vote Results])</totalsRowFormula>
    </tableColumn>
    <tableColumn id="4" xr3:uid="{2022CB22-1021-45DB-BCD1-E48C8BABE902}" name="Part of Washington County Vote Results" totalsRowFunction="custom" dataDxfId="751" totalsRowDxfId="750">
      <totalsRowFormula>SUM(MemberOfAssemblyAssemblyDistrict107General[Part of Washington County Vote Results])</totalsRowFormula>
    </tableColumn>
    <tableColumn id="6" xr3:uid="{18C2F24A-BCC7-497E-9A7C-8E5F980C8B9B}" name="Total Votes by Party" totalsRowFunction="custom" dataDxfId="749" totalsRowDxfId="748">
      <calculatedColumnFormula>SUM(MemberOfAssemblyAssemblyDistrict107General[[#This Row],[Part of Albany County Vote Results]:[Part of Washington County Vote Results]])</calculatedColumnFormula>
      <totalsRowFormula>SUM(MemberOfAssemblyAssemblyDistrict107General[Total Votes by Party])</totalsRowFormula>
    </tableColumn>
    <tableColumn id="5" xr3:uid="{29ED6C25-DE5B-4645-9449-8F6F7FEA8BB7}" name="Total Votes by Candidate" dataDxfId="747" totalsRowDxfId="746"/>
  </tableColumns>
  <tableStyleInfo name="TableStyleMedium2" showFirstColumn="0" showLastColumn="0" showRowStripes="0" showColumnStripes="0"/>
</table>
</file>

<file path=xl/tables/table20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3" xr:uid="{12F67A58-A1FF-40DB-9925-B1B726646093}" name="MemberOfAssemblyAssemblyDistrict108General" displayName="MemberOfAssemblyAssemblyDistrict108General" ref="A2:F7" totalsRowCount="1" headerRowDxfId="745" dataDxfId="743" totalsRowDxfId="741" headerRowBorderDxfId="744" tableBorderDxfId="742" totalsRowBorderDxfId="740">
  <autoFilter ref="A2:F6" xr:uid="{C29B89ED-4808-43A2-B07D-91E4CA13D6CA}">
    <filterColumn colId="0" hiddenButton="1"/>
    <filterColumn colId="1" hiddenButton="1"/>
    <filterColumn colId="2" hiddenButton="1"/>
    <filterColumn colId="3" hiddenButton="1"/>
    <filterColumn colId="4" hiddenButton="1"/>
    <filterColumn colId="5" hiddenButton="1"/>
  </autoFilter>
  <tableColumns count="6">
    <tableColumn id="1" xr3:uid="{F85AAE34-6107-413F-936B-B704210116F0}" name="Candidate Name (Party)" totalsRowLabel="Total Votes by County" dataDxfId="739" totalsRowDxfId="738"/>
    <tableColumn id="2" xr3:uid="{D9264697-2C22-4AB0-86DD-7D2480A054E5}" name="Part of Albany County Vote Results" totalsRowFunction="custom" dataDxfId="737" totalsRowDxfId="736">
      <totalsRowFormula>SUM(MemberOfAssemblyAssemblyDistrict108General[Part of Albany County Vote Results])</totalsRowFormula>
    </tableColumn>
    <tableColumn id="3" xr3:uid="{74370B89-6381-47F1-98B7-51A3B7D0CC81}" name="Part of Rensselaer County Vote Results" totalsRowFunction="custom" dataDxfId="735" totalsRowDxfId="734">
      <totalsRowFormula>SUM(MemberOfAssemblyAssemblyDistrict108General[Part of Rensselaer County Vote Results])</totalsRowFormula>
    </tableColumn>
    <tableColumn id="4" xr3:uid="{568EA8DF-229D-4595-AF57-79D84349FF59}" name="Part of Saratoga County Vote Results" totalsRowFunction="custom" dataDxfId="733" totalsRowDxfId="732">
      <totalsRowFormula>SUM(MemberOfAssemblyAssemblyDistrict108General[Part of Saratoga County Vote Results])</totalsRowFormula>
    </tableColumn>
    <tableColumn id="6" xr3:uid="{0C89C831-86F1-44FF-B8DC-27622F2E39EF}" name="Total Votes by Party" totalsRowFunction="custom" dataDxfId="731" totalsRowDxfId="730">
      <calculatedColumnFormula>SUM(MemberOfAssemblyAssemblyDistrict108General[[#This Row],[Part of Albany County Vote Results]:[Part of Saratoga County Vote Results]])</calculatedColumnFormula>
      <totalsRowFormula>SUM(MemberOfAssemblyAssemblyDistrict108General[Total Votes by Party])</totalsRowFormula>
    </tableColumn>
    <tableColumn id="5" xr3:uid="{5D55E0A0-2C70-4B50-A0DC-6F5533710AA7}" name="Total Votes by Candidate" dataDxfId="729" totalsRowDxfId="728">
      <calculatedColumnFormula>SUM(MemberOfAssemblyAssemblyDistrict108General[[#This Row],[Total Votes by Party]])</calculatedColumnFormula>
    </tableColumn>
  </tableColumns>
  <tableStyleInfo name="TableStyleMedium2" showFirstColumn="0" showLastColumn="0" showRowStripes="0" showColumnStripes="0"/>
</table>
</file>

<file path=xl/tables/table20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2" xr:uid="{1F8BFB26-1F53-43D4-893B-A0984B728D23}" name="MemberOfAssemblyAssemblyDistrict109General" displayName="MemberOfAssemblyAssemblyDistrict109General" ref="A2:D10" totalsRowCount="1" headerRowDxfId="727" dataDxfId="725" totalsRowDxfId="723" headerRowBorderDxfId="726" tableBorderDxfId="724" totalsRowBorderDxfId="722">
  <autoFilter ref="A2:D9" xr:uid="{B6103988-1753-4CD3-AC96-0B68F1B36E03}">
    <filterColumn colId="0" hiddenButton="1"/>
    <filterColumn colId="1" hiddenButton="1"/>
    <filterColumn colId="2" hiddenButton="1"/>
    <filterColumn colId="3" hiddenButton="1"/>
  </autoFilter>
  <tableColumns count="4">
    <tableColumn id="1" xr3:uid="{2F684656-4B3C-4572-BED5-70D295C824D9}" name="Candidate Name (Party)" totalsRowLabel="Total Votes by County" dataDxfId="721" totalsRowDxfId="720"/>
    <tableColumn id="4" xr3:uid="{E3C59803-FF48-4B4D-9346-E42B3914C6DF}" name="Part of Albany County Vote Results" totalsRowFunction="custom" dataDxfId="719" totalsRowDxfId="718">
      <totalsRowFormula>SUM(MemberOfAssemblyAssemblyDistrict109General[Part of Albany County Vote Results])</totalsRowFormula>
    </tableColumn>
    <tableColumn id="3" xr3:uid="{6737EB50-3E14-447F-B32C-3C7ED35CA76C}" name="Total Votes by Party" totalsRowFunction="custom" dataDxfId="717" totalsRowDxfId="716">
      <calculatedColumnFormula>MemberOfAssemblyAssemblyDistrict109General[[#This Row],[Part of Albany County Vote Results]]</calculatedColumnFormula>
      <totalsRowFormula>SUM(MemberOfAssemblyAssemblyDistrict109General[Total Votes by Party])</totalsRowFormula>
    </tableColumn>
    <tableColumn id="2" xr3:uid="{081D0342-4AE4-4C04-80A3-3F125B589D51}" name="Total Votes by Candidate" dataDxfId="715" totalsRowDxfId="714"/>
  </tableColumns>
  <tableStyleInfo name="TableStyleMedium2" showFirstColumn="0" showLastColumn="0" showRowStripes="0" showColumnStripes="0"/>
</table>
</file>

<file path=xl/tables/table20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1" xr:uid="{5084893E-0CF8-4BAC-B968-7752D8F559A2}" name="MemberOfAssemblyAssemblyDistrict110General" displayName="MemberOfAssemblyAssemblyDistrict110General" ref="A2:E10" totalsRowCount="1" headerRowDxfId="713" dataDxfId="711" totalsRowDxfId="709" headerRowBorderDxfId="712" tableBorderDxfId="710" totalsRowBorderDxfId="708">
  <autoFilter ref="A2:E9" xr:uid="{4EFBE242-DA60-4DBB-AA86-D55441AC4C78}">
    <filterColumn colId="0" hiddenButton="1"/>
    <filterColumn colId="1" hiddenButton="1"/>
    <filterColumn colId="2" hiddenButton="1"/>
    <filterColumn colId="3" hiddenButton="1"/>
    <filterColumn colId="4" hiddenButton="1"/>
  </autoFilter>
  <tableColumns count="5">
    <tableColumn id="1" xr3:uid="{8F609172-0735-4A1B-BFE5-2A07E9864520}" name="Candidate Name (Party)" totalsRowLabel="Total Votes by County" dataDxfId="707" totalsRowDxfId="706"/>
    <tableColumn id="2" xr3:uid="{7C908F87-00DB-4B7A-8B92-8F066528725D}" name="Part of Albany County Vote Results" totalsRowFunction="custom" dataDxfId="705" totalsRowDxfId="704">
      <totalsRowFormula>SUM(MemberOfAssemblyAssemblyDistrict110General[Part of Albany County Vote Results])</totalsRowFormula>
    </tableColumn>
    <tableColumn id="4" xr3:uid="{C0A31333-40A5-4DCD-8A6C-EBFBF578F1C0}" name="Part of Schenectady County Vote Results" totalsRowFunction="custom" dataDxfId="703" totalsRowDxfId="702">
      <totalsRowFormula>SUM(MemberOfAssemblyAssemblyDistrict110General[Part of Schenectady County Vote Results])</totalsRowFormula>
    </tableColumn>
    <tableColumn id="3" xr3:uid="{C209E195-1737-4201-9E4A-E508661F4031}" name="Total Votes by Party" totalsRowFunction="custom" dataDxfId="701" totalsRowDxfId="700">
      <calculatedColumnFormula>SUM(MemberOfAssemblyAssemblyDistrict110General[[#This Row],[Part of Albany County Vote Results]:[Part of Schenectady County Vote Results]])</calculatedColumnFormula>
      <totalsRowFormula>SUM(MemberOfAssemblyAssemblyDistrict110General[Total Votes by Party])</totalsRowFormula>
    </tableColumn>
    <tableColumn id="5" xr3:uid="{FF7F8DDF-67CC-411C-98C9-0596DE871C7B}" name="Total Votes by Candidate" dataDxfId="699" totalsRowDxfId="698"/>
  </tableColumns>
  <tableStyleInfo name="TableStyleMedium2" showFirstColumn="0" showLastColumn="0" showRowStripes="0"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403B61B-EEFB-4F4C-8203-971005670B5E}" name="RepInCongressCongressionalDistrict11General" displayName="RepInCongressCongressionalDistrict11General" ref="A2:E9" totalsRowCount="1" headerRowDxfId="3659" dataDxfId="3657" totalsRowDxfId="3655" headerRowBorderDxfId="3658" tableBorderDxfId="3656" totalsRowBorderDxfId="3654">
  <autoFilter ref="A2:E8" xr:uid="{2B509EDC-5809-47C3-974E-7BB7547D0936}">
    <filterColumn colId="0" hiddenButton="1"/>
    <filterColumn colId="1" hiddenButton="1"/>
    <filterColumn colId="2" hiddenButton="1"/>
    <filterColumn colId="3" hiddenButton="1"/>
    <filterColumn colId="4" hiddenButton="1"/>
  </autoFilter>
  <tableColumns count="5">
    <tableColumn id="1" xr3:uid="{2B320FA1-5888-45E1-AA15-AEC152FED979}" name="Candidate Name (Party)" totalsRowLabel="Total Votes by County" dataDxfId="3653" totalsRowDxfId="3652"/>
    <tableColumn id="4" xr3:uid="{DC14CACF-90AC-4D1C-9F9F-12E14F3B3C94}" name="Part of Kings County Vote Results" totalsRowFunction="custom" dataDxfId="3651" totalsRowDxfId="3650">
      <totalsRowFormula>SUM(RepInCongressCongressionalDistrict11General[Part of Kings County Vote Results])</totalsRowFormula>
    </tableColumn>
    <tableColumn id="2" xr3:uid="{F5C4C830-9E9C-4218-B153-C97CCC7BCCA0}" name="Richmond County_x000a_Vote Results" totalsRowFunction="custom" dataDxfId="3649" totalsRowDxfId="3648">
      <totalsRowFormula>SUM(RepInCongressCongressionalDistrict11General[Richmond County
Vote Results])</totalsRowFormula>
    </tableColumn>
    <tableColumn id="3" xr3:uid="{D3547D56-5A98-4B53-A362-20E7885EA7C5}" name="Total Votes by Party" totalsRowFunction="custom" dataDxfId="3647" totalsRowDxfId="3646">
      <calculatedColumnFormula>SUM(RepInCongressCongressionalDistrict11General[[#This Row],[Richmond County
Vote Results]:[Part of Kings County Vote Results]])</calculatedColumnFormula>
      <totalsRowFormula>SUM(RepInCongressCongressionalDistrict11General[Total Votes by Party])</totalsRowFormula>
    </tableColumn>
    <tableColumn id="5" xr3:uid="{21ABEFDF-3A1A-4852-94DC-68B14E3DA597}" name="Total Votes by Candidate" dataDxfId="3645" totalsRowDxfId="3644"/>
  </tableColumns>
  <tableStyleInfo name="TableStyleMedium2" showFirstColumn="0" showLastColumn="0" showRowStripes="0" showColumnStripes="0"/>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0" xr:uid="{932E8756-33E8-44BB-A3AD-3380A347C662}" name="MemberOfAssemblyAssemblyDistrict111General" displayName="MemberOfAssemblyAssemblyDistrict111General" ref="A2:E10" totalsRowCount="1" headerRowDxfId="697" dataDxfId="695" totalsRowDxfId="693" headerRowBorderDxfId="696" tableBorderDxfId="694" totalsRowBorderDxfId="692">
  <autoFilter ref="A2:E9" xr:uid="{425B5A88-5999-4E2A-809A-6980609376D9}">
    <filterColumn colId="0" hiddenButton="1"/>
    <filterColumn colId="1" hiddenButton="1"/>
    <filterColumn colId="2" hiddenButton="1"/>
    <filterColumn colId="3" hiddenButton="1"/>
    <filterColumn colId="4" hiddenButton="1"/>
  </autoFilter>
  <tableColumns count="5">
    <tableColumn id="1" xr3:uid="{AC76E1CB-4E12-4C05-8ECE-BFFFFBC4C7A2}" name="Candidate Name (Party)" totalsRowLabel="Total Votes by County" dataDxfId="691" totalsRowDxfId="690"/>
    <tableColumn id="2" xr3:uid="{0B4B7F84-65A5-4852-AE67-8C95695DBCD1}" name="Part of Montgomery County Vote Results" totalsRowFunction="custom" dataDxfId="689" totalsRowDxfId="688">
      <totalsRowFormula>SUM(MemberOfAssemblyAssemblyDistrict111General[Part of Montgomery County Vote Results])</totalsRowFormula>
    </tableColumn>
    <tableColumn id="4" xr3:uid="{F8AC5877-1664-478E-8DB8-B87DA578B291}" name="Part of Schenectady County Vote Results" totalsRowFunction="custom" dataDxfId="687" totalsRowDxfId="686">
      <totalsRowFormula>SUM(MemberOfAssemblyAssemblyDistrict111General[Part of Schenectady County Vote Results])</totalsRowFormula>
    </tableColumn>
    <tableColumn id="6" xr3:uid="{E9E1D578-E17A-4F95-8065-97B2BEE7FE29}" name="Total Votes by Party" totalsRowFunction="custom" dataDxfId="685" totalsRowDxfId="684">
      <calculatedColumnFormula>SUM(MemberOfAssemblyAssemblyDistrict111General[[#This Row],[Part of Montgomery County Vote Results]:[Part of Schenectady County Vote Results]])</calculatedColumnFormula>
      <totalsRowFormula>SUM(MemberOfAssemblyAssemblyDistrict111General[Total Votes by Party])</totalsRowFormula>
    </tableColumn>
    <tableColumn id="5" xr3:uid="{7AEF78D0-16D4-455E-BC32-5B3097B7FD53}" name="Total Votes by Candidate" dataDxfId="683" totalsRowDxfId="682"/>
  </tableColumns>
  <tableStyleInfo name="TableStyleMedium2" showFirstColumn="0" showLastColumn="0" showRowStripes="0" showColumnStripes="0"/>
</table>
</file>

<file path=xl/tables/table2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9" xr:uid="{EC33993F-6502-4838-B27F-6DF7F5960BB7}" name="MemberOfAssemblyAssemblyDistrict112General" displayName="MemberOfAssemblyAssemblyDistrict112General" ref="A2:F10" totalsRowCount="1" headerRowDxfId="681" dataDxfId="679" totalsRowDxfId="677" headerRowBorderDxfId="680" tableBorderDxfId="678" totalsRowBorderDxfId="676">
  <autoFilter ref="A2:F9" xr:uid="{AEB6AD8F-41D9-4F52-AA49-A973EC22DA2D}">
    <filterColumn colId="0" hiddenButton="1"/>
    <filterColumn colId="1" hiddenButton="1"/>
    <filterColumn colId="2" hiddenButton="1"/>
    <filterColumn colId="3" hiddenButton="1"/>
    <filterColumn colId="4" hiddenButton="1"/>
    <filterColumn colId="5" hiddenButton="1"/>
  </autoFilter>
  <tableColumns count="6">
    <tableColumn id="1" xr3:uid="{BA2ECF6D-CB09-4314-88D0-7F0E97643D9D}" name="Candidate Name (Party)" totalsRowLabel="Total Votes by County" dataDxfId="675" totalsRowDxfId="674"/>
    <tableColumn id="2" xr3:uid="{5F7FE26D-0428-4F00-9702-61F193E4A840}" name="Part of Fulton County Vote Results" totalsRowFunction="custom" dataDxfId="673" totalsRowDxfId="672">
      <totalsRowFormula>SUM(MemberOfAssemblyAssemblyDistrict112General[Part of Fulton County Vote Results])</totalsRowFormula>
    </tableColumn>
    <tableColumn id="6" xr3:uid="{983C306E-B657-46E4-AEFB-159737CCF7F5}" name="Part of Saratoga County Vote Results" totalsRowFunction="custom" dataDxfId="671" totalsRowDxfId="670">
      <totalsRowFormula>SUM(MemberOfAssemblyAssemblyDistrict112General[Part of Saratoga County Vote Results])</totalsRowFormula>
    </tableColumn>
    <tableColumn id="4" xr3:uid="{0E1BCCE2-844A-4D95-9FBE-B17A56A744DD}" name="Part of Schenectady County Vote Results" totalsRowFunction="custom" dataDxfId="669" totalsRowDxfId="668">
      <totalsRowFormula>SUM(MemberOfAssemblyAssemblyDistrict112General[Part of Schenectady County Vote Results])</totalsRowFormula>
    </tableColumn>
    <tableColumn id="3" xr3:uid="{AD4416DF-6D70-4AE0-B0E4-1930139840AD}" name="Total Votes by Party" totalsRowFunction="custom" dataDxfId="667" totalsRowDxfId="666">
      <calculatedColumnFormula>SUM(MemberOfAssemblyAssemblyDistrict112General[[#This Row],[Part of Fulton County Vote Results]:[Part of Schenectady County Vote Results]])</calculatedColumnFormula>
      <totalsRowFormula>SUM(MemberOfAssemblyAssemblyDistrict112General[Total Votes by Party])</totalsRowFormula>
    </tableColumn>
    <tableColumn id="5" xr3:uid="{F2CF2B85-21E0-4ABD-817C-85F635C2F191}" name="Total Votes by Candidate" dataDxfId="665" totalsRowDxfId="664"/>
  </tableColumns>
  <tableStyleInfo name="TableStyleMedium2" showFirstColumn="0" showLastColumn="0" showRowStripes="0" showColumnStripes="0"/>
</table>
</file>

<file path=xl/tables/table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8" xr:uid="{8289972A-8D8E-4B22-A165-E477DFA50A56}" name="MemberOfAssemblyAssemblyDistrict113General" displayName="MemberOfAssemblyAssemblyDistrict113General" ref="A2:F9" totalsRowCount="1" headerRowDxfId="663" dataDxfId="661" totalsRowDxfId="659" headerRowBorderDxfId="662" tableBorderDxfId="660" totalsRowBorderDxfId="658">
  <autoFilter ref="A2:F8" xr:uid="{C5231807-5E2F-48D0-B1ED-A433625DFDA6}">
    <filterColumn colId="0" hiddenButton="1"/>
    <filterColumn colId="1" hiddenButton="1"/>
    <filterColumn colId="2" hiddenButton="1"/>
    <filterColumn colId="3" hiddenButton="1"/>
    <filterColumn colId="4" hiddenButton="1"/>
    <filterColumn colId="5" hiddenButton="1"/>
  </autoFilter>
  <tableColumns count="6">
    <tableColumn id="1" xr3:uid="{1DDB89C2-0787-4210-BDE5-CA0D5F2BFA5E}" name="Candidate Name (Party)" totalsRowLabel="Total Votes by County" dataDxfId="657" totalsRowDxfId="656"/>
    <tableColumn id="2" xr3:uid="{FEB7C073-31AC-4739-B24C-8745C639766E}" name="Part of Saratoga County Vote Results" totalsRowFunction="custom" dataDxfId="655" totalsRowDxfId="654">
      <totalsRowFormula>SUM(MemberOfAssemblyAssemblyDistrict113General[Part of Saratoga County Vote Results])</totalsRowFormula>
    </tableColumn>
    <tableColumn id="6" xr3:uid="{4E5C4AF9-2A14-4BED-B408-852731DF1B4E}" name="Part of Warren County Vote Results" totalsRowFunction="custom" dataDxfId="653" totalsRowDxfId="652">
      <totalsRowFormula>SUM(MemberOfAssemblyAssemblyDistrict113General[Part of Warren County Vote Results])</totalsRowFormula>
    </tableColumn>
    <tableColumn id="4" xr3:uid="{A523C247-C61C-447F-B689-B17578364FCC}" name="Part of Washington County Vote Results" totalsRowFunction="custom" dataDxfId="651" totalsRowDxfId="650">
      <totalsRowFormula>SUM(MemberOfAssemblyAssemblyDistrict113General[Part of Washington County Vote Results])</totalsRowFormula>
    </tableColumn>
    <tableColumn id="3" xr3:uid="{B00FD8EF-BFBB-463B-AC0B-0F9E49AAD1AB}" name="Total Votes by Party" totalsRowFunction="custom" dataDxfId="649" totalsRowDxfId="648">
      <calculatedColumnFormula>SUM(MemberOfAssemblyAssemblyDistrict113General[[#This Row],[Part of Saratoga County Vote Results]:[Part of Washington County Vote Results]])</calculatedColumnFormula>
      <totalsRowFormula>SUM(MemberOfAssemblyAssemblyDistrict113General[Total Votes by Party])</totalsRowFormula>
    </tableColumn>
    <tableColumn id="5" xr3:uid="{04ED85A3-51BA-42EB-B83F-8CBCE49CA395}" name="Total Votes by Candidate" dataDxfId="647" totalsRowDxfId="646"/>
  </tableColumns>
  <tableStyleInfo name="TableStyleMedium2" showFirstColumn="0" showLastColumn="0" showRowStripes="0" showColumnStripes="0"/>
</table>
</file>

<file path=xl/tables/table2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7" xr:uid="{4962D191-227F-4018-BB13-BFDEB22BA668}" name="MemberOfAssemblyAssemblyDistrict114General" displayName="MemberOfAssemblyAssemblyDistrict114General" ref="A2:H8" totalsRowCount="1" headerRowDxfId="645" dataDxfId="643" totalsRowDxfId="641" headerRowBorderDxfId="644" tableBorderDxfId="642" totalsRowBorderDxfId="640">
  <autoFilter ref="A2:H7" xr:uid="{67BE3BD8-1F19-41B6-BFDD-A0A626FA3DB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BB60C69-F81E-4142-8194-72843FA0C11C}" name="Candidate Name (Party)" totalsRowLabel="Total Votes by County" dataDxfId="639" totalsRowDxfId="638"/>
    <tableColumn id="2" xr3:uid="{3FDD33D3-7381-4BC3-B4E7-73138825B653}" name="Part of Essex County Vote Results" totalsRowFunction="custom" dataDxfId="637" totalsRowDxfId="636">
      <totalsRowFormula>SUM(MemberOfAssemblyAssemblyDistrict114General[Part of Essex County Vote Results])</totalsRowFormula>
    </tableColumn>
    <tableColumn id="8" xr3:uid="{1047B299-5576-4D90-861E-6490AC8C14FF}" name="Part of Fulton County Vote Results" totalsRowFunction="custom" dataDxfId="635" totalsRowDxfId="634">
      <totalsRowFormula>SUM(MemberOfAssemblyAssemblyDistrict114General[Part of Fulton County Vote Results])</totalsRowFormula>
    </tableColumn>
    <tableColumn id="6" xr3:uid="{0CF6D110-032E-4033-83C0-341B2B89FA42}" name="Part of Saratoga County Vote Results" totalsRowFunction="custom" dataDxfId="633" totalsRowDxfId="632">
      <totalsRowFormula>SUM(MemberOfAssemblyAssemblyDistrict114General[Part of Saratoga County Vote Results])</totalsRowFormula>
    </tableColumn>
    <tableColumn id="3" xr3:uid="{90CD9EBC-2418-4D62-9CF1-60A62CBC05C4}" name="Part of Warren County Vote Results" totalsRowFunction="custom" dataDxfId="631" totalsRowDxfId="630">
      <totalsRowFormula>SUM(MemberOfAssemblyAssemblyDistrict114General[Part of Warren County Vote Results])</totalsRowFormula>
    </tableColumn>
    <tableColumn id="4" xr3:uid="{4F2B5441-ABEA-4F3F-906E-67E184CE9283}" name="Part of Washington County Vote Results" totalsRowFunction="custom" dataDxfId="629" totalsRowDxfId="628">
      <totalsRowFormula>SUM(MemberOfAssemblyAssemblyDistrict114General[Part of Washington County Vote Results])</totalsRowFormula>
    </tableColumn>
    <tableColumn id="7" xr3:uid="{F7B2939E-EB2D-4BAF-82B9-83FE7E09F8FC}" name="Total Votes by Party" totalsRowFunction="custom" dataDxfId="627" totalsRowDxfId="626">
      <calculatedColumnFormula>SUM(MemberOfAssemblyAssemblyDistrict114General[[#This Row],[Part of Essex County Vote Results]:[Part of Washington County Vote Results]])</calculatedColumnFormula>
      <totalsRowFormula>SUM(MemberOfAssemblyAssemblyDistrict114General[Total Votes by Party])</totalsRowFormula>
    </tableColumn>
    <tableColumn id="5" xr3:uid="{B8518D97-C08E-49C6-AC3C-0841F568F58F}" name="Total Votes by Candidate" dataDxfId="625" totalsRowDxfId="624">
      <calculatedColumnFormula>SUM(MemberOfAssemblyAssemblyDistrict114General[[#This Row],[Total Votes by Party]],G4)</calculatedColumnFormula>
    </tableColumn>
  </tableColumns>
  <tableStyleInfo name="TableStyleMedium2" showFirstColumn="0" showLastColumn="0" showRowStripes="0" showColumnStripes="0"/>
</table>
</file>

<file path=xl/tables/table2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6" xr:uid="{F6D83FA2-708A-495D-B1E5-340313E709EF}" name="MemberOfAssemblyAssemblyDistrict115General" displayName="MemberOfAssemblyAssemblyDistrict115General" ref="A2:F7" totalsRowCount="1" headerRowDxfId="623" dataDxfId="621" totalsRowDxfId="619" headerRowBorderDxfId="622" tableBorderDxfId="620" totalsRowBorderDxfId="618">
  <autoFilter ref="A2:F6" xr:uid="{61FCEA4D-EEC4-47EF-903F-4533D1C4F79C}">
    <filterColumn colId="0" hiddenButton="1"/>
    <filterColumn colId="1" hiddenButton="1"/>
    <filterColumn colId="2" hiddenButton="1"/>
    <filterColumn colId="3" hiddenButton="1"/>
    <filterColumn colId="4" hiddenButton="1"/>
    <filterColumn colId="5" hiddenButton="1"/>
  </autoFilter>
  <tableColumns count="6">
    <tableColumn id="1" xr3:uid="{ACFFB3C3-3130-49FD-9329-949C6BAFE741}" name="Candidate Name (Party)" totalsRowLabel="Total Votes by County" dataDxfId="617" totalsRowDxfId="616"/>
    <tableColumn id="2" xr3:uid="{F1301526-F5D0-4370-A57B-98DAD164CFEB}" name="Clinton County Vote Results" totalsRowFunction="custom" dataDxfId="615" totalsRowDxfId="614">
      <totalsRowFormula>SUM(MemberOfAssemblyAssemblyDistrict115General[Clinton County Vote Results])</totalsRowFormula>
    </tableColumn>
    <tableColumn id="3" xr3:uid="{8A8B8388-5478-4680-8260-D82E05CD9CC9}" name="Part of Essex County Vote Results" totalsRowFunction="custom" dataDxfId="613" totalsRowDxfId="612">
      <totalsRowFormula>SUM(MemberOfAssemblyAssemblyDistrict115General[Part of Essex County Vote Results])</totalsRowFormula>
    </tableColumn>
    <tableColumn id="4" xr3:uid="{E0A46E85-F4BF-4942-B3D7-A2A9227E73E0}" name="Franklin County Vote Results" totalsRowFunction="custom" dataDxfId="611" totalsRowDxfId="610">
      <totalsRowFormula>SUM(MemberOfAssemblyAssemblyDistrict115General[Franklin County Vote Results])</totalsRowFormula>
    </tableColumn>
    <tableColumn id="6" xr3:uid="{26B5DA7F-817F-4B0A-97FF-EDB194509AA1}" name="Total Votes by Party" totalsRowFunction="custom" dataDxfId="609" totalsRowDxfId="608">
      <calculatedColumnFormula>SUM(MemberOfAssemblyAssemblyDistrict115General[[#This Row],[Clinton County Vote Results]:[Franklin County Vote Results]])</calculatedColumnFormula>
      <totalsRowFormula>SUM(MemberOfAssemblyAssemblyDistrict115General[Total Votes by Party])</totalsRowFormula>
    </tableColumn>
    <tableColumn id="5" xr3:uid="{47A25F83-51CB-4579-812F-1FB2451116FA}" name="Total Votes by Candidate" dataDxfId="607" totalsRowDxfId="606">
      <calculatedColumnFormula>SUM(MemberOfAssemblyAssemblyDistrict115General[[#This Row],[Total Votes by Party]],#REF!,#REF!)</calculatedColumnFormula>
    </tableColumn>
  </tableColumns>
  <tableStyleInfo name="TableStyleMedium2" showFirstColumn="0" showLastColumn="0" showRowStripes="0" showColumnStripes="0"/>
</table>
</file>

<file path=xl/tables/table2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5" xr:uid="{68B2EF85-62CB-4402-9C58-D80ABEF63263}" name="MemberOfAssemblyAssemblyDistrict116General" displayName="MemberOfAssemblyAssemblyDistrict116General" ref="A2:E8" totalsRowCount="1" headerRowDxfId="605" dataDxfId="603" totalsRowDxfId="601" headerRowBorderDxfId="604" tableBorderDxfId="602" totalsRowBorderDxfId="600">
  <autoFilter ref="A2:E7" xr:uid="{CE67F26A-F9F7-4951-95FC-3706B4729C0A}">
    <filterColumn colId="0" hiddenButton="1"/>
    <filterColumn colId="1" hiddenButton="1"/>
    <filterColumn colId="2" hiddenButton="1"/>
    <filterColumn colId="3" hiddenButton="1"/>
    <filterColumn colId="4" hiddenButton="1"/>
  </autoFilter>
  <tableColumns count="5">
    <tableColumn id="1" xr3:uid="{90295029-5E7E-4B9D-9C63-22E42704BDBE}" name="Candidate Name (Party)" totalsRowLabel="Total Votes by County" dataDxfId="599" totalsRowDxfId="598"/>
    <tableColumn id="2" xr3:uid="{7865F0FB-D861-4D84-996A-3CF934037A61}" name="Part of Jefferson County Vote Results" totalsRowFunction="custom" dataDxfId="597" totalsRowDxfId="596">
      <totalsRowFormula>SUM(MemberOfAssemblyAssemblyDistrict116General[Part of Jefferson County Vote Results])</totalsRowFormula>
    </tableColumn>
    <tableColumn id="4" xr3:uid="{6B520C18-0FE9-46B4-9FA8-466531A5EB25}" name="Part of St. Lawrence County Vote Results" totalsRowFunction="custom" dataDxfId="595" totalsRowDxfId="594">
      <totalsRowFormula>SUM(MemberOfAssemblyAssemblyDistrict116General[Part of St. Lawrence County Vote Results])</totalsRowFormula>
    </tableColumn>
    <tableColumn id="3" xr3:uid="{E7734F42-DA31-4255-AF2B-2C245989C384}" name="Total Votes by Party" totalsRowFunction="custom" dataDxfId="593" totalsRowDxfId="592">
      <calculatedColumnFormula>SUM(MemberOfAssemblyAssemblyDistrict116General[[#This Row],[Part of Jefferson County Vote Results]:[Part of St. Lawrence County Vote Results]])</calculatedColumnFormula>
      <totalsRowFormula>SUM(MemberOfAssemblyAssemblyDistrict116General[Total Votes by Party])</totalsRowFormula>
    </tableColumn>
    <tableColumn id="5" xr3:uid="{74CCFDA6-0537-4C5F-9F46-D00B7C525523}" name="Total Votes by Candidate" dataDxfId="591" totalsRowDxfId="590"/>
  </tableColumns>
  <tableStyleInfo name="TableStyleMedium2" showFirstColumn="0" showLastColumn="0" showRowStripes="0" showColumnStripes="0"/>
</table>
</file>

<file path=xl/tables/table2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4" xr:uid="{72584312-93BD-4A0F-8703-9A283111823A}" name="MemberOfAssemblyAssemblyDistrict117General" displayName="MemberOfAssemblyAssemblyDistrict117General" ref="A2:G8" totalsRowCount="1" headerRowDxfId="589" dataDxfId="587" totalsRowDxfId="585" headerRowBorderDxfId="588" tableBorderDxfId="586" totalsRowBorderDxfId="584">
  <autoFilter ref="A2:G7" xr:uid="{6D8F459E-AB91-41BE-AAE8-695C944495D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DB68B6D2-7AF6-44E0-8784-1A5EFD30BA3D}" name="Candidate Name (Party)" totalsRowLabel="Total Votes by County" dataDxfId="583" totalsRowDxfId="582"/>
    <tableColumn id="2" xr3:uid="{C004F499-2F85-432B-9DE1-1186815CDFCB}" name="Part of Jefferson County Vote Results" totalsRowFunction="custom" dataDxfId="581" totalsRowDxfId="580">
      <totalsRowFormula>SUM(MemberOfAssemblyAssemblyDistrict117General[Part of Jefferson County Vote Results])</totalsRowFormula>
    </tableColumn>
    <tableColumn id="6" xr3:uid="{1647C887-CAD0-4066-AC2D-4F9EEB2A59B8}" name="Lewis County Vote Results" totalsRowFunction="custom" dataDxfId="579" totalsRowDxfId="578">
      <totalsRowFormula>SUM(MemberOfAssemblyAssemblyDistrict117General[Lewis County Vote Results])</totalsRowFormula>
    </tableColumn>
    <tableColumn id="3" xr3:uid="{76000800-DD04-43C9-8365-CD063DFF7B6D}" name="Part of Oneida County Vote Results" totalsRowFunction="custom" dataDxfId="577" totalsRowDxfId="576">
      <totalsRowFormula>SUM(MemberOfAssemblyAssemblyDistrict117General[Part of Oneida County Vote Results])</totalsRowFormula>
    </tableColumn>
    <tableColumn id="4" xr3:uid="{9495CFE2-BFC3-4185-8FB5-DE00DA073893}" name="Part of St. Lawrence County Vote Results" totalsRowFunction="custom" dataDxfId="575" totalsRowDxfId="574">
      <totalsRowFormula>SUM(MemberOfAssemblyAssemblyDistrict117General[Part of St. Lawrence County Vote Results])</totalsRowFormula>
    </tableColumn>
    <tableColumn id="7" xr3:uid="{950B1B28-3E1E-4A8C-BC23-C0B17A38EEB1}" name="Total Votes by Party" totalsRowFunction="custom" dataDxfId="573" totalsRowDxfId="572">
      <calculatedColumnFormula>SUM(MemberOfAssemblyAssemblyDistrict117General[[#This Row],[Part of Jefferson County Vote Results]:[Part of St. Lawrence County Vote Results]])</calculatedColumnFormula>
      <totalsRowFormula>SUM(MemberOfAssemblyAssemblyDistrict117General[Total Votes by Party])</totalsRowFormula>
    </tableColumn>
    <tableColumn id="5" xr3:uid="{6050EB65-0D90-4E88-B75F-20C2BFC11847}" name="Total Votes by Candidate" dataDxfId="571" totalsRowDxfId="570">
      <calculatedColumnFormula>SUM(MemberOfAssemblyAssemblyDistrict117General[[#This Row],[Total Votes by Party]],F4,#REF!)</calculatedColumnFormula>
    </tableColumn>
  </tableColumns>
  <tableStyleInfo name="TableStyleMedium2" showFirstColumn="0" showLastColumn="0" showRowStripes="0" showColumnStripes="0"/>
</table>
</file>

<file path=xl/tables/table2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3" xr:uid="{635DC2CD-B0B3-460A-AD4C-33F0C7247035}" name="MemberOfAssemblyAssemblyDistrict118General" displayName="MemberOfAssemblyAssemblyDistrict118General" ref="A2:I8" totalsRowCount="1" headerRowDxfId="569" dataDxfId="567" totalsRowDxfId="565" headerRowBorderDxfId="568" tableBorderDxfId="566" totalsRowBorderDxfId="564">
  <autoFilter ref="A2:I7" xr:uid="{7EC11E91-C20D-4D12-94FD-D9D3AAB366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2DCF2C1A-DA4E-4F89-ABDB-1A59513408C7}" name="Candidate Name (Party)" totalsRowLabel="Total Votes by County" dataDxfId="563" totalsRowDxfId="562"/>
    <tableColumn id="2" xr3:uid="{042FA620-5224-4D64-946D-04F0B0C0EFD3}" name="Part of Fulton County Vote Results" totalsRowFunction="custom" dataDxfId="561" totalsRowDxfId="560">
      <totalsRowFormula>SUM(MemberOfAssemblyAssemblyDistrict118General[Part of Fulton County Vote Results])</totalsRowFormula>
    </tableColumn>
    <tableColumn id="6" xr3:uid="{B14ED35D-27A0-4CFE-9ACD-8DC1496DF716}" name="Hamilton County Vote Results" totalsRowFunction="custom" dataDxfId="559" totalsRowDxfId="558">
      <totalsRowFormula>SUM(MemberOfAssemblyAssemblyDistrict118General[Hamilton County Vote Results])</totalsRowFormula>
    </tableColumn>
    <tableColumn id="7" xr3:uid="{5503E312-2BC0-4432-B3B3-2EBC67B8FB32}" name="Part of Herkimer County Vote Results" totalsRowFunction="custom" dataDxfId="557" totalsRowDxfId="556">
      <totalsRowFormula>SUBTOTAL(109,D3:D7)</totalsRowFormula>
    </tableColumn>
    <tableColumn id="3" xr3:uid="{51B7B13C-7F64-4F84-BCC8-B60227CBB4F5}" name="Part of Montgomery County Vote Results" totalsRowFunction="custom" dataDxfId="555" totalsRowDxfId="554">
      <totalsRowFormula>SUM(MemberOfAssemblyAssemblyDistrict118General[Part of Montgomery County Vote Results])</totalsRowFormula>
    </tableColumn>
    <tableColumn id="9" xr3:uid="{51C86616-86D5-46B5-A469-731804F920EF}" name="Part of Oneida County Vote Results" totalsRowFunction="custom" dataDxfId="553" totalsRowDxfId="552">
      <totalsRowFormula>SUM(MemberOfAssemblyAssemblyDistrict118General[Part of Oneida County Vote Results])</totalsRowFormula>
    </tableColumn>
    <tableColumn id="4" xr3:uid="{FD5A07C1-B3FF-415A-80DD-1871490BE2B1}" name="Part of Otsego Vote Results" totalsRowFunction="custom" dataDxfId="551" totalsRowDxfId="550">
      <totalsRowFormula>SUM(MemberOfAssemblyAssemblyDistrict118General[Part of Otsego Vote Results])</totalsRowFormula>
    </tableColumn>
    <tableColumn id="8" xr3:uid="{B51211C7-6C79-4EC7-9AFB-3B8661013CFD}" name="Total Votes by Party" totalsRowFunction="custom" dataDxfId="549" totalsRowDxfId="548">
      <calculatedColumnFormula>SUM(MemberOfAssemblyAssemblyDistrict118General[[#This Row],[Part of Fulton County Vote Results]:[Part of Otsego Vote Results]])</calculatedColumnFormula>
      <totalsRowFormula>SUM(MemberOfAssemblyAssemblyDistrict118General[Total Votes by Party])</totalsRowFormula>
    </tableColumn>
    <tableColumn id="5" xr3:uid="{30584E01-21D4-4997-83A6-A6D8C7B74E81}" name="Total Votes by Candidate" dataDxfId="547" totalsRowDxfId="546">
      <calculatedColumnFormula>SUM(MemberOfAssemblyAssemblyDistrict118General[[#This Row],[Total Votes by Party]],H4,#REF!,#REF!)</calculatedColumnFormula>
    </tableColumn>
  </tableColumns>
  <tableStyleInfo name="TableStyleMedium2" showFirstColumn="0" showLastColumn="0" showRowStripes="0" showColumnStripes="0"/>
</table>
</file>

<file path=xl/tables/table2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 xr:uid="{0C623C21-53B1-4041-B34A-E90F57CF8337}" name="MemberOfAssemblyAssemblyDistrict119General" displayName="MemberOfAssemblyAssemblyDistrict119General" ref="A2:D10" totalsRowCount="1" headerRowDxfId="545" dataDxfId="543" totalsRowDxfId="541" headerRowBorderDxfId="544" tableBorderDxfId="542" totalsRowBorderDxfId="540">
  <autoFilter ref="A2:D9" xr:uid="{A85E9E46-A4EA-4B4C-9BA9-C51E7A5B06F4}">
    <filterColumn colId="0" hiddenButton="1"/>
    <filterColumn colId="1" hiddenButton="1"/>
    <filterColumn colId="2" hiddenButton="1"/>
    <filterColumn colId="3" hiddenButton="1"/>
  </autoFilter>
  <tableColumns count="4">
    <tableColumn id="1" xr3:uid="{CD3B95D8-5B28-4B14-8744-6D38A92A7684}" name="Candidate Name (Party)" totalsRowLabel="Total Votes by County" dataDxfId="539" totalsRowDxfId="538"/>
    <tableColumn id="4" xr3:uid="{87C35B6A-2440-42AF-AC64-C412674AB176}" name="Part of Oneida County Vote Results" totalsRowFunction="custom" dataDxfId="537" totalsRowDxfId="536">
      <totalsRowFormula>SUM(MemberOfAssemblyAssemblyDistrict119General[Part of Oneida County Vote Results])</totalsRowFormula>
    </tableColumn>
    <tableColumn id="3" xr3:uid="{54BAEB62-FAA9-4597-A73A-7D6DC097857C}" name="Total Votes by Party" totalsRowFunction="custom" dataDxfId="535" totalsRowDxfId="534">
      <calculatedColumnFormula>SUM(MemberOfAssemblyAssemblyDistrict119General[[#This Row],[Part of Oneida County Vote Results]])</calculatedColumnFormula>
      <totalsRowFormula>SUM(MemberOfAssemblyAssemblyDistrict119General[Total Votes by Party])</totalsRowFormula>
    </tableColumn>
    <tableColumn id="5" xr3:uid="{F1A1FF72-455F-4E24-8D05-C1B87A3A0A17}" name="Total Votes by Candidate" dataDxfId="533" totalsRowDxfId="532"/>
  </tableColumns>
  <tableStyleInfo name="TableStyleMedium2" showFirstColumn="0" showLastColumn="0" showRowStripes="0" showColumnStripes="0"/>
</table>
</file>

<file path=xl/tables/table2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1" xr:uid="{81DA7C8C-B90A-4880-9F82-9C1DD973BBC4}" name="MemberOfAssemblyAssemblyDistrict120General" displayName="MemberOfAssemblyAssemblyDistrict120General" ref="A2:F8" totalsRowCount="1" headerRowDxfId="17" dataDxfId="13" totalsRowDxfId="15" headerRowBorderDxfId="16" tableBorderDxfId="12" totalsRowBorderDxfId="14">
  <autoFilter ref="A2:F7" xr:uid="{E7CC8E6A-635A-4976-9E9C-8AB012ADC458}">
    <filterColumn colId="0" hiddenButton="1"/>
    <filterColumn colId="1" hiddenButton="1"/>
    <filterColumn colId="2" hiddenButton="1"/>
    <filterColumn colId="3" hiddenButton="1"/>
    <filterColumn colId="4" hiddenButton="1"/>
    <filterColumn colId="5" hiddenButton="1"/>
  </autoFilter>
  <tableColumns count="6">
    <tableColumn id="1" xr3:uid="{9907DBEF-955C-4210-A542-435FAD39DA15}" name="Candidate Name (Party)" totalsRowLabel="Total Votes by County" dataDxfId="10" totalsRowDxfId="11"/>
    <tableColumn id="2" xr3:uid="{7E1410BB-8EF2-44AD-91A5-F5C35F1A63C4}" name="Part of Cayuga County Vote Results" totalsRowFunction="custom" dataDxfId="8" totalsRowDxfId="9">
      <totalsRowFormula>SUM(MemberOfAssemblyAssemblyDistrict120General[Part of Cayuga County Vote Results])</totalsRowFormula>
    </tableColumn>
    <tableColumn id="3" xr3:uid="{75BFEB74-3BC6-438A-91E7-DC9AD9ACEDDC}" name="Part of Jefferson County Vote Results" totalsRowFunction="custom" dataDxfId="6" totalsRowDxfId="7">
      <totalsRowFormula>SUM(MemberOfAssemblyAssemblyDistrict120General[Part of Jefferson County Vote Results])</totalsRowFormula>
    </tableColumn>
    <tableColumn id="4" xr3:uid="{525A319C-FD9D-4809-82DA-D5939631B49E}" name="Oswego County_x000a_Vote Results" totalsRowFunction="custom" dataDxfId="4" totalsRowDxfId="5">
      <totalsRowFormula>SUM(MemberOfAssemblyAssemblyDistrict120General[Oswego County
Vote Results])</totalsRowFormula>
    </tableColumn>
    <tableColumn id="6" xr3:uid="{29FACCB7-2AC4-4F99-A28A-967B26AC03F9}" name="Total Votes by Party" totalsRowFunction="custom" dataDxfId="2" totalsRowDxfId="3">
      <calculatedColumnFormula>SUM(MemberOfAssemblyAssemblyDistrict120General[[#This Row],[Part of Cayuga County Vote Results]:[Oswego County
Vote Results]])</calculatedColumnFormula>
      <totalsRowFormula>SUM(MemberOfAssemblyAssemblyDistrict120General[Total Votes by Party])</totalsRowFormula>
    </tableColumn>
    <tableColumn id="5" xr3:uid="{E2CF20E4-59B3-4D08-B9D8-D7C39BEBDEAB}" name="Total Votes by Candidate" dataDxfId="0" totalsRowDxfId="1"/>
  </tableColumns>
  <tableStyleInfo name="TableStyleMedium2" showFirstColumn="0" showLastColumn="0" showRowStripes="0"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0EBC4EF-974A-4311-B049-9518721A513F}" name="RepInCongressCongressionalDistrict12General" displayName="RepInCongressCongressionalDistrict12General" ref="A2:D9" totalsRowCount="1" headerRowDxfId="3643" dataDxfId="3641" totalsRowDxfId="3639" headerRowBorderDxfId="3642" tableBorderDxfId="3640" totalsRowBorderDxfId="3638">
  <autoFilter ref="A2:D8" xr:uid="{21975E14-01E6-4429-9B84-675EEFAF38A3}">
    <filterColumn colId="0" hiddenButton="1"/>
    <filterColumn colId="1" hiddenButton="1"/>
    <filterColumn colId="2" hiddenButton="1"/>
    <filterColumn colId="3" hiddenButton="1"/>
  </autoFilter>
  <tableColumns count="4">
    <tableColumn id="1" xr3:uid="{3F7941DD-A5C0-49AD-9892-D079F175F6ED}" name="Candidate Name (Party)" totalsRowLabel="Total Votes by County" dataDxfId="3637" totalsRowDxfId="3636"/>
    <tableColumn id="3" xr3:uid="{E623B2C3-3902-44BD-9C38-DEFF840F51D7}" name="Part of New York County Vote Results" totalsRowFunction="custom" dataDxfId="3635" totalsRowDxfId="3634">
      <totalsRowFormula>SUM(RepInCongressCongressionalDistrict12General[Part of New York County Vote Results])</totalsRowFormula>
    </tableColumn>
    <tableColumn id="6" xr3:uid="{18087D50-51FC-4D90-87A0-528EA118D364}" name="Total Votes by Party" totalsRowFunction="custom" dataDxfId="3633" totalsRowDxfId="3632">
      <calculatedColumnFormula>SUM(RepInCongressCongressionalDistrict12General[[#This Row],[Part of New York County Vote Results]])</calculatedColumnFormula>
      <totalsRowFormula>SUM(RepInCongressCongressionalDistrict12General[Total Votes by Party])</totalsRowFormula>
    </tableColumn>
    <tableColumn id="5" xr3:uid="{3E166BE1-445F-4943-996B-981F92855B11}" name="Total Votes by Candidate" dataDxfId="3631" totalsRowDxfId="3630"/>
  </tableColumns>
  <tableStyleInfo name="TableStyleMedium2" showFirstColumn="0" showLastColumn="0" showRowStripes="0" showColumnStripes="0"/>
</table>
</file>

<file path=xl/tables/table2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0" xr:uid="{40107DD7-B064-44C3-8D3E-B2F83212570E}" name="MemberOfAssemblyAssemblyDistrict121General" displayName="MemberOfAssemblyAssemblyDistrict121General" ref="A2:H9" totalsRowCount="1" headerRowDxfId="39" dataDxfId="35" totalsRowDxfId="37" headerRowBorderDxfId="38" tableBorderDxfId="34" totalsRowBorderDxfId="36">
  <autoFilter ref="A2:H8" xr:uid="{15BA0A46-CE16-4752-926C-21524EFC472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1FAC97E-6AF4-44E8-9F9C-2CDB00BFED9E}" name="Candidate Name (Party)" totalsRowLabel="Total Votes by County" dataDxfId="32" totalsRowDxfId="33"/>
    <tableColumn id="2" xr3:uid="{D7C1B448-5D25-4B66-9599-44DA4748C3CC}" name="Part of Broome County Vote Results" totalsRowFunction="custom" dataDxfId="30" totalsRowDxfId="31">
      <totalsRowFormula>SUM(MemberOfAssemblyAssemblyDistrict121General[Part of Broome County Vote Results])</totalsRowFormula>
    </tableColumn>
    <tableColumn id="9" xr3:uid="{B4C4AC28-3848-493E-98A9-C3BF1E4790B7}" name="Part of Chenango County Vote Results" totalsRowFunction="custom" dataDxfId="28" totalsRowDxfId="29">
      <totalsRowFormula>SUM(MemberOfAssemblyAssemblyDistrict121General[Part of Chenango County Vote Results])</totalsRowFormula>
    </tableColumn>
    <tableColumn id="8" xr3:uid="{BC6619E2-15E4-4847-BB1E-670B8C5663A4}" name="Part of Delaware County Vote Results" totalsRowFunction="custom" dataDxfId="26" totalsRowDxfId="27">
      <totalsRowFormula>SUM(MemberOfAssemblyAssemblyDistrict121General[Part of Delaware County Vote Results])</totalsRowFormula>
    </tableColumn>
    <tableColumn id="7" xr3:uid="{61EFB60B-7D52-476C-8AAA-D09F20016C0E}" name="Part of Madison County Vote Results" totalsRowFunction="custom" dataDxfId="24" totalsRowDxfId="25">
      <totalsRowFormula>SUM(MemberOfAssemblyAssemblyDistrict121General[Part of Madison County Vote Results])</totalsRowFormula>
    </tableColumn>
    <tableColumn id="3" xr3:uid="{FA60A635-9734-4795-9577-22EC721AFC00}" name="Part of Otsego County Vote Results" totalsRowFunction="custom" dataDxfId="22" totalsRowDxfId="23">
      <totalsRowFormula>SUM(MemberOfAssemblyAssemblyDistrict121General[Part of Otsego County Vote Results])</totalsRowFormula>
    </tableColumn>
    <tableColumn id="6" xr3:uid="{B270356A-74BF-4AEE-BCF1-0B8B047BDFEF}" name="Total Votes by Party" totalsRowFunction="custom" dataDxfId="20" totalsRowDxfId="21">
      <calculatedColumnFormula>SUM(B3,C3,D3,E3,F3)</calculatedColumnFormula>
      <totalsRowFormula>SUM(MemberOfAssemblyAssemblyDistrict121General[Total Votes by Party])</totalsRowFormula>
    </tableColumn>
    <tableColumn id="5" xr3:uid="{83991462-0C42-4AA3-88B5-D48CD8ABA2F2}" name="Total Votes by Candidate" dataDxfId="18" totalsRowDxfId="19"/>
  </tableColumns>
  <tableStyleInfo name="TableStyleMedium2" showFirstColumn="0" showLastColumn="0" showRowStripes="0" showColumnStripes="0"/>
</table>
</file>

<file path=xl/tables/table2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9" xr:uid="{510FB1B6-78B1-4DA2-8D9D-E29715AAB9B2}" name="MemberOfAssemblyAssemblyDistrict122General" displayName="MemberOfAssemblyAssemblyDistrict122General" ref="A2:G10" totalsRowCount="1" headerRowDxfId="59" dataDxfId="55" totalsRowDxfId="57" headerRowBorderDxfId="58" tableBorderDxfId="54" totalsRowBorderDxfId="56">
  <autoFilter ref="A2:G9" xr:uid="{4A68D355-5EC9-416A-B4E4-2CFC6D6E7E6E}">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E93FBDF-87A8-4A20-821D-1F2FDB804B7F}" name="Candidate Name (Party)" totalsRowLabel="Total Votes by County" dataDxfId="52" totalsRowDxfId="53"/>
    <tableColumn id="2" xr3:uid="{0F3BA701-1D27-4E79-A6ED-DD1813D7CB8C}" name="Part of Herkimer County Vote Results" totalsRowFunction="custom" dataDxfId="50" totalsRowDxfId="51">
      <totalsRowFormula>SUM(MemberOfAssemblyAssemblyDistrict122General[Part of Herkimer County Vote Results])</totalsRowFormula>
    </tableColumn>
    <tableColumn id="6" xr3:uid="{981ABA01-0627-468A-B736-E8A35924DAF6}" name="Part of Madison County Vote Results" totalsRowFunction="custom" dataDxfId="48" totalsRowDxfId="49">
      <totalsRowFormula>SUM(MemberOfAssemblyAssemblyDistrict122General[Part of Madison County Vote Results])</totalsRowFormula>
    </tableColumn>
    <tableColumn id="3" xr3:uid="{51736C10-4497-48A2-BEFE-DB162E22CB0D}" name="Part of Oneida County Vote Results" totalsRowFunction="custom" dataDxfId="46" totalsRowDxfId="47">
      <totalsRowFormula>SUM(MemberOfAssemblyAssemblyDistrict122General[Part of Oneida County Vote Results])</totalsRowFormula>
    </tableColumn>
    <tableColumn id="4" xr3:uid="{719F9843-C7A5-464A-A63B-A88FDD125C94}" name="Part of Otsego County Vote Results" totalsRowFunction="custom" dataDxfId="44" totalsRowDxfId="45">
      <totalsRowFormula>SUM(MemberOfAssemblyAssemblyDistrict122General[Part of Otsego County Vote Results])</totalsRowFormula>
    </tableColumn>
    <tableColumn id="7" xr3:uid="{2ABE8786-6350-4416-8B62-6DD28D96A023}" name="Total Votes by Party" totalsRowFunction="custom" dataDxfId="42" totalsRowDxfId="43">
      <calculatedColumnFormula>SUM(MemberOfAssemblyAssemblyDistrict122General[[#This Row],[Part of Herkimer County Vote Results]:[Part of Otsego County Vote Results]])</calculatedColumnFormula>
      <totalsRowFormula>SUM(MemberOfAssemblyAssemblyDistrict122General[Total Votes by Party])</totalsRowFormula>
    </tableColumn>
    <tableColumn id="5" xr3:uid="{E342248E-895E-4B47-BB75-484099B94C9A}" name="Total Votes by Candidate" dataDxfId="40" totalsRowDxfId="41"/>
  </tableColumns>
  <tableStyleInfo name="TableStyleMedium2" showFirstColumn="0" showLastColumn="0" showRowStripes="0" showColumnStripes="0"/>
</table>
</file>

<file path=xl/tables/table2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8" xr:uid="{914C0D22-150B-46D2-9E51-34EE06153B0C}" name="MemberOfAssemblyAssemblyDistrict123General" displayName="MemberOfAssemblyAssemblyDistrict123General" ref="A2:D11" totalsRowCount="1" headerRowDxfId="73" dataDxfId="69" totalsRowDxfId="71" headerRowBorderDxfId="72" tableBorderDxfId="68" totalsRowBorderDxfId="70">
  <autoFilter ref="A2:D10" xr:uid="{EB4A7198-1C28-40BC-B31B-03D2757DA304}">
    <filterColumn colId="0" hiddenButton="1"/>
    <filterColumn colId="1" hiddenButton="1"/>
    <filterColumn colId="2" hiddenButton="1"/>
    <filterColumn colId="3" hiddenButton="1"/>
  </autoFilter>
  <tableColumns count="4">
    <tableColumn id="1" xr3:uid="{B53C86AA-057A-4D66-A9AC-77A5883C628B}" name="Candidate Name (Party)" totalsRowLabel="Total Votes by County" dataDxfId="66" totalsRowDxfId="67"/>
    <tableColumn id="4" xr3:uid="{93248167-1FDB-4678-9DA0-29F8878AFC70}" name="Part of Broome County Vote Results" totalsRowFunction="custom" dataDxfId="64" totalsRowDxfId="65">
      <totalsRowFormula>SUM(MemberOfAssemblyAssemblyDistrict123General[Part of Broome County Vote Results])</totalsRowFormula>
    </tableColumn>
    <tableColumn id="3" xr3:uid="{C4EB341D-2DCD-4280-81D5-4710A04C4E89}" name="Total Votes by Party" totalsRowFunction="custom" dataDxfId="62" totalsRowDxfId="63">
      <calculatedColumnFormula>MemberOfAssemblyAssemblyDistrict123General[[#This Row],[Part of Broome County Vote Results]]</calculatedColumnFormula>
      <totalsRowFormula>SUM(MemberOfAssemblyAssemblyDistrict123General[Total Votes by Party])</totalsRowFormula>
    </tableColumn>
    <tableColumn id="2" xr3:uid="{6AC8F077-1D6A-4E35-94FD-C4519CB0AD8E}" name="Total Votes by Candidate" dataDxfId="60" totalsRowDxfId="61"/>
  </tableColumns>
  <tableStyleInfo name="TableStyleMedium2" showFirstColumn="0" showLastColumn="0" showRowStripes="0" showColumnStripes="0"/>
</table>
</file>

<file path=xl/tables/table2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7" xr:uid="{F8F93E66-EA93-4AE2-A39B-87B53B81D884}" name="MemberOfAssemblyAssemblyDistrict124General" displayName="MemberOfAssemblyAssemblyDistrict124General" ref="A2:F8" totalsRowCount="1" headerRowDxfId="91" dataDxfId="87" totalsRowDxfId="89" headerRowBorderDxfId="90" tableBorderDxfId="86" totalsRowBorderDxfId="88">
  <autoFilter ref="A2:F7" xr:uid="{8C54C1E6-AB85-47E6-8139-FF5FE29474E2}">
    <filterColumn colId="0" hiddenButton="1"/>
    <filterColumn colId="1" hiddenButton="1"/>
    <filterColumn colId="2" hiddenButton="1"/>
    <filterColumn colId="3" hiddenButton="1"/>
    <filterColumn colId="4" hiddenButton="1"/>
    <filterColumn colId="5" hiddenButton="1"/>
  </autoFilter>
  <tableColumns count="6">
    <tableColumn id="1" xr3:uid="{236F6533-7089-482E-B880-3633BEB04CAD}" name="Candidate Name (Party)" totalsRowLabel="Total Votes by County" dataDxfId="85" totalsRowDxfId="79"/>
    <tableColumn id="2" xr3:uid="{D545CC3E-C8DE-4041-9DAC-BB3CE4B047EF}" name="Part of Broome County Vote Results" totalsRowFunction="custom" dataDxfId="84" totalsRowDxfId="78">
      <totalsRowFormula>SUM(MemberOfAssemblyAssemblyDistrict124General[Part of Broome County Vote Results])</totalsRowFormula>
    </tableColumn>
    <tableColumn id="3" xr3:uid="{904BC148-3C22-44F0-9EFA-EF86CACB973B}" name="Part of Chemung County Vote Results" totalsRowFunction="custom" dataDxfId="83" totalsRowDxfId="77">
      <totalsRowFormula>SUM(MemberOfAssemblyAssemblyDistrict124General[Part of Chemung County Vote Results])</totalsRowFormula>
    </tableColumn>
    <tableColumn id="4" xr3:uid="{2F17D228-4BE9-4362-8950-237E5358B49D}" name="Tioga County_x000a_Vote Results" totalsRowFunction="custom" dataDxfId="82" totalsRowDxfId="76">
      <totalsRowFormula>SUM(MemberOfAssemblyAssemblyDistrict124General[Tioga County
Vote Results])</totalsRowFormula>
    </tableColumn>
    <tableColumn id="6" xr3:uid="{8CB41734-657F-479A-A71B-024CC7E38564}" name="Total Votes by Party" totalsRowFunction="custom" dataDxfId="81" totalsRowDxfId="75">
      <calculatedColumnFormula>SUM(MemberOfAssemblyAssemblyDistrict124General[[#This Row],[Part of Broome County Vote Results]:[Tioga County
Vote Results]])</calculatedColumnFormula>
      <totalsRowFormula>SUM(MemberOfAssemblyAssemblyDistrict124General[Total Votes by Party])</totalsRowFormula>
    </tableColumn>
    <tableColumn id="5" xr3:uid="{43801B79-E248-430D-89DC-42B072509806}" name="Total Votes by Candidate" dataDxfId="80" totalsRowDxfId="74"/>
  </tableColumns>
  <tableStyleInfo name="TableStyleMedium2" showFirstColumn="0" showLastColumn="0" showRowStripes="0" showColumnStripes="0"/>
</table>
</file>

<file path=xl/tables/table2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6" xr:uid="{E494C4AA-69F2-4985-B447-7182173EA0F4}" name="MemberOfAssemblyAssemblyDistrict125General" displayName="MemberOfAssemblyAssemblyDistrict125General" ref="A2:E8" totalsRowCount="1" headerRowDxfId="107" dataDxfId="103" totalsRowDxfId="105" headerRowBorderDxfId="106" tableBorderDxfId="102" totalsRowBorderDxfId="104">
  <autoFilter ref="A2:E7" xr:uid="{BBC3EFDF-DCF5-468E-9562-0DC7F15A623B}">
    <filterColumn colId="0" hiddenButton="1"/>
    <filterColumn colId="1" hiddenButton="1"/>
    <filterColumn colId="2" hiddenButton="1"/>
    <filterColumn colId="3" hiddenButton="1"/>
    <filterColumn colId="4" hiddenButton="1"/>
  </autoFilter>
  <tableColumns count="5">
    <tableColumn id="1" xr3:uid="{F23AE4C3-DDED-43EF-BF17-6164731CDD01}" name="Candidate Name (Party)" totalsRowLabel="Total Votes by County" dataDxfId="100" totalsRowDxfId="101"/>
    <tableColumn id="2" xr3:uid="{35087CE3-EF6D-4B3E-ACF0-576B8396A0A2}" name="Part of Courtland County Vote Results" totalsRowFunction="custom" dataDxfId="98" totalsRowDxfId="99">
      <totalsRowFormula>SUM(MemberOfAssemblyAssemblyDistrict125General[Part of Courtland County Vote Results])</totalsRowFormula>
    </tableColumn>
    <tableColumn id="4" xr3:uid="{23FEA9E4-FB80-4F04-872A-7702FF979D00}" name="Tompkins County_x000a_Vote Results" totalsRowFunction="custom" dataDxfId="96" totalsRowDxfId="97">
      <totalsRowFormula>SUM(MemberOfAssemblyAssemblyDistrict125General[Tompkins County
Vote Results])</totalsRowFormula>
    </tableColumn>
    <tableColumn id="3" xr3:uid="{48C41D2D-0CAA-467C-8866-8CAC800A5C2D}" name="Total Votes by Party" totalsRowFunction="custom" dataDxfId="94" totalsRowDxfId="95">
      <calculatedColumnFormula>SUM(MemberOfAssemblyAssemblyDistrict125General[[#This Row],[Part of Courtland County Vote Results]:[Tompkins County
Vote Results]])</calculatedColumnFormula>
      <totalsRowFormula>SUM(MemberOfAssemblyAssemblyDistrict125General[Total Votes by Party])</totalsRowFormula>
    </tableColumn>
    <tableColumn id="5" xr3:uid="{DBCC6F8F-5343-439F-A8DB-627E6EFF2F6D}" name="Total Votes by Candidate" dataDxfId="92" totalsRowDxfId="93"/>
  </tableColumns>
  <tableStyleInfo name="TableStyleMedium2" showFirstColumn="0" showLastColumn="0" showRowStripes="0" showColumnStripes="0"/>
</table>
</file>

<file path=xl/tables/table2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5" xr:uid="{C68FBF09-91AB-458C-AF85-15B0B5E1EBEE}" name="MemberOfAssemblyAssemblyDistrict126General" displayName="MemberOfAssemblyAssemblyDistrict126General" ref="A2:E10" totalsRowCount="1" headerRowDxfId="123" dataDxfId="119" totalsRowDxfId="121" headerRowBorderDxfId="122" tableBorderDxfId="118" totalsRowBorderDxfId="120">
  <autoFilter ref="A2:E9" xr:uid="{26FD3B1E-1D69-48E0-AA59-44E37FEF6435}">
    <filterColumn colId="0" hiddenButton="1"/>
    <filterColumn colId="1" hiddenButton="1"/>
    <filterColumn colId="2" hiddenButton="1"/>
    <filterColumn colId="3" hiddenButton="1"/>
    <filterColumn colId="4" hiddenButton="1"/>
  </autoFilter>
  <tableColumns count="5">
    <tableColumn id="1" xr3:uid="{917382CA-0E34-4114-BC01-2C1F6F688680}" name="Candidate Name (Party)" totalsRowLabel="Total Votes by County" dataDxfId="116" totalsRowDxfId="117"/>
    <tableColumn id="2" xr3:uid="{4254D3A0-CFFE-470B-AF87-4233D0BFA028}" name="Part of Cayuga County Vote Results" totalsRowFunction="custom" dataDxfId="114" totalsRowDxfId="115">
      <totalsRowFormula>SUM(MemberOfAssemblyAssemblyDistrict126General[Part of Cayuga County Vote Results])</totalsRowFormula>
    </tableColumn>
    <tableColumn id="4" xr3:uid="{45B3D698-D9BE-4D01-BFDC-B361E2A16839}" name="Part of Onondaga County Vote Results" totalsRowFunction="custom" dataDxfId="112" totalsRowDxfId="113">
      <totalsRowFormula>SUM(MemberOfAssemblyAssemblyDistrict126General[Part of Onondaga County Vote Results])</totalsRowFormula>
    </tableColumn>
    <tableColumn id="7" xr3:uid="{2BAD1A79-6552-43F9-81D6-4AFCE96BF8BE}" name="Total Votes by Party" totalsRowFunction="custom" dataDxfId="110" totalsRowDxfId="111">
      <calculatedColumnFormula>SUM(MemberOfAssemblyAssemblyDistrict126General[[#This Row],[Part of Cayuga County Vote Results]:[Part of Onondaga County Vote Results]])</calculatedColumnFormula>
      <totalsRowFormula>SUM(MemberOfAssemblyAssemblyDistrict126General[Total Votes by Party])</totalsRowFormula>
    </tableColumn>
    <tableColumn id="5" xr3:uid="{4FFB19C6-4C48-4CE2-9EF3-1A3582AC3234}" name="Total Votes by Candidate" dataDxfId="108" totalsRowDxfId="109"/>
  </tableColumns>
  <tableStyleInfo name="TableStyleMedium2" showFirstColumn="0" showLastColumn="0" showRowStripes="0" showColumnStripes="0"/>
</table>
</file>

<file path=xl/tables/table2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4" xr:uid="{0E2943F4-921E-40A7-84B3-67DD75F4E8AE}" name="MemberOfAssemblyAssemblyDistrict127General" displayName="MemberOfAssemblyAssemblyDistrict127General" ref="A2:E10" totalsRowCount="1" headerRowDxfId="139" dataDxfId="135" totalsRowDxfId="137" headerRowBorderDxfId="138" tableBorderDxfId="134" totalsRowBorderDxfId="136">
  <autoFilter ref="A2:E9" xr:uid="{C0962221-65DA-4ACE-BE29-C1598EB7E66B}">
    <filterColumn colId="0" hiddenButton="1"/>
    <filterColumn colId="1" hiddenButton="1"/>
    <filterColumn colId="2" hiddenButton="1"/>
    <filterColumn colId="3" hiddenButton="1"/>
    <filterColumn colId="4" hiddenButton="1"/>
  </autoFilter>
  <tableColumns count="5">
    <tableColumn id="1" xr3:uid="{ECF078F3-A75F-4AF9-A0FA-0262912C986E}" name="Candidate Name (Party)" totalsRowLabel="Total Votes by County" dataDxfId="132" totalsRowDxfId="133"/>
    <tableColumn id="4" xr3:uid="{FFBD1378-96DC-474F-9DEC-A5CDBD1AEC11}" name="Part of Madison County Vote Results" totalsRowFunction="custom" dataDxfId="130" totalsRowDxfId="131">
      <totalsRowFormula>SUM(MemberOfAssemblyAssemblyDistrict127General[Part of Madison County Vote Results])</totalsRowFormula>
    </tableColumn>
    <tableColumn id="5" xr3:uid="{D0EF2FEE-61AC-47CF-B966-854838A27773}" name="Part of Onondaga County Vote Results" totalsRowFunction="custom" dataDxfId="128" totalsRowDxfId="129">
      <totalsRowFormula>SUM(MemberOfAssemblyAssemblyDistrict127General[Part of Onondaga County Vote Results])</totalsRowFormula>
    </tableColumn>
    <tableColumn id="3" xr3:uid="{D0F289F9-0D2B-4EDD-8675-2B063F0A9F5A}" name="Total Votes by Party" totalsRowFunction="custom" dataDxfId="126" totalsRowDxfId="127">
      <calculatedColumnFormula>SUM(MemberOfAssemblyAssemblyDistrict127General[[#This Row],[Part of Madison County Vote Results]:[Part of Onondaga County Vote Results]])</calculatedColumnFormula>
      <totalsRowFormula>SUM(MemberOfAssemblyAssemblyDistrict127General[Total Votes by Party])</totalsRowFormula>
    </tableColumn>
    <tableColumn id="2" xr3:uid="{79F8D903-15C4-4786-8C2A-20BC49039DD4}" name="Total Votes by Candidate" dataDxfId="124" totalsRowDxfId="125"/>
  </tableColumns>
  <tableStyleInfo name="TableStyleMedium2" showFirstColumn="0" showLastColumn="0" showRowStripes="0" showColumnStripes="0"/>
</table>
</file>

<file path=xl/tables/table2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3" xr:uid="{C4E7DE4D-8887-4447-844C-9433B42D1A09}" name="MemberOfAssemblyAssemblyDistrict128General" displayName="MemberOfAssemblyAssemblyDistrict128General" ref="A2:D10" totalsRowCount="1" headerRowDxfId="153" dataDxfId="149" totalsRowDxfId="151" headerRowBorderDxfId="152" tableBorderDxfId="148" totalsRowBorderDxfId="150">
  <autoFilter ref="A2:D9" xr:uid="{EAD0463A-6BC6-4ECB-A340-F9546BA92F00}">
    <filterColumn colId="0" hiddenButton="1"/>
    <filterColumn colId="1" hiddenButton="1"/>
    <filterColumn colId="2" hiddenButton="1"/>
    <filterColumn colId="3" hiddenButton="1"/>
  </autoFilter>
  <tableColumns count="4">
    <tableColumn id="1" xr3:uid="{527F38A3-96DB-4B0A-86B4-1DDD02A567FC}" name="Candidate Name (Party)" totalsRowLabel="Total Votes by County" dataDxfId="146" totalsRowDxfId="147"/>
    <tableColumn id="4" xr3:uid="{8EA84E8F-A381-4BA3-B271-B7635927EFFA}" name="Part of Onondaga County Vote Results" totalsRowFunction="custom" dataDxfId="144" totalsRowDxfId="145">
      <totalsRowFormula>SUM(MemberOfAssemblyAssemblyDistrict128General[Part of Onondaga County Vote Results])</totalsRowFormula>
    </tableColumn>
    <tableColumn id="3" xr3:uid="{ABBDCC3F-B171-4048-B8AE-91F388150233}" name="Total Votes by Party" totalsRowFunction="custom" dataDxfId="142" totalsRowDxfId="143">
      <calculatedColumnFormula>MemberOfAssemblyAssemblyDistrict128General[[#This Row],[Part of Onondaga County Vote Results]]</calculatedColumnFormula>
      <totalsRowFormula>SUM(MemberOfAssemblyAssemblyDistrict128General[Total Votes by Party])</totalsRowFormula>
    </tableColumn>
    <tableColumn id="2" xr3:uid="{F4629083-CDF2-4312-8B01-2169C32104C2}" name="Total Votes by Candidate" dataDxfId="140" totalsRowDxfId="141"/>
  </tableColumns>
  <tableStyleInfo name="TableStyleMedium2" showFirstColumn="0" showLastColumn="0" showRowStripes="0" showColumnStripes="0"/>
</table>
</file>

<file path=xl/tables/table2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2" xr:uid="{B6D68C3B-00E5-4C71-9D39-ECC5B724C41C}" name="MemberOfAssemblyAssemblyDistrict129General" displayName="MemberOfAssemblyAssemblyDistrict129General" ref="A2:D7" totalsRowCount="1" headerRowDxfId="167" dataDxfId="163" totalsRowDxfId="165" headerRowBorderDxfId="166" tableBorderDxfId="162" totalsRowBorderDxfId="164">
  <autoFilter ref="A2:D6" xr:uid="{F17DF096-FB6A-4785-B4E0-C29538779450}">
    <filterColumn colId="0" hiddenButton="1"/>
    <filterColumn colId="1" hiddenButton="1"/>
    <filterColumn colId="2" hiddenButton="1"/>
    <filterColumn colId="3" hiddenButton="1"/>
  </autoFilter>
  <tableColumns count="4">
    <tableColumn id="1" xr3:uid="{ACC3C567-AC48-4055-AFD8-7DC3496F5BC3}" name="Candidate Name (Party)" totalsRowLabel="Total Votes by County" dataDxfId="160" totalsRowDxfId="161"/>
    <tableColumn id="4" xr3:uid="{C787DE7B-08A7-4AE2-80FF-1BCDDE860354}" name="Part of Onondaga County Vote Results" totalsRowFunction="custom" dataDxfId="158" totalsRowDxfId="159">
      <totalsRowFormula>SUM(MemberOfAssemblyAssemblyDistrict129General[Part of Onondaga County Vote Results])</totalsRowFormula>
    </tableColumn>
    <tableColumn id="3" xr3:uid="{6E8331BF-15B0-4E91-9DBB-BCDC053FA083}" name="Total Votes by Party" totalsRowFunction="custom" dataDxfId="156" totalsRowDxfId="157">
      <calculatedColumnFormula>MemberOfAssemblyAssemblyDistrict129General[[#This Row],[Part of Onondaga County Vote Results]]</calculatedColumnFormula>
      <totalsRowFormula>SUM(MemberOfAssemblyAssemblyDistrict129General[Total Votes by Party])</totalsRowFormula>
    </tableColumn>
    <tableColumn id="2" xr3:uid="{84063233-353A-44F2-BA8E-E945F3CF3D10}" name="Total Votes by Candidate" dataDxfId="154" totalsRowDxfId="155"/>
  </tableColumns>
  <tableStyleInfo name="TableStyleMedium2" showFirstColumn="0" showLastColumn="0" showRowStripes="0" showColumnStripes="0"/>
</table>
</file>

<file path=xl/tables/table2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1" xr:uid="{5F05E150-24AE-4CDD-A622-45ADFE8174B3}" name="MemberOfAssemblyAssemblyDistrict130General" displayName="MemberOfAssemblyAssemblyDistrict130General" ref="A2:E9" totalsRowCount="1" headerRowDxfId="183" dataDxfId="179" totalsRowDxfId="181" headerRowBorderDxfId="182" tableBorderDxfId="178" totalsRowBorderDxfId="180">
  <autoFilter ref="A2:E8" xr:uid="{366EF961-28AF-40FC-86B2-952659696D83}">
    <filterColumn colId="0" hiddenButton="1"/>
    <filterColumn colId="1" hiddenButton="1"/>
    <filterColumn colId="2" hiddenButton="1"/>
    <filterColumn colId="3" hiddenButton="1"/>
    <filterColumn colId="4" hiddenButton="1"/>
  </autoFilter>
  <tableColumns count="5">
    <tableColumn id="1" xr3:uid="{63985BAD-9F6E-4467-8B32-781955A1F01E}" name="Candidate Name (Party)" totalsRowLabel="Total Votes by County" dataDxfId="177" totalsRowDxfId="172"/>
    <tableColumn id="2" xr3:uid="{ECBD926E-AB75-41DE-A766-841337CBEBB1}" name="Part of Monroe County Vote Results" totalsRowFunction="custom" dataDxfId="176" totalsRowDxfId="171">
      <totalsRowFormula>SUM(MemberOfAssemblyAssemblyDistrict130General[Part of Monroe County Vote Results])</totalsRowFormula>
    </tableColumn>
    <tableColumn id="4" xr3:uid="{95E9DDCD-3783-49EE-9323-EDE334088116}" name="Wayne County_x000a_Vote Results" totalsRowFunction="custom" dataDxfId="175" totalsRowDxfId="170">
      <totalsRowFormula>SUM(MemberOfAssemblyAssemblyDistrict130General[Wayne County
Vote Results])</totalsRowFormula>
    </tableColumn>
    <tableColumn id="6" xr3:uid="{E581CDC7-B6C3-445E-9008-FE0BF94D280D}" name="Total Votes by Party" totalsRowFunction="custom" dataDxfId="174" totalsRowDxfId="169">
      <calculatedColumnFormula>SUM(MemberOfAssemblyAssemblyDistrict130General[[#This Row],[Part of Monroe County Vote Results]:[Wayne County
Vote Results]])</calculatedColumnFormula>
      <totalsRowFormula>SUM(MemberOfAssemblyAssemblyDistrict130General[Total Votes by Party])</totalsRowFormula>
    </tableColumn>
    <tableColumn id="5" xr3:uid="{25E50B06-FE09-4C9C-8933-64A4078AB2EC}" name="Total Votes by Candidate" dataDxfId="173" totalsRowDxfId="168"/>
  </tableColumns>
  <tableStyleInfo name="TableStyleMedium2" showFirstColumn="0" showLastColumn="0" showRowStripes="0"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55E6E49-8618-43A0-917B-236B03F6FF73}" name="RepInCongressCongressionalDistrict13General" displayName="RepInCongressCongressionalDistrict13General" ref="A2:E9" totalsRowCount="1" headerRowDxfId="3629" dataDxfId="3627" totalsRowDxfId="3625" headerRowBorderDxfId="3628" tableBorderDxfId="3626" totalsRowBorderDxfId="3624">
  <autoFilter ref="A2:E8" xr:uid="{FF6665A5-72E6-44D5-BE3B-8B2CACB4A794}">
    <filterColumn colId="0" hiddenButton="1"/>
    <filterColumn colId="1" hiddenButton="1"/>
    <filterColumn colId="2" hiddenButton="1"/>
    <filterColumn colId="3" hiddenButton="1"/>
    <filterColumn colId="4" hiddenButton="1"/>
  </autoFilter>
  <tableColumns count="5">
    <tableColumn id="1" xr3:uid="{5D57106F-69AE-401D-A871-A4F5F63A7680}" name="Candidate Name (Party)" totalsRowLabel="Total Votes by County" dataDxfId="3623" totalsRowDxfId="3622"/>
    <tableColumn id="2" xr3:uid="{96D460D8-59A9-4398-9616-E2B9E9661264}" name="Part of Bronx County Vote Results" totalsRowFunction="custom" dataDxfId="3621" totalsRowDxfId="3620">
      <totalsRowFormula>SUM(RepInCongressCongressionalDistrict13General[Part of Bronx County Vote Results])</totalsRowFormula>
    </tableColumn>
    <tableColumn id="4" xr3:uid="{ABFF88CE-9217-4DB2-AE9D-F1D652AB0E81}" name="Part of New York County Vote Results" totalsRowFunction="custom" dataDxfId="3619" totalsRowDxfId="3618">
      <totalsRowFormula>SUM(RepInCongressCongressionalDistrict13General[Part of New York County Vote Results])</totalsRowFormula>
    </tableColumn>
    <tableColumn id="3" xr3:uid="{21D984B8-CAD0-40A2-AACC-CCA3EF97BEE0}" name="Total Votes by Party" totalsRowFunction="custom" dataDxfId="3617" totalsRowDxfId="3616">
      <calculatedColumnFormula>SUM(RepInCongressCongressionalDistrict13General[[#This Row],[Part of Bronx County Vote Results]:[Part of New York County Vote Results]])</calculatedColumnFormula>
      <totalsRowFormula>SUM(RepInCongressCongressionalDistrict13General[Total Votes by Party])</totalsRowFormula>
    </tableColumn>
    <tableColumn id="5" xr3:uid="{860FB711-3196-41F3-B753-A10EAC78DB74}" name="Total Votes by Candidate" dataDxfId="3615" totalsRowDxfId="3614"/>
  </tableColumns>
  <tableStyleInfo name="TableStyleMedium2" showFirstColumn="0" showLastColumn="0" showRowStripes="0" showColumnStripes="0"/>
</table>
</file>

<file path=xl/tables/table2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CFEFBAE-5D75-41AC-ADE0-91506EFC8FC2}" name="MemberOfAssemblyAssemblyDistrict131General" displayName="MemberOfAssemblyAssemblyDistrict131General" ref="A2:J8" totalsRowCount="1" headerRowDxfId="209" dataDxfId="205" totalsRowDxfId="207" headerRowBorderDxfId="208" tableBorderDxfId="204" totalsRowBorderDxfId="206">
  <autoFilter ref="A2:J7" xr:uid="{9B998EDB-6C22-4338-A352-4F99B6C518A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3EA67A83-0BA4-4C7C-A0F2-8720262AB504}" name="Candidate Name (Party)" totalsRowLabel="Total Votes by County" dataDxfId="202" totalsRowDxfId="203"/>
    <tableColumn id="2" xr3:uid="{B1AD9651-A90F-4FA4-BEC5-F084B00E9A40}" name="Part of Broome County Vote Results" totalsRowFunction="custom" dataDxfId="200" totalsRowDxfId="201">
      <totalsRowFormula>SUM(MemberOfAssemblyAssemblyDistrict131General[Part of Broome County Vote Results])</totalsRowFormula>
    </tableColumn>
    <tableColumn id="10" xr3:uid="{FD232BAF-3F3A-4F34-AE8C-3E15A08E3EF8}" name="Part of Cayuga County Vote Results" totalsRowFunction="custom" dataDxfId="198" totalsRowDxfId="199">
      <totalsRowFormula>SUM(MemberOfAssemblyAssemblyDistrict131General[Part of Cayuga County Vote Results])</totalsRowFormula>
    </tableColumn>
    <tableColumn id="9" xr3:uid="{D5403E58-3B57-4258-9F7B-80324BC31C38}" name="Part of Chenango County Vote Results" totalsRowFunction="custom" dataDxfId="196" totalsRowDxfId="197">
      <totalsRowFormula>SUM(MemberOfAssemblyAssemblyDistrict131General[Part of Chenango County Vote Results])</totalsRowFormula>
    </tableColumn>
    <tableColumn id="8" xr3:uid="{FFDB4BA8-6ED4-4158-9FDF-FAEDF57F10EC}" name="Part of Cortland County Vote Results" totalsRowFunction="custom" dataDxfId="194" totalsRowDxfId="195">
      <totalsRowFormula>SUM(MemberOfAssemblyAssemblyDistrict131General[Part of Cortland County Vote Results])</totalsRowFormula>
    </tableColumn>
    <tableColumn id="7" xr3:uid="{39E7DF10-2E8E-4F95-BD55-82601A589FB0}" name="Part of Madison County Vote Results" totalsRowFunction="custom" dataDxfId="192" totalsRowDxfId="193">
      <totalsRowFormula>SUM(MemberOfAssemblyAssemblyDistrict131General[Part of Madison County Vote Results])</totalsRowFormula>
    </tableColumn>
    <tableColumn id="6" xr3:uid="{0C0EF717-00D9-4729-B75B-2928150E8DF2}" name="Part of Ontario County Vote Results" totalsRowFunction="custom" dataDxfId="190" totalsRowDxfId="191">
      <totalsRowFormula>SUM(MemberOfAssemblyAssemblyDistrict131General[Part of Ontario County Vote Results])</totalsRowFormula>
    </tableColumn>
    <tableColumn id="4" xr3:uid="{6A33E2C1-0E8A-4F5A-942D-168DDC435707}" name="Part of Seneca County Vote Results" totalsRowFunction="custom" dataDxfId="188" totalsRowDxfId="189">
      <totalsRowFormula>SUM(MemberOfAssemblyAssemblyDistrict131General[Part of Seneca County Vote Results])</totalsRowFormula>
    </tableColumn>
    <tableColumn id="3" xr3:uid="{3FB63257-95C8-4895-996B-B18EA35117D8}" name="Total Votes by Party" totalsRowFunction="custom" dataDxfId="186" totalsRowDxfId="187">
      <calculatedColumnFormula>SUM(MemberOfAssemblyAssemblyDistrict131General[[#This Row],[Part of Broome County Vote Results]:[Part of Seneca County Vote Results]])</calculatedColumnFormula>
      <totalsRowFormula>SUBTOTAL(109,I3:I7)</totalsRowFormula>
    </tableColumn>
    <tableColumn id="5" xr3:uid="{9A1B28C4-EFAC-472F-BF41-01E718C8FE47}" name="Total Votes by Candidate" dataDxfId="184" totalsRowDxfId="185"/>
  </tableColumns>
  <tableStyleInfo name="TableStyleMedium2" showFirstColumn="0" showLastColumn="0" showRowStripes="0" showColumnStripes="0"/>
</table>
</file>

<file path=xl/tables/table2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9" xr:uid="{895DAA82-DA78-49C2-9951-7BFB5013AFA1}" name="MemberOfAssemblyAssemblyDistrict132General" displayName="MemberOfAssemblyAssemblyDistrict132General" ref="A2:H8" totalsRowCount="1" headerRowDxfId="231" dataDxfId="227" totalsRowDxfId="229" headerRowBorderDxfId="230" tableBorderDxfId="226" totalsRowBorderDxfId="228">
  <autoFilter ref="A2:H7" xr:uid="{D9E396D6-E3F2-4009-AD56-98ED1C79FD1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D4C39EE6-B42B-4D81-BB05-D6AB7500C399}" name="Candidate Name (Party)" totalsRowLabel="Total Votes by County" dataDxfId="224" totalsRowDxfId="225"/>
    <tableColumn id="2" xr3:uid="{B0AD71D0-D2C3-444B-B026-82F2ACDC4C9D}" name="Part of Chemung County Vote Results" totalsRowFunction="custom" dataDxfId="222" totalsRowDxfId="223">
      <totalsRowFormula>SUM(MemberOfAssemblyAssemblyDistrict132General[Part of Chemung County Vote Results])</totalsRowFormula>
    </tableColumn>
    <tableColumn id="6" xr3:uid="{46BC2BEE-6DC3-42DF-AB52-C81E441B5FF5}" name="Schuyler County_x000a_Vote Results" totalsRowFunction="custom" dataDxfId="220" totalsRowDxfId="221">
      <totalsRowFormula>SUM(MemberOfAssemblyAssemblyDistrict132General[Schuyler County
Vote Results])</totalsRowFormula>
    </tableColumn>
    <tableColumn id="7" xr3:uid="{B1462635-6893-4A2F-BC18-C44F47AB5763}" name="Part of Seneca County Vote Results" totalsRowFunction="custom" dataDxfId="218" totalsRowDxfId="219">
      <totalsRowFormula>SUM(MemberOfAssemblyAssemblyDistrict132General[Part of Seneca County Vote Results])</totalsRowFormula>
    </tableColumn>
    <tableColumn id="3" xr3:uid="{A2568A5C-DFCF-4C2A-B4F7-FE595F424918}" name="Part of Steuben County Vote Results" totalsRowFunction="custom" dataDxfId="216" totalsRowDxfId="217">
      <totalsRowFormula>SUM(MemberOfAssemblyAssemblyDistrict132General[Part of Steuben County Vote Results])</totalsRowFormula>
    </tableColumn>
    <tableColumn id="4" xr3:uid="{A7588773-867D-48B6-8C7F-1D7F22CE5BCF}" name="Yates County_x000a_Vote Results" totalsRowFunction="custom" dataDxfId="214" totalsRowDxfId="215">
      <totalsRowFormula>SUM(MemberOfAssemblyAssemblyDistrict132General[Yates County
Vote Results])</totalsRowFormula>
    </tableColumn>
    <tableColumn id="8" xr3:uid="{AA7A4E4F-EB75-4B9C-AE4A-B034A8091EB6}" name="Total Votes by Party" totalsRowFunction="custom" dataDxfId="212" totalsRowDxfId="213">
      <calculatedColumnFormula>SUM(MemberOfAssemblyAssemblyDistrict132General[[#This Row],[Part of Chemung County Vote Results]:[Yates County
Vote Results]])</calculatedColumnFormula>
      <totalsRowFormula>SUM(MemberOfAssemblyAssemblyDistrict132General[Total Votes by Party])</totalsRowFormula>
    </tableColumn>
    <tableColumn id="5" xr3:uid="{BF6E0DBE-72A3-44A0-AC1B-052F5C691086}" name="Total Votes by Candidate" dataDxfId="210" totalsRowDxfId="211">
      <calculatedColumnFormula>SUM(MemberOfAssemblyAssemblyDistrict132General[[#This Row],[Total Votes by Party]],G4,#REF!)</calculatedColumnFormula>
    </tableColumn>
  </tableColumns>
  <tableStyleInfo name="TableStyleMedium2" showFirstColumn="0" showLastColumn="0" showRowStripes="0" showColumnStripes="0"/>
</table>
</file>

<file path=xl/tables/table2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8" xr:uid="{71181B98-7565-4772-A376-4CFC544AFF15}" name="MemberOfAssemblyAssemblyDistrict133General" displayName="MemberOfAssemblyAssemblyDistrict133General" ref="A2:H9" totalsRowCount="1" headerRowDxfId="253" dataDxfId="249" totalsRowDxfId="251" headerRowBorderDxfId="252" tableBorderDxfId="248" totalsRowBorderDxfId="250">
  <autoFilter ref="A2:H8" xr:uid="{860B7522-4AC4-40E4-882A-07CFC38C76A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0A8211-7EF1-4FE3-8225-AE1FAC00F947}" name="Candidate Name (Party)" totalsRowLabel="Total Votes by County" dataDxfId="246" totalsRowDxfId="247"/>
    <tableColumn id="2" xr3:uid="{935FEDE8-2BEC-407B-96E3-9E556FF59185}" name="Livingston County_x000a_Vote Results" totalsRowFunction="custom" dataDxfId="244" totalsRowDxfId="245">
      <totalsRowFormula>SUM(MemberOfAssemblyAssemblyDistrict133General[Livingston County
Vote Results])</totalsRowFormula>
    </tableColumn>
    <tableColumn id="3" xr3:uid="{8165C24B-8EBF-4184-AE31-E8E2C205BC2C}" name="Part of Monroe County Vote Results" totalsRowFunction="custom" dataDxfId="242" totalsRowDxfId="243">
      <totalsRowFormula>SUM(MemberOfAssemblyAssemblyDistrict133General[Part of Monroe County Vote Results])</totalsRowFormula>
    </tableColumn>
    <tableColumn id="8" xr3:uid="{4D9B3208-2F57-452A-873E-E2E224068B69}" name="Part of Ontario County Vote Results" totalsRowFunction="custom" dataDxfId="240" totalsRowDxfId="241">
      <totalsRowFormula>SUM(MemberOfAssemblyAssemblyDistrict133General[Part of Ontario County Vote Results])</totalsRowFormula>
    </tableColumn>
    <tableColumn id="7" xr3:uid="{74209171-5B3C-4916-8F79-7EBBDC1605E3}" name="Part of Steuben County Vote Results" totalsRowFunction="custom" dataDxfId="238" totalsRowDxfId="239">
      <totalsRowFormula>SUM(MemberOfAssemblyAssemblyDistrict133General[Part of Steuben County Vote Results])</totalsRowFormula>
    </tableColumn>
    <tableColumn id="4" xr3:uid="{42AC829B-8CB9-4D34-911E-974E8765401D}" name="Part of Wyoming County Vote Results" totalsRowFunction="custom" dataDxfId="236" totalsRowDxfId="237">
      <totalsRowFormula>SUM(MemberOfAssemblyAssemblyDistrict133General[Part of Wyoming County Vote Results])</totalsRowFormula>
    </tableColumn>
    <tableColumn id="6" xr3:uid="{884BE9E6-EF3B-45C1-A64F-77F66DAC1B02}" name="Total Votes by Party" totalsRowFunction="custom" dataDxfId="233" totalsRowDxfId="235">
      <calculatedColumnFormula>SUM(MemberOfAssemblyAssemblyDistrict133General[[#This Row],[Livingston County
Vote Results]:[Part of Wyoming County Vote Results]])</calculatedColumnFormula>
      <totalsRowFormula>SUM(MemberOfAssemblyAssemblyDistrict133General[Total Votes by Party])</totalsRowFormula>
    </tableColumn>
    <tableColumn id="5" xr3:uid="{2BB5C41C-6AA4-4345-BBF2-0304CCD5FCE2}" name="Total Votes by Candidate" dataDxfId="232" totalsRowDxfId="234"/>
  </tableColumns>
  <tableStyleInfo name="TableStyleMedium2" showFirstColumn="0" showLastColumn="0" showRowStripes="0" showColumnStripes="0"/>
</table>
</file>

<file path=xl/tables/table2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7" xr:uid="{5993D189-1E93-40A6-8128-60E96EA64167}" name="MemberOfAssemblyAssemblyDistrict134General" displayName="MemberOfAssemblyAssemblyDistrict134General" ref="A2:D8" totalsRowCount="1" headerRowDxfId="267" dataDxfId="263" totalsRowDxfId="265" headerRowBorderDxfId="266" tableBorderDxfId="262" totalsRowBorderDxfId="264">
  <autoFilter ref="A2:D7" xr:uid="{52EEF178-30B9-49E7-AC64-7CB8626191A7}">
    <filterColumn colId="0" hiddenButton="1"/>
    <filterColumn colId="1" hiddenButton="1"/>
    <filterColumn colId="2" hiddenButton="1"/>
    <filterColumn colId="3" hiddenButton="1"/>
  </autoFilter>
  <tableColumns count="4">
    <tableColumn id="1" xr3:uid="{C3C42B17-929A-455E-B056-CBE1575AEDF7}" name="Candidate Name (Party)" totalsRowLabel="Total Votes by County" dataDxfId="260" totalsRowDxfId="261"/>
    <tableColumn id="4" xr3:uid="{8C50A7FF-7690-4E56-B7C2-8DDF37FC4B53}" name="Part of Monroe County Vote Results" totalsRowFunction="custom" dataDxfId="258" totalsRowDxfId="259">
      <totalsRowFormula>SUM(MemberOfAssemblyAssemblyDistrict134General[Part of Monroe County Vote Results])</totalsRowFormula>
    </tableColumn>
    <tableColumn id="3" xr3:uid="{D8E2641E-6746-49B9-901C-39AE800204B1}" name="Total Votes by Party" totalsRowFunction="custom" dataDxfId="256" totalsRowDxfId="257">
      <calculatedColumnFormula>MemberOfAssemblyAssemblyDistrict134General[[#This Row],[Part of Monroe County Vote Results]]</calculatedColumnFormula>
      <totalsRowFormula>SUM(MemberOfAssemblyAssemblyDistrict134General[Total Votes by Party])</totalsRowFormula>
    </tableColumn>
    <tableColumn id="2" xr3:uid="{8690CFBD-166A-4B6C-B08F-8FBE494E3DBB}" name="Total Votes by Candidate" dataDxfId="254" totalsRowDxfId="255"/>
  </tableColumns>
  <tableStyleInfo name="TableStyleMedium2" showFirstColumn="0" showLastColumn="0" showRowStripes="0" showColumnStripes="0"/>
</table>
</file>

<file path=xl/tables/table2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6" xr:uid="{0F9A492C-58E0-4F9C-8AEE-29CFF7EFC396}" name="MemberOfAssemblyAssemblyDistrict135General" displayName="MemberOfAssemblyAssemblyDistrict135General" ref="A2:D10" totalsRowCount="1" headerRowDxfId="281" dataDxfId="277" totalsRowDxfId="279" headerRowBorderDxfId="280" tableBorderDxfId="276" totalsRowBorderDxfId="278">
  <autoFilter ref="A2:D9" xr:uid="{D08F31AE-6FD4-4301-9647-C827304B8EB0}">
    <filterColumn colId="0" hiddenButton="1"/>
    <filterColumn colId="1" hiddenButton="1"/>
    <filterColumn colId="2" hiddenButton="1"/>
    <filterColumn colId="3" hiddenButton="1"/>
  </autoFilter>
  <tableColumns count="4">
    <tableColumn id="1" xr3:uid="{575E738B-9874-406E-BD51-F2E752530A18}" name="Candidate Name (Party)" totalsRowLabel="Total Votes by County" dataDxfId="274" totalsRowDxfId="275"/>
    <tableColumn id="4" xr3:uid="{1C75B1F4-49A7-4926-8B60-166AE62F8F51}" name="Part of Monroe County Vote Results" totalsRowFunction="custom" dataDxfId="272" totalsRowDxfId="273">
      <totalsRowFormula>SUM(MemberOfAssemblyAssemblyDistrict135General[Part of Monroe County Vote Results])</totalsRowFormula>
    </tableColumn>
    <tableColumn id="3" xr3:uid="{DFB4AD8E-12F9-4D92-A827-BED19F605CA6}" name="Total Votes by Party" totalsRowFunction="custom" dataDxfId="270" totalsRowDxfId="271">
      <calculatedColumnFormula>MemberOfAssemblyAssemblyDistrict135General[[#This Row],[Part of Monroe County Vote Results]]</calculatedColumnFormula>
      <totalsRowFormula>SUM(MemberOfAssemblyAssemblyDistrict135General[Total Votes by Party])</totalsRowFormula>
    </tableColumn>
    <tableColumn id="2" xr3:uid="{32878A80-0328-4F2F-9F06-7215B3AE21E4}" name="Total Votes by Candidate" dataDxfId="268" totalsRowDxfId="269"/>
  </tableColumns>
  <tableStyleInfo name="TableStyleMedium2" showFirstColumn="0" showLastColumn="0" showRowStripes="0" showColumnStripes="0"/>
</table>
</file>

<file path=xl/tables/table2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5" xr:uid="{A24A2E91-BB54-41D1-BF03-6BB946860E1F}" name="MemberOfAssemblyAssemblyDistrict136General" displayName="MemberOfAssemblyAssemblyDistrict136General" ref="A2:D10" totalsRowCount="1" headerRowDxfId="295" dataDxfId="291" totalsRowDxfId="293" headerRowBorderDxfId="294" tableBorderDxfId="290" totalsRowBorderDxfId="292">
  <autoFilter ref="A2:D9" xr:uid="{A8AF5231-8278-49CA-9700-D9204A02A849}">
    <filterColumn colId="0" hiddenButton="1"/>
    <filterColumn colId="1" hiddenButton="1"/>
    <filterColumn colId="2" hiddenButton="1"/>
    <filterColumn colId="3" hiddenButton="1"/>
  </autoFilter>
  <tableColumns count="4">
    <tableColumn id="1" xr3:uid="{91A728BD-C2AF-4028-830E-63518771EBCA}" name="Candidate Name (Party)" totalsRowLabel="Total Votes by County" dataDxfId="288" totalsRowDxfId="289"/>
    <tableColumn id="4" xr3:uid="{FF7579E2-78A7-4C1E-BE0C-3787EF543B4C}" name="Part of Monroe County Vote Results" totalsRowFunction="custom" dataDxfId="286" totalsRowDxfId="287">
      <totalsRowFormula>SUM(MemberOfAssemblyAssemblyDistrict136General[Part of Monroe County Vote Results])</totalsRowFormula>
    </tableColumn>
    <tableColumn id="3" xr3:uid="{7180C290-AD42-446A-92AA-D106FEC2A047}" name="Total Votes by Party" totalsRowFunction="custom" dataDxfId="284" totalsRowDxfId="285">
      <calculatedColumnFormula>MemberOfAssemblyAssemblyDistrict136General[[#This Row],[Part of Monroe County Vote Results]]</calculatedColumnFormula>
      <totalsRowFormula>SUM(MemberOfAssemblyAssemblyDistrict136General[Total Votes by Party])</totalsRowFormula>
    </tableColumn>
    <tableColumn id="2" xr3:uid="{D08B6D4E-2702-42B3-8401-55DD9339B6A8}" name="Total Votes by Candidate" dataDxfId="282" totalsRowDxfId="283">
      <calculatedColumnFormula>SUM(MemberOfAssemblyAssemblyDistrict136General[[#This Row],[Total Votes by Party]],C4)</calculatedColumnFormula>
    </tableColumn>
  </tableColumns>
  <tableStyleInfo name="TableStyleMedium2" showFirstColumn="0" showLastColumn="0" showRowStripes="0" showColumnStripes="0"/>
</table>
</file>

<file path=xl/tables/table2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4" xr:uid="{08075D30-E1C7-4682-9278-098552BA5E45}" name="MemberOfAssemblyAssemblyDistrict137General" displayName="MemberOfAssemblyAssemblyDistrict137General" ref="A2:D10" totalsRowCount="1" headerRowDxfId="309" dataDxfId="305" totalsRowDxfId="307" headerRowBorderDxfId="308" tableBorderDxfId="304" totalsRowBorderDxfId="306">
  <autoFilter ref="A2:D9" xr:uid="{131EAACA-BE16-410F-9DCB-436E3BF36992}">
    <filterColumn colId="0" hiddenButton="1"/>
    <filterColumn colId="1" hiddenButton="1"/>
    <filterColumn colId="2" hiddenButton="1"/>
    <filterColumn colId="3" hiddenButton="1"/>
  </autoFilter>
  <tableColumns count="4">
    <tableColumn id="1" xr3:uid="{386A9955-39FC-4634-8E0C-2F6184ABF4F0}" name="Candidate Name (Party)" totalsRowLabel="Total Votes by County" dataDxfId="302" totalsRowDxfId="303"/>
    <tableColumn id="4" xr3:uid="{072C29AB-4639-4321-A37E-2681ED05EFCA}" name="Part of Monroe County Vote Results" totalsRowFunction="custom" dataDxfId="300" totalsRowDxfId="301">
      <totalsRowFormula>SUM(MemberOfAssemblyAssemblyDistrict137General[Part of Monroe County Vote Results])</totalsRowFormula>
    </tableColumn>
    <tableColumn id="3" xr3:uid="{07239B39-6C8B-4E8C-9278-5B756221943E}" name="Total Votes by Party" totalsRowFunction="custom" dataDxfId="298" totalsRowDxfId="299">
      <calculatedColumnFormula>MemberOfAssemblyAssemblyDistrict137General[[#This Row],[Part of Monroe County Vote Results]]</calculatedColumnFormula>
      <totalsRowFormula>SUM(MemberOfAssemblyAssemblyDistrict137General[Total Votes by Party])</totalsRowFormula>
    </tableColumn>
    <tableColumn id="2" xr3:uid="{F2C42330-602B-4EBA-9AB1-550C28D38EC4}" name="Total Votes by Candidate" dataDxfId="296" totalsRowDxfId="297">
      <calculatedColumnFormula>SUM(MemberOfAssemblyAssemblyDistrict137General[[#This Row],[Total Votes by Party]],C4)</calculatedColumnFormula>
    </tableColumn>
  </tableColumns>
  <tableStyleInfo name="TableStyleMedium2" showFirstColumn="0" showLastColumn="0" showRowStripes="0" showColumnStripes="0"/>
</table>
</file>

<file path=xl/tables/table2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3" xr:uid="{DCC138D4-5EED-4240-8EEE-B3FFE7960D56}" name="MemberOfAssemblyAssemblyDistrict138General" displayName="MemberOfAssemblyAssemblyDistrict138General" ref="A2:D10" totalsRowCount="1" headerRowDxfId="323" dataDxfId="319" totalsRowDxfId="321" headerRowBorderDxfId="322" tableBorderDxfId="318" totalsRowBorderDxfId="320">
  <autoFilter ref="A2:D9" xr:uid="{454EBD1B-7770-41A5-B8A8-0820457DFCD8}">
    <filterColumn colId="0" hiddenButton="1"/>
    <filterColumn colId="1" hiddenButton="1"/>
    <filterColumn colId="2" hiddenButton="1"/>
    <filterColumn colId="3" hiddenButton="1"/>
  </autoFilter>
  <tableColumns count="4">
    <tableColumn id="1" xr3:uid="{FC5C8DC0-CF5C-4A79-BCA2-1214A000615F}" name="Candidate Name (Party)" totalsRowLabel="Total Votes by County" dataDxfId="316" totalsRowDxfId="317"/>
    <tableColumn id="4" xr3:uid="{D89C13E8-E043-48F3-9B23-F231AC48A8F7}" name="Part of Monroe County Vote Results" totalsRowFunction="custom" dataDxfId="314" totalsRowDxfId="315">
      <totalsRowFormula>SUM(MemberOfAssemblyAssemblyDistrict138General[Part of Monroe County Vote Results])</totalsRowFormula>
    </tableColumn>
    <tableColumn id="3" xr3:uid="{2D5D3457-8A7B-4EB5-A0B2-4ED0062931DF}" name="Total Votes by Party" totalsRowFunction="custom" dataDxfId="312" totalsRowDxfId="313">
      <calculatedColumnFormula>MemberOfAssemblyAssemblyDistrict138General[[#This Row],[Part of Monroe County Vote Results]]</calculatedColumnFormula>
      <totalsRowFormula>SUM(MemberOfAssemblyAssemblyDistrict138General[Total Votes by Party])</totalsRowFormula>
    </tableColumn>
    <tableColumn id="2" xr3:uid="{40FC17E0-61DC-410D-894D-671C949C8A16}" name="Total Votes by Candidate" dataDxfId="310" totalsRowDxfId="311"/>
  </tableColumns>
  <tableStyleInfo name="TableStyleMedium2" showFirstColumn="0" showLastColumn="0" showRowStripes="0" showColumnStripes="0"/>
</table>
</file>

<file path=xl/tables/table2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2" xr:uid="{C596276B-727F-41DB-B4C1-3A14EAEF6BFF}" name="MemberOfAssemblyAssemblyDistrict139General" displayName="MemberOfAssemblyAssemblyDistrict139General" ref="A2:H8" totalsRowCount="1" headerRowDxfId="345" dataDxfId="341" totalsRowDxfId="343" headerRowBorderDxfId="344" tableBorderDxfId="340" totalsRowBorderDxfId="342">
  <autoFilter ref="A2:H7" xr:uid="{CB957A37-C1A3-4F36-A4B3-278A92870FB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36F69B0-4461-4A87-AB26-F093BBCB1940}" name="Candidate Name (Party)" totalsRowLabel="Total Votes by County" dataDxfId="338" totalsRowDxfId="339"/>
    <tableColumn id="2" xr3:uid="{AE19D305-8FEB-4D44-919C-E69253DF6EE6}" name="Part of Erie County_x000a_Vote Results" totalsRowFunction="custom" dataDxfId="336" totalsRowDxfId="337">
      <totalsRowFormula>SUM(MemberOfAssemblyAssemblyDistrict139General[Part of Erie County
Vote Results])</totalsRowFormula>
    </tableColumn>
    <tableColumn id="3" xr3:uid="{CCDBF0B2-AE6E-4B61-B2D5-D69F31BC6406}" name="Genesee County_x000a_Vote Results" totalsRowFunction="custom" dataDxfId="334" totalsRowDxfId="335">
      <totalsRowFormula>SUM(MemberOfAssemblyAssemblyDistrict139General[Genesee County
Vote Results])</totalsRowFormula>
    </tableColumn>
    <tableColumn id="7" xr3:uid="{8CEAEF97-BEA8-4E53-9EF4-F4FB6D8C6682}" name="Part of Monroe County Vote Results" totalsRowFunction="custom" dataDxfId="332" totalsRowDxfId="333">
      <totalsRowFormula>SUM(MemberOfAssemblyAssemblyDistrict139General[Part of Monroe County Vote Results])</totalsRowFormula>
    </tableColumn>
    <tableColumn id="8" xr3:uid="{461F35C9-F322-43CB-8605-FF217EA6DFAA}" name="Part of Niagara_x000a_Vote Results" totalsRowFunction="custom" dataDxfId="330" totalsRowDxfId="331">
      <totalsRowFormula>SUM(MemberOfAssemblyAssemblyDistrict139General[Part of Niagara
Vote Results])</totalsRowFormula>
    </tableColumn>
    <tableColumn id="4" xr3:uid="{35A8506D-DC01-42B8-AEE7-129ABB0F351C}" name="Orleans County_x000a_Vote Results" totalsRowFunction="custom" dataDxfId="328" totalsRowDxfId="329">
      <totalsRowFormula>SUM(MemberOfAssemblyAssemblyDistrict139General[Orleans County
Vote Results])</totalsRowFormula>
    </tableColumn>
    <tableColumn id="6" xr3:uid="{99A07680-C9BA-4A4D-8F37-3ED36797AD7E}" name="Total Votes by Party" totalsRowFunction="custom" dataDxfId="326" totalsRowDxfId="327">
      <calculatedColumnFormula>SUM(MemberOfAssemblyAssemblyDistrict139General[[#This Row],[Part of Erie County
Vote Results]:[Orleans County
Vote Results]])</calculatedColumnFormula>
      <totalsRowFormula>SUM(MemberOfAssemblyAssemblyDistrict139General[Total Votes by Party])</totalsRowFormula>
    </tableColumn>
    <tableColumn id="5" xr3:uid="{3A908863-B8A4-4344-90CF-21B2591CF30C}" name="Total Votes by Candidate" dataDxfId="324" totalsRowDxfId="325"/>
  </tableColumns>
  <tableStyleInfo name="TableStyleMedium2" showFirstColumn="0" showLastColumn="0" showRowStripes="0" showColumnStripes="0"/>
</table>
</file>

<file path=xl/tables/table2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1" xr:uid="{E5083073-4E2D-4831-8079-91B8ED244B80}" name="MemberOfAssemblyAssemblyDistrict140General" displayName="MemberOfAssemblyAssemblyDistrict140General" ref="A2:E8" totalsRowCount="1" headerRowDxfId="361" dataDxfId="357" totalsRowDxfId="359" headerRowBorderDxfId="360" tableBorderDxfId="356" totalsRowBorderDxfId="358">
  <autoFilter ref="A2:E7" xr:uid="{9105780F-69CF-40D1-B2C6-3E7BA5C3B0F4}">
    <filterColumn colId="0" hiddenButton="1"/>
    <filterColumn colId="1" hiddenButton="1"/>
    <filterColumn colId="2" hiddenButton="1"/>
    <filterColumn colId="3" hiddenButton="1"/>
    <filterColumn colId="4" hiddenButton="1"/>
  </autoFilter>
  <tableColumns count="5">
    <tableColumn id="1" xr3:uid="{4300E151-98A4-4338-86E5-579786DE8E19}" name="Candidate Name (Party)" totalsRowLabel="Total Votes by County" dataDxfId="354" totalsRowDxfId="355"/>
    <tableColumn id="2" xr3:uid="{EB1C978F-98B4-4955-A5EC-1E0CF6FA5053}" name="Part of Erie County_x000a_Vote Results" totalsRowFunction="custom" dataDxfId="352" totalsRowDxfId="353">
      <totalsRowFormula>SUM(MemberOfAssemblyAssemblyDistrict140General[Part of Erie County
Vote Results])</totalsRowFormula>
    </tableColumn>
    <tableColumn id="4" xr3:uid="{AFCD19DA-EFCB-452B-A4B2-4D3A2C8AFF70}" name="Part of Niagara County Vote Results" totalsRowFunction="custom" dataDxfId="350" totalsRowDxfId="351">
      <totalsRowFormula>SUM(MemberOfAssemblyAssemblyDistrict140General[Part of Niagara County Vote Results])</totalsRowFormula>
    </tableColumn>
    <tableColumn id="3" xr3:uid="{A197C0BA-D3CD-431A-B84A-10AFD176A878}" name="Total Votes by Party" totalsRowFunction="custom" dataDxfId="348" totalsRowDxfId="349">
      <calculatedColumnFormula>SUM(MemberOfAssemblyAssemblyDistrict140General[[#This Row],[Part of Erie County
Vote Results]:[Part of Niagara County Vote Results]])</calculatedColumnFormula>
      <totalsRowFormula>SUM(MemberOfAssemblyAssemblyDistrict140General[Total Votes by Party])</totalsRowFormula>
    </tableColumn>
    <tableColumn id="5" xr3:uid="{AB18CBBD-0D0B-4F6A-9443-0F3E3AC510D4}" name="Total Votes by Candidate" dataDxfId="346" totalsRowDxfId="347"/>
  </tableColumns>
  <tableStyleInfo name="TableStyleMedium2" showFirstColumn="0" showLastColumn="0" showRowStripes="0"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E687BB6-2553-4723-8F36-101F561E5E7F}" name="RepInCongressCongressionalDistrict14General" displayName="RepInCongressCongressionalDistrict14General" ref="A2:E10" totalsRowCount="1" headerRowDxfId="3613" dataDxfId="3611" totalsRowDxfId="3609" headerRowBorderDxfId="3612" tableBorderDxfId="3610" totalsRowBorderDxfId="3608">
  <autoFilter ref="A2:E9" xr:uid="{0748C5B6-70AB-43AF-9D47-AE1627D286FF}">
    <filterColumn colId="0" hiddenButton="1"/>
    <filterColumn colId="1" hiddenButton="1"/>
    <filterColumn colId="2" hiddenButton="1"/>
    <filterColumn colId="3" hiddenButton="1"/>
    <filterColumn colId="4" hiddenButton="1"/>
  </autoFilter>
  <tableColumns count="5">
    <tableColumn id="1" xr3:uid="{289778B0-48AD-4C25-9EA7-3FE642A28B23}" name="Candidate Name (Party)" totalsRowLabel="Total Votes by County" dataDxfId="3607" totalsRowDxfId="3606"/>
    <tableColumn id="2" xr3:uid="{21521BEF-CD13-4788-83DD-BDAD4AA8D8F1}" name="Part of Bronx County Vote Results" totalsRowFunction="custom" dataDxfId="3605" totalsRowDxfId="3604">
      <totalsRowFormula>SUM(RepInCongressCongressionalDistrict14General[Part of Bronx County Vote Results])</totalsRowFormula>
    </tableColumn>
    <tableColumn id="4" xr3:uid="{4DFF38A1-2A42-491C-B68F-91D02F7FB37B}" name="Part of Queens County Vote Results" totalsRowFunction="custom" dataDxfId="3603" totalsRowDxfId="3602">
      <totalsRowFormula>SUM(RepInCongressCongressionalDistrict14General[Part of Queens County Vote Results])</totalsRowFormula>
    </tableColumn>
    <tableColumn id="3" xr3:uid="{56175792-CF3F-4682-9016-7A109E1F4C5A}" name="Total Votes by Party" totalsRowFunction="custom" dataDxfId="3601" totalsRowDxfId="3600">
      <calculatedColumnFormula>SUM(RepInCongressCongressionalDistrict14General[[#This Row],[Part of Bronx County Vote Results]:[Part of Queens County Vote Results]])</calculatedColumnFormula>
      <totalsRowFormula>SUM(RepInCongressCongressionalDistrict14General[Total Votes by Party])</totalsRowFormula>
    </tableColumn>
    <tableColumn id="5" xr3:uid="{35EF6FA2-026F-475B-8230-94E4AA4CD0BE}" name="Total Votes by Candidate" dataDxfId="3599" totalsRowDxfId="3598"/>
  </tableColumns>
  <tableStyleInfo name="TableStyleMedium2" showFirstColumn="0" showLastColumn="0" showRowStripes="0" showColumnStripes="0"/>
</table>
</file>

<file path=xl/tables/table2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0" xr:uid="{009804DF-A141-485A-B4F4-0DE24CA5C8E8}" name="MemberOfAssemblyAssemblyDistrict141General" displayName="MemberOfAssemblyAssemblyDistrict141General" ref="A2:D7" totalsRowCount="1" headerRowDxfId="375" dataDxfId="371" totalsRowDxfId="373" headerRowBorderDxfId="374" tableBorderDxfId="370" totalsRowBorderDxfId="372">
  <autoFilter ref="A2:D6" xr:uid="{02EAEC1C-02FF-491A-B364-A84E58635711}">
    <filterColumn colId="0" hiddenButton="1"/>
    <filterColumn colId="1" hiddenButton="1"/>
    <filterColumn colId="2" hiddenButton="1"/>
    <filterColumn colId="3" hiddenButton="1"/>
  </autoFilter>
  <tableColumns count="4">
    <tableColumn id="1" xr3:uid="{92F2725E-F494-40AD-8549-FEF860489F1B}" name="Candidate Name (Party)" totalsRowLabel="Total Votes by County" dataDxfId="368" totalsRowDxfId="369"/>
    <tableColumn id="4" xr3:uid="{F6238D36-53A5-4F80-A288-FD68990395E9}" name="Part of Erie County_x000a_Vote Results" totalsRowFunction="custom" dataDxfId="366" totalsRowDxfId="367">
      <totalsRowFormula>SUM(MemberOfAssemblyAssemblyDistrict141General[Part of Erie County
Vote Results])</totalsRowFormula>
    </tableColumn>
    <tableColumn id="3" xr3:uid="{3D416594-AFD0-4B8F-9ABF-543091A60DC6}" name="Total Votes by Party" totalsRowFunction="custom" dataDxfId="364" totalsRowDxfId="365">
      <calculatedColumnFormula>MemberOfAssemblyAssemblyDistrict141General[[#This Row],[Part of Erie County
Vote Results]]</calculatedColumnFormula>
      <totalsRowFormula>SUM(MemberOfAssemblyAssemblyDistrict141General[Total Votes by Party])</totalsRowFormula>
    </tableColumn>
    <tableColumn id="2" xr3:uid="{974E4B4D-354E-45F5-92B0-688B7052CE3A}" name="Total Votes by Candidate" dataDxfId="362" totalsRowDxfId="363"/>
  </tableColumns>
  <tableStyleInfo name="TableStyleMedium2" showFirstColumn="0" showLastColumn="0" showRowStripes="0" showColumnStripes="0"/>
</table>
</file>

<file path=xl/tables/table2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9" xr:uid="{2131F70F-A2D2-4BA8-A056-4C15BFCB30EA}" name="MemberOfAssemblyAssemblyDistrict142General" displayName="MemberOfAssemblyAssemblyDistrict142General" ref="A2:D9" totalsRowCount="1" headerRowDxfId="389" dataDxfId="385" totalsRowDxfId="387" headerRowBorderDxfId="388" tableBorderDxfId="384" totalsRowBorderDxfId="386">
  <autoFilter ref="A2:D8" xr:uid="{3FB75B32-0FF2-4A7A-9C5A-8149A0434CE3}">
    <filterColumn colId="0" hiddenButton="1"/>
    <filterColumn colId="1" hiddenButton="1"/>
    <filterColumn colId="2" hiddenButton="1"/>
    <filterColumn colId="3" hiddenButton="1"/>
  </autoFilter>
  <tableColumns count="4">
    <tableColumn id="1" xr3:uid="{636EF5DB-AE6E-4CBD-9223-08AFF76D2564}" name="Candidate Name (Party)" totalsRowLabel="Total Votes by County" dataDxfId="382" totalsRowDxfId="383"/>
    <tableColumn id="4" xr3:uid="{10E69C40-8B8F-4360-BA09-862A9E4E1E2F}" name="Part of Erie County_x000a_Vote Results" totalsRowFunction="custom" dataDxfId="380" totalsRowDxfId="381">
      <totalsRowFormula>SUM(MemberOfAssemblyAssemblyDistrict142General[Part of Erie County
Vote Results])</totalsRowFormula>
    </tableColumn>
    <tableColumn id="3" xr3:uid="{66F1DF01-E8A3-43FC-B979-4B2FF49559AD}" name="Total Votes by Party" totalsRowFunction="custom" dataDxfId="377" totalsRowDxfId="379">
      <calculatedColumnFormula>MemberOfAssemblyAssemblyDistrict142General[[#This Row],[Part of Erie County
Vote Results]]</calculatedColumnFormula>
      <totalsRowFormula>SUM(MemberOfAssemblyAssemblyDistrict142General[Total Votes by Party])</totalsRowFormula>
    </tableColumn>
    <tableColumn id="2" xr3:uid="{CD842948-060E-4EC1-AFDD-A29CEC977843}" name="Total Votes by Candidate" dataDxfId="376" totalsRowDxfId="378"/>
  </tableColumns>
  <tableStyleInfo name="TableStyleMedium2" showFirstColumn="0" showLastColumn="0" showRowStripes="0" showColumnStripes="0"/>
</table>
</file>

<file path=xl/tables/table2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8" xr:uid="{6FAC9A2D-EE0C-4138-BE20-3695F51290B6}" name="MemberOfAssemblyAssemblyDistrict143General" displayName="MemberOfAssemblyAssemblyDistrict143General" ref="A2:D10" totalsRowCount="1" headerRowDxfId="403" dataDxfId="399" totalsRowDxfId="401" headerRowBorderDxfId="402" tableBorderDxfId="398" totalsRowBorderDxfId="400">
  <autoFilter ref="A2:D9" xr:uid="{C03B26A6-95F3-4A96-8313-C562B18655CB}">
    <filterColumn colId="0" hiddenButton="1"/>
    <filterColumn colId="1" hiddenButton="1"/>
    <filterColumn colId="2" hiddenButton="1"/>
    <filterColumn colId="3" hiddenButton="1"/>
  </autoFilter>
  <tableColumns count="4">
    <tableColumn id="1" xr3:uid="{096B7718-427B-405D-AD3D-B22BF0A016FC}" name="Candidate Name (Party)" totalsRowLabel="Total Votes by County" dataDxfId="396" totalsRowDxfId="397"/>
    <tableColumn id="4" xr3:uid="{4BE11167-D6C9-4E0B-8F5B-5557CFC6E2B5}" name="Part of Erie County_x000a_Vote Results" totalsRowFunction="custom" dataDxfId="394" totalsRowDxfId="395">
      <totalsRowFormula>SUM(MemberOfAssemblyAssemblyDistrict143General[Part of Erie County
Vote Results])</totalsRowFormula>
    </tableColumn>
    <tableColumn id="3" xr3:uid="{80C55E03-C7C3-4A9E-959C-C2E25E42779A}" name="Total Votes by Party" totalsRowFunction="custom" dataDxfId="392" totalsRowDxfId="393">
      <calculatedColumnFormula>MemberOfAssemblyAssemblyDistrict143General[[#This Row],[Part of Erie County
Vote Results]]</calculatedColumnFormula>
      <totalsRowFormula>SUM(MemberOfAssemblyAssemblyDistrict143General[Total Votes by Party])</totalsRowFormula>
    </tableColumn>
    <tableColumn id="2" xr3:uid="{3A10ED29-5166-4A78-B7FF-7CEF8BC95C95}" name="Total Votes by Candidate" dataDxfId="390" totalsRowDxfId="391"/>
  </tableColumns>
  <tableStyleInfo name="TableStyleMedium2" showFirstColumn="0" showLastColumn="0" showRowStripes="0" showColumnStripes="0"/>
</table>
</file>

<file path=xl/tables/table2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7" xr:uid="{A03590C3-E8A7-4076-BC51-9716972F0962}" name="MemberOfAssemblyAssemblyDistrict144General" displayName="MemberOfAssemblyAssemblyDistrict144General" ref="A2:E10" totalsRowCount="1" headerRowDxfId="419" dataDxfId="415" totalsRowDxfId="417" headerRowBorderDxfId="418" tableBorderDxfId="414" totalsRowBorderDxfId="416">
  <autoFilter ref="A2:E9" xr:uid="{BCD8B821-45C5-46DC-96B8-D39A5BBBA944}">
    <filterColumn colId="0" hiddenButton="1"/>
    <filterColumn colId="1" hiddenButton="1"/>
    <filterColumn colId="2" hiddenButton="1"/>
    <filterColumn colId="3" hiddenButton="1"/>
    <filterColumn colId="4" hiddenButton="1"/>
  </autoFilter>
  <tableColumns count="5">
    <tableColumn id="1" xr3:uid="{310DE06F-9EFD-497C-9D5B-04E9EC8A14DF}" name="Candidate Name (Party)" totalsRowLabel="Total Votes by County" dataDxfId="412" totalsRowDxfId="413"/>
    <tableColumn id="2" xr3:uid="{C92AD0AE-4885-40AA-8EE7-124EE34F62E4}" name="Part of Erie County_x000a_Vote Results" totalsRowFunction="custom" dataDxfId="410" totalsRowDxfId="411">
      <totalsRowFormula>SUM(MemberOfAssemblyAssemblyDistrict144General[Part of Erie County
Vote Results])</totalsRowFormula>
    </tableColumn>
    <tableColumn id="4" xr3:uid="{DB0B4BEB-EECB-4C42-9121-D18878B168BB}" name="Part of Niagara County Vote Results" totalsRowFunction="custom" dataDxfId="408" totalsRowDxfId="409">
      <totalsRowFormula>SUM(MemberOfAssemblyAssemblyDistrict144General[Part of Niagara County Vote Results])</totalsRowFormula>
    </tableColumn>
    <tableColumn id="6" xr3:uid="{02485A48-7893-4443-9471-9680BC9D93D1}" name="Total Votes by Party" totalsRowFunction="custom" dataDxfId="406" totalsRowDxfId="407">
      <calculatedColumnFormula>SUM(MemberOfAssemblyAssemblyDistrict144General[[#This Row],[Part of Erie County
Vote Results]:[Part of Niagara County Vote Results]])</calculatedColumnFormula>
      <totalsRowFormula>SUM(MemberOfAssemblyAssemblyDistrict144General[Total Votes by Party])</totalsRowFormula>
    </tableColumn>
    <tableColumn id="5" xr3:uid="{F96B895C-EB80-4D7A-A07C-5E836708E67A}" name="Total Votes by Candidate" dataDxfId="404" totalsRowDxfId="405">
      <calculatedColumnFormula>SUM(MemberOfAssemblyAssemblyDistrict144General[[#This Row],[Total Votes by Party]],D4,D5,D6)</calculatedColumnFormula>
    </tableColumn>
  </tableColumns>
  <tableStyleInfo name="TableStyleMedium2" showFirstColumn="0" showLastColumn="0" showRowStripes="0" showColumnStripes="0"/>
</table>
</file>

<file path=xl/tables/table2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6" xr:uid="{130EC7BC-A6F7-44A8-842C-47260FC803B5}" name="MemberOfAssemblyAssemblyDistrict145General" displayName="MemberOfAssemblyAssemblyDistrict145General" ref="A2:E10" totalsRowCount="1" headerRowDxfId="435" dataDxfId="431" totalsRowDxfId="433" headerRowBorderDxfId="434" tableBorderDxfId="430" totalsRowBorderDxfId="432">
  <autoFilter ref="A2:E9" xr:uid="{A66EE74F-5E54-46A9-8547-18F86CDD6A1C}">
    <filterColumn colId="0" hiddenButton="1"/>
    <filterColumn colId="1" hiddenButton="1"/>
    <filterColumn colId="2" hiddenButton="1"/>
    <filterColumn colId="3" hiddenButton="1"/>
    <filterColumn colId="4" hiddenButton="1"/>
  </autoFilter>
  <tableColumns count="5">
    <tableColumn id="1" xr3:uid="{1E9DFBFC-60C2-4443-8BD0-A846F3857C65}" name="Candidate Name (Party)" totalsRowLabel="Total Votes by County" dataDxfId="428" totalsRowDxfId="429"/>
    <tableColumn id="2" xr3:uid="{37D2C9E9-657A-488B-9FD2-6A0DB18749C8}" name="Part of Erie County_x000a_Vote Results" totalsRowFunction="custom" dataDxfId="426" totalsRowDxfId="427">
      <totalsRowFormula>SUM(MemberOfAssemblyAssemblyDistrict145General[Part of Erie County
Vote Results])</totalsRowFormula>
    </tableColumn>
    <tableColumn id="4" xr3:uid="{BA31FEF1-E5BE-4380-A2CC-8B0F036F71C0}" name="Part of Niagara County Vote Results" totalsRowFunction="custom" dataDxfId="424" totalsRowDxfId="425">
      <totalsRowFormula>SUM(MemberOfAssemblyAssemblyDistrict145General[Part of Niagara County Vote Results])</totalsRowFormula>
    </tableColumn>
    <tableColumn id="3" xr3:uid="{9FD21C26-06A8-483E-AAC9-626F62DC5950}" name="Total Votes by Party" totalsRowFunction="custom" dataDxfId="422" totalsRowDxfId="423">
      <calculatedColumnFormula>SUM(MemberOfAssemblyAssemblyDistrict145General[[#This Row],[Part of Erie County
Vote Results]:[Part of Niagara County Vote Results]])</calculatedColumnFormula>
      <totalsRowFormula>SUM(MemberOfAssemblyAssemblyDistrict145General[Total Votes by Party])</totalsRowFormula>
    </tableColumn>
    <tableColumn id="5" xr3:uid="{1758F88D-7386-42A3-81FE-6B24CA40E4B2}" name="Total Votes by Candidate" dataDxfId="420" totalsRowDxfId="421">
      <calculatedColumnFormula>SUM(MemberOfAssemblyAssemblyDistrict145General[[#This Row],[Total Votes by Party]],D4,D5,D6)</calculatedColumnFormula>
    </tableColumn>
  </tableColumns>
  <tableStyleInfo name="TableStyleMedium2" showFirstColumn="0" showLastColumn="0" showRowStripes="0" showColumnStripes="0"/>
</table>
</file>

<file path=xl/tables/table2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5" xr:uid="{F2BCA9B5-4FF2-48EA-B301-5E502AB82489}" name="MemberOfAssemblyAssemblyDistrict146General" displayName="MemberOfAssemblyAssemblyDistrict146General" ref="A2:D10" totalsRowCount="1" headerRowDxfId="449" dataDxfId="445" totalsRowDxfId="447" headerRowBorderDxfId="448" tableBorderDxfId="444" totalsRowBorderDxfId="446">
  <autoFilter ref="A2:D9" xr:uid="{C8D61D84-BFA2-4A24-BC49-F3AE593B2A78}">
    <filterColumn colId="0" hiddenButton="1"/>
    <filterColumn colId="1" hiddenButton="1"/>
    <filterColumn colId="2" hiddenButton="1"/>
    <filterColumn colId="3" hiddenButton="1"/>
  </autoFilter>
  <tableColumns count="4">
    <tableColumn id="1" xr3:uid="{445CCFE2-3BE4-4486-9655-DD4A5AC88A2E}" name="Candidate Name (Party)" totalsRowLabel="Total Votes by County" dataDxfId="442" totalsRowDxfId="443"/>
    <tableColumn id="2" xr3:uid="{C39DD5C3-1603-4959-8A53-213141DED6A8}" name="Part of Erie County_x000a_Vote Results" totalsRowFunction="custom" dataDxfId="440" totalsRowDxfId="441">
      <totalsRowFormula>SUM(MemberOfAssemblyAssemblyDistrict146General[Part of Erie County
Vote Results])</totalsRowFormula>
    </tableColumn>
    <tableColumn id="3" xr3:uid="{6F26210D-19EF-42FC-BC57-746AC625F853}" name="Total Votes by Party" totalsRowFunction="custom" dataDxfId="437" totalsRowDxfId="439">
      <calculatedColumnFormula>SUM(MemberOfAssemblyAssemblyDistrict146General[[#This Row],[Part of Erie County
Vote Results]])</calculatedColumnFormula>
      <totalsRowFormula>SUM(MemberOfAssemblyAssemblyDistrict146General[Total Votes by Party])</totalsRowFormula>
    </tableColumn>
    <tableColumn id="5" xr3:uid="{8C71E07D-88CC-468D-8740-FA46C56AD754}" name="Total Votes by Candidate" dataDxfId="436" totalsRowDxfId="438"/>
  </tableColumns>
  <tableStyleInfo name="TableStyleMedium2" showFirstColumn="0" showLastColumn="0" showRowStripes="0" showColumnStripes="0"/>
</table>
</file>

<file path=xl/tables/table2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4" xr:uid="{197F6A45-D3C2-4EA8-82E4-A30809A1A367}" name="MemberOfAssemblyAssemblyDistrict147General" displayName="MemberOfAssemblyAssemblyDistrict147General" ref="A2:E9" totalsRowCount="1" headerRowDxfId="515" dataDxfId="511" totalsRowDxfId="513" headerRowBorderDxfId="514" tableBorderDxfId="510" totalsRowBorderDxfId="512">
  <autoFilter ref="A2:E8" xr:uid="{700F459E-B1F3-4D93-87B6-499BD5366D3F}">
    <filterColumn colId="0" hiddenButton="1"/>
    <filterColumn colId="1" hiddenButton="1"/>
    <filterColumn colId="2" hiddenButton="1"/>
    <filterColumn colId="3" hiddenButton="1"/>
    <filterColumn colId="4" hiddenButton="1"/>
  </autoFilter>
  <tableColumns count="5">
    <tableColumn id="1" xr3:uid="{B49A3667-8556-4A72-A73D-990C2AE7380F}" name="Candidate Name (Party)" totalsRowLabel="Total Votes by County" dataDxfId="508" totalsRowDxfId="509"/>
    <tableColumn id="2" xr3:uid="{C7600CE7-EA70-4CED-93B9-9EEC1F5903C1}" name="Part of Erie County_x000a_Vote Results" totalsRowFunction="custom" dataDxfId="506" totalsRowDxfId="507">
      <totalsRowFormula>SUM(MemberOfAssemblyAssemblyDistrict147General[Part of Erie County
Vote Results])</totalsRowFormula>
    </tableColumn>
    <tableColumn id="4" xr3:uid="{41AD7A8F-815B-4A6D-B9DD-19B48623BFEB}" name="Part of Wyoming County Vote Results" totalsRowFunction="custom" dataDxfId="504" totalsRowDxfId="505">
      <totalsRowFormula>SUM(MemberOfAssemblyAssemblyDistrict147General[Part of Wyoming County Vote Results])</totalsRowFormula>
    </tableColumn>
    <tableColumn id="3" xr3:uid="{6B74C847-EAD9-4A8E-83ED-02AC24EC9D90}" name="Total Votes by Party" totalsRowFunction="custom" dataDxfId="502" totalsRowDxfId="503">
      <calculatedColumnFormula>SUM(MemberOfAssemblyAssemblyDistrict147General[[#This Row],[Part of Erie County
Vote Results]:[Part of Wyoming County Vote Results]])</calculatedColumnFormula>
      <totalsRowFormula>SUM(MemberOfAssemblyAssemblyDistrict147General[Total Votes by Party])</totalsRowFormula>
    </tableColumn>
    <tableColumn id="5" xr3:uid="{C8A6FC62-8515-4624-AD10-B117D02717B1}" name="Total Votes by Candidate" dataDxfId="500" totalsRowDxfId="501">
      <calculatedColumnFormula>SUM(MemberOfAssemblyAssemblyDistrict147General[[#This Row],[Total Votes by Party]],D4,D5)</calculatedColumnFormula>
    </tableColumn>
  </tableColumns>
  <tableStyleInfo name="TableStyleMedium2" showFirstColumn="0" showLastColumn="0" showRowStripes="0" showColumnStripes="0"/>
</table>
</file>

<file path=xl/tables/table2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A0636906-FA43-490B-B460-3AAADB1BA5AA}" name="MemberOfAssemblyAssemblyDistrict148General" displayName="MemberOfAssemblyAssemblyDistrict148General" ref="A2:G9" totalsRowCount="1" headerRowDxfId="499" dataDxfId="495" totalsRowDxfId="497" headerRowBorderDxfId="498" tableBorderDxfId="494" totalsRowBorderDxfId="496">
  <autoFilter ref="A2:G8" xr:uid="{109EE673-C7E3-4410-8873-249BAC310E68}">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BCF57D75-2F34-44E6-A9C7-C2B33704614B}" name="Candidate Name (Party)" totalsRowLabel="Total Votes by County" dataDxfId="492" totalsRowDxfId="493"/>
    <tableColumn id="2" xr3:uid="{D3F3CA06-E237-4BA5-8014-4D62229524A8}" name="Allegany County_x000a_Vote Results" totalsRowFunction="custom" dataDxfId="490" totalsRowDxfId="491">
      <totalsRowFormula>SUM(MemberOfAssemblyAssemblyDistrict148General[Allegany County
Vote Results])</totalsRowFormula>
    </tableColumn>
    <tableColumn id="3" xr3:uid="{8A4766BC-2011-4113-AEA6-CFE362F4E21C}" name="Cattaraugus County_x000a_Vote Results" totalsRowFunction="custom" dataDxfId="488" totalsRowDxfId="489">
      <totalsRowFormula>SUM(MemberOfAssemblyAssemblyDistrict148General[Cattaraugus County
Vote Results])</totalsRowFormula>
    </tableColumn>
    <tableColumn id="7" xr3:uid="{D1E0A867-254D-40ED-A7FA-3B7BB38AB4DA}" name="Part of Erie County_x000a_Vote Results" totalsRowFunction="custom" dataDxfId="486" totalsRowDxfId="487">
      <totalsRowFormula>SUM(MemberOfAssemblyAssemblyDistrict148General[Part of Erie County
Vote Results])</totalsRowFormula>
    </tableColumn>
    <tableColumn id="4" xr3:uid="{0FE653D8-8763-4D31-BE32-B2163E442294}" name="Part of Steuben County Vote Results" totalsRowFunction="custom" dataDxfId="484" totalsRowDxfId="485">
      <totalsRowFormula>SUM(MemberOfAssemblyAssemblyDistrict148General[Part of Steuben County Vote Results])</totalsRowFormula>
    </tableColumn>
    <tableColumn id="6" xr3:uid="{5A5AED22-99A2-4F26-A9A6-AFF536C25F63}" name="Total Votes by Party" totalsRowFunction="custom" dataDxfId="482" totalsRowDxfId="483">
      <calculatedColumnFormula>SUM(MemberOfAssemblyAssemblyDistrict148General[[#This Row],[Allegany County
Vote Results]:[Part of Steuben County Vote Results]])</calculatedColumnFormula>
      <totalsRowFormula>SUM(MemberOfAssemblyAssemblyDistrict148General[Total Votes by Party])</totalsRowFormula>
    </tableColumn>
    <tableColumn id="5" xr3:uid="{7172177C-AEC5-4A0C-8F19-4A6141583373}" name="Total Votes by Candidate" dataDxfId="480" totalsRowDxfId="481"/>
  </tableColumns>
  <tableStyleInfo name="TableStyleMedium2" showFirstColumn="0" showLastColumn="0" showRowStripes="0" showColumnStripes="0"/>
</table>
</file>

<file path=xl/tables/table2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840272A3-D822-4477-8AB5-9BD9780B109F}" name="MemberOfAssemblyAssemblyDistrict149General" displayName="MemberOfAssemblyAssemblyDistrict149General" ref="A2:D8" totalsRowCount="1" headerRowDxfId="479" dataDxfId="475" totalsRowDxfId="477" headerRowBorderDxfId="478" tableBorderDxfId="474" totalsRowBorderDxfId="476">
  <autoFilter ref="A2:D7" xr:uid="{71A37BCA-A655-47C9-A6F3-9AB9E1E6762B}">
    <filterColumn colId="0" hiddenButton="1"/>
    <filterColumn colId="1" hiddenButton="1"/>
    <filterColumn colId="2" hiddenButton="1"/>
    <filterColumn colId="3" hiddenButton="1"/>
  </autoFilter>
  <tableColumns count="4">
    <tableColumn id="1" xr3:uid="{605624E1-D676-4D84-BB8F-5A68C8EAF6B3}" name="Candidate Name (Party)" totalsRowLabel="Total Votes by County" dataDxfId="472" totalsRowDxfId="473"/>
    <tableColumn id="4" xr3:uid="{69F0AE03-9143-48BB-9E38-F1C6A0FD853C}" name="Part of Erie County_x000a_Vote Results" totalsRowFunction="custom" dataDxfId="470" totalsRowDxfId="471">
      <totalsRowFormula>SUM(MemberOfAssemblyAssemblyDistrict149General[Part of Erie County
Vote Results])</totalsRowFormula>
    </tableColumn>
    <tableColumn id="3" xr3:uid="{B039BF87-DACD-4BAC-AC5B-B86B6A645065}" name="Total Votes by Party" totalsRowFunction="custom" dataDxfId="468" totalsRowDxfId="469">
      <calculatedColumnFormula>MemberOfAssemblyAssemblyDistrict149General[[#This Row],[Part of Erie County
Vote Results]]</calculatedColumnFormula>
      <totalsRowFormula>SUM(MemberOfAssemblyAssemblyDistrict149General[Total Votes by Party])</totalsRowFormula>
    </tableColumn>
    <tableColumn id="2" xr3:uid="{381650AB-7A3F-4DA3-B835-8F29C4EC0938}" name="Total Votes by Candidate" dataDxfId="466" totalsRowDxfId="467"/>
  </tableColumns>
  <tableStyleInfo name="TableStyleMedium2" showFirstColumn="0" showLastColumn="0" showRowStripes="0" showColumnStripes="0"/>
</table>
</file>

<file path=xl/tables/table2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778B1303-FD16-42DF-B843-18FAD6641841}" name="MemberOfAssemblyAssemblyDistrict150General" displayName="MemberOfAssemblyAssemblyDistrict150General" ref="A2:E11" totalsRowCount="1" headerRowDxfId="465" dataDxfId="461" totalsRowDxfId="463" headerRowBorderDxfId="464" tableBorderDxfId="460" totalsRowBorderDxfId="462">
  <autoFilter ref="A2:E10" xr:uid="{698FF0D6-BCBF-46BF-9E31-61A5248EE9A7}">
    <filterColumn colId="0" hiddenButton="1"/>
    <filterColumn colId="1" hiddenButton="1"/>
    <filterColumn colId="2" hiddenButton="1"/>
    <filterColumn colId="3" hiddenButton="1"/>
    <filterColumn colId="4" hiddenButton="1"/>
  </autoFilter>
  <tableColumns count="5">
    <tableColumn id="1" xr3:uid="{2195969D-C440-45D6-8CBB-2FF2E36B6132}" name="Candidate Name (Party)" totalsRowLabel="Total Votes by County" dataDxfId="458" totalsRowDxfId="459"/>
    <tableColumn id="4" xr3:uid="{BB21EB17-7ADD-40A6-A1F0-6F6B7273D260}" name="Chautauqua County_x000a_Vote Results" totalsRowFunction="custom" dataDxfId="456" totalsRowDxfId="457">
      <totalsRowFormula>SUM(MemberOfAssemblyAssemblyDistrict150General[Chautauqua County
Vote Results])</totalsRowFormula>
    </tableColumn>
    <tableColumn id="5" xr3:uid="{186011AD-F1A9-41F1-900D-374A2A321695}" name="Part of Erie County_x000a_Vote Results" totalsRowFunction="custom" dataDxfId="454" totalsRowDxfId="455">
      <totalsRowFormula>SUM(MemberOfAssemblyAssemblyDistrict150General[Part of Erie County
Vote Results])</totalsRowFormula>
    </tableColumn>
    <tableColumn id="3" xr3:uid="{D769617A-B3AE-4C0D-98D7-38E1DF532D37}" name="Total Votes by Party" totalsRowFunction="custom" dataDxfId="452" totalsRowDxfId="453">
      <calculatedColumnFormula>SUM(MemberOfAssemblyAssemblyDistrict150General[[#This Row],[Chautauqua County
Vote Results]:[Part of Erie County
Vote Results]])</calculatedColumnFormula>
      <totalsRowFormula>SUM(MemberOfAssemblyAssemblyDistrict150General[Total Votes by Party])</totalsRowFormula>
    </tableColumn>
    <tableColumn id="2" xr3:uid="{13768240-EADD-4856-B202-54C2A429AA33}" name="Total Votes by Candidate" dataDxfId="450" totalsRowDxfId="451"/>
  </tableColumns>
  <tableStyleInfo name="TableStyleMedium2" showFirstColumn="0" showLastColumn="0" showRowStripes="0"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6EBACD6-EBE3-4111-99DC-35127EE869DB}" name="RepInCongressCongressionalDistrict15General" displayName="RepInCongressCongressionalDistrict15General" ref="A2:D10" totalsRowCount="1" headerRowDxfId="3597" dataDxfId="3595" totalsRowDxfId="3593" headerRowBorderDxfId="3596" tableBorderDxfId="3594" totalsRowBorderDxfId="3592">
  <autoFilter ref="A2:D9" xr:uid="{BA9C7FE1-F4F4-409E-B13A-39FF6A93574F}">
    <filterColumn colId="0" hiddenButton="1"/>
    <filterColumn colId="1" hiddenButton="1"/>
    <filterColumn colId="2" hiddenButton="1"/>
    <filterColumn colId="3" hiddenButton="1"/>
  </autoFilter>
  <tableColumns count="4">
    <tableColumn id="1" xr3:uid="{937EBC97-32E1-44E9-8D0E-1B29D9844270}" name="Candidate Name (Party)" totalsRowLabel="Total Votes by County" dataDxfId="3591" totalsRowDxfId="3590"/>
    <tableColumn id="4" xr3:uid="{64B77129-A59D-4AE4-B855-358BB653F44A}" name="Part of Bronx County Vote Results" totalsRowFunction="custom" dataDxfId="3589" totalsRowDxfId="3588">
      <totalsRowFormula>SUM(RepInCongressCongressionalDistrict15General[Part of Bronx County Vote Results])</totalsRowFormula>
    </tableColumn>
    <tableColumn id="3" xr3:uid="{BF79C80D-9296-4670-B4B1-677EB940F8D0}" name="Total Votes by Party" totalsRowFunction="custom" dataDxfId="3587" totalsRowDxfId="3586">
      <calculatedColumnFormula>RepInCongressCongressionalDistrict15General[[#This Row],[Part of Bronx County Vote Results]]</calculatedColumnFormula>
      <totalsRowFormula>SUM(RepInCongressCongressionalDistrict15General[Total Votes by Party])</totalsRowFormula>
    </tableColumn>
    <tableColumn id="2" xr3:uid="{C5E4E4AD-3639-433C-8866-437F0076F35A}" name="Total Votes by Candidate" dataDxfId="3585" totalsRowDxfId="3584"/>
  </tableColumns>
  <tableStyleInfo name="TableStyleMedium2" showFirstColumn="0" showLastColumn="0" showRowStripes="0" showColumnStripes="0"/>
</table>
</file>

<file path=xl/tables/table2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2" xr:uid="{0C853544-FE8D-4412-AD23-4F4F3825A3BF}" name="GovLtGovGeneral3" displayName="GovLtGovGeneral3" ref="A3:F66" totalsRowShown="0" headerRowDxfId="531" dataDxfId="529" headerRowBorderDxfId="530" tableBorderDxfId="528" totalsRowBorderDxfId="527">
  <tableColumns count="6">
    <tableColumn id="1" xr3:uid="{F11C5A9B-2B03-4039-8A95-CD131167F3DD}" name="County" dataDxfId="526" totalsRowDxfId="525"/>
    <tableColumn id="2" xr3:uid="{B3A9C83E-6D76-477B-A6AE-96CFE4F3FF61}" name="Yes" dataDxfId="524" totalsRowDxfId="523"/>
    <tableColumn id="16" xr3:uid="{31D2092B-2659-4580-8E7B-059D2CC6D4D6}" name="No" dataDxfId="522" totalsRowDxfId="521"/>
    <tableColumn id="13" xr3:uid="{F1E76D64-C20C-4859-B81F-B76D35281CD3}" name="Blank" dataDxfId="520" totalsRowDxfId="519"/>
    <tableColumn id="3" xr3:uid="{F579708D-AC4C-4D66-B83C-78E6D597F4C9}" name="Void" totalsRowDxfId="518"/>
    <tableColumn id="4" xr3:uid="{5CB51EDC-DA59-409F-AA25-16A453AAD179}" name="Total Votes by County" dataDxfId="517" totalsRowDxfId="516">
      <calculatedColumnFormula>SUM(B4:E4)</calculatedColumnFormula>
    </tableColumn>
  </tableColumns>
  <tableStyleInfo name="TableStyleMedium2" showFirstColumn="0" showLastColumn="0" showRowStripes="0"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1B9B4ADE-BF92-4875-BB87-357EA3C4D2D4}" name="RepInCongressCongressionalDistrict16General" displayName="RepInCongressCongressionalDistrict16General" ref="A2:E8" totalsRowCount="1" headerRowDxfId="3583" dataDxfId="3581" totalsRowDxfId="3579" headerRowBorderDxfId="3582" tableBorderDxfId="3580" totalsRowBorderDxfId="3578">
  <autoFilter ref="A2:E7" xr:uid="{151567D1-C9D1-459F-A027-DDDB16941B5A}">
    <filterColumn colId="0" hiddenButton="1"/>
    <filterColumn colId="1" hiddenButton="1"/>
    <filterColumn colId="2" hiddenButton="1"/>
    <filterColumn colId="3" hiddenButton="1"/>
    <filterColumn colId="4" hiddenButton="1"/>
  </autoFilter>
  <tableColumns count="5">
    <tableColumn id="1" xr3:uid="{46E5266A-AC69-45AA-A7F4-74FE26C7A0C8}" name="Candidate Name (Party)" totalsRowLabel="Total Votes by County" dataDxfId="3577" totalsRowDxfId="3576"/>
    <tableColumn id="2" xr3:uid="{A516E9BB-38F9-420A-BD2F-7EE6EE8CDA4D}" name="Part of Bronx_x000a_County Vote Results" totalsRowFunction="custom" dataDxfId="3575" totalsRowDxfId="3574">
      <totalsRowFormula>SUM(RepInCongressCongressionalDistrict16General[Part of Bronx
County Vote Results])</totalsRowFormula>
    </tableColumn>
    <tableColumn id="4" xr3:uid="{47F1763C-9116-45E7-A8D4-2084FA29849D}" name="Part of Westchester County Vote Results" totalsRowFunction="custom" dataDxfId="3573" totalsRowDxfId="3572">
      <totalsRowFormula>SUM(RepInCongressCongressionalDistrict16General[Part of Westchester County Vote Results])</totalsRowFormula>
    </tableColumn>
    <tableColumn id="3" xr3:uid="{AFBDEEFD-BC36-4D56-95EF-5902786BDB07}" name="Total Votes by Party" totalsRowFunction="custom" dataDxfId="3571" totalsRowDxfId="3570">
      <calculatedColumnFormula>SUM(RepInCongressCongressionalDistrict16General[[#This Row],[Part of Bronx
County Vote Results]:[Part of Westchester County Vote Results]])</calculatedColumnFormula>
      <totalsRowFormula>SUM(RepInCongressCongressionalDistrict16General[Total Votes by Party])</totalsRowFormula>
    </tableColumn>
    <tableColumn id="5" xr3:uid="{AC419573-8F5A-43EA-9039-B65BAA52C6E0}" name="Total Votes by Candidate" dataDxfId="3569" totalsRowDxfId="3568">
      <calculatedColumnFormula>SUM(RepInCongressCongressionalDistrict16General[[#This Row],[Total Votes by Party]])</calculatedColumnFormula>
    </tableColumn>
  </tableColumns>
  <tableStyleInfo name="TableStyleMedium2" showFirstColumn="0" showLastColumn="0" showRowStripes="0"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3827D4E3-96E7-4451-A88E-A2E3F2F53F7C}" name="RepInCongressCongressionalDistrict17General" displayName="RepInCongressCongressionalDistrict17General" ref="A2:G10" totalsRowCount="1" headerRowDxfId="3567" dataDxfId="3565" totalsRowDxfId="3563" headerRowBorderDxfId="3566" tableBorderDxfId="3564" totalsRowBorderDxfId="3562">
  <autoFilter ref="A2:G9" xr:uid="{BB80A5BF-F8A6-4751-8ACC-0548AF09BFE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6C918C-C66E-4540-85A5-7F4FE7E58CB5}" name="Candidate Name (Party)" totalsRowLabel="Total Votes by County" dataDxfId="3561" totalsRowDxfId="3560"/>
    <tableColumn id="8" xr3:uid="{A8462602-D5EF-401D-A674-ABD8100ED75B}" name="Part of Dutchess County_x000a_Vote Results" totalsRowFunction="custom" dataDxfId="3559" totalsRowDxfId="3558">
      <totalsRowFormula>SUM(RepInCongressCongressionalDistrict17General[Part of Dutchess County
Vote Results])</totalsRowFormula>
    </tableColumn>
    <tableColumn id="7" xr3:uid="{AA0D0FFA-F54B-4139-B1B0-0D5FD24BC5C7}" name="Putnam County_x000a_Vote Results" totalsRowFunction="custom" dataDxfId="3557" totalsRowDxfId="3556">
      <totalsRowFormula>SUM(RepInCongressCongressionalDistrict17General[Putnam County
Vote Results])</totalsRowFormula>
    </tableColumn>
    <tableColumn id="2" xr3:uid="{9724AECA-2A5D-4D4F-92B1-F3A6C46443FA}" name="Rockland County _x000a_Vote Results" totalsRowFunction="custom" dataDxfId="3555" totalsRowDxfId="3554">
      <totalsRowFormula>SUM(RepInCongressCongressionalDistrict17General[Rockland County 
Vote Results])</totalsRowFormula>
    </tableColumn>
    <tableColumn id="4" xr3:uid="{3570C886-A042-4D4B-9416-1F92B3EDF8E6}" name="Part of Westchester County _x000a_Vote Results" totalsRowFunction="custom" dataDxfId="3553" totalsRowDxfId="3552">
      <totalsRowFormula>SUM(RepInCongressCongressionalDistrict17General[Part of Westchester County 
Vote Results])</totalsRowFormula>
    </tableColumn>
    <tableColumn id="3" xr3:uid="{D4978B26-D70B-4EEB-A25D-F0E582753F16}" name="Total Votes by Party" totalsRowFunction="custom" dataDxfId="3551" totalsRowDxfId="3550">
      <calculatedColumnFormula>SUM(RepInCongressCongressionalDistrict17General[[#This Row],[Part of Dutchess County
Vote Results]:[Part of Westchester County 
Vote Results]])</calculatedColumnFormula>
      <totalsRowFormula>SUM(RepInCongressCongressionalDistrict17General[Total Votes by Party])</totalsRowFormula>
    </tableColumn>
    <tableColumn id="5" xr3:uid="{F9FE015B-CEEE-43FB-A027-43D427DF03B6}" name="Total Votes by Candidate" dataDxfId="3549" totalsRowDxfId="3548"/>
  </tableColumns>
  <tableStyleInfo name="TableStyleMedium2" showFirstColumn="0" showLastColumn="0" showRowStripes="0"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ADB5A53-58D4-4C6F-B67E-0719C45FFD4D}" name="RepInCongressCongressionalDistrict18General" displayName="RepInCongressCongressionalDistrict18General" ref="A2:F10" totalsRowCount="1" headerRowDxfId="3547" dataDxfId="3545" totalsRowDxfId="3543" headerRowBorderDxfId="3546" tableBorderDxfId="3544" totalsRowBorderDxfId="3542">
  <autoFilter ref="A2:F9" xr:uid="{F7C835FC-B4CE-47D2-B193-E5C29F42EBF8}">
    <filterColumn colId="0" hiddenButton="1"/>
    <filterColumn colId="1" hiddenButton="1"/>
    <filterColumn colId="2" hiddenButton="1"/>
    <filterColumn colId="3" hiddenButton="1"/>
    <filterColumn colId="4" hiddenButton="1"/>
    <filterColumn colId="5" hiddenButton="1"/>
  </autoFilter>
  <tableColumns count="6">
    <tableColumn id="1" xr3:uid="{3800065B-EB37-4E50-93A0-5049B9710D55}" name="Candidate Name (Party)" totalsRowLabel="Total Votes by County" dataDxfId="3541" totalsRowDxfId="3540"/>
    <tableColumn id="3" xr3:uid="{72BF888E-60EA-4088-B4D0-55DB72DBC817}" name="Part of Dutchess County _x000a_Vote Results" totalsRowFunction="custom" dataDxfId="3539" totalsRowDxfId="3538">
      <totalsRowFormula>SUM(RepInCongressCongressionalDistrict18General[Part of Dutchess County 
Vote Results])</totalsRowFormula>
    </tableColumn>
    <tableColumn id="2" xr3:uid="{55E254F8-B710-48BD-9934-51D30997549C}" name="Orange County _x000a_Vote Results" totalsRowFunction="custom" dataDxfId="3537" totalsRowDxfId="3536">
      <totalsRowFormula>SUM(RepInCongressCongressionalDistrict18General[Orange County 
Vote Results])</totalsRowFormula>
    </tableColumn>
    <tableColumn id="4" xr3:uid="{49DEB55E-4FDE-4DA3-9900-299BE2E645D3}" name="Part of Ulster County _x000a_Vote Results" totalsRowFunction="custom" dataDxfId="3535" totalsRowDxfId="3534">
      <totalsRowFormula>SUM(RepInCongressCongressionalDistrict18General[Part of Ulster County 
Vote Results])</totalsRowFormula>
    </tableColumn>
    <tableColumn id="7" xr3:uid="{F62D3530-4EF5-4F19-B068-3CA2A9034D79}" name="Total Votes by Party" totalsRowFunction="custom" dataDxfId="3533" totalsRowDxfId="3532">
      <calculatedColumnFormula>SUM(RepInCongressCongressionalDistrict18General[[#This Row],[Part of Dutchess County 
Vote Results]:[Part of Ulster County 
Vote Results]])</calculatedColumnFormula>
      <totalsRowFormula>SUM(RepInCongressCongressionalDistrict18General[Total Votes by Party])</totalsRowFormula>
    </tableColumn>
    <tableColumn id="5" xr3:uid="{638A37BE-0235-43F2-8B29-229DDD97D6D2}" name="Total Votes by Candidate" dataDxfId="3531" totalsRowDxfId="3530"/>
  </tableColumns>
  <tableStyleInfo name="TableStyleMedium2" showFirstColumn="0" showLastColumn="0" showRowStripes="0"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8CD75398-7A21-44F7-89F3-9AFBBFBB9166}" name="RepInCongressCongressionalDistrict19General" displayName="RepInCongressCongressionalDistrict19General" ref="A2:N10" totalsRowCount="1" headerRowDxfId="3529" dataDxfId="3527" totalsRowDxfId="3525" headerRowBorderDxfId="3528" tableBorderDxfId="3526" totalsRowBorderDxfId="3524">
  <autoFilter ref="A2:N9" xr:uid="{E4E31CCD-DBAF-461B-809F-2E5F9AA9A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A81F5B0-0581-4CBB-BB0C-34E04F7D3F75}" name="Candidate Name (Party)" totalsRowLabel="Total Votes by County" dataDxfId="3523" totalsRowDxfId="3522"/>
    <tableColumn id="7" xr3:uid="{D53B3C1F-2BDF-4CB0-B531-B464223DFB9F}" name="Broome County _x000a_Vote Results" totalsRowFunction="custom" dataDxfId="3521" totalsRowDxfId="3520">
      <totalsRowFormula>SUM(RepInCongressCongressionalDistrict19General[Broome County 
Vote Results])</totalsRowFormula>
    </tableColumn>
    <tableColumn id="6" xr3:uid="{CFBDE490-BBEB-4E6B-A8C3-7D42F3904681}" name="Chenango County_x000a_Vote Results" totalsRowFunction="custom" dataDxfId="3519" totalsRowDxfId="3518">
      <totalsRowFormula>SUM(RepInCongressCongressionalDistrict19General[Chenango County
Vote Results])</totalsRowFormula>
    </tableColumn>
    <tableColumn id="2" xr3:uid="{C026F17F-357B-413D-B1CE-1DEF7E94918B}" name="Columbia County_x000a_ Vote Results" totalsRowFunction="custom" dataDxfId="3517" totalsRowDxfId="3516">
      <totalsRowFormula>SUM(RepInCongressCongressionalDistrict19General[Columbia County
 Vote Results])</totalsRowFormula>
    </tableColumn>
    <tableColumn id="3" xr3:uid="{2379C253-33D1-41E4-AF45-98FFB73CB10E}" name="Part of Cortland County _x000a_Vote Results" totalsRowFunction="custom" dataDxfId="3515" totalsRowDxfId="3514">
      <totalsRowFormula>SUM(RepInCongressCongressionalDistrict19General[Part of Cortland County 
Vote Results])</totalsRowFormula>
    </tableColumn>
    <tableColumn id="13" xr3:uid="{CFBBB57B-88CB-4B8B-91CA-DAEFFE94664C}" name="Delaware County _x000a_Vote Results" totalsRowFunction="custom" dataDxfId="3513" totalsRowDxfId="3512">
      <totalsRowFormula>SUM(RepInCongressCongressionalDistrict19General[Delaware County 
Vote Results])</totalsRowFormula>
    </tableColumn>
    <tableColumn id="12" xr3:uid="{35258AAE-A0EF-4688-8D4E-81014172A0A4}" name="Greene County _x000a_Vote Results" totalsRowFunction="custom" dataDxfId="3511" totalsRowDxfId="3510">
      <totalsRowFormula>SUM(RepInCongressCongressionalDistrict19General[Greene County 
Vote Results])</totalsRowFormula>
    </tableColumn>
    <tableColumn id="11" xr3:uid="{B2844B59-A055-496C-8B37-AB5CE7104B22}" name="Otsego County _x000a_Vote Results" totalsRowFunction="custom" dataDxfId="3509" totalsRowDxfId="3508">
      <totalsRowFormula>SUM(RepInCongressCongressionalDistrict19General[Otsego County 
Vote Results])</totalsRowFormula>
    </tableColumn>
    <tableColumn id="10" xr3:uid="{A80C6C14-929D-42F2-9A90-DF7F3AC97E57}" name="Part of Rensselaer County _x000a_Vote Results" totalsRowFunction="custom" dataDxfId="3507" totalsRowDxfId="3506">
      <totalsRowFormula>SUM(RepInCongressCongressionalDistrict19General[Part of Rensselaer County 
Vote Results])</totalsRowFormula>
    </tableColumn>
    <tableColumn id="9" xr3:uid="{F07CDEAA-D56B-48B5-B1E3-0068CF85C185}" name="Sullivan County _x000a_Vote Results" totalsRowFunction="custom" dataDxfId="3505" totalsRowDxfId="3504">
      <totalsRowFormula>SUM(RepInCongressCongressionalDistrict19General[Sullivan County 
Vote Results])</totalsRowFormula>
    </tableColumn>
    <tableColumn id="4" xr3:uid="{4FFECB65-DAE5-4E29-905C-647B289D2D84}" name="Tompkins County _x000a_Vote Results" totalsRowFunction="custom" dataDxfId="3503" totalsRowDxfId="3502">
      <totalsRowFormula>SUM(RepInCongressCongressionalDistrict19General[Tompkins County 
Vote Results])</totalsRowFormula>
    </tableColumn>
    <tableColumn id="8" xr3:uid="{84E72395-47FC-4ED2-A84A-CC03E42C0379}" name="Part of Ulster County _x000a_Vote Results" totalsRowFunction="custom" dataDxfId="3501" totalsRowDxfId="3500">
      <totalsRowFormula>SUM(RepInCongressCongressionalDistrict19General[Part of Ulster County 
Vote Results])</totalsRowFormula>
    </tableColumn>
    <tableColumn id="14" xr3:uid="{7DF8E7F0-843E-4B71-83E6-0B01A89B504A}" name="Total Votes by Party" totalsRowFunction="custom" dataDxfId="3499" totalsRowDxfId="3498">
      <calculatedColumnFormula>SUM(B3:L3)</calculatedColumnFormula>
      <totalsRowFormula>SUM(RepInCongressCongressionalDistrict19General[Total Votes by Party])</totalsRowFormula>
    </tableColumn>
    <tableColumn id="5" xr3:uid="{9C81C7CC-9E2F-42AC-B4AB-010BA93608A1}" name="Total Votes by Candidate" dataDxfId="3497" totalsRowDxfId="3496"/>
  </tableColumns>
  <tableStyleInfo name="TableStyleMedium2"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4" xr:uid="{5A94C186-19CB-4BFA-9A43-193463FB6D36}" name="RepInCongressCongressionalDistrict1General245" displayName="RepInCongressCongressionalDistrict1General245" ref="A2:D8" totalsRowCount="1" headerRowDxfId="3959" dataDxfId="3957" totalsRowDxfId="3955" headerRowBorderDxfId="3958" tableBorderDxfId="3956" totalsRowBorderDxfId="3954">
  <autoFilter ref="A2:D7" xr:uid="{E4C80049-8B70-4EEE-86C5-EA95090A6C7F}">
    <filterColumn colId="0" hiddenButton="1"/>
    <filterColumn colId="1" hiddenButton="1"/>
    <filterColumn colId="2" hiddenButton="1"/>
    <filterColumn colId="3" hiddenButton="1"/>
  </autoFilter>
  <tableColumns count="4">
    <tableColumn id="1" xr3:uid="{3D3BD0AB-4EC1-42E5-A8BA-A470ED64E477}" name="Candidate Name (Party)" totalsRowLabel="Total Votes by County" dataDxfId="3953" totalsRowDxfId="3952"/>
    <tableColumn id="4" xr3:uid="{3D135051-D98D-4403-960F-ADD93E17C13A}" name="New York County _x000a_Vote Results" totalsRowFunction="custom" dataDxfId="3951" totalsRowDxfId="3950">
      <totalsRowFormula>SUM(RepInCongressCongressionalDistrict1General245[New York County 
Vote Results])</totalsRowFormula>
    </tableColumn>
    <tableColumn id="3" xr3:uid="{C53D9C81-9395-4687-8E42-20343AB4571D}" name="Total Votes by Party" totalsRowFunction="custom" dataDxfId="3949" totalsRowDxfId="3948">
      <calculatedColumnFormula>RepInCongressCongressionalDistrict1General245[[#This Row],[New York County 
Vote Results]]</calculatedColumnFormula>
      <totalsRowFormula>SUM(RepInCongressCongressionalDistrict1General245[Total Votes by Party])</totalsRowFormula>
    </tableColumn>
    <tableColumn id="2" xr3:uid="{4A4BD4FE-896A-464B-A13B-3F4622531D39}" name="Total Votes by Candidate" dataDxfId="3947" totalsRowDxfId="3946"/>
  </tableColumns>
  <tableStyleInfo name="TableStyleMedium2" showFirstColumn="0" showLastColumn="0" showRowStripes="0"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443B498-1E80-40BC-B658-F5AC68A7453E}" name="RepInCongressCongressionalDistrict20General" displayName="RepInCongressCongressionalDistrict20General" ref="A2:H10" totalsRowCount="1" headerRowDxfId="3495" dataDxfId="3493" totalsRowDxfId="3491" headerRowBorderDxfId="3494" tableBorderDxfId="3492" totalsRowBorderDxfId="3490">
  <autoFilter ref="A2:H9" xr:uid="{D11F5F7B-D6D9-482B-935E-CBFF3FAE72A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2A3FAA4-720A-4E48-9858-09499F590455}" name="Candidate Name (Party)" totalsRowLabel="Total Votes by County" dataDxfId="3489" totalsRowDxfId="3488"/>
    <tableColumn id="2" xr3:uid="{D84C93DE-92B7-4330-8FEF-FC05F2CB914F}" name="Albany County_x000a_ Vote Results" totalsRowFunction="custom" dataDxfId="3487" totalsRowDxfId="3486">
      <totalsRowFormula>SUM(RepInCongressCongressionalDistrict20General[Albany County
 Vote Results])</totalsRowFormula>
    </tableColumn>
    <tableColumn id="3" xr3:uid="{A4E24384-0EB6-4267-9DD4-F02009139E90}" name="Part of Montgomery County_x000a_ Vote Results" totalsRowFunction="custom" dataDxfId="3485" totalsRowDxfId="3484">
      <totalsRowFormula>SUM(RepInCongressCongressionalDistrict20General[Part of Montgomery County
 Vote Results])</totalsRowFormula>
    </tableColumn>
    <tableColumn id="7" xr3:uid="{EE833D84-EEC6-407C-AD7B-0FF0C127A66B}" name="Part of Rensselaer County_x000a_ Vote Results" totalsRowFunction="custom" dataDxfId="3483" totalsRowDxfId="3482">
      <totalsRowFormula>SUM(RepInCongressCongressionalDistrict20General[Part of Rensselaer County
 Vote Results])</totalsRowFormula>
    </tableColumn>
    <tableColumn id="4" xr3:uid="{4F2669A0-B372-44EE-9F4A-80E00E24341C}" name="Part of Saratoga County_x000a_ Vote Results" totalsRowFunction="custom" dataDxfId="3481" totalsRowDxfId="3480">
      <totalsRowFormula>SUM(RepInCongressCongressionalDistrict20General[Part of Saratoga County
 Vote Results])</totalsRowFormula>
    </tableColumn>
    <tableColumn id="6" xr3:uid="{99AF22D9-43EB-4B27-BF19-D119A0442DCC}" name="Schenectady County_x000a_ Vote Results" totalsRowFunction="custom" dataDxfId="3479" totalsRowDxfId="3478">
      <totalsRowFormula>SUM(RepInCongressCongressionalDistrict20General[Schenectady County
 Vote Results])</totalsRowFormula>
    </tableColumn>
    <tableColumn id="8" xr3:uid="{8410C427-0079-4448-AD9A-8DB607D6DE4A}" name="Total Votes by Party" totalsRowFunction="custom" dataDxfId="3477" totalsRowDxfId="3476">
      <calculatedColumnFormula>SUM(RepInCongressCongressionalDistrict20General[[#This Row],[Albany County
 Vote Results]:[Schenectady County
 Vote Results]])</calculatedColumnFormula>
      <totalsRowFormula>SUM(RepInCongressCongressionalDistrict20General[Total Votes by Party])</totalsRowFormula>
    </tableColumn>
    <tableColumn id="5" xr3:uid="{D7E49475-E76F-472E-A9F5-CEE3AC0B914F}" name="Total Votes by Candidate" dataDxfId="3475" totalsRowDxfId="3474"/>
  </tableColumns>
  <tableStyleInfo name="TableStyleMedium2" showFirstColumn="0" showLastColumn="0" showRowStripes="0"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C5093CE-C7B4-4064-8766-D50AC6BB2392}" name="RepInCongressCongressionalDistrict21General" displayName="RepInCongressCongressionalDistrict21General" ref="A2:R10" totalsRowCount="1" headerRowDxfId="3473" dataDxfId="3471" totalsRowDxfId="3469" headerRowBorderDxfId="3472" tableBorderDxfId="3470" totalsRowBorderDxfId="3468">
  <autoFilter ref="A2:R9" xr:uid="{539EBD77-812D-4C79-BDB5-02B7A3F2A68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BEC97DE4-D65E-4EC8-9062-A7307B440DC5}" name="Candidate Name (Party)" totalsRowLabel="Total Votes by County" dataDxfId="3467" totalsRowDxfId="3466"/>
    <tableColumn id="2" xr3:uid="{B5EB2CF2-05DD-479C-B1BE-37352B4E1AF4}" name="Clinton County_x000a_ Vote Results" totalsRowFunction="custom" dataDxfId="3465" totalsRowDxfId="3464">
      <totalsRowFormula>SUM(RepInCongressCongressionalDistrict21General[Clinton County
 Vote Results])</totalsRowFormula>
    </tableColumn>
    <tableColumn id="13" xr3:uid="{1246BCA2-076D-4698-A85D-7B6718C9419B}" name="Essex County_x000a_ Vote Results" totalsRowFunction="custom" dataDxfId="3463" totalsRowDxfId="3462">
      <totalsRowFormula>SUM(RepInCongressCongressionalDistrict21General[Essex County
 Vote Results])</totalsRowFormula>
    </tableColumn>
    <tableColumn id="12" xr3:uid="{212FC91E-7628-4D3A-98E6-C52BAA5BAF73}" name="Franklin County_x000a_ Vote Results" totalsRowFunction="custom" dataDxfId="3461" totalsRowDxfId="3460">
      <totalsRowFormula>SUM(RepInCongressCongressionalDistrict21General[Franklin County
 Vote Results])</totalsRowFormula>
    </tableColumn>
    <tableColumn id="11" xr3:uid="{4302FD7A-C234-48D6-A8F5-D9097ED54B5A}" name="Fulton County _x000a_Vote Results" totalsRowFunction="custom" dataDxfId="3459" totalsRowDxfId="3458">
      <totalsRowFormula>SUBTOTAL(109,E3:E9)</totalsRowFormula>
    </tableColumn>
    <tableColumn id="10" xr3:uid="{8336E74C-F74F-4676-8471-A9AEB0748D07}" name="Hamilton County _x000a_Vote Results" totalsRowFunction="custom" dataDxfId="3457" totalsRowDxfId="3456">
      <totalsRowFormula>SUM(RepInCongressCongressionalDistrict21General[Hamilton County 
Vote Results])</totalsRowFormula>
    </tableColumn>
    <tableColumn id="3" xr3:uid="{DFFB6259-62FE-4BAC-AD29-9C44CFD30ACB}" name="Herkimer County _x000a_Vote Results" totalsRowFunction="custom" dataDxfId="3455" totalsRowDxfId="3454">
      <totalsRowFormula>SUM(RepInCongressCongressionalDistrict21General[Herkimer County 
Vote Results])</totalsRowFormula>
    </tableColumn>
    <tableColumn id="9" xr3:uid="{A6FC5BED-E093-4D32-AC20-1C7D50627A19}" name="Part of Jefferson County _x000a_Vote Results" totalsRowFunction="custom" dataDxfId="3453" totalsRowDxfId="3452">
      <totalsRowFormula>SUM(RepInCongressCongressionalDistrict21General[Part of Jefferson County 
Vote Results])</totalsRowFormula>
    </tableColumn>
    <tableColumn id="8" xr3:uid="{E7DF2B7F-CC18-45C6-A9D9-9451D387FACB}" name="Lewis County _x000a_Vote Results" totalsRowFunction="custom" dataDxfId="3451" totalsRowDxfId="3450">
      <totalsRowFormula>SUM(RepInCongressCongressionalDistrict21General[Lewis County 
Vote Results])</totalsRowFormula>
    </tableColumn>
    <tableColumn id="16" xr3:uid="{BC3266CE-AADF-4832-9C36-AD4A34FD14B6}" name="Part of Montgomery County_x000a_ Vote Results" totalsRowFunction="custom" dataDxfId="3449" totalsRowDxfId="3448">
      <totalsRowFormula>SUM(RepInCongressCongressionalDistrict21General[Part of Montgomery County
 Vote Results])</totalsRowFormula>
    </tableColumn>
    <tableColumn id="18" xr3:uid="{582CC8E6-DDEC-4930-93AC-B91C2CFD5A56}" name="Part of Oneida County _x000a_Vote Results" totalsRowFunction="custom" dataDxfId="3447" totalsRowDxfId="3446">
      <totalsRowFormula>SUM(RepInCongressCongressionalDistrict21General[Part of Oneida County 
Vote Results])</totalsRowFormula>
    </tableColumn>
    <tableColumn id="17" xr3:uid="{83906C6F-0FC4-44B3-9CAF-13E9B08DB336}" name="Part of Saratoga County _x000a_Vote Results" totalsRowFunction="custom" dataDxfId="3445" totalsRowDxfId="3444">
      <totalsRowFormula>SUM(RepInCongressCongressionalDistrict21General[Part of Saratoga County 
Vote Results])</totalsRowFormula>
    </tableColumn>
    <tableColumn id="7" xr3:uid="{BEE68A5C-90DC-4AE7-BE08-ADE320866049}" name="Schoharie County _x000a_Vote Results" totalsRowFunction="custom" dataDxfId="3443" totalsRowDxfId="3442">
      <totalsRowFormula>SUM(RepInCongressCongressionalDistrict21General[Schoharie County 
Vote Results])</totalsRowFormula>
    </tableColumn>
    <tableColumn id="19" xr3:uid="{64902074-48B3-4C10-A047-39F4BAC3E8D5}" name="St. Lawrence County _x000a_Vote Results" totalsRowFunction="custom" dataDxfId="3441" totalsRowDxfId="3440">
      <totalsRowFormula>SUM(RepInCongressCongressionalDistrict21General[St. Lawrence County 
Vote Results])</totalsRowFormula>
    </tableColumn>
    <tableColumn id="14" xr3:uid="{B6AA23C2-DB8A-407F-8CFD-6D07A56BC78B}" name="Warren County _x000a_Vote Results" totalsRowFunction="custom" dataDxfId="3439" totalsRowDxfId="3438">
      <totalsRowFormula>SUM(RepInCongressCongressionalDistrict21General[Warren County 
Vote Results])</totalsRowFormula>
    </tableColumn>
    <tableColumn id="6" xr3:uid="{6B107529-5634-405B-B87C-0CCE35E1ED6B}" name="Washington County_x000a_ Vote Results" totalsRowFunction="custom" dataDxfId="3437" totalsRowDxfId="3436">
      <totalsRowFormula>SUM(RepInCongressCongressionalDistrict21General[Washington County
 Vote Results])</totalsRowFormula>
    </tableColumn>
    <tableColumn id="15" xr3:uid="{7A06E946-3D0F-46BA-9BC9-87E61F5A892E}" name="Total Votes by Party" totalsRowFunction="custom" dataDxfId="3435" totalsRowDxfId="3434">
      <calculatedColumnFormula>SUM(RepInCongressCongressionalDistrict21General[[#This Row],[Clinton County
 Vote Results]:[Washington County
 Vote Results]])</calculatedColumnFormula>
      <totalsRowFormula>SUM(RepInCongressCongressionalDistrict21General[Total Votes by Party])</totalsRowFormula>
    </tableColumn>
    <tableColumn id="5" xr3:uid="{805315D6-A28A-46C0-B5B2-B95E89C5DF85}" name="Total Votes by Candidate" dataDxfId="3433" totalsRowDxfId="3432"/>
  </tableColumns>
  <tableStyleInfo name="TableStyleMedium2" showFirstColumn="0" showLastColumn="0" showRowStripes="0"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AFE1FDFE-1EBF-4FB8-B181-054D866CE279}" name="RepInCongressCongressionalDistrict22General" displayName="RepInCongressCongressionalDistrict22General" ref="A2:H10" totalsRowCount="1" headerRowDxfId="3431" dataDxfId="3429" totalsRowDxfId="3427" headerRowBorderDxfId="3430" tableBorderDxfId="3428" totalsRowBorderDxfId="3426">
  <autoFilter ref="A2:H9" xr:uid="{004FB23F-B89A-4BE0-8C7A-0D0D60DB0C6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0DD7DF1-7868-4C02-9A84-9891E1D56468}" name="Candidate Name (Party)" totalsRowLabel="Total Votes by County" dataDxfId="3425" totalsRowDxfId="3424"/>
    <tableColumn id="7" xr3:uid="{E528599D-B1AA-4618-B1C3-48B0D18F2744}" name="Part of Cayuga County _x000a_Vote Results" totalsRowFunction="custom" dataDxfId="3423" totalsRowDxfId="3422">
      <totalsRowFormula>SUM(RepInCongressCongressionalDistrict22General[Part of Cayuga County 
Vote Results])</totalsRowFormula>
    </tableColumn>
    <tableColumn id="10" xr3:uid="{92EE935B-CE19-43CF-B4B8-716C7DD0D0DF}" name="Part of Cortland County _x000a_Vote Results" totalsRowFunction="custom" dataDxfId="3421" totalsRowDxfId="3420">
      <totalsRowFormula>SUM(RepInCongressCongressionalDistrict22General[Part of Cortland County 
Vote Results])</totalsRowFormula>
    </tableColumn>
    <tableColumn id="2" xr3:uid="{BFE4B35A-D363-41D9-8884-CFBFAF99B120}" name="Madison County_x000a_ Vote Results" totalsRowFunction="custom" dataDxfId="3419" totalsRowDxfId="3418">
      <totalsRowFormula>SUM(RepInCongressCongressionalDistrict22General[Madison County
 Vote Results])</totalsRowFormula>
    </tableColumn>
    <tableColumn id="9" xr3:uid="{4AA25624-E0D0-4846-B63D-55C01839FE01}" name="Part of Oneida County _x000a_Vote Results" totalsRowFunction="custom" dataDxfId="3417" totalsRowDxfId="3416">
      <totalsRowFormula>SUM(RepInCongressCongressionalDistrict22General[Part of Oneida County 
Vote Results])</totalsRowFormula>
    </tableColumn>
    <tableColumn id="3" xr3:uid="{30DF4395-463B-4D8B-AF84-645F9F30ABE3}" name="Onondaga County _x000a_Vote Results" totalsRowFunction="custom" dataDxfId="3415" totalsRowDxfId="3414">
      <totalsRowFormula>SUM(RepInCongressCongressionalDistrict22General[Onondaga County 
Vote Results])</totalsRowFormula>
    </tableColumn>
    <tableColumn id="11" xr3:uid="{977896C5-B6C6-4445-95D3-1D7A4876AD08}" name="Total Votes by Party" totalsRowFunction="custom" dataDxfId="3413" totalsRowDxfId="3412">
      <calculatedColumnFormula>SUM(B3,C3,D3,E3,F3)</calculatedColumnFormula>
      <totalsRowFormula>SUM(RepInCongressCongressionalDistrict22General[Total Votes by Party])</totalsRowFormula>
    </tableColumn>
    <tableColumn id="5" xr3:uid="{A750F46B-D112-41E4-A1A9-F9DD0F0CDC36}" name="Total Votes by Candidate" dataDxfId="3411" totalsRowDxfId="3410"/>
  </tableColumns>
  <tableStyleInfo name="TableStyleMedium2" showFirstColumn="0" showLastColumn="0" showRowStripes="0"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8A2C0602-DD7A-4513-876F-4E463ABA6586}" name="RepInCongressCongressionalDistrict23General" displayName="RepInCongressCongressionalDistrict23General" ref="A2:L9" totalsRowCount="1" headerRowDxfId="3409" dataDxfId="3407" totalsRowDxfId="3405" headerRowBorderDxfId="3408" tableBorderDxfId="3406" totalsRowBorderDxfId="3404">
  <autoFilter ref="A2:L8" xr:uid="{0C49DDDC-F88C-4209-934A-3C7F684B09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825F56D2-82E1-4C18-BD4F-A9506DB06905}" name="Candidate Name (Party)" totalsRowLabel="Total Votes by County" dataDxfId="3403" totalsRowDxfId="3402"/>
    <tableColumn id="2" xr3:uid="{8EE99698-0FF1-476B-91A3-EC9F70C7F02C}" name="Allegany County _x000a_Vote Results" totalsRowFunction="custom" dataDxfId="3401" totalsRowDxfId="3400">
      <totalsRowFormula>SUM(RepInCongressCongressionalDistrict23General[Allegany County 
Vote Results])</totalsRowFormula>
    </tableColumn>
    <tableColumn id="13" xr3:uid="{CFCC01EC-7888-4088-8AA5-A603F76D888E}" name="Cattaraugus County _x000a_Vote Results" totalsRowFunction="custom" dataDxfId="3399" totalsRowDxfId="3398">
      <totalsRowFormula>SUM(RepInCongressCongressionalDistrict23General[Cattaraugus County 
Vote Results])</totalsRowFormula>
    </tableColumn>
    <tableColumn id="12" xr3:uid="{7A8D0EBC-8ED4-4650-8FD9-2D3058AA4CAB}" name="Chautauqua County _x000a_Vote Results" totalsRowFunction="custom" dataDxfId="3397" totalsRowDxfId="3396">
      <totalsRowFormula>SUM(RepInCongressCongressionalDistrict23General[Chautauqua County 
Vote Results])</totalsRowFormula>
    </tableColumn>
    <tableColumn id="11" xr3:uid="{1E40C842-7105-405C-83B3-DCD3A600B6B1}" name="Chemung County _x000a_Vote Results" totalsRowFunction="custom" dataDxfId="3395" totalsRowDxfId="3394">
      <totalsRowFormula>SUM(RepInCongressCongressionalDistrict23General[Chemung County 
Vote Results])</totalsRowFormula>
    </tableColumn>
    <tableColumn id="9" xr3:uid="{117A26A3-0091-4B30-B2DE-4FEF7C743C74}" name="Part of Erie County _x000a_Vote Results" totalsRowFunction="custom" dataDxfId="3393" totalsRowDxfId="3392">
      <totalsRowFormula>SUM(RepInCongressCongressionalDistrict23General[Part of Erie County 
Vote Results])</totalsRowFormula>
    </tableColumn>
    <tableColumn id="4" xr3:uid="{F1897137-08AD-4296-97FA-C8DC757753D5}" name="Part of Niagara County _x000a_Vote Results" totalsRowFunction="custom" dataDxfId="3391" totalsRowDxfId="3390">
      <totalsRowFormula>SUM(RepInCongressCongressionalDistrict23General[Part of Niagara County 
Vote Results])</totalsRowFormula>
    </tableColumn>
    <tableColumn id="3" xr3:uid="{56609B65-F072-44DC-8100-B323CFD089E5}" name="Part of Schuyler County _x000a_Vote Results" totalsRowFunction="custom" dataDxfId="3389" totalsRowDxfId="3388">
      <totalsRowFormula>SUM(RepInCongressCongressionalDistrict23General[Part of Schuyler County 
Vote Results])</totalsRowFormula>
    </tableColumn>
    <tableColumn id="10" xr3:uid="{87922E0A-470D-4447-B6D0-5E5C90C7EC72}" name="Part of Steuben County _x000a_Vote Results" totalsRowFunction="custom" dataDxfId="3387" totalsRowDxfId="3386">
      <totalsRowFormula>SUM(RepInCongressCongressionalDistrict23General[Part of Steuben County 
Vote Results])</totalsRowFormula>
    </tableColumn>
    <tableColumn id="8" xr3:uid="{5C46ECBC-EF80-44D7-A1D0-A4348B152129}" name="Tioga County _x000a_Vote Results" totalsRowFunction="custom" dataDxfId="3385" totalsRowDxfId="3384">
      <totalsRowFormula>SUM(RepInCongressCongressionalDistrict23General[Tioga County 
Vote Results])</totalsRowFormula>
    </tableColumn>
    <tableColumn id="6" xr3:uid="{DA21AC8F-1385-4130-A516-22EA7D25DC14}" name="Total Votes by Party" totalsRowFunction="custom" dataDxfId="3383" totalsRowDxfId="3382">
      <calculatedColumnFormula>SUM(B3,C3,D3,E3,F3,G3,H3,I3,J3)</calculatedColumnFormula>
      <totalsRowFormula>SUM(RepInCongressCongressionalDistrict23General[Total Votes by Party])</totalsRowFormula>
    </tableColumn>
    <tableColumn id="5" xr3:uid="{6318B669-B1A8-4896-ABD8-1961C3ACE54A}" name="Total Votes by Candidate" dataDxfId="3381" totalsRowDxfId="3380"/>
  </tableColumns>
  <tableStyleInfo name="TableStyleMedium2" showFirstColumn="0" showLastColumn="0" showRowStripes="0"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3E04E768-1F85-4C23-AC7E-A6F8E5F3246D}" name="RepInCongressCongressionalDistrict24General" displayName="RepInCongressCongressionalDistrict24General" ref="A2:Q9" totalsRowCount="1" headerRowDxfId="3379" dataDxfId="3377" totalsRowDxfId="3375" headerRowBorderDxfId="3378" tableBorderDxfId="3376" totalsRowBorderDxfId="3374">
  <autoFilter ref="A2:Q8" xr:uid="{73707D82-830B-41CE-ABF5-16DAFA77C97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9F0FA74-4798-41CD-B9AC-6BC3F5567AB9}" name="Candidate Name (Party)" totalsRowLabel="Total Votes by County" dataDxfId="3373" totalsRowDxfId="3372"/>
    <tableColumn id="2" xr3:uid="{51734438-075A-46B6-8706-BB91C3F12131}" name="Part of Cayuga County _x000a_Vote Results" totalsRowFunction="custom" dataDxfId="3371" totalsRowDxfId="3370">
      <totalsRowFormula>SUM(RepInCongressCongressionalDistrict24General[Part of Cayuga County 
Vote Results])</totalsRowFormula>
    </tableColumn>
    <tableColumn id="6" xr3:uid="{0419EAB1-BD89-4FF1-8BD6-0FE24F051254}" name="Genesee County _x000a_Vote Results" totalsRowFunction="custom" dataDxfId="3369" totalsRowDxfId="3368">
      <totalsRowFormula>SUM(RepInCongressCongressionalDistrict24General[Genesee County 
Vote Results])</totalsRowFormula>
    </tableColumn>
    <tableColumn id="12" xr3:uid="{6D63941D-C205-4390-B941-A3A8AC43A0F2}" name="Part of Jefferson County _x000a_Vote Results" totalsRowFunction="custom" dataDxfId="3367" totalsRowDxfId="3366">
      <totalsRowFormula>SUM(RepInCongressCongressionalDistrict24General[Part of Jefferson County 
Vote Results])</totalsRowFormula>
    </tableColumn>
    <tableColumn id="11" xr3:uid="{2DB96A69-AC9C-446D-98A3-F06C79CBD13F}" name="Livingston County _x000a_Vote Results" totalsRowFunction="custom" dataDxfId="3365" totalsRowDxfId="3364">
      <totalsRowFormula>SUM(RepInCongressCongressionalDistrict24General[Livingston County 
Vote Results])</totalsRowFormula>
    </tableColumn>
    <tableColumn id="10" xr3:uid="{232EC054-8191-4CB8-9F71-13FC33859536}" name="Part of Niagara County _x000a_Vote Results" totalsRowFunction="custom" dataDxfId="3363" totalsRowDxfId="3362">
      <totalsRowFormula>SUM(RepInCongressCongressionalDistrict24General[Part of Niagara County 
Vote Results])</totalsRowFormula>
    </tableColumn>
    <tableColumn id="9" xr3:uid="{0CD3A0CF-FF64-4A44-BF3F-73D347FADD59}" name="Part of Ontario County _x000a_Vote Results" totalsRowFunction="custom" dataDxfId="3361" totalsRowDxfId="3360">
      <totalsRowFormula>SUM(RepInCongressCongressionalDistrict24General[Part of Ontario County 
Vote Results])</totalsRowFormula>
    </tableColumn>
    <tableColumn id="13" xr3:uid="{A377A6CF-C191-478A-BD16-BCD9E89EBEC0}" name="Orleans County _x000a_Vote Results" totalsRowFunction="custom" dataDxfId="3359" totalsRowDxfId="3358">
      <totalsRowFormula>SUM(RepInCongressCongressionalDistrict24General[Orleans County 
Vote Results])</totalsRowFormula>
    </tableColumn>
    <tableColumn id="4" xr3:uid="{B35EBFC4-BF5B-4BBB-8864-99ED0801EFC2}" name="Oswego County _x000a_Vote Results" totalsRowFunction="custom" dataDxfId="3357" totalsRowDxfId="3356">
      <totalsRowFormula>SUM(RepInCongressCongressionalDistrict24General[Oswego County 
Vote Results])</totalsRowFormula>
    </tableColumn>
    <tableColumn id="17" xr3:uid="{DDB36043-934F-4CEE-B132-B4FC5C4A586F}" name="Part of Schuyler County _x000a_Vote Results" totalsRowFunction="custom" dataDxfId="3355" totalsRowDxfId="3354">
      <totalsRowFormula>SUM(RepInCongressCongressionalDistrict24General[Part of Schuyler County 
Vote Results])</totalsRowFormula>
    </tableColumn>
    <tableColumn id="14" xr3:uid="{AB4AFDF7-3F0E-416A-A351-1B61044D4A5D}" name="Seneca County _x000a_Vote Results" totalsRowFunction="custom" dataDxfId="3353" totalsRowDxfId="3352">
      <totalsRowFormula>SUM(RepInCongressCongressionalDistrict24General[Seneca County 
Vote Results])</totalsRowFormula>
    </tableColumn>
    <tableColumn id="16" xr3:uid="{65C8A4DD-6468-422A-B7F7-62F9285377A8}" name="Part of Steuben County _x000a_Vote Results" totalsRowFunction="custom" dataDxfId="3351" totalsRowDxfId="3350">
      <totalsRowFormula>SUM(RepInCongressCongressionalDistrict24General[Part of Steuben County 
Vote Results])</totalsRowFormula>
    </tableColumn>
    <tableColumn id="3" xr3:uid="{F5DC6C7E-3FF6-481A-8F31-D1236EA1F580}" name="Wayne County _x000a_Vote Results" totalsRowFunction="custom" dataDxfId="3349" totalsRowDxfId="3348">
      <totalsRowFormula>SUM(RepInCongressCongressionalDistrict24General[Wayne County 
Vote Results])</totalsRowFormula>
    </tableColumn>
    <tableColumn id="15" xr3:uid="{55668FCB-9E2B-4E41-9651-4ACA81C0179E}" name="Wyoming County _x000a_Vote Results" totalsRowFunction="custom" dataDxfId="3347" totalsRowDxfId="3346">
      <totalsRowFormula>SUM(RepInCongressCongressionalDistrict24General[Wyoming County 
Vote Results])</totalsRowFormula>
    </tableColumn>
    <tableColumn id="8" xr3:uid="{478D52BB-7BD5-4DFD-80F8-5D84959F7048}" name="Yates County _x000a_Vote Results" totalsRowFunction="custom" dataDxfId="3345" totalsRowDxfId="3344">
      <totalsRowFormula>SUM(RepInCongressCongressionalDistrict24General[Yates County 
Vote Results])</totalsRowFormula>
    </tableColumn>
    <tableColumn id="7" xr3:uid="{04953BE2-0902-4E14-AC7D-8751C1DD656E}" name="Total Votes by Party" totalsRowFunction="custom" dataDxfId="3343" totalsRowDxfId="3342">
      <calculatedColumnFormula>SUM(B3,C3,D3,E3,F3,G3,H3,I3,J3,L3,K3,M3,N3,O3)</calculatedColumnFormula>
      <totalsRowFormula>SUM(RepInCongressCongressionalDistrict24General[Total Votes by Party])</totalsRowFormula>
    </tableColumn>
    <tableColumn id="5" xr3:uid="{6389B0BE-74D6-41DB-B8C3-AB5228D2AED6}" name="Total Votes by Candidate" dataDxfId="3341" totalsRowDxfId="3340"/>
  </tableColumns>
  <tableStyleInfo name="TableStyleMedium2" showFirstColumn="0" showLastColumn="0" showRowStripes="0"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5CFC4C0-C105-40CF-AC31-83126FCDB922}" name="RepInCongressCongressionalDistrict25General" displayName="RepInCongressCongressionalDistrict25General" ref="A2:E9" totalsRowCount="1" headerRowDxfId="3339" dataDxfId="3337" totalsRowDxfId="3335" headerRowBorderDxfId="3338" tableBorderDxfId="3336" totalsRowBorderDxfId="3334">
  <autoFilter ref="A2:E8" xr:uid="{64708C82-C3FB-4629-83EE-627387BA1A7D}">
    <filterColumn colId="0" hiddenButton="1"/>
    <filterColumn colId="1" hiddenButton="1"/>
    <filterColumn colId="2" hiddenButton="1"/>
    <filterColumn colId="3" hiddenButton="1"/>
    <filterColumn colId="4" hiddenButton="1"/>
  </autoFilter>
  <tableColumns count="5">
    <tableColumn id="1" xr3:uid="{A53062D6-764D-4FD7-B9B3-FBD39FD77143}" name="Candidate Name (Party)" totalsRowLabel="Total Votes by County" dataDxfId="3333" totalsRowDxfId="3332"/>
    <tableColumn id="4" xr3:uid="{DF83DF16-A1C5-48C4-9866-F04964CD96ED}" name="Monroe County _x000a_Vote Results" totalsRowFunction="custom" dataDxfId="3331" totalsRowDxfId="3330">
      <totalsRowFormula>SUM(RepInCongressCongressionalDistrict25General[Monroe County 
Vote Results])</totalsRowFormula>
    </tableColumn>
    <tableColumn id="5" xr3:uid="{59309E3D-56B0-4DA5-A656-B246B629B70D}" name="Part of Ontario County _x000a_Vote Results" totalsRowFunction="custom" dataDxfId="3329" totalsRowDxfId="3328">
      <totalsRowFormula>SUM(RepInCongressCongressionalDistrict25General[Part of Ontario County 
Vote Results])</totalsRowFormula>
    </tableColumn>
    <tableColumn id="3" xr3:uid="{1192FAB4-5614-41AD-9303-1188BFAD3B54}" name="Total Votes by Party" totalsRowFunction="custom" dataDxfId="3327" totalsRowDxfId="3326">
      <calculatedColumnFormula>SUM(B3,C3)</calculatedColumnFormula>
      <totalsRowFormula>SUM(RepInCongressCongressionalDistrict25General[Total Votes by Party])</totalsRowFormula>
    </tableColumn>
    <tableColumn id="2" xr3:uid="{5554D6A2-136C-4188-8685-46F8BB3D3D33}" name="Total Votes by Candidate" dataDxfId="3325" totalsRowDxfId="3324"/>
  </tableColumns>
  <tableStyleInfo name="TableStyleMedium2" showFirstColumn="0" showLastColumn="0" showRowStripes="0"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9C2B7457-AD2F-4281-8496-4411BE88714B}" name="RepInCongressCongressionalDistrict26General" displayName="RepInCongressCongressionalDistrict26General" ref="A2:E10" totalsRowCount="1" headerRowDxfId="3323" dataDxfId="3321" totalsRowDxfId="3319" headerRowBorderDxfId="3322" tableBorderDxfId="3320" totalsRowBorderDxfId="3318">
  <autoFilter ref="A2:E9" xr:uid="{3936682D-ED33-46CD-BD56-5B7D602B4DED}">
    <filterColumn colId="0" hiddenButton="1"/>
    <filterColumn colId="1" hiddenButton="1"/>
    <filterColumn colId="2" hiddenButton="1"/>
    <filterColumn colId="3" hiddenButton="1"/>
    <filterColumn colId="4" hiddenButton="1"/>
  </autoFilter>
  <tableColumns count="5">
    <tableColumn id="1" xr3:uid="{5675FE27-1E47-46D7-800D-397C1B84CDF2}" name="Candidate Name (Party)" totalsRowLabel="Total Votes by County" dataDxfId="3317" totalsRowDxfId="3316"/>
    <tableColumn id="2" xr3:uid="{4F6473C7-B351-4602-AF52-DF40BB6DF67A}" name="Part of Erie County _x000a_Vote Results" totalsRowFunction="custom" dataDxfId="3315" totalsRowDxfId="3314">
      <totalsRowFormula>SUM(RepInCongressCongressionalDistrict26General[Part of Erie County 
Vote Results])</totalsRowFormula>
    </tableColumn>
    <tableColumn id="4" xr3:uid="{AE0952B5-2C85-4357-925C-AB281FD0C55C}" name="Part of Niagara County _x000a_Vote Results" totalsRowFunction="custom" dataDxfId="3313" totalsRowDxfId="3312">
      <totalsRowFormula>SUM(RepInCongressCongressionalDistrict26General[Part of Niagara County 
Vote Results])</totalsRowFormula>
    </tableColumn>
    <tableColumn id="3" xr3:uid="{9FBFFE17-C6A8-4BB0-9BFD-8BBA6B269480}" name="Total Votes by Party" totalsRowFunction="custom" dataDxfId="3311" totalsRowDxfId="3310">
      <calculatedColumnFormula>SUM(RepInCongressCongressionalDistrict26General[[#This Row],[Part of Erie County 
Vote Results]:[Part of Niagara County 
Vote Results]])</calculatedColumnFormula>
      <totalsRowFormula>SUM(RepInCongressCongressionalDistrict26General[Total Votes by Party])</totalsRowFormula>
    </tableColumn>
    <tableColumn id="5" xr3:uid="{1EC2EFC5-03B8-4F8F-B964-5E0EF1C9FEF7}" name="Total Votes by Candidate" dataDxfId="3309" totalsRowDxfId="3308"/>
  </tableColumns>
  <tableStyleInfo name="TableStyleMedium2" showFirstColumn="0" showLastColumn="0" showRowStripes="0"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1683C1BB-0DAA-4DBA-A7F5-6193547E6196}" name="StateSenatorSenateDistrict1General" displayName="StateSenatorSenateDistrict1General" ref="A2:D10" totalsRowCount="1" headerRowDxfId="3307" dataDxfId="3305" totalsRowDxfId="3303" headerRowBorderDxfId="3306" tableBorderDxfId="3304" totalsRowBorderDxfId="3302">
  <autoFilter ref="A2:D9" xr:uid="{46E63F8E-8A2F-421C-B164-9C94A0596A45}">
    <filterColumn colId="0" hiddenButton="1"/>
    <filterColumn colId="1" hiddenButton="1"/>
    <filterColumn colId="2" hiddenButton="1"/>
    <filterColumn colId="3" hiddenButton="1"/>
  </autoFilter>
  <tableColumns count="4">
    <tableColumn id="1" xr3:uid="{FF0881ED-7E87-4900-91CF-28BFED9E8F80}" name="Candidate Name (Party)" totalsRowLabel="Total Votes by County" dataDxfId="3301" totalsRowDxfId="3300"/>
    <tableColumn id="4" xr3:uid="{1E27B958-6550-4B7E-9B28-11CF502FAA95}" name="Part of Suffolk County Vote Results" totalsRowFunction="custom" dataDxfId="3299" totalsRowDxfId="3298">
      <totalsRowFormula>SUM(StateSenatorSenateDistrict1General[Part of Suffolk County Vote Results])</totalsRowFormula>
    </tableColumn>
    <tableColumn id="3" xr3:uid="{A7D13899-E927-4BA0-BD20-34ADD2E8F82D}" name="Total Votes by Party" totalsRowFunction="custom" dataDxfId="3297" totalsRowDxfId="3296">
      <calculatedColumnFormula>StateSenatorSenateDistrict1General[[#This Row],[Part of Suffolk County Vote Results]]</calculatedColumnFormula>
      <totalsRowFormula>SUM(StateSenatorSenateDistrict1General[Total Votes by Party])</totalsRowFormula>
    </tableColumn>
    <tableColumn id="2" xr3:uid="{D9828A5A-EB20-4C59-9D54-BC08E0C0AD71}" name="Total Votes by Candidate" dataDxfId="3295" totalsRowDxfId="3294"/>
  </tableColumns>
  <tableStyleInfo name="TableStyleMedium2" showFirstColumn="0" showLastColumn="0" showRowStripes="0"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849C8D3-F499-430A-AB11-2FAFB1B27CD9}" name="StateSenatorSenateDistrict2General" displayName="StateSenatorSenateDistrict2General" ref="A2:D9" totalsRowCount="1" headerRowDxfId="3293" dataDxfId="3291" totalsRowDxfId="3289" headerRowBorderDxfId="3292" tableBorderDxfId="3290" totalsRowBorderDxfId="3288">
  <autoFilter ref="A2:D8" xr:uid="{08EE2516-64DC-4852-8812-2027C5D0EC6D}">
    <filterColumn colId="0" hiddenButton="1"/>
    <filterColumn colId="1" hiddenButton="1"/>
    <filterColumn colId="2" hiddenButton="1"/>
    <filterColumn colId="3" hiddenButton="1"/>
  </autoFilter>
  <tableColumns count="4">
    <tableColumn id="1" xr3:uid="{727E5EDC-BB56-4FB6-8E02-963D56F28FCB}" name="Candidate Name (Party)" totalsRowLabel="Total Votes by County" dataDxfId="3287" totalsRowDxfId="3286"/>
    <tableColumn id="4" xr3:uid="{3432BF5D-857F-4177-816E-626A0FE50731}" name="Part of Suffolk County Vote Results" totalsRowFunction="custom" dataDxfId="3285" totalsRowDxfId="3284">
      <totalsRowFormula>SUM(StateSenatorSenateDistrict2General[Part of Suffolk County Vote Results])</totalsRowFormula>
    </tableColumn>
    <tableColumn id="3" xr3:uid="{2C18170F-F9CF-4F2E-8EA5-8696A3E48C18}" name="Total Votes by Party" totalsRowFunction="custom" dataDxfId="3283" totalsRowDxfId="3282">
      <calculatedColumnFormula>StateSenatorSenateDistrict2General[[#This Row],[Part of Suffolk County Vote Results]]</calculatedColumnFormula>
      <totalsRowFormula>SUM(StateSenatorSenateDistrict2General[Total Votes by Party])</totalsRowFormula>
    </tableColumn>
    <tableColumn id="2" xr3:uid="{B4FDFB34-C2C7-44D1-A8EF-0EB9955EBC13}" name="Total Votes by Candidate" dataDxfId="3281" totalsRowDxfId="3280"/>
  </tableColumns>
  <tableStyleInfo name="TableStyleMedium2" showFirstColumn="0" showLastColumn="0" showRowStripes="0"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B2756636-164A-4F15-B187-85479B9D0607}" name="StateSenatorSenateDistrict3General" displayName="StateSenatorSenateDistrict3General" ref="A2:D9" totalsRowCount="1" headerRowDxfId="3279" dataDxfId="3277" totalsRowDxfId="3275" headerRowBorderDxfId="3278" tableBorderDxfId="3276" totalsRowBorderDxfId="3274">
  <autoFilter ref="A2:D8" xr:uid="{E849A2E2-D466-4FEE-AC0E-07449222D724}">
    <filterColumn colId="0" hiddenButton="1"/>
    <filterColumn colId="1" hiddenButton="1"/>
    <filterColumn colId="2" hiddenButton="1"/>
    <filterColumn colId="3" hiddenButton="1"/>
  </autoFilter>
  <tableColumns count="4">
    <tableColumn id="1" xr3:uid="{691208AC-158A-4441-957C-D556BE0B7E8F}" name="Candidate Name (Party)" totalsRowLabel="Total Votes by County" dataDxfId="3273" totalsRowDxfId="3272"/>
    <tableColumn id="4" xr3:uid="{7D27536A-7592-4BDF-99D8-744AC835A051}" name="Part of Suffolk County Vote Results" totalsRowFunction="custom" dataDxfId="3271" totalsRowDxfId="3270">
      <totalsRowFormula>SUM(StateSenatorSenateDistrict3General[Part of Suffolk County Vote Results])</totalsRowFormula>
    </tableColumn>
    <tableColumn id="3" xr3:uid="{781603F8-D7AD-4964-9BA6-718EBB38F93E}" name="Total Votes by Party" totalsRowFunction="custom" dataDxfId="3269" totalsRowDxfId="3268">
      <calculatedColumnFormula>StateSenatorSenateDistrict3General[[#This Row],[Part of Suffolk County Vote Results]]</calculatedColumnFormula>
      <totalsRowFormula>SUM(StateSenatorSenateDistrict3General[Total Votes by Party])</totalsRowFormula>
    </tableColumn>
    <tableColumn id="2" xr3:uid="{E2326625-975E-44CD-A0CD-1E65EBC45622}" name="Total Votes by Candidate" dataDxfId="3267" totalsRowDxfId="3266"/>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5" xr:uid="{A4C1C3AA-6DC0-4EB3-8828-E22DEB55D5C1}" name="RepInCongressCongressionalDistrict1General245246" displayName="RepInCongressCongressionalDistrict1General245246" ref="A2:D18" totalsRowCount="1" headerRowDxfId="3945" dataDxfId="3943" totalsRowDxfId="3941" headerRowBorderDxfId="3944" tableBorderDxfId="3942" totalsRowBorderDxfId="3940">
  <autoFilter ref="A2:D17" xr:uid="{E4C80049-8B70-4EEE-86C5-EA95090A6C7F}">
    <filterColumn colId="0" hiddenButton="1"/>
    <filterColumn colId="1" hiddenButton="1"/>
    <filterColumn colId="2" hiddenButton="1"/>
    <filterColumn colId="3" hiddenButton="1"/>
  </autoFilter>
  <tableColumns count="4">
    <tableColumn id="1" xr3:uid="{E12AEDC4-ECE1-40BB-9A25-E40A3BB00DE9}" name="Candidate Name (Party)" totalsRowLabel="Total Votes by County" dataDxfId="3939" totalsRowDxfId="3938"/>
    <tableColumn id="4" xr3:uid="{45E1AE77-4976-4ADB-9CC9-0C8AE23FF477}" name="Kings County _x000a_Vote Results" totalsRowFunction="custom" dataDxfId="3937" totalsRowDxfId="3936">
      <totalsRowFormula>SUM(RepInCongressCongressionalDistrict1General245246[Kings County 
Vote Results])</totalsRowFormula>
    </tableColumn>
    <tableColumn id="3" xr3:uid="{1ABB267E-3677-4856-B38E-B65476F57BFD}" name="Total Votes by Party" totalsRowFunction="custom" dataDxfId="3935" totalsRowDxfId="3934">
      <calculatedColumnFormula>RepInCongressCongressionalDistrict1General245246[[#This Row],[Kings County 
Vote Results]]</calculatedColumnFormula>
      <totalsRowFormula>SUM(RepInCongressCongressionalDistrict1General245246[Total Votes by Party])</totalsRowFormula>
    </tableColumn>
    <tableColumn id="2" xr3:uid="{2831A6EF-ABCA-49CD-A16E-570818C0BF5F}" name="Total Votes by Candidate" dataDxfId="3933" totalsRowDxfId="3932"/>
  </tableColumns>
  <tableStyleInfo name="TableStyleMedium2" showFirstColumn="0" showLastColumn="0" showRowStripes="0"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9A45332-1723-43B6-89BA-6B2AC6C4AE67}" name="StateSenatorSenateDistrict4General" displayName="StateSenatorSenateDistrict4General" ref="A2:D10" totalsRowCount="1" headerRowDxfId="3265" dataDxfId="3263" totalsRowDxfId="3261" headerRowBorderDxfId="3264" tableBorderDxfId="3262" totalsRowBorderDxfId="3260">
  <autoFilter ref="A2:D9" xr:uid="{C6AC5771-4768-43A8-97A4-F9B8EBA4FCE7}">
    <filterColumn colId="0" hiddenButton="1"/>
    <filterColumn colId="1" hiddenButton="1"/>
    <filterColumn colId="2" hiddenButton="1"/>
    <filterColumn colId="3" hiddenButton="1"/>
  </autoFilter>
  <tableColumns count="4">
    <tableColumn id="1" xr3:uid="{ED32E30A-87AB-44A7-9004-9D62AB75DA1C}" name="Candidate Name (Party)" totalsRowLabel="Total Votes by County" dataDxfId="3259" totalsRowDxfId="3258"/>
    <tableColumn id="4" xr3:uid="{1ADCE05C-3509-4F66-BF74-4A8C5616A520}" name="Part of Suffolk County Vote Results" totalsRowFunction="custom" dataDxfId="3257" totalsRowDxfId="3256">
      <totalsRowFormula>SUM(StateSenatorSenateDistrict4General[Part of Suffolk County Vote Results])</totalsRowFormula>
    </tableColumn>
    <tableColumn id="3" xr3:uid="{3596133C-6635-41EB-AA84-D966E78A4E8B}" name="Total Votes by Party" totalsRowFunction="custom" dataDxfId="3255" totalsRowDxfId="3254">
      <calculatedColumnFormula>StateSenatorSenateDistrict4General[[#This Row],[Part of Suffolk County Vote Results]]</calculatedColumnFormula>
      <totalsRowFormula>SUM(StateSenatorSenateDistrict4General[Total Votes by Party])</totalsRowFormula>
    </tableColumn>
    <tableColumn id="2" xr3:uid="{461CABFF-78B1-47BC-9ECD-973F35FC3085}" name="Total Votes by Candidate" dataDxfId="3253" totalsRowDxfId="3252"/>
  </tableColumns>
  <tableStyleInfo name="TableStyleMedium2" showFirstColumn="0" showLastColumn="0" showRowStripes="0"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F5A013C7-2BDF-46B5-B7CE-08B07F73CCC8}" name="StateSenatorSenateDistrict5General" displayName="StateSenatorSenateDistrict5General" ref="A2:D9" totalsRowCount="1" headerRowDxfId="3251" dataDxfId="3249" totalsRowDxfId="3247" headerRowBorderDxfId="3250" tableBorderDxfId="3248" totalsRowBorderDxfId="3246">
  <autoFilter ref="A2:D8" xr:uid="{EB34AB7F-1D7F-4375-A829-3AB182F9799A}">
    <filterColumn colId="0" hiddenButton="1"/>
    <filterColumn colId="1" hiddenButton="1"/>
    <filterColumn colId="2" hiddenButton="1"/>
    <filterColumn colId="3" hiddenButton="1"/>
  </autoFilter>
  <tableColumns count="4">
    <tableColumn id="1" xr3:uid="{DB128715-034C-4295-B38A-48EB395C1FE3}" name="Candidate Name (Party)" totalsRowLabel="Total Votes by County" dataDxfId="3245" totalsRowDxfId="3244"/>
    <tableColumn id="2" xr3:uid="{2451FE6A-2B12-4A12-9A20-60AF926E5454}" name="Part of Nassau County Vote Results" totalsRowFunction="custom" dataDxfId="3243" totalsRowDxfId="3242">
      <totalsRowFormula>SUM(StateSenatorSenateDistrict5General[Part of Nassau County Vote Results])</totalsRowFormula>
    </tableColumn>
    <tableColumn id="3" xr3:uid="{C977D0CC-EB3D-48F1-A2B7-68BF0C520CBF}" name="Total Votes by Party" totalsRowFunction="custom" dataDxfId="3241" totalsRowDxfId="3240">
      <calculatedColumnFormula>SUM(StateSenatorSenateDistrict5General[[#This Row],[Part of Nassau County Vote Results]])</calculatedColumnFormula>
      <totalsRowFormula>SUM(StateSenatorSenateDistrict5General[Total Votes by Party])</totalsRowFormula>
    </tableColumn>
    <tableColumn id="5" xr3:uid="{F1600A9D-4E80-4A15-AD9E-4EA76D4F0878}" name="Total Votes by Candidate" dataDxfId="3239" totalsRowDxfId="3238"/>
  </tableColumns>
  <tableStyleInfo name="TableStyleMedium2" showFirstColumn="0" showLastColumn="0" showRowStripes="0"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4792360-2033-4EFE-8217-78011295E0D5}" name="StateSenatorSenateDistrict6General" displayName="StateSenatorSenateDistrict6General" ref="A2:D9" totalsRowCount="1" headerRowDxfId="3237" dataDxfId="3235" totalsRowDxfId="3233" headerRowBorderDxfId="3236" tableBorderDxfId="3234" totalsRowBorderDxfId="3232">
  <autoFilter ref="A2:D8" xr:uid="{0E535243-4216-4E18-AC3D-5955FEAC22E7}">
    <filterColumn colId="0" hiddenButton="1"/>
    <filterColumn colId="1" hiddenButton="1"/>
    <filterColumn colId="2" hiddenButton="1"/>
    <filterColumn colId="3" hiddenButton="1"/>
  </autoFilter>
  <tableColumns count="4">
    <tableColumn id="1" xr3:uid="{1F0BE7A6-7C1A-470B-B549-D12D5B4FFADA}" name="Candidate Name (Party)" totalsRowLabel="Total Votes by County" dataDxfId="3231" totalsRowDxfId="3230"/>
    <tableColumn id="4" xr3:uid="{14A07838-AB48-4343-8D24-227537C0CECB}" name="Part of Nassau County Vote Results" totalsRowFunction="custom" dataDxfId="3229" totalsRowDxfId="3228">
      <totalsRowFormula>SUM(StateSenatorSenateDistrict6General[Part of Nassau County Vote Results])</totalsRowFormula>
    </tableColumn>
    <tableColumn id="3" xr3:uid="{76E1EC7C-77B2-4117-B318-EEB4DEA84A9A}" name="Total Votes by Party" totalsRowFunction="custom" dataDxfId="3227" totalsRowDxfId="3226">
      <calculatedColumnFormula>StateSenatorSenateDistrict6General[[#This Row],[Part of Nassau County Vote Results]]</calculatedColumnFormula>
      <totalsRowFormula>SUM(StateSenatorSenateDistrict6General[Total Votes by Party])</totalsRowFormula>
    </tableColumn>
    <tableColumn id="2" xr3:uid="{08027053-C6AD-485C-8FF0-9EBDCD923A2D}" name="Total Votes by Candidate" dataDxfId="3225" totalsRowDxfId="3224"/>
  </tableColumns>
  <tableStyleInfo name="TableStyleMedium2" showFirstColumn="0" showLastColumn="0" showRowStripes="0"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61628CAF-9B32-48D4-8A24-26D3350F6CBD}" name="StateSenatorSenateDistrict7General" displayName="StateSenatorSenateDistrict7General" ref="A2:D9" totalsRowCount="1" headerRowDxfId="3223" dataDxfId="3221" totalsRowDxfId="3219" headerRowBorderDxfId="3222" tableBorderDxfId="3220" totalsRowBorderDxfId="3218">
  <autoFilter ref="A2:D8" xr:uid="{0468737E-A287-4E35-A99A-23695F38BF57}">
    <filterColumn colId="0" hiddenButton="1"/>
    <filterColumn colId="1" hiddenButton="1"/>
    <filterColumn colId="2" hiddenButton="1"/>
    <filterColumn colId="3" hiddenButton="1"/>
  </autoFilter>
  <tableColumns count="4">
    <tableColumn id="1" xr3:uid="{97C167C6-75EB-46A5-A432-90D2F961A4CC}" name="Candidate Name (Party)" totalsRowLabel="Total Votes by County" dataDxfId="3217" totalsRowDxfId="3216"/>
    <tableColumn id="4" xr3:uid="{C7C4A41B-86F6-4CC2-A300-917BB5EFB890}" name="Part of Nassau County Vote Results" totalsRowFunction="custom" dataDxfId="3215" totalsRowDxfId="3214">
      <totalsRowFormula>SUM(StateSenatorSenateDistrict7General[Part of Nassau County Vote Results])</totalsRowFormula>
    </tableColumn>
    <tableColumn id="3" xr3:uid="{B99B4298-1473-446A-AB9C-FF53AE67CA61}" name="Total Votes by Party" totalsRowFunction="custom" dataDxfId="3213" totalsRowDxfId="3212">
      <calculatedColumnFormula>StateSenatorSenateDistrict7General[[#This Row],[Part of Nassau County Vote Results]]</calculatedColumnFormula>
      <totalsRowFormula>SUM(StateSenatorSenateDistrict7General[Total Votes by Party])</totalsRowFormula>
    </tableColumn>
    <tableColumn id="2" xr3:uid="{3A90273E-C50F-4DAE-8757-8EE97C0865E0}" name="Total Votes by Candidate" dataDxfId="3211" totalsRowDxfId="3210"/>
  </tableColumns>
  <tableStyleInfo name="TableStyleMedium2" showFirstColumn="0" showLastColumn="0" showRowStripes="0"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F0176341-97FB-4CEF-BED0-8AAAD8BD2543}" name="StateSenatorSenateDistrict8General" displayName="StateSenatorSenateDistrict8General" ref="A2:E9" totalsRowCount="1" headerRowDxfId="3209" dataDxfId="3207" totalsRowDxfId="3205" headerRowBorderDxfId="3208" tableBorderDxfId="3206" totalsRowBorderDxfId="3204">
  <autoFilter ref="A2:E8" xr:uid="{1637A7CF-1158-471A-A38D-CD274C172FA9}">
    <filterColumn colId="0" hiddenButton="1"/>
    <filterColumn colId="1" hiddenButton="1"/>
    <filterColumn colId="2" hiddenButton="1"/>
    <filterColumn colId="3" hiddenButton="1"/>
    <filterColumn colId="4" hiddenButton="1"/>
  </autoFilter>
  <tableColumns count="5">
    <tableColumn id="1" xr3:uid="{B648DB2C-4175-46DF-A7AD-8E1D59A9DCD5}" name="Candidate Name (Party)" totalsRowLabel="Total Votes by County" dataDxfId="3203" totalsRowDxfId="3202"/>
    <tableColumn id="2" xr3:uid="{E612A1BA-F96A-40F1-9F57-9A68C3F524FF}" name="Part of Nassau County Vote Results" totalsRowFunction="custom" dataDxfId="3201" totalsRowDxfId="3200">
      <totalsRowFormula>SUM(StateSenatorSenateDistrict8General[Part of Nassau County Vote Results])</totalsRowFormula>
    </tableColumn>
    <tableColumn id="4" xr3:uid="{DFF0F00B-B10C-4224-B5D3-E0C7764B4EAA}" name="Part of Suffolk County Vote Results" totalsRowFunction="custom" dataDxfId="3199" totalsRowDxfId="3198">
      <totalsRowFormula>SUM(StateSenatorSenateDistrict8General[Part of Suffolk County Vote Results])</totalsRowFormula>
    </tableColumn>
    <tableColumn id="3" xr3:uid="{9CF81944-6108-44DC-A891-DA863969D3CE}" name="Total Votes by Party" totalsRowFunction="custom" dataDxfId="3197" totalsRowDxfId="3196">
      <calculatedColumnFormula>SUM(StateSenatorSenateDistrict8General[[#This Row],[Part of Nassau County Vote Results]:[Part of Suffolk County Vote Results]])</calculatedColumnFormula>
      <totalsRowFormula>SUM(StateSenatorSenateDistrict8General[Total Votes by Party])</totalsRowFormula>
    </tableColumn>
    <tableColumn id="5" xr3:uid="{AF85912A-4842-4AB1-BC07-8EFFF755CEE0}" name="Total Votes by Candidate" dataDxfId="3195" totalsRowDxfId="3194">
      <calculatedColumnFormula>SUM(StateSenatorSenateDistrict8General[[#This Row],[Total Votes by Party]],D4,D5)</calculatedColumnFormula>
    </tableColumn>
  </tableColumns>
  <tableStyleInfo name="TableStyleMedium2" showFirstColumn="0" showLastColumn="0" showRowStripes="0"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F6D15DB3-6714-4A37-AA24-146AB51AFF8A}" name="StateSenatorSenateDistrict9General" displayName="StateSenatorSenateDistrict9General" ref="A2:D9" totalsRowCount="1" headerRowDxfId="3193" dataDxfId="3191" totalsRowDxfId="3189" headerRowBorderDxfId="3192" tableBorderDxfId="3190" totalsRowBorderDxfId="3188">
  <autoFilter ref="A2:D8" xr:uid="{2C1ADD2C-0BB0-4F59-9862-A474FDE8F8EB}">
    <filterColumn colId="0" hiddenButton="1"/>
    <filterColumn colId="1" hiddenButton="1"/>
    <filterColumn colId="2" hiddenButton="1"/>
    <filterColumn colId="3" hiddenButton="1"/>
  </autoFilter>
  <tableColumns count="4">
    <tableColumn id="1" xr3:uid="{9F20417D-97CD-4986-A8F3-C61695B117BF}" name="Candidate Name (Party)" totalsRowLabel="Total Votes by County" dataDxfId="3187" totalsRowDxfId="3186"/>
    <tableColumn id="4" xr3:uid="{B43B0EC9-86A0-4EAB-B5DC-0145DBE78F61}" name="Part of Nassau County Vote Results" totalsRowFunction="custom" dataDxfId="3185" totalsRowDxfId="3184">
      <totalsRowFormula>SUM(StateSenatorSenateDistrict9General[Part of Nassau County Vote Results])</totalsRowFormula>
    </tableColumn>
    <tableColumn id="3" xr3:uid="{6793B89C-AA45-42D2-8F21-EB4C7A476FB0}" name="Total Votes by Party" totalsRowFunction="custom" dataDxfId="3183" totalsRowDxfId="3182">
      <calculatedColumnFormula>StateSenatorSenateDistrict9General[[#This Row],[Part of Nassau County Vote Results]]</calculatedColumnFormula>
      <totalsRowFormula>SUM(StateSenatorSenateDistrict9General[Total Votes by Party])</totalsRowFormula>
    </tableColumn>
    <tableColumn id="2" xr3:uid="{9F79429F-4710-4046-A570-FA3C75192AD8}" name="Total Votes by Candidate" dataDxfId="3181" totalsRowDxfId="3180"/>
  </tableColumns>
  <tableStyleInfo name="TableStyleMedium2" showFirstColumn="0" showLastColumn="0" showRowStripes="0"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EFF72D45-C952-4709-A97A-3E45235CC86B}" name="StateSenatorSenateDistrict10General" displayName="StateSenatorSenateDistrict10General" ref="A2:D11" totalsRowCount="1" headerRowDxfId="3179" dataDxfId="3177" totalsRowDxfId="3175" headerRowBorderDxfId="3178" tableBorderDxfId="3176" totalsRowBorderDxfId="3174">
  <autoFilter ref="A2:D10" xr:uid="{8D07F028-8319-42B9-960D-9E5BBF698127}">
    <filterColumn colId="0" hiddenButton="1"/>
    <filterColumn colId="1" hiddenButton="1"/>
    <filterColumn colId="2" hiddenButton="1"/>
    <filterColumn colId="3" hiddenButton="1"/>
  </autoFilter>
  <tableColumns count="4">
    <tableColumn id="1" xr3:uid="{BA45F6B1-A6D1-4E6F-93AB-DE7D4E653158}" name="Candidate Name (Party)" totalsRowLabel="Total Votes by County" dataDxfId="3173" totalsRowDxfId="3172"/>
    <tableColumn id="4" xr3:uid="{84642A06-C254-4C0C-B222-984AAB40B638}" name="Part of Queens County Vote Results" totalsRowFunction="custom" dataDxfId="3171" totalsRowDxfId="3170">
      <totalsRowFormula>SUM(StateSenatorSenateDistrict10General[Part of Queens County Vote Results])</totalsRowFormula>
    </tableColumn>
    <tableColumn id="3" xr3:uid="{BC33EDE1-B96E-4D3C-8E8A-127B1969115D}" name="Total Votes by Party" totalsRowFunction="custom" dataDxfId="3169" totalsRowDxfId="3168">
      <calculatedColumnFormula>StateSenatorSenateDistrict10General[[#This Row],[Part of Queens County Vote Results]]</calculatedColumnFormula>
      <totalsRowFormula>SUM(StateSenatorSenateDistrict10General[Total Votes by Party])</totalsRowFormula>
    </tableColumn>
    <tableColumn id="2" xr3:uid="{4C7B6C80-2BFB-4DC6-94DE-C4197203FB3C}" name="Total Votes by Candidate" dataDxfId="3167" totalsRowDxfId="3166">
      <calculatedColumnFormula>SUM(StateSenatorSenateDistrict10General[[#This Row],[Total Votes by Party]],C6)</calculatedColumnFormula>
    </tableColumn>
  </tableColumns>
  <tableStyleInfo name="TableStyleMedium2" showFirstColumn="0" showLastColumn="0" showRowStripes="0"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586480A0-0399-420D-BC9D-F12F67DD57CD}" name="StateSenatorSenateDistrict11General" displayName="StateSenatorSenateDistrict11General" ref="A2:E10" totalsRowCount="1" headerRowDxfId="3165" dataDxfId="3163" totalsRowDxfId="3161" headerRowBorderDxfId="3164" tableBorderDxfId="3162" totalsRowBorderDxfId="3160">
  <autoFilter ref="A2:E9" xr:uid="{86DC72B7-AC4C-460E-9130-5838C9BCBACD}">
    <filterColumn colId="0" hiddenButton="1"/>
    <filterColumn colId="1" hiddenButton="1"/>
    <filterColumn colId="2" hiddenButton="1"/>
    <filterColumn colId="3" hiddenButton="1"/>
    <filterColumn colId="4" hiddenButton="1"/>
  </autoFilter>
  <tableColumns count="5">
    <tableColumn id="1" xr3:uid="{EB0E4C1F-5F10-4FA2-8A16-5CE34F76E2EB}" name="Candidate Name (Party)" totalsRowLabel="Total Votes by County" dataDxfId="3159" totalsRowDxfId="3158"/>
    <tableColumn id="4" xr3:uid="{2A92AD95-9433-41E0-AA58-986082A81566}" name="Part of Bronx County Vote Results" totalsRowFunction="custom" dataDxfId="3157" totalsRowDxfId="3156">
      <totalsRowFormula>SUM(StateSenatorSenateDistrict11General[Part of Bronx County Vote Results])</totalsRowFormula>
    </tableColumn>
    <tableColumn id="6" xr3:uid="{EEF572BC-63F0-4B50-B57D-E9D045860C52}" name="Part of Queens County Vote Results" totalsRowFunction="custom" dataDxfId="3155" totalsRowDxfId="3154">
      <totalsRowFormula>SUM(StateSenatorSenateDistrict11General[Part of Queens County Vote Results])</totalsRowFormula>
    </tableColumn>
    <tableColumn id="3" xr3:uid="{BBF7E22E-B778-4ECC-A208-B770DD172463}" name="Total Votes by Party" totalsRowFunction="custom" dataDxfId="3153" totalsRowDxfId="3152">
      <calculatedColumnFormula>SUM(B3,C3)</calculatedColumnFormula>
      <totalsRowFormula>SUM(StateSenatorSenateDistrict11General[Total Votes by Party])</totalsRowFormula>
    </tableColumn>
    <tableColumn id="2" xr3:uid="{FCA6E7AA-E6A0-45CC-A9F0-C2822D46224B}" name="Total Votes by Candidate" dataDxfId="3151" totalsRowDxfId="3150"/>
  </tableColumns>
  <tableStyleInfo name="TableStyleMedium2" showFirstColumn="0" showLastColumn="0" showRowStripes="0"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6D7CDEE-ECE4-4ACC-B8BD-08E5B21AF4B3}" name="StateSenatorSenateDistrict12General" displayName="StateSenatorSenateDistrict12General" ref="A2:E9" totalsRowCount="1" headerRowDxfId="3149" dataDxfId="3147" totalsRowDxfId="3145" headerRowBorderDxfId="3148" tableBorderDxfId="3146" totalsRowBorderDxfId="3144">
  <autoFilter ref="A2:E8" xr:uid="{2CE300DD-8912-442E-850C-3B4D930DBB13}">
    <filterColumn colId="0" hiddenButton="1"/>
    <filterColumn colId="1" hiddenButton="1"/>
    <filterColumn colId="2" hiddenButton="1"/>
    <filterColumn colId="3" hiddenButton="1"/>
    <filterColumn colId="4" hiddenButton="1"/>
  </autoFilter>
  <tableColumns count="5">
    <tableColumn id="1" xr3:uid="{3AB29788-2CE6-455A-85AA-6A3A78CE59AC}" name="Candidate Name (Party)" totalsRowLabel="Total Votes by County" dataDxfId="3143" totalsRowDxfId="3142"/>
    <tableColumn id="4" xr3:uid="{3C918103-7F93-4A8F-815E-9B7EB372B629}" name="Part of Kings County Vote Results" totalsRowFunction="custom" dataDxfId="3141" totalsRowDxfId="3140">
      <totalsRowFormula>SUM(StateSenatorSenateDistrict12General[Part of Kings County Vote Results])</totalsRowFormula>
    </tableColumn>
    <tableColumn id="5" xr3:uid="{302502FC-D44D-4E78-B896-BA1666419C8E}" name="Part of Queens County Vote Results" totalsRowFunction="custom" dataDxfId="3139" totalsRowDxfId="3138">
      <totalsRowFormula>SUM(StateSenatorSenateDistrict12General[Part of Queens County Vote Results])</totalsRowFormula>
    </tableColumn>
    <tableColumn id="3" xr3:uid="{9CDBDA24-B20D-43EC-AFAD-58C87242AE14}" name="Total Votes by Party" totalsRowFunction="custom" dataDxfId="3137" totalsRowDxfId="3136">
      <calculatedColumnFormula>SUM(B3:C3)</calculatedColumnFormula>
      <totalsRowFormula>SUM(StateSenatorSenateDistrict12General[Total Votes by Party])</totalsRowFormula>
    </tableColumn>
    <tableColumn id="2" xr3:uid="{1E28099E-1B9F-4916-BA5B-1A5491D62601}" name="Total Votes by Candidate" dataDxfId="3135" totalsRowDxfId="3134">
      <calculatedColumnFormula>SUM(StateSenatorSenateDistrict12General[[#This Row],[Total Votes by Party]],#REF!)</calculatedColumnFormula>
    </tableColumn>
  </tableColumns>
  <tableStyleInfo name="TableStyleMedium2" showFirstColumn="0" showLastColumn="0" showRowStripes="0"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92A807EF-A373-4DDF-94D8-80EB2C145862}" name="StateSenatorSenateDistrict13General" displayName="StateSenatorSenateDistrict13General" ref="A2:D8" totalsRowCount="1" headerRowDxfId="3133" dataDxfId="3131" totalsRowDxfId="3129" headerRowBorderDxfId="3132" tableBorderDxfId="3130" totalsRowBorderDxfId="3128">
  <autoFilter ref="A2:D7" xr:uid="{7D329055-02FA-4249-9564-3F326CBE70EC}">
    <filterColumn colId="0" hiddenButton="1"/>
    <filterColumn colId="1" hiddenButton="1"/>
    <filterColumn colId="2" hiddenButton="1"/>
    <filterColumn colId="3" hiddenButton="1"/>
  </autoFilter>
  <tableColumns count="4">
    <tableColumn id="1" xr3:uid="{091B9F17-DF29-4AA1-98C4-70F68EAAAB35}" name="Candidate Name (Party)" totalsRowLabel="Total Votes by County" dataDxfId="3127" totalsRowDxfId="3126"/>
    <tableColumn id="4" xr3:uid="{2CA357D0-6567-4382-9046-1C9E3C6C6421}" name="Part of Queens County Vote Results" totalsRowFunction="custom" dataDxfId="3125" totalsRowDxfId="3124">
      <totalsRowFormula>SUM(StateSenatorSenateDistrict13General[Part of Queens County Vote Results])</totalsRowFormula>
    </tableColumn>
    <tableColumn id="3" xr3:uid="{98D0FC6F-C5E1-4DCC-A675-9F3BE371EB80}" name="Total Votes by Party" totalsRowFunction="custom" dataDxfId="3123" totalsRowDxfId="3122">
      <calculatedColumnFormula>StateSenatorSenateDistrict13General[[#This Row],[Part of Queens County Vote Results]]</calculatedColumnFormula>
      <totalsRowFormula>SUM(StateSenatorSenateDistrict13General[Total Votes by Party])</totalsRowFormula>
    </tableColumn>
    <tableColumn id="2" xr3:uid="{4395B349-257D-43EB-8F31-9161DCB6B050}" name="Total Votes by Candidate" dataDxfId="3121" totalsRowDxfId="3120"/>
  </tableColumns>
  <tableStyleInfo name="TableStyleMedium2"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0" xr:uid="{DFAAC92F-49BA-4AE2-8EBA-7B159BBAF311}" name="RepInCongressCongressionalDistrict19General247248250251" displayName="RepInCongressCongressionalDistrict19General247248250251" ref="A2:K14" totalsRowCount="1" headerRowDxfId="3931" dataDxfId="3929" totalsRowDxfId="3927" headerRowBorderDxfId="3930" tableBorderDxfId="3928" totalsRowBorderDxfId="3926">
  <autoFilter ref="A2:K13" xr:uid="{E4E31CCD-DBAF-461B-809F-2E5F9AA9A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58EA1EA1-04E7-486F-8B82-346DF956038D}" name="Candidate Name (Party)" totalsRowLabel="Total Votes by County" dataDxfId="3925" totalsRowDxfId="3924"/>
    <tableColumn id="7" xr3:uid="{7F37B67F-D362-4E15-A867-4CAD9BD9FBE8}" name="Cayuga County_x000a_Vote Results" totalsRowFunction="custom" dataDxfId="3923" totalsRowDxfId="3922">
      <totalsRowFormula>SUM(RepInCongressCongressionalDistrict19General247248250251[Cayuga County
Vote Results])</totalsRowFormula>
    </tableColumn>
    <tableColumn id="2" xr3:uid="{83DC9E17-5DD5-49AC-9190-340FB3DDBEC9}" name="Livingston County_x000a_Vote Results" totalsRowFunction="custom" dataDxfId="3921" totalsRowDxfId="3920">
      <totalsRowFormula>SUM(RepInCongressCongressionalDistrict19General247248250251[Livingston County
Vote Results])</totalsRowFormula>
    </tableColumn>
    <tableColumn id="3" xr3:uid="{6B58CC32-C784-4C0D-A873-DCC60590C287}" name="Monroe County_x000a_Vote Results" totalsRowFunction="custom" dataDxfId="3919" totalsRowDxfId="3918">
      <totalsRowFormula>SUM(RepInCongressCongressionalDistrict19General247248250251[Monroe County
Vote Results])</totalsRowFormula>
    </tableColumn>
    <tableColumn id="13" xr3:uid="{18B9FF95-DAD8-40AB-8F7F-1363AA03C32B}" name="Ontario County _x000a_Vote Results" totalsRowFunction="custom" dataDxfId="3917" totalsRowDxfId="3916">
      <totalsRowFormula>SUM(RepInCongressCongressionalDistrict19General247248250251[Ontario County 
Vote Results])</totalsRowFormula>
    </tableColumn>
    <tableColumn id="11" xr3:uid="{7D2C4F77-0325-4A35-87E3-7A9F5B871296}" name="Seneca County_x000a_Vote Results" totalsRowFunction="custom" dataDxfId="3915" totalsRowDxfId="3914">
      <totalsRowFormula>SUM(RepInCongressCongressionalDistrict19General247248250251[Seneca County
Vote Results])</totalsRowFormula>
    </tableColumn>
    <tableColumn id="10" xr3:uid="{5C3E82EF-F8D5-462C-B28B-0FAAAC040065}" name="Steuben County_x000a_Vote Results" totalsRowFunction="custom" dataDxfId="3913" totalsRowDxfId="3912">
      <totalsRowFormula>SUM(RepInCongressCongressionalDistrict19General247248250251[Steuben County
Vote Results])</totalsRowFormula>
    </tableColumn>
    <tableColumn id="9" xr3:uid="{FD303143-5209-4AD3-8144-4A670EE20A62}" name="Wayne County_x000a_Vote Results" totalsRowFunction="custom" dataDxfId="3911" totalsRowDxfId="3910">
      <totalsRowFormula>SUM(RepInCongressCongressionalDistrict19General247248250251[Wayne County
Vote Results])</totalsRowFormula>
    </tableColumn>
    <tableColumn id="8" xr3:uid="{8139C02C-F4EF-4745-8298-F6A7801104AE}" name="Yates County _x000a_Vote Results" totalsRowFunction="custom" dataDxfId="3909" totalsRowDxfId="3908">
      <totalsRowFormula>SUM(RepInCongressCongressionalDistrict19General247248250251[Yates County 
Vote Results])</totalsRowFormula>
    </tableColumn>
    <tableColumn id="14" xr3:uid="{685E7231-4A85-4425-82B9-CA00B4955635}" name="Total Votes by Party" totalsRowFunction="custom" dataDxfId="3907" totalsRowDxfId="3906">
      <calculatedColumnFormula>SUM(B3:I3)</calculatedColumnFormula>
      <totalsRowFormula>SUM(RepInCongressCongressionalDistrict19General247248250251[Total Votes by Party])</totalsRowFormula>
    </tableColumn>
    <tableColumn id="5" xr3:uid="{936D9E20-36CB-4C7D-8ED1-EBCFAFD4E3F5}" name="Total Votes by Candidate" dataDxfId="3905" totalsRowDxfId="3904"/>
  </tableColumns>
  <tableStyleInfo name="TableStyleMedium2" showFirstColumn="0" showLastColumn="0" showRowStripes="0"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BB25F79-FD95-43E7-93C5-06D36DD92A2E}" name="StateSenatorSenateDistrict14General" displayName="StateSenatorSenateDistrict14General" ref="A2:D7" totalsRowCount="1" headerRowDxfId="3119" dataDxfId="3117" totalsRowDxfId="3115" headerRowBorderDxfId="3118" tableBorderDxfId="3116" totalsRowBorderDxfId="3114">
  <autoFilter ref="A2:D6" xr:uid="{C9AD50FF-F416-4E1D-9F65-21BDCFC384B4}">
    <filterColumn colId="0" hiddenButton="1"/>
    <filterColumn colId="1" hiddenButton="1"/>
    <filterColumn colId="2" hiddenButton="1"/>
    <filterColumn colId="3" hiddenButton="1"/>
  </autoFilter>
  <tableColumns count="4">
    <tableColumn id="1" xr3:uid="{3FAC79BC-1553-43F8-AA08-CC5919A9ADC3}" name="Candidate Name (Party)" totalsRowLabel="Total Votes by County" dataDxfId="3113" totalsRowDxfId="3112"/>
    <tableColumn id="4" xr3:uid="{91B498C2-B639-41B4-8C35-BFF9090174AB}" name="Part of Queens County Vote Results" totalsRowFunction="custom" dataDxfId="3111" totalsRowDxfId="3110">
      <totalsRowFormula>SUM(StateSenatorSenateDistrict14General[Part of Queens County Vote Results])</totalsRowFormula>
    </tableColumn>
    <tableColumn id="3" xr3:uid="{7285AAF9-BA87-4C49-9CE5-EC2D11712B80}" name="Total Votes by Party" totalsRowFunction="custom" dataDxfId="3109" totalsRowDxfId="3108">
      <calculatedColumnFormula>StateSenatorSenateDistrict14General[[#This Row],[Part of Queens County Vote Results]]</calculatedColumnFormula>
      <totalsRowFormula>SUM(StateSenatorSenateDistrict14General[Total Votes by Party])</totalsRowFormula>
    </tableColumn>
    <tableColumn id="2" xr3:uid="{8D96BADE-346E-4775-9A3F-F5A7065140EA}" name="Total Votes by Candidate" dataDxfId="3107" totalsRowDxfId="3106">
      <calculatedColumnFormula>SUM(StateSenatorSenateDistrict14General[[#This Row],[Total Votes by Party]])</calculatedColumnFormula>
    </tableColumn>
  </tableColumns>
  <tableStyleInfo name="TableStyleMedium2" showFirstColumn="0" showLastColumn="0" showRowStripes="0"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E393B8AA-9918-4BBD-BA55-EB59FDFF9CC7}" name="StateSenatorSenateDistrict15General" displayName="StateSenatorSenateDistrict15General" ref="A2:E8" totalsRowCount="1" headerRowDxfId="3105" dataDxfId="3103" totalsRowDxfId="3101" headerRowBorderDxfId="3104" tableBorderDxfId="3102" totalsRowBorderDxfId="3100">
  <autoFilter ref="A2:E7" xr:uid="{631AFF6B-E30D-4A6D-A286-BC64D492E01E}">
    <filterColumn colId="0" hiddenButton="1"/>
    <filterColumn colId="1" hiddenButton="1"/>
    <filterColumn colId="2" hiddenButton="1"/>
    <filterColumn colId="3" hiddenButton="1"/>
    <filterColumn colId="4" hiddenButton="1"/>
  </autoFilter>
  <tableColumns count="5">
    <tableColumn id="1" xr3:uid="{6A14D966-3B6C-488A-82A3-6278C1888694}" name="Candidate Name (Party)" totalsRowLabel="Total Votes by County" dataDxfId="3099" totalsRowDxfId="3098"/>
    <tableColumn id="4" xr3:uid="{823DC58E-007D-4256-A964-F27FB3F22E40}" name="Part of Kings County Vote Results" totalsRowFunction="custom" dataDxfId="3097" totalsRowDxfId="3096">
      <totalsRowFormula>SUM(StateSenatorSenateDistrict15General[Part of Kings County Vote Results])</totalsRowFormula>
    </tableColumn>
    <tableColumn id="5" xr3:uid="{882CD5E0-77D0-4C9D-B831-BB1108C47FBB}" name="Part of Queens County Vote Results" totalsRowFunction="custom" dataDxfId="3095" totalsRowDxfId="3094">
      <totalsRowFormula>SUM(StateSenatorSenateDistrict15General[Part of Queens County Vote Results])</totalsRowFormula>
    </tableColumn>
    <tableColumn id="3" xr3:uid="{CB11A540-42A6-4C3C-9DD1-E1D4D56E2E62}" name="Total Votes by Party" totalsRowFunction="custom" dataDxfId="3093" totalsRowDxfId="3092">
      <calculatedColumnFormula>SUM(B3:C3)</calculatedColumnFormula>
      <totalsRowFormula>SUM(StateSenatorSenateDistrict15General[Total Votes by Party])</totalsRowFormula>
    </tableColumn>
    <tableColumn id="2" xr3:uid="{9FF077E7-06CF-4C62-806B-A54B3B69C21B}" name="Total Votes by Candidate" dataDxfId="3091" totalsRowDxfId="3090"/>
  </tableColumns>
  <tableStyleInfo name="TableStyleMedium2" showFirstColumn="0" showLastColumn="0" showRowStripes="0"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E117147A-06AF-4109-9D90-3420F9FDE3EC}" name="StateSenatorSenateDistrict16General" displayName="StateSenatorSenateDistrict16General" ref="A2:D9" totalsRowCount="1" headerRowDxfId="3089" dataDxfId="3087" totalsRowDxfId="3085" headerRowBorderDxfId="3088" tableBorderDxfId="3086" totalsRowBorderDxfId="3084">
  <autoFilter ref="A2:D8" xr:uid="{0488B77E-D79A-4C06-8B6B-DBBE145F442E}">
    <filterColumn colId="0" hiddenButton="1"/>
    <filterColumn colId="1" hiddenButton="1"/>
    <filterColumn colId="2" hiddenButton="1"/>
    <filterColumn colId="3" hiddenButton="1"/>
  </autoFilter>
  <tableColumns count="4">
    <tableColumn id="1" xr3:uid="{3C456B7C-96B0-4044-B37B-4F3CC89C7FFC}" name="Candidate Name (Party)" totalsRowLabel="Total Votes by County" dataDxfId="3083" totalsRowDxfId="3082"/>
    <tableColumn id="4" xr3:uid="{879B4A64-9D1C-4DF8-AA14-A93C3AA5541F}" name="Part of Queens County Vote Results" totalsRowFunction="custom" dataDxfId="3081" totalsRowDxfId="3080">
      <totalsRowFormula>SUM(StateSenatorSenateDistrict16General[Part of Queens County Vote Results])</totalsRowFormula>
    </tableColumn>
    <tableColumn id="3" xr3:uid="{0884BAEC-CA53-419B-8CCB-01546214D26A}" name="Total Votes by Party" totalsRowFunction="custom" dataDxfId="3079" totalsRowDxfId="3078">
      <calculatedColumnFormula>StateSenatorSenateDistrict16General[[#This Row],[Part of Queens County Vote Results]]</calculatedColumnFormula>
      <totalsRowFormula>SUM(StateSenatorSenateDistrict16General[Total Votes by Party])</totalsRowFormula>
    </tableColumn>
    <tableColumn id="2" xr3:uid="{A55B50F9-E916-4003-9287-434C14B203EB}" name="Total Votes by Candidate" dataDxfId="3077" totalsRowDxfId="3076">
      <calculatedColumnFormula>SUM(StateSenatorSenateDistrict16General[[#This Row],[Total Votes by Party]])</calculatedColumnFormula>
    </tableColumn>
  </tableColumns>
  <tableStyleInfo name="TableStyleMedium2" showFirstColumn="0" showLastColumn="0" showRowStripes="0"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2F3231A5-A72E-4259-BD56-E6C3DEA663E9}" name="StateSenatorSenateDistrict17General" displayName="StateSenatorSenateDistrict17General" ref="A2:D10" totalsRowCount="1" headerRowDxfId="3075" dataDxfId="3073" totalsRowDxfId="3071" headerRowBorderDxfId="3074" tableBorderDxfId="3072" totalsRowBorderDxfId="3070">
  <autoFilter ref="A2:D9" xr:uid="{45F123F9-3139-434A-A980-672DFB1A6DC4}">
    <filterColumn colId="0" hiddenButton="1"/>
    <filterColumn colId="1" hiddenButton="1"/>
    <filterColumn colId="2" hiddenButton="1"/>
    <filterColumn colId="3" hiddenButton="1"/>
  </autoFilter>
  <tableColumns count="4">
    <tableColumn id="1" xr3:uid="{E1385D4E-B999-40C3-8939-9620870FD5CB}" name="Candidate Name (Party)" totalsRowLabel="Total Votes by County" dataDxfId="3069" totalsRowDxfId="3068"/>
    <tableColumn id="4" xr3:uid="{457127E3-DB7B-481F-9F4C-3F8BDD11971A}" name="Part of Kings County Vote Results" totalsRowFunction="custom" dataDxfId="3067" totalsRowDxfId="3066">
      <totalsRowFormula>SUM(StateSenatorSenateDistrict17General[Part of Kings County Vote Results])</totalsRowFormula>
    </tableColumn>
    <tableColumn id="3" xr3:uid="{42E42A1C-9509-4FE3-A26D-1514DDCC7B05}" name="Total Votes by Party" totalsRowFunction="custom" dataDxfId="3065" totalsRowDxfId="3064">
      <calculatedColumnFormula>StateSenatorSenateDistrict17General[[#This Row],[Part of Kings County Vote Results]]</calculatedColumnFormula>
      <totalsRowFormula>SUM(StateSenatorSenateDistrict17General[Total Votes by Party])</totalsRowFormula>
    </tableColumn>
    <tableColumn id="2" xr3:uid="{779DEDF1-3F55-4447-A7EA-D8A32F16CFD2}" name="Total Votes by Candidate" dataDxfId="3063" totalsRowDxfId="3062">
      <calculatedColumnFormula>SUM(StateSenatorSenateDistrict17General[[#This Row],[Total Votes by Party]],C5,C6)</calculatedColumnFormula>
    </tableColumn>
  </tableColumns>
  <tableStyleInfo name="TableStyleMedium2" showFirstColumn="0" showLastColumn="0" showRowStripes="0"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57525AB9-8D7F-4250-9DEE-942245B4DFEF}" name="StateSenatorSenateDistrict18General" displayName="StateSenatorSenateDistrict18General" ref="A2:E8" totalsRowCount="1" headerRowDxfId="3061" dataDxfId="3059" totalsRowDxfId="3057" headerRowBorderDxfId="3060" tableBorderDxfId="3058" totalsRowBorderDxfId="3056">
  <autoFilter ref="A2:E7" xr:uid="{692F44BD-1A6E-4A38-91AF-DFC990DFB886}">
    <filterColumn colId="0" hiddenButton="1"/>
    <filterColumn colId="1" hiddenButton="1"/>
    <filterColumn colId="2" hiddenButton="1"/>
    <filterColumn colId="3" hiddenButton="1"/>
    <filterColumn colId="4" hiddenButton="1"/>
  </autoFilter>
  <tableColumns count="5">
    <tableColumn id="1" xr3:uid="{EE06AD2F-B9B0-4549-B214-6EF8351AB1B5}" name="Candidate Name (Party)" totalsRowLabel="Total Votes by County" dataDxfId="3055" totalsRowDxfId="3054"/>
    <tableColumn id="4" xr3:uid="{9BAECCDA-43D2-4134-90D6-5D4431C1D89E}" name="Part of Kings County Vote Results" totalsRowFunction="custom" dataDxfId="3053" totalsRowDxfId="3052">
      <totalsRowFormula>SUM(StateSenatorSenateDistrict18General[Part of Kings County Vote Results])</totalsRowFormula>
    </tableColumn>
    <tableColumn id="5" xr3:uid="{54ADE4B0-8594-49E8-943E-1245F93E8929}" name="Part of Queens County Vote Results" totalsRowFunction="custom" dataDxfId="3051" totalsRowDxfId="3050">
      <totalsRowFormula>SUM(StateSenatorSenateDistrict18General[Part of Queens County Vote Results])</totalsRowFormula>
    </tableColumn>
    <tableColumn id="3" xr3:uid="{711DFDF6-739D-4188-A60E-AE0859B7E4B5}" name="Total Votes by Party" totalsRowFunction="custom" dataDxfId="3049" totalsRowDxfId="3048">
      <calculatedColumnFormula>SUM(B3,C3)</calculatedColumnFormula>
      <totalsRowFormula>SUM(StateSenatorSenateDistrict18General[Total Votes by Party])</totalsRowFormula>
    </tableColumn>
    <tableColumn id="2" xr3:uid="{E714E55E-7737-477B-8F5E-FE4BFEBCD8F1}" name="Total Votes by Candidate" dataDxfId="3047" totalsRowDxfId="3046">
      <calculatedColumnFormula>SUM(StateSenatorSenateDistrict18General[[#This Row],[Total Votes by Party]])</calculatedColumnFormula>
    </tableColumn>
  </tableColumns>
  <tableStyleInfo name="TableStyleMedium2" showFirstColumn="0" showLastColumn="0" showRowStripes="0"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372348FE-F257-4C4E-97DA-773156F57FDF}" name="StateSenatorSenateDistrict19General" displayName="StateSenatorSenateDistrict19General" ref="A2:E7" totalsRowCount="1" headerRowDxfId="3045" dataDxfId="3043" totalsRowDxfId="3041" headerRowBorderDxfId="3044" tableBorderDxfId="3042" totalsRowBorderDxfId="3040">
  <autoFilter ref="A2:E6" xr:uid="{EAE3EA0E-DD60-4EDC-8BF9-94D731AF783C}">
    <filterColumn colId="0" hiddenButton="1"/>
    <filterColumn colId="1" hiddenButton="1"/>
    <filterColumn colId="2" hiddenButton="1"/>
    <filterColumn colId="3" hiddenButton="1"/>
    <filterColumn colId="4" hiddenButton="1"/>
  </autoFilter>
  <tableColumns count="5">
    <tableColumn id="1" xr3:uid="{144CAB9E-4C4A-4D0E-AAEE-385E82607E65}" name="Candidate Name (Party)" totalsRowLabel="Total Votes by County" dataDxfId="3039" totalsRowDxfId="3038"/>
    <tableColumn id="4" xr3:uid="{9F6695ED-E4CE-4345-A93C-A4775C173161}" name="Part of Kings County Vote Results" totalsRowFunction="custom" dataDxfId="3037" totalsRowDxfId="3036">
      <totalsRowFormula>SUM(StateSenatorSenateDistrict19General[Part of Kings County Vote Results])</totalsRowFormula>
    </tableColumn>
    <tableColumn id="5" xr3:uid="{C29C1CF8-C4E2-49C3-BB1B-8A7679426A76}" name="Part of Queens County Vote Results" totalsRowFunction="custom" dataDxfId="3035" totalsRowDxfId="3034">
      <totalsRowFormula>SUM(StateSenatorSenateDistrict19General[Part of Queens County Vote Results])</totalsRowFormula>
    </tableColumn>
    <tableColumn id="3" xr3:uid="{E8BD9C0A-CECD-4BE4-81E7-78272E040E1C}" name="Total Votes by Party" totalsRowFunction="custom" dataDxfId="3033" totalsRowDxfId="3032">
      <calculatedColumnFormula>SUM(B3,C3)</calculatedColumnFormula>
      <totalsRowFormula>SUM(StateSenatorSenateDistrict19General[Total Votes by Party])</totalsRowFormula>
    </tableColumn>
    <tableColumn id="2" xr3:uid="{5193BC15-C974-4B70-94EF-537FDAB26785}" name="Total Votes by Candidate" dataDxfId="3031" totalsRowDxfId="3030">
      <calculatedColumnFormula>SUM(StateSenatorSenateDistrict19General[[#This Row],[Total Votes by Party]])</calculatedColumnFormula>
    </tableColumn>
  </tableColumns>
  <tableStyleInfo name="TableStyleMedium2" showFirstColumn="0" showLastColumn="0" showRowStripes="0"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42744B4D-565D-4C7A-8534-6F534F117B5B}" name="StateSenatorSenateDistrict20General" displayName="StateSenatorSenateDistrict20General" ref="A2:D7" totalsRowCount="1" headerRowDxfId="3029" dataDxfId="3027" totalsRowDxfId="3025" headerRowBorderDxfId="3028" tableBorderDxfId="3026" totalsRowBorderDxfId="3024">
  <autoFilter ref="A2:D6" xr:uid="{AFA44E0C-7A77-4DA9-BCC6-62ECEEFCFD7E}">
    <filterColumn colId="0" hiddenButton="1"/>
    <filterColumn colId="1" hiddenButton="1"/>
    <filterColumn colId="2" hiddenButton="1"/>
    <filterColumn colId="3" hiddenButton="1"/>
  </autoFilter>
  <tableColumns count="4">
    <tableColumn id="1" xr3:uid="{559F58DB-2419-49C1-BA5D-74520A28B5C6}" name="Candidate Name (Party)" totalsRowLabel="Total Votes by County" dataDxfId="3023" totalsRowDxfId="3022"/>
    <tableColumn id="4" xr3:uid="{8687F0D6-BDD3-4EC2-8407-8E4FDF8D8806}" name="Part of Kings County Vote Results" totalsRowFunction="custom" dataDxfId="3021" totalsRowDxfId="3020">
      <totalsRowFormula>SUM(StateSenatorSenateDistrict20General[Part of Kings County Vote Results])</totalsRowFormula>
    </tableColumn>
    <tableColumn id="3" xr3:uid="{9EB0CE09-C08B-4459-8537-B77635BD24F0}" name="Total Votes by Party" totalsRowFunction="custom" dataDxfId="3019" totalsRowDxfId="3018">
      <calculatedColumnFormula>StateSenatorSenateDistrict20General[[#This Row],[Part of Kings County Vote Results]]</calculatedColumnFormula>
      <totalsRowFormula>SUM(StateSenatorSenateDistrict20General[Total Votes by Party])</totalsRowFormula>
    </tableColumn>
    <tableColumn id="2" xr3:uid="{B424E451-AAF5-4883-BB23-A7B292D981FA}" name="Total Votes by Candidate" dataDxfId="3017" totalsRowDxfId="3016"/>
  </tableColumns>
  <tableStyleInfo name="TableStyleMedium2" showFirstColumn="0" showLastColumn="0" showRowStripes="0"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AA5EDE98-AE4D-4F12-80FC-133A8EBAF4B9}" name="StateSenatorSenateDistrict21General" displayName="StateSenatorSenateDistrict21General" ref="A2:D7" totalsRowCount="1" headerRowDxfId="3015" dataDxfId="3013" totalsRowDxfId="3011" headerRowBorderDxfId="3014" tableBorderDxfId="3012" totalsRowBorderDxfId="3010">
  <autoFilter ref="A2:D6" xr:uid="{8BDB381A-505B-4556-9F70-C3008AC9457E}">
    <filterColumn colId="0" hiddenButton="1"/>
    <filterColumn colId="1" hiddenButton="1"/>
    <filterColumn colId="2" hiddenButton="1"/>
    <filterColumn colId="3" hiddenButton="1"/>
  </autoFilter>
  <tableColumns count="4">
    <tableColumn id="1" xr3:uid="{8126999F-8387-425A-A53D-61DFF60B0683}" name="Candidate Name (Party)" totalsRowLabel="Total Votes by County" dataDxfId="3009" totalsRowDxfId="3008"/>
    <tableColumn id="4" xr3:uid="{9148B700-2D15-4DC9-AE6A-03C96B66AB9F}" name="Part of Kings County Vote Results" totalsRowFunction="custom" dataDxfId="3007" totalsRowDxfId="3006">
      <totalsRowFormula>SUM(StateSenatorSenateDistrict21General[Part of Kings County Vote Results])</totalsRowFormula>
    </tableColumn>
    <tableColumn id="3" xr3:uid="{769F07F1-0D66-47C2-B266-BFAD09927210}" name="Total Votes by Party" totalsRowFunction="custom" dataDxfId="3005" totalsRowDxfId="3004">
      <calculatedColumnFormula>StateSenatorSenateDistrict21General[[#This Row],[Part of Kings County Vote Results]]</calculatedColumnFormula>
      <totalsRowFormula>SUM(StateSenatorSenateDistrict21General[Total Votes by Party])</totalsRowFormula>
    </tableColumn>
    <tableColumn id="2" xr3:uid="{F51C3F30-7F0B-4D15-9E24-255E26AD166B}" name="Total Votes by Candidate" dataDxfId="3003" totalsRowDxfId="3002">
      <calculatedColumnFormula>SUM(StateSenatorSenateDistrict21General[[#This Row],[Total Votes by Party]])</calculatedColumnFormula>
    </tableColumn>
  </tableColumns>
  <tableStyleInfo name="TableStyleMedium2" showFirstColumn="0" showLastColumn="0" showRowStripes="0"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E00888A0-1C6A-42E6-9F43-D8D72B2EC7C2}" name="StateSenatorSenateDistrict22General" displayName="StateSenatorSenateDistrict22General" ref="A2:D9" totalsRowCount="1" headerRowDxfId="3001" dataDxfId="2999" totalsRowDxfId="2997" headerRowBorderDxfId="3000" tableBorderDxfId="2998" totalsRowBorderDxfId="2996">
  <autoFilter ref="A2:D8" xr:uid="{44108E97-03E6-4A5D-A27C-003B5E8A5A04}">
    <filterColumn colId="0" hiddenButton="1"/>
    <filterColumn colId="1" hiddenButton="1"/>
    <filterColumn colId="2" hiddenButton="1"/>
    <filterColumn colId="3" hiddenButton="1"/>
  </autoFilter>
  <tableColumns count="4">
    <tableColumn id="1" xr3:uid="{80BFB433-8FD7-4F5A-BFFF-5E9418B45AE3}" name="Candidate Name (Party)" totalsRowLabel="Total Votes by County" dataDxfId="2995" totalsRowDxfId="2994"/>
    <tableColumn id="4" xr3:uid="{4891CE5E-8B4C-4CFF-99F0-E61AC993F174}" name="Part of Kings County Vote Results" totalsRowFunction="custom" dataDxfId="2993" totalsRowDxfId="2992">
      <totalsRowFormula>SUM(StateSenatorSenateDistrict22General[Part of Kings County Vote Results])</totalsRowFormula>
    </tableColumn>
    <tableColumn id="3" xr3:uid="{46A03BDE-5A1E-48B1-BC99-52FDCAA53EAF}" name="Total Votes by Party" totalsRowFunction="custom" dataDxfId="2991" totalsRowDxfId="2990">
      <calculatedColumnFormula>StateSenatorSenateDistrict22General[[#This Row],[Part of Kings County Vote Results]]</calculatedColumnFormula>
      <totalsRowFormula>SUM(StateSenatorSenateDistrict22General[Total Votes by Party])</totalsRowFormula>
    </tableColumn>
    <tableColumn id="2" xr3:uid="{95D99DD3-5881-4F8A-A3ED-E70172B3E4F0}" name="Total Votes by Candidate" dataDxfId="2989" totalsRowDxfId="2988"/>
  </tableColumns>
  <tableStyleInfo name="TableStyleMedium2" showFirstColumn="0" showLastColumn="0" showRowStripes="0"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78D35208-B330-42B1-AE81-FA4B093ECEAC}" name="StateSenatorSenateDistrict23General" displayName="StateSenatorSenateDistrict23General" ref="A2:E8" totalsRowCount="1" headerRowDxfId="2987" dataDxfId="2985" totalsRowDxfId="2983" headerRowBorderDxfId="2986" tableBorderDxfId="2984" totalsRowBorderDxfId="2982">
  <autoFilter ref="A2:E7" xr:uid="{54126B05-CA63-458B-A224-2EA9D7AFEEA2}">
    <filterColumn colId="0" hiddenButton="1"/>
    <filterColumn colId="1" hiddenButton="1"/>
    <filterColumn colId="2" hiddenButton="1"/>
    <filterColumn colId="3" hiddenButton="1"/>
    <filterColumn colId="4" hiddenButton="1"/>
  </autoFilter>
  <tableColumns count="5">
    <tableColumn id="1" xr3:uid="{38690208-9672-4933-824E-5FAEABA64DF6}" name="Candidate Name (Party)" totalsRowLabel="Total Votes by County" dataDxfId="2981" totalsRowDxfId="2980"/>
    <tableColumn id="2" xr3:uid="{4C7D22C0-8431-4B4E-8575-80C8A4F69F8F}" name="Part of Kings County Vote Results" totalsRowFunction="custom" dataDxfId="2979" totalsRowDxfId="2978">
      <totalsRowFormula>SUM(StateSenatorSenateDistrict23General[Part of Kings County Vote Results])</totalsRowFormula>
    </tableColumn>
    <tableColumn id="4" xr3:uid="{10356E8A-43A0-4E93-A7D1-6D49AB6CF314}" name="Part of Richmond County Vote Results" totalsRowFunction="custom" dataDxfId="2977" totalsRowDxfId="2976">
      <totalsRowFormula>SUM(StateSenatorSenateDistrict23General[Part of Richmond County Vote Results])</totalsRowFormula>
    </tableColumn>
    <tableColumn id="3" xr3:uid="{8D535F2A-F2FF-4D2E-BE14-B34E8E206667}" name="Total Votes by Party" totalsRowFunction="custom" dataDxfId="2975" totalsRowDxfId="2974">
      <calculatedColumnFormula>SUM(StateSenatorSenateDistrict23General[[#This Row],[Part of Kings County Vote Results]:[Part of Richmond County Vote Results]])</calculatedColumnFormula>
      <totalsRowFormula>SUM(StateSenatorSenateDistrict23General[Total Votes by Party])</totalsRowFormula>
    </tableColumn>
    <tableColumn id="5" xr3:uid="{99407B1F-6D43-47B7-B9F8-0347481FD593}" name="Total Votes by Candidate" dataDxfId="2973" totalsRowDxfId="2972"/>
  </tableColumns>
  <tableStyleInfo name="TableStyleMedium2"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1" xr:uid="{CABA0AFC-CC20-41F7-BFAF-EC34F1CCA72A}" name="RepInCongressCongressionalDistrict19General247248250251252" displayName="RepInCongressCongressionalDistrict19General247248250251252" ref="A2:K20" totalsRowCount="1" headerRowDxfId="3903" dataDxfId="3901" totalsRowDxfId="3899" headerRowBorderDxfId="3902" tableBorderDxfId="3900" totalsRowBorderDxfId="3898">
  <autoFilter ref="A2:K19" xr:uid="{E4E31CCD-DBAF-461B-809F-2E5F9AA9AF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3140CB7B-57F8-4C85-BD8E-52E00D50F687}" name="Candidate Name (Party)" totalsRowLabel="Total Votes by County" dataDxfId="3897" totalsRowDxfId="3896"/>
    <tableColumn id="7" xr3:uid="{4612E9DC-1450-4C8B-9537-D14F1BFCFA25}" name="Allegany County_x000a_Vote Results" totalsRowFunction="custom" dataDxfId="3895" totalsRowDxfId="3894">
      <totalsRowFormula>SUM(RepInCongressCongressionalDistrict19General247248250251252[Allegany County
Vote Results])</totalsRowFormula>
    </tableColumn>
    <tableColumn id="2" xr3:uid="{0C26D9B3-4865-4094-9EF8-6CD8E757ECCB}" name="Cattaraugus County_x000a_Vote Results" totalsRowFunction="custom" dataDxfId="3893" totalsRowDxfId="3892">
      <totalsRowFormula>SUM(RepInCongressCongressionalDistrict19General247248250251252[Cattaraugus County
Vote Results])</totalsRowFormula>
    </tableColumn>
    <tableColumn id="3" xr3:uid="{82A256A4-CFF6-4384-BD60-AE3DE20FC4D8}" name="Chautauqua County_x000a_Vote Results" totalsRowFunction="custom" dataDxfId="3891" totalsRowDxfId="3890">
      <totalsRowFormula>SUM(RepInCongressCongressionalDistrict19General247248250251252[Chautauqua County
Vote Results])</totalsRowFormula>
    </tableColumn>
    <tableColumn id="13" xr3:uid="{320467C4-0755-4756-8867-1EDFA207BCE4}" name="Erie County _x000a_Vote Results" totalsRowFunction="custom" dataDxfId="3889" totalsRowDxfId="3888">
      <totalsRowFormula>SUM(RepInCongressCongressionalDistrict19General247248250251252[Erie County 
Vote Results])</totalsRowFormula>
    </tableColumn>
    <tableColumn id="11" xr3:uid="{355DB3A3-1A3C-49EB-9E5C-0713A861F845}" name="Genesee County_x000a_Vote Results" totalsRowFunction="custom" dataDxfId="3887" totalsRowDxfId="3886">
      <totalsRowFormula>SUM(RepInCongressCongressionalDistrict19General247248250251252[Genesee County
Vote Results])</totalsRowFormula>
    </tableColumn>
    <tableColumn id="10" xr3:uid="{C503B928-0D81-4C4D-B2C6-0291088A5450}" name="Niagara County_x000a_Vote Results" totalsRowFunction="custom" dataDxfId="3885" totalsRowDxfId="3884">
      <totalsRowFormula>SUM(RepInCongressCongressionalDistrict19General247248250251252[Niagara County
Vote Results])</totalsRowFormula>
    </tableColumn>
    <tableColumn id="9" xr3:uid="{2D48A071-C111-4B08-BD72-85308673F4B8}" name="Orleans County_x000a_Vote Results" totalsRowFunction="custom" dataDxfId="3883" totalsRowDxfId="3882">
      <totalsRowFormula>SUM(RepInCongressCongressionalDistrict19General247248250251252[Orleans County
Vote Results])</totalsRowFormula>
    </tableColumn>
    <tableColumn id="8" xr3:uid="{61AFCDB8-0385-4A13-84C3-4AEAB706CA53}" name="Wyoming County _x000a_Vote Results" totalsRowFunction="custom" dataDxfId="3881" totalsRowDxfId="3880">
      <totalsRowFormula>SUM(RepInCongressCongressionalDistrict19General247248250251252[Wyoming County 
Vote Results])</totalsRowFormula>
    </tableColumn>
    <tableColumn id="14" xr3:uid="{9A51A560-EC33-4A86-B122-EAA694E4C3FD}" name="Total Votes by Party" totalsRowFunction="custom" dataDxfId="3879" totalsRowDxfId="3878">
      <calculatedColumnFormula>SUM(B3:I3)</calculatedColumnFormula>
      <totalsRowFormula>SUM(RepInCongressCongressionalDistrict19General247248250251252[Total Votes by Party])</totalsRowFormula>
    </tableColumn>
    <tableColumn id="5" xr3:uid="{78FBC6E5-A4C1-42C2-9C3B-858D7AD5DD4A}" name="Total Votes by Candidate" dataDxfId="3877" totalsRowDxfId="3876"/>
  </tableColumns>
  <tableStyleInfo name="TableStyleMedium2" showFirstColumn="0" showLastColumn="0" showRowStripes="0"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4A970849-F07A-438F-8228-A0C4A4E5F442}" name="StateSenatorSenateDistrict24General" displayName="StateSenatorSenateDistrict24General" ref="A2:D8" totalsRowCount="1" headerRowDxfId="2971" dataDxfId="2969" totalsRowDxfId="2967" headerRowBorderDxfId="2970" tableBorderDxfId="2968" totalsRowBorderDxfId="2966">
  <autoFilter ref="A2:D7" xr:uid="{E197A7CC-BC9F-46C0-9F14-E8C9E98C1D89}">
    <filterColumn colId="0" hiddenButton="1"/>
    <filterColumn colId="1" hiddenButton="1"/>
    <filterColumn colId="2" hiddenButton="1"/>
    <filterColumn colId="3" hiddenButton="1"/>
  </autoFilter>
  <tableColumns count="4">
    <tableColumn id="1" xr3:uid="{A081D206-8808-44CE-9B19-AD7B1FC359B8}" name="Candidate Name (Party)" totalsRowLabel="Total Votes by County" dataDxfId="2965" totalsRowDxfId="2964"/>
    <tableColumn id="4" xr3:uid="{C6A5F496-B6B1-4E66-A8DC-6335AC5A5B82}" name="Part of Richmond County Vote Results" totalsRowFunction="custom" dataDxfId="2963" totalsRowDxfId="2962">
      <totalsRowFormula>SUM(StateSenatorSenateDistrict24General[Part of Richmond County Vote Results])</totalsRowFormula>
    </tableColumn>
    <tableColumn id="3" xr3:uid="{ACC84ACB-B819-40B6-9892-0DCE25B1A574}" name="Total Votes by Party" totalsRowFunction="custom" dataDxfId="2961" totalsRowDxfId="2960">
      <calculatedColumnFormula>StateSenatorSenateDistrict24General[[#This Row],[Part of Richmond County Vote Results]]</calculatedColumnFormula>
      <totalsRowFormula>SUM(StateSenatorSenateDistrict24General[Total Votes by Party])</totalsRowFormula>
    </tableColumn>
    <tableColumn id="2" xr3:uid="{660EA13B-6642-466D-A8A5-1350C3718381}" name="Total Votes by Candidate" dataDxfId="2959" totalsRowDxfId="2958">
      <calculatedColumnFormula>SUM(StateSenatorSenateDistrict24General[[#This Row],[Total Votes by Party]],C4)</calculatedColumnFormula>
    </tableColumn>
  </tableColumns>
  <tableStyleInfo name="TableStyleMedium2" showFirstColumn="0" showLastColumn="0" showRowStripes="0"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415CA586-A6EA-4A24-A8EA-5624E6A5652E}" name="StateSenatorSenateDistrict25General" displayName="StateSenatorSenateDistrict25General" ref="A2:D7" totalsRowCount="1" headerRowDxfId="2957" dataDxfId="2955" totalsRowDxfId="2953" headerRowBorderDxfId="2956" tableBorderDxfId="2954" totalsRowBorderDxfId="2952">
  <autoFilter ref="A2:D6" xr:uid="{06ECA87C-D4FC-4637-A821-A249C3AF945C}">
    <filterColumn colId="0" hiddenButton="1"/>
    <filterColumn colId="1" hiddenButton="1"/>
    <filterColumn colId="2" hiddenButton="1"/>
    <filterColumn colId="3" hiddenButton="1"/>
  </autoFilter>
  <tableColumns count="4">
    <tableColumn id="1" xr3:uid="{DC66AC81-D18B-4C28-A789-A8D9BEF5DB84}" name="Candidate Name (Party)" totalsRowLabel="Total Votes by County" dataDxfId="2951" totalsRowDxfId="2950"/>
    <tableColumn id="4" xr3:uid="{91497426-F09B-4B73-8112-2F1AEBA6D940}" name="Part of Kings County Vote Results" totalsRowFunction="custom" dataDxfId="2949" totalsRowDxfId="2948">
      <totalsRowFormula>SUM(StateSenatorSenateDistrict25General[Part of Kings County Vote Results])</totalsRowFormula>
    </tableColumn>
    <tableColumn id="3" xr3:uid="{E7B6B9C5-59F5-4F2E-BD24-766876FD648A}" name="Total Votes by Party" totalsRowFunction="custom" dataDxfId="2947" totalsRowDxfId="2946">
      <calculatedColumnFormula>StateSenatorSenateDistrict25General[[#This Row],[Part of Kings County Vote Results]]</calculatedColumnFormula>
      <totalsRowFormula>SUM(StateSenatorSenateDistrict25General[Total Votes by Party])</totalsRowFormula>
    </tableColumn>
    <tableColumn id="2" xr3:uid="{AF245713-5CD8-4F17-B73F-645113E2C173}" name="Total Votes by Candidate" dataDxfId="2945" totalsRowDxfId="2944">
      <calculatedColumnFormula>SUM(StateSenatorSenateDistrict25General[[#This Row],[Total Votes by Party]])</calculatedColumnFormula>
    </tableColumn>
  </tableColumns>
  <tableStyleInfo name="TableStyleMedium2" showFirstColumn="0" showLastColumn="0" showRowStripes="0"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A18DBB67-6876-4D28-86A6-59B54ED85886}" name="StateSenatorSenateDistrict26General" displayName="StateSenatorSenateDistrict26General" ref="A2:E10" totalsRowCount="1" headerRowDxfId="2943" dataDxfId="2941" totalsRowDxfId="2939" headerRowBorderDxfId="2942" tableBorderDxfId="2940" totalsRowBorderDxfId="2938">
  <autoFilter ref="A2:E9" xr:uid="{8B8E72CF-749E-40B9-9100-BF3DC73FCED1}">
    <filterColumn colId="0" hiddenButton="1"/>
    <filterColumn colId="1" hiddenButton="1"/>
    <filterColumn colId="2" hiddenButton="1"/>
    <filterColumn colId="3" hiddenButton="1"/>
    <filterColumn colId="4" hiddenButton="1"/>
  </autoFilter>
  <tableColumns count="5">
    <tableColumn id="1" xr3:uid="{449CE19B-4493-4BD2-840A-F1146FB23FED}" name="Candidate Name (Party)" totalsRowLabel="Total Votes by County" dataDxfId="2937" totalsRowDxfId="2936"/>
    <tableColumn id="2" xr3:uid="{4B21D48F-F875-483E-99F1-7FE6DCE935EB}" name="Part of Kings County Vote Results" totalsRowFunction="custom" dataDxfId="2935" totalsRowDxfId="2934">
      <totalsRowFormula>SUM(StateSenatorSenateDistrict26General[Part of Kings County Vote Results])</totalsRowFormula>
    </tableColumn>
    <tableColumn id="4" xr3:uid="{4760DA05-627C-443B-BE15-F9E7E17DBFB6}" name="Part of New York County Vote Results" totalsRowFunction="custom" dataDxfId="2933" totalsRowDxfId="2932">
      <totalsRowFormula>SUM(StateSenatorSenateDistrict26General[Part of New York County Vote Results])</totalsRowFormula>
    </tableColumn>
    <tableColumn id="3" xr3:uid="{474AEBFA-0DE5-43FB-A5E4-DAFFBB335C63}" name="Total Votes by Party" totalsRowFunction="custom" dataDxfId="2931" totalsRowDxfId="2930">
      <calculatedColumnFormula>SUM(StateSenatorSenateDistrict26General[[#This Row],[Part of Kings County Vote Results]:[Part of New York County Vote Results]])</calculatedColumnFormula>
      <totalsRowFormula>SUM(StateSenatorSenateDistrict26General[Total Votes by Party])</totalsRowFormula>
    </tableColumn>
    <tableColumn id="5" xr3:uid="{23A9E8B2-6497-45E0-A98A-7126B27284BD}" name="Total Votes by Candidate" dataDxfId="2929" totalsRowDxfId="2928"/>
  </tableColumns>
  <tableStyleInfo name="TableStyleMedium2" showFirstColumn="0" showLastColumn="0" showRowStripes="0"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39A2025D-7282-44E1-86D4-16990F31E8B9}" name="StateSenatorSenateDistrict27General" displayName="StateSenatorSenateDistrict27General" ref="A2:D8" totalsRowCount="1" headerRowDxfId="2927" dataDxfId="2925" totalsRowDxfId="2923" headerRowBorderDxfId="2926" tableBorderDxfId="2924" totalsRowBorderDxfId="2922">
  <autoFilter ref="A2:D7" xr:uid="{62C311E0-B033-4133-8CC3-8FB9FA631EE3}">
    <filterColumn colId="0" hiddenButton="1"/>
    <filterColumn colId="1" hiddenButton="1"/>
    <filterColumn colId="2" hiddenButton="1"/>
    <filterColumn colId="3" hiddenButton="1"/>
  </autoFilter>
  <tableColumns count="4">
    <tableColumn id="1" xr3:uid="{9D89D77B-B1A0-4947-AA33-951DB0EC223A}" name="Candidate Name (Party)" totalsRowLabel="Total Votes by County" dataDxfId="2921" totalsRowDxfId="2920"/>
    <tableColumn id="4" xr3:uid="{E36AFE4A-7708-4E38-B1E5-51F733EEE335}" name="Part of New York County Vote Results" totalsRowFunction="custom" dataDxfId="2919" totalsRowDxfId="2918">
      <totalsRowFormula>SUM(StateSenatorSenateDistrict27General[Part of New York County Vote Results])</totalsRowFormula>
    </tableColumn>
    <tableColumn id="3" xr3:uid="{332B8E4F-19F5-420F-BADC-416AE090E113}" name="Total Votes by Party" totalsRowFunction="custom" dataDxfId="2917" totalsRowDxfId="2916">
      <calculatedColumnFormula>StateSenatorSenateDistrict27General[[#This Row],[Part of New York County Vote Results]]</calculatedColumnFormula>
      <totalsRowFormula>SUM(StateSenatorSenateDistrict27General[Total Votes by Party])</totalsRowFormula>
    </tableColumn>
    <tableColumn id="2" xr3:uid="{F8C9F9EA-F0D8-423B-9B1B-945E0B4AB8B1}" name="Total Votes by Candidate" dataDxfId="2915" totalsRowDxfId="2914">
      <calculatedColumnFormula>SUM(StateSenatorSenateDistrict27General[[#This Row],[Total Votes by Party]],C4)</calculatedColumnFormula>
    </tableColumn>
  </tableColumns>
  <tableStyleInfo name="TableStyleMedium2" showFirstColumn="0" showLastColumn="0" showRowStripes="0"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C97A16B2-FCFF-4F8D-9831-F596DB96269C}" name="StateSenatorSenateDistrict28General" displayName="StateSenatorSenateDistrict28General" ref="A2:D8" totalsRowCount="1" headerRowDxfId="2913" dataDxfId="2911" totalsRowDxfId="2909" headerRowBorderDxfId="2912" tableBorderDxfId="2910" totalsRowBorderDxfId="2908">
  <autoFilter ref="A2:D7" xr:uid="{4369AD02-EED6-41FF-98B0-674AF9E33135}">
    <filterColumn colId="0" hiddenButton="1"/>
    <filterColumn colId="1" hiddenButton="1"/>
    <filterColumn colId="2" hiddenButton="1"/>
    <filterColumn colId="3" hiddenButton="1"/>
  </autoFilter>
  <tableColumns count="4">
    <tableColumn id="1" xr3:uid="{D205EAE1-C279-49C4-AEA7-33C2ABDDC18B}" name="Candidate Name (Party)" totalsRowLabel="Total Votes by County" dataDxfId="2907" totalsRowDxfId="2906"/>
    <tableColumn id="4" xr3:uid="{F756F126-48B2-4FC8-A653-DA3148FAC548}" name="Part of New York County Vote Results" totalsRowFunction="custom" dataDxfId="2905" totalsRowDxfId="2904">
      <totalsRowFormula>SUM(StateSenatorSenateDistrict28General[Part of New York County Vote Results])</totalsRowFormula>
    </tableColumn>
    <tableColumn id="3" xr3:uid="{8DEA589F-796B-479E-9636-CF109BBDFB33}" name="Total Votes by Party" totalsRowFunction="custom" dataDxfId="2903" totalsRowDxfId="2902">
      <calculatedColumnFormula>StateSenatorSenateDistrict28General[[#This Row],[Part of New York County Vote Results]]</calculatedColumnFormula>
      <totalsRowFormula>SUM(StateSenatorSenateDistrict28General[Total Votes by Party])</totalsRowFormula>
    </tableColumn>
    <tableColumn id="2" xr3:uid="{6EB0D7E2-E1CB-4089-908C-57988CA87098}" name="Total Votes by Candidate" dataDxfId="2901" totalsRowDxfId="2900"/>
  </tableColumns>
  <tableStyleInfo name="TableStyleMedium2" showFirstColumn="0" showLastColumn="0" showRowStripes="0"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49A2A74F-6DAD-4573-92F0-1860169EF7DF}" name="StateSenatorSenateDistrict29General" displayName="StateSenatorSenateDistrict29General" ref="A2:E10" totalsRowCount="1" headerRowDxfId="2899" dataDxfId="2897" totalsRowDxfId="2895" headerRowBorderDxfId="2898" tableBorderDxfId="2896" totalsRowBorderDxfId="2894">
  <autoFilter ref="A2:E9" xr:uid="{391D07F9-7643-47D4-8D64-70A4F00BAFE1}">
    <filterColumn colId="0" hiddenButton="1"/>
    <filterColumn colId="1" hiddenButton="1"/>
    <filterColumn colId="2" hiddenButton="1"/>
    <filterColumn colId="3" hiddenButton="1"/>
    <filterColumn colId="4" hiddenButton="1"/>
  </autoFilter>
  <tableColumns count="5">
    <tableColumn id="1" xr3:uid="{CFB1368B-BC4B-4043-8BBF-7383B01ADDA9}" name="Candidate Name (Party)" totalsRowLabel="Total Votes by County" dataDxfId="2893" totalsRowDxfId="2892"/>
    <tableColumn id="2" xr3:uid="{B17E912E-A4D2-48FA-BF37-C03C23AB3BB3}" name="Part of Bronx County Vote Results" totalsRowFunction="custom" dataDxfId="2891" totalsRowDxfId="2890">
      <totalsRowFormula>SUM(StateSenatorSenateDistrict29General[Part of Bronx County Vote Results])</totalsRowFormula>
    </tableColumn>
    <tableColumn id="4" xr3:uid="{C8BD0E94-4BAD-49AC-9E36-85F01E5D745E}" name="Part of New York County Vote Results" totalsRowFunction="custom" dataDxfId="2889" totalsRowDxfId="2888">
      <totalsRowFormula>SUM(StateSenatorSenateDistrict29General[Part of New York County Vote Results])</totalsRowFormula>
    </tableColumn>
    <tableColumn id="3" xr3:uid="{39CF84A5-6714-429E-ABDB-00D4F6052399}" name="Total Votes by Party" totalsRowFunction="custom" dataDxfId="2887" totalsRowDxfId="2886">
      <calculatedColumnFormula>SUM(StateSenatorSenateDistrict29General[[#This Row],[Part of Bronx County Vote Results]:[Part of New York County Vote Results]])</calculatedColumnFormula>
      <totalsRowFormula>SUM(StateSenatorSenateDistrict29General[Total Votes by Party])</totalsRowFormula>
    </tableColumn>
    <tableColumn id="5" xr3:uid="{72AE8E36-5756-44F3-B039-F9CA65DD45D9}" name="Total Votes by Candidate" dataDxfId="2885" totalsRowDxfId="2884"/>
  </tableColumns>
  <tableStyleInfo name="TableStyleMedium2" showFirstColumn="0" showLastColumn="0" showRowStripes="0"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9BC7E301-C668-4D5D-9582-155EE1DED1F0}" name="StateSenatorSenateDistrict30General" displayName="StateSenatorSenateDistrict30General" ref="A2:D8" totalsRowCount="1" headerRowDxfId="2883" dataDxfId="2881" totalsRowDxfId="2879" headerRowBorderDxfId="2882" tableBorderDxfId="2880" totalsRowBorderDxfId="2878">
  <autoFilter ref="A2:D7" xr:uid="{CCCA2082-346E-4E28-81FE-E416EE035169}">
    <filterColumn colId="0" hiddenButton="1"/>
    <filterColumn colId="1" hiddenButton="1"/>
    <filterColumn colId="2" hiddenButton="1"/>
    <filterColumn colId="3" hiddenButton="1"/>
  </autoFilter>
  <tableColumns count="4">
    <tableColumn id="1" xr3:uid="{4A2E4242-9BBC-4A0E-B083-84D2EADEAC39}" name="Candidate Name (Party)" totalsRowLabel="Total Votes by County" dataDxfId="2877" totalsRowDxfId="2876"/>
    <tableColumn id="4" xr3:uid="{193BD66E-AB40-41F3-9DD8-8BAC888DF4D4}" name="Part of New York County Vote Results" totalsRowFunction="custom" dataDxfId="2875" totalsRowDxfId="2874">
      <totalsRowFormula>SUM(StateSenatorSenateDistrict30General[Part of New York County Vote Results])</totalsRowFormula>
    </tableColumn>
    <tableColumn id="3" xr3:uid="{3EA67C04-FA0D-438C-A063-3EDCF72FCD98}" name="Total Votes by Party" totalsRowFunction="custom" dataDxfId="2873" totalsRowDxfId="2872">
      <calculatedColumnFormula>StateSenatorSenateDistrict30General[[#This Row],[Part of New York County Vote Results]]</calculatedColumnFormula>
      <totalsRowFormula>SUM(StateSenatorSenateDistrict30General[Total Votes by Party])</totalsRowFormula>
    </tableColumn>
    <tableColumn id="2" xr3:uid="{61736CC5-B640-47E1-9FD5-E449DC40019B}" name="Total Votes by Candidate" dataDxfId="2871" totalsRowDxfId="2870"/>
  </tableColumns>
  <tableStyleInfo name="TableStyleMedium2" showFirstColumn="0" showLastColumn="0" showRowStripes="0"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500ED693-07AD-4EB2-BE32-2484E3F32B4A}" name="StateSenatorSenateDistrict31General" displayName="StateSenatorSenateDistrict31General" ref="A2:E8" totalsRowCount="1" headerRowDxfId="2869" dataDxfId="2867" totalsRowDxfId="2865" headerRowBorderDxfId="2868" tableBorderDxfId="2866" totalsRowBorderDxfId="2864">
  <autoFilter ref="A2:E7" xr:uid="{AC89B2AA-2F33-4C00-947B-3AC1042912D3}">
    <filterColumn colId="0" hiddenButton="1"/>
    <filterColumn colId="1" hiddenButton="1"/>
    <filterColumn colId="2" hiddenButton="1"/>
    <filterColumn colId="3" hiddenButton="1"/>
    <filterColumn colId="4" hiddenButton="1"/>
  </autoFilter>
  <tableColumns count="5">
    <tableColumn id="1" xr3:uid="{F60AE3F8-FD11-44EE-9454-DC834ECD7D5C}" name="Candidate Name (Party)" totalsRowLabel="Total Votes by County" dataDxfId="2863" totalsRowDxfId="2862"/>
    <tableColumn id="4" xr3:uid="{5BF3D826-3AF4-45CD-9CB6-47A5BCFE06ED}" name="Part of Bronx County Vote Results" totalsRowFunction="custom" dataDxfId="2861" totalsRowDxfId="2860">
      <totalsRowFormula>SUM(StateSenatorSenateDistrict31General[Part of Bronx County Vote Results])</totalsRowFormula>
    </tableColumn>
    <tableColumn id="5" xr3:uid="{D0CD3F4B-597E-410F-9A6F-33229F041FCA}" name="Part of New York County Vote Results" totalsRowFunction="custom" dataDxfId="2859" totalsRowDxfId="2858">
      <totalsRowFormula>SUM(StateSenatorSenateDistrict31General[Part of New York County Vote Results])</totalsRowFormula>
    </tableColumn>
    <tableColumn id="3" xr3:uid="{E5B7D223-1A38-4903-949D-6C283FE7A921}" name="Total Votes by Party" totalsRowFunction="custom" dataDxfId="2857" totalsRowDxfId="2856">
      <calculatedColumnFormula>SUM(B3,C3)</calculatedColumnFormula>
      <totalsRowFormula>SUM(StateSenatorSenateDistrict31General[Total Votes by Party])</totalsRowFormula>
    </tableColumn>
    <tableColumn id="2" xr3:uid="{E7750352-3988-40C3-BFF3-FCF743BC602A}" name="Total Votes by Candidate" dataDxfId="2855" totalsRowDxfId="2854"/>
  </tableColumns>
  <tableStyleInfo name="TableStyleMedium2" showFirstColumn="0" showLastColumn="0" showRowStripes="0"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DA93F020-376F-4836-AB79-2725B88DE4BA}" name="StateSenatorSenateDistrict32General" displayName="StateSenatorSenateDistrict32General" ref="A2:D9" totalsRowCount="1" headerRowDxfId="2853" dataDxfId="2851" totalsRowDxfId="2849" headerRowBorderDxfId="2852" tableBorderDxfId="2850" totalsRowBorderDxfId="2848">
  <autoFilter ref="A2:D8" xr:uid="{66B45EA2-D6CB-4A17-AEE7-0AED9F515D9C}">
    <filterColumn colId="0" hiddenButton="1"/>
    <filterColumn colId="1" hiddenButton="1"/>
    <filterColumn colId="2" hiddenButton="1"/>
    <filterColumn colId="3" hiddenButton="1"/>
  </autoFilter>
  <tableColumns count="4">
    <tableColumn id="1" xr3:uid="{F9F72143-7100-43C4-95FC-CE0B3F0F6CB1}" name="Candidate Name (Party)" totalsRowLabel="Total Votes by County" dataDxfId="2847" totalsRowDxfId="2846"/>
    <tableColumn id="4" xr3:uid="{F87417F6-9E22-4266-9921-FFAC5F4AA320}" name="Part of Bronx County Vote Results" totalsRowFunction="custom" dataDxfId="2845" totalsRowDxfId="2844">
      <totalsRowFormula>SUM(StateSenatorSenateDistrict32General[Part of Bronx County Vote Results])</totalsRowFormula>
    </tableColumn>
    <tableColumn id="3" xr3:uid="{6A6D23DC-D8C1-4285-929C-92EAF3AAF06D}" name="Total Votes by Party" totalsRowFunction="custom" dataDxfId="2843" totalsRowDxfId="2842">
      <calculatedColumnFormula>StateSenatorSenateDistrict32General[[#This Row],[Part of Bronx County Vote Results]]</calculatedColumnFormula>
      <totalsRowFormula>SUM(StateSenatorSenateDistrict32General[Total Votes by Party])</totalsRowFormula>
    </tableColumn>
    <tableColumn id="2" xr3:uid="{EFCD6B1A-2F1F-4AB1-BE5C-B3140BDBF860}" name="Total Votes by Candidate" dataDxfId="2841" totalsRowDxfId="2840"/>
  </tableColumns>
  <tableStyleInfo name="TableStyleMedium2" showFirstColumn="0" showLastColumn="0" showRowStripes="0"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5D4E8179-0B48-42E7-8B61-D546A22B5265}" name="StateSenatorSenateDistrict33General" displayName="StateSenatorSenateDistrict33General" ref="A2:D10" totalsRowCount="1" headerRowDxfId="2839" dataDxfId="2837" totalsRowDxfId="2835" headerRowBorderDxfId="2838" tableBorderDxfId="2836" totalsRowBorderDxfId="2834">
  <autoFilter ref="A2:D9" xr:uid="{E03987BE-97E4-4885-9FB9-6ACFB481227A}">
    <filterColumn colId="0" hiddenButton="1"/>
    <filterColumn colId="1" hiddenButton="1"/>
    <filterColumn colId="2" hiddenButton="1"/>
    <filterColumn colId="3" hiddenButton="1"/>
  </autoFilter>
  <tableColumns count="4">
    <tableColumn id="1" xr3:uid="{574635AF-18D0-436E-BCF5-DB016BA936FA}" name="Candidate Name (Party)" totalsRowLabel="Total Votes by County" dataDxfId="2833" totalsRowDxfId="2832"/>
    <tableColumn id="4" xr3:uid="{D1B43DDE-71FA-4653-895C-1B74B5A19900}" name="Part of Bronx County Vote Results" totalsRowFunction="custom" dataDxfId="2831" totalsRowDxfId="2830">
      <totalsRowFormula>SUM(StateSenatorSenateDistrict33General[Part of Bronx County Vote Results])</totalsRowFormula>
    </tableColumn>
    <tableColumn id="3" xr3:uid="{99F4E1A0-2F5F-4499-AFE3-F6950C3F2CCA}" name="Total Votes by Party" totalsRowFunction="custom" dataDxfId="2829" totalsRowDxfId="2828">
      <calculatedColumnFormula>StateSenatorSenateDistrict33General[[#This Row],[Part of Bronx County Vote Results]]</calculatedColumnFormula>
      <totalsRowFormula>SUM(StateSenatorSenateDistrict33General[Total Votes by Party])</totalsRowFormula>
    </tableColumn>
    <tableColumn id="2" xr3:uid="{33C36009-141C-4F35-9028-1AF8B6F41D84}" name="Total Votes by Candidate" dataDxfId="2827" totalsRowDxfId="2826"/>
  </tableColumns>
  <tableStyleInfo name="TableStyleMedium2"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3" xr:uid="{5ED4920D-EC5A-4B90-8E5F-00648E4C368C}" name="RepInCongressCongressionalDistrict19General247249253254" displayName="RepInCongressCongressionalDistrict19General247249253254" ref="A2:E30" totalsRowCount="1" headerRowDxfId="3875" dataDxfId="3873" totalsRowDxfId="3871" headerRowBorderDxfId="3874" tableBorderDxfId="3872" totalsRowBorderDxfId="3870">
  <tableColumns count="5">
    <tableColumn id="1" xr3:uid="{DA14266D-6EF4-4F4C-9EC3-B4C1F4D43060}" name="Candidate Name (Party)" totalsRowLabel="Total Votes by County" dataDxfId="3869" totalsRowDxfId="3868"/>
    <tableColumn id="7" xr3:uid="{50F3388C-F8CB-4BAF-820F-28FD8D2B9F74}" name="Nassau County_x000a_Vote Results" totalsRowFunction="custom" dataDxfId="3867" totalsRowDxfId="3866">
      <totalsRowFormula>SUM(RepInCongressCongressionalDistrict19General247249253254[Nassau County
Vote Results])</totalsRowFormula>
    </tableColumn>
    <tableColumn id="8" xr3:uid="{DF6D1914-3712-47D5-BB9A-1DA6ACB22667}" name="Suffolk County _x000a_Vote Results" totalsRowFunction="custom" dataDxfId="3865" totalsRowDxfId="3864">
      <totalsRowFormula>SUM(RepInCongressCongressionalDistrict19General247249253254[Suffolk County 
Vote Results])</totalsRowFormula>
    </tableColumn>
    <tableColumn id="14" xr3:uid="{023FDDEC-79B5-42B5-ACEF-17FDA4672E3A}" name="Total Votes by Party" totalsRowFunction="custom" dataDxfId="3863" totalsRowDxfId="3862">
      <calculatedColumnFormula>SUM(B3:C3)</calculatedColumnFormula>
      <totalsRowFormula>SUM(RepInCongressCongressionalDistrict19General247249253254[Total Votes by Party])</totalsRowFormula>
    </tableColumn>
    <tableColumn id="5" xr3:uid="{B4B6FF82-43A8-496A-8FE1-9E78C51F68D8}" name="Total Votes by Candidate" dataDxfId="3861" totalsRowDxfId="3860"/>
  </tableColumns>
  <tableStyleInfo name="TableStyleMedium2" showFirstColumn="0" showLastColumn="0" showRowStripes="0"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A84669F7-8261-4291-8BC2-68C50DDC934A}" name="StateSenatorSenateDistrict34General" displayName="StateSenatorSenateDistrict34General" ref="A2:E9" totalsRowCount="1" headerRowDxfId="2825" dataDxfId="2823" totalsRowDxfId="2821" headerRowBorderDxfId="2824" tableBorderDxfId="2822" totalsRowBorderDxfId="2820">
  <autoFilter ref="A2:E8" xr:uid="{7160B362-E91B-4B57-9F7C-466B52FC771B}">
    <filterColumn colId="0" hiddenButton="1"/>
    <filterColumn colId="1" hiddenButton="1"/>
    <filterColumn colId="2" hiddenButton="1"/>
    <filterColumn colId="3" hiddenButton="1"/>
    <filterColumn colId="4" hiddenButton="1"/>
  </autoFilter>
  <tableColumns count="5">
    <tableColumn id="1" xr3:uid="{FD1404A9-EF40-4DF4-8D59-8423167D9D03}" name="Candidate Name (Party)" totalsRowLabel="Total Votes by County" dataDxfId="2819" totalsRowDxfId="2818"/>
    <tableColumn id="2" xr3:uid="{8673A5E2-FA25-4D97-91A7-1251F74C78C5}" name="Part of Bronx County_x000a_Vote Results" totalsRowFunction="custom" dataDxfId="2817" totalsRowDxfId="2816">
      <totalsRowFormula>SUM(StateSenatorSenateDistrict34General[Part of Bronx County
Vote Results])</totalsRowFormula>
    </tableColumn>
    <tableColumn id="4" xr3:uid="{88992249-EAF4-409B-B075-6586D2C1689D}" name="Part of Westchester County Vote Results" totalsRowFunction="custom" dataDxfId="2815" totalsRowDxfId="2814">
      <totalsRowFormula>SUM(StateSenatorSenateDistrict34General[Part of Westchester County Vote Results])</totalsRowFormula>
    </tableColumn>
    <tableColumn id="3" xr3:uid="{B36CB141-0F8A-4D5E-8E4A-B33F2C827572}" name="Total Votes by Party" totalsRowFunction="custom" dataDxfId="2813" totalsRowDxfId="2812">
      <calculatedColumnFormula>SUM(StateSenatorSenateDistrict34General[[#This Row],[Part of Bronx County
Vote Results]:[Part of Westchester County Vote Results]])</calculatedColumnFormula>
      <totalsRowFormula>SUM(StateSenatorSenateDistrict34General[Total Votes by Party])</totalsRowFormula>
    </tableColumn>
    <tableColumn id="5" xr3:uid="{7E17975F-3CBA-4E2E-A20F-8F55BC9C1A19}" name="Total Votes by Candidate" dataDxfId="2811" totalsRowDxfId="2810"/>
  </tableColumns>
  <tableStyleInfo name="TableStyleMedium2" showFirstColumn="0" showLastColumn="0" showRowStripes="0"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C7DE0220-91E0-4842-805A-B100A2D4D4AB}" name="StateSenatorSenateDistrict35General" displayName="StateSenatorSenateDistrict35General" ref="A2:D9" totalsRowCount="1" headerRowDxfId="2809" dataDxfId="2807" totalsRowDxfId="2805" headerRowBorderDxfId="2808" tableBorderDxfId="2806" totalsRowBorderDxfId="2804">
  <autoFilter ref="A2:D8" xr:uid="{2FE2021E-B3FC-4090-BFCF-0E5764AB8AE4}">
    <filterColumn colId="0" hiddenButton="1"/>
    <filterColumn colId="1" hiddenButton="1"/>
    <filterColumn colId="2" hiddenButton="1"/>
    <filterColumn colId="3" hiddenButton="1"/>
  </autoFilter>
  <tableColumns count="4">
    <tableColumn id="1" xr3:uid="{AE924922-0853-4ED1-9662-56AF1BB8502E}" name="Candidate Name (Party)" totalsRowLabel="Total Votes by County" dataDxfId="2803" totalsRowDxfId="2802"/>
    <tableColumn id="4" xr3:uid="{7D01D03C-E8AA-441B-89D1-0C19498EA622}" name="Part of Westchester County Vote Results" totalsRowFunction="custom" dataDxfId="2801" totalsRowDxfId="2800">
      <totalsRowFormula>SUM(StateSenatorSenateDistrict35General[Part of Westchester County Vote Results])</totalsRowFormula>
    </tableColumn>
    <tableColumn id="3" xr3:uid="{52203DE6-809A-4DEB-B289-E7DF4A54F9A0}" name="Total Votes by Party" totalsRowFunction="custom" dataDxfId="2799" totalsRowDxfId="2798">
      <calculatedColumnFormula>StateSenatorSenateDistrict35General[[#This Row],[Part of Westchester County Vote Results]]</calculatedColumnFormula>
      <totalsRowFormula>SUM(StateSenatorSenateDistrict35General[Total Votes by Party])</totalsRowFormula>
    </tableColumn>
    <tableColumn id="2" xr3:uid="{F758FD65-0F9C-4347-8279-45166C576A41}" name="Total Votes by Candidate" dataDxfId="2797" totalsRowDxfId="2796">
      <calculatedColumnFormula>SUM(StateSenatorSenateDistrict35General[[#This Row],[Total Votes by Party]],C4)</calculatedColumnFormula>
    </tableColumn>
  </tableColumns>
  <tableStyleInfo name="TableStyleMedium2" showFirstColumn="0" showLastColumn="0" showRowStripes="0"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F1D2FC9-EB81-4AE5-BE19-815FDAA27036}" name="StateSenatorSenateDistrict36General" displayName="StateSenatorSenateDistrict36General" ref="A2:E8" totalsRowCount="1" headerRowDxfId="2795" dataDxfId="2793" totalsRowDxfId="2791" headerRowBorderDxfId="2794" tableBorderDxfId="2792" totalsRowBorderDxfId="2790">
  <autoFilter ref="A2:E7" xr:uid="{2120EBA0-D9CB-4517-B699-FBA464EB0F1A}">
    <filterColumn colId="0" hiddenButton="1"/>
    <filterColumn colId="1" hiddenButton="1"/>
    <filterColumn colId="2" hiddenButton="1"/>
    <filterColumn colId="3" hiddenButton="1"/>
    <filterColumn colId="4" hiddenButton="1"/>
  </autoFilter>
  <tableColumns count="5">
    <tableColumn id="1" xr3:uid="{A3AC48FB-6D2A-460A-99BE-B2249B94F67A}" name="Candidate Name (Party)" totalsRowLabel="Total Votes by County" dataDxfId="2789" totalsRowDxfId="2788"/>
    <tableColumn id="2" xr3:uid="{B87ED142-D546-41F1-9E90-9AF187260AA5}" name="Part of Bronx County Vote Results" totalsRowFunction="custom" dataDxfId="2787" totalsRowDxfId="2786">
      <totalsRowFormula>SUM(StateSenatorSenateDistrict36General[Part of Bronx County Vote Results])</totalsRowFormula>
    </tableColumn>
    <tableColumn id="4" xr3:uid="{201FADB3-9965-43C7-967C-7F2344CAAC4F}" name="Part of Westchester County Vote Results" totalsRowFunction="custom" dataDxfId="2785" totalsRowDxfId="2784">
      <totalsRowFormula>SUM(StateSenatorSenateDistrict36General[Part of Westchester County Vote Results])</totalsRowFormula>
    </tableColumn>
    <tableColumn id="3" xr3:uid="{CACDC306-00DB-432A-8BAF-DB8309B339EA}" name="Total Votes by Party" totalsRowFunction="custom" dataDxfId="2783" totalsRowDxfId="2782">
      <calculatedColumnFormula>SUM(StateSenatorSenateDistrict36General[[#This Row],[Part of Bronx County Vote Results]:[Part of Westchester County Vote Results]])</calculatedColumnFormula>
      <totalsRowFormula>SUM(StateSenatorSenateDistrict36General[Total Votes by Party])</totalsRowFormula>
    </tableColumn>
    <tableColumn id="5" xr3:uid="{4231E16F-9461-47D5-931B-6C364339EC38}" name="Total Votes by Candidate" dataDxfId="2781" totalsRowDxfId="2780"/>
  </tableColumns>
  <tableStyleInfo name="TableStyleMedium2" showFirstColumn="0" showLastColumn="0" showRowStripes="0"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DF1E7747-5B4E-43C4-95B3-42CCB5A06DD4}" name="StateSenatorSenateDistrict37General" displayName="StateSenatorSenateDistrict37General" ref="A2:D10" totalsRowCount="1" headerRowDxfId="2779" dataDxfId="2777" totalsRowDxfId="2775" headerRowBorderDxfId="2778" tableBorderDxfId="2776" totalsRowBorderDxfId="2774">
  <autoFilter ref="A2:D9" xr:uid="{62B5EA22-6D1D-4FB8-A0B1-C8F214797620}">
    <filterColumn colId="0" hiddenButton="1"/>
    <filterColumn colId="1" hiddenButton="1"/>
    <filterColumn colId="2" hiddenButton="1"/>
    <filterColumn colId="3" hiddenButton="1"/>
  </autoFilter>
  <tableColumns count="4">
    <tableColumn id="1" xr3:uid="{89E3197B-580F-46BE-AC4E-FA1D3E27BD23}" name="Candidate Name (Party)" totalsRowLabel="Total Votes by County" dataDxfId="2773" totalsRowDxfId="2772"/>
    <tableColumn id="4" xr3:uid="{BA617FF6-1828-4D5C-BC19-30F480C8961D}" name="Part of Westchester County Vote Results" totalsRowFunction="custom" dataDxfId="2771" totalsRowDxfId="2770">
      <totalsRowFormula>SUM(StateSenatorSenateDistrict37General[Part of Westchester County Vote Results])</totalsRowFormula>
    </tableColumn>
    <tableColumn id="3" xr3:uid="{EDB43FBE-73CD-4022-AEF2-5888CEEF83DB}" name="Total Votes by Party" totalsRowFunction="custom" dataDxfId="2769" totalsRowDxfId="2768">
      <totalsRowFormula>SUM(StateSenatorSenateDistrict37General[Total Votes by Party])</totalsRowFormula>
    </tableColumn>
    <tableColumn id="2" xr3:uid="{74D3D448-B80D-4ABE-8224-380413723539}" name="Total Votes by Candidate" dataDxfId="2767" totalsRowDxfId="2766"/>
  </tableColumns>
  <tableStyleInfo name="TableStyleMedium2" showFirstColumn="0" showLastColumn="0" showRowStripes="0"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CB7045E1-473D-4FDC-A5E9-8FD0BAC71139}" name="StateSenatorSenateDistrict38General" displayName="StateSenatorSenateDistrict38General" ref="A2:D10" totalsRowCount="1" headerRowDxfId="2765" dataDxfId="2763" totalsRowDxfId="2761" headerRowBorderDxfId="2764" tableBorderDxfId="2762" totalsRowBorderDxfId="2760">
  <autoFilter ref="A2:D9" xr:uid="{76D11FBE-A745-483E-9F05-DF6DDFB6229E}">
    <filterColumn colId="0" hiddenButton="1"/>
    <filterColumn colId="1" hiddenButton="1"/>
    <filterColumn colId="2" hiddenButton="1"/>
    <filterColumn colId="3" hiddenButton="1"/>
  </autoFilter>
  <tableColumns count="4">
    <tableColumn id="1" xr3:uid="{0985F343-C373-487E-9003-AB2CA4A5816C}" name="Candidate Name (Party)" totalsRowLabel="Total Votes by County" dataDxfId="2759" totalsRowDxfId="2758"/>
    <tableColumn id="2" xr3:uid="{6C9275CB-5351-4413-9151-EFB4AD60DA80}" name="Part of Rockland County Vote Results" totalsRowFunction="custom" dataDxfId="2757" totalsRowDxfId="2756">
      <totalsRowFormula>SUM(StateSenatorSenateDistrict38General[Part of Rockland County Vote Results])</totalsRowFormula>
    </tableColumn>
    <tableColumn id="3" xr3:uid="{3566BC10-5683-424C-BB8B-A95C4757A0D5}" name="Total Votes by Party" totalsRowFunction="custom" dataDxfId="2755" totalsRowDxfId="2754">
      <calculatedColumnFormula>SUM(StateSenatorSenateDistrict38General[[#This Row],[Part of Rockland County Vote Results]])</calculatedColumnFormula>
      <totalsRowFormula>SUM(StateSenatorSenateDistrict38General[Total Votes by Party])</totalsRowFormula>
    </tableColumn>
    <tableColumn id="5" xr3:uid="{A8BEDDC1-336E-4138-AD29-89AD3C150F68}" name="Total Votes by Candidate" dataDxfId="2753" totalsRowDxfId="2752"/>
  </tableColumns>
  <tableStyleInfo name="TableStyleMedium2" showFirstColumn="0" showLastColumn="0" showRowStripes="0"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11922F62-4BBB-4F89-9B53-0615FC753D79}" name="StateSenatorSenateDistrict39General" displayName="StateSenatorSenateDistrict39General" ref="A2:F10" totalsRowCount="1" headerRowDxfId="2751" dataDxfId="2749" totalsRowDxfId="2747" headerRowBorderDxfId="2750" tableBorderDxfId="2748" totalsRowBorderDxfId="2746">
  <autoFilter ref="A2:F9" xr:uid="{DDBF1CEC-9D14-4D99-A05E-23225379C36D}">
    <filterColumn colId="0" hiddenButton="1"/>
    <filterColumn colId="1" hiddenButton="1"/>
    <filterColumn colId="2" hiddenButton="1"/>
    <filterColumn colId="3" hiddenButton="1"/>
    <filterColumn colId="4" hiddenButton="1"/>
    <filterColumn colId="5" hiddenButton="1"/>
  </autoFilter>
  <tableColumns count="6">
    <tableColumn id="1" xr3:uid="{6EB16485-23EE-456A-8B87-61FE79E74D05}" name="Candidate Name (Party)" totalsRowLabel="Total Votes by County" dataDxfId="2745" totalsRowDxfId="2744"/>
    <tableColumn id="2" xr3:uid="{49A4D40F-FE05-4273-B38A-645506C91613}" name="Part of Dutchess County Vote Results" totalsRowFunction="custom" dataDxfId="2743" totalsRowDxfId="2742">
      <totalsRowFormula>SUM(StateSenatorSenateDistrict39General[Part of Dutchess County Vote Results])</totalsRowFormula>
    </tableColumn>
    <tableColumn id="3" xr3:uid="{506EFC6A-D110-4263-90C2-D17EE6DDAB8D}" name="Part of Orange County Vote Results" totalsRowFunction="custom" dataDxfId="2741" totalsRowDxfId="2740">
      <totalsRowFormula>SUM(StateSenatorSenateDistrict39General[Part of Orange County Vote Results])</totalsRowFormula>
    </tableColumn>
    <tableColumn id="4" xr3:uid="{BC376C2F-ADC2-4A04-A9F0-60740430FD6E}" name="Part of Putnam County Vote Results" totalsRowFunction="custom" dataDxfId="2739" totalsRowDxfId="2738">
      <totalsRowFormula>SUM(StateSenatorSenateDistrict39General[Part of Putnam County Vote Results])</totalsRowFormula>
    </tableColumn>
    <tableColumn id="6" xr3:uid="{1B157326-18A8-4ED4-9BC3-D393260624CF}" name="Total Votes by Party" totalsRowFunction="custom" dataDxfId="2737" totalsRowDxfId="2736">
      <calculatedColumnFormula>SUM(StateSenatorSenateDistrict39General[[#This Row],[Part of Dutchess County Vote Results]:[Part of Putnam County Vote Results]])</calculatedColumnFormula>
      <totalsRowFormula>SUM(StateSenatorSenateDistrict39General[Total Votes by Party])</totalsRowFormula>
    </tableColumn>
    <tableColumn id="5" xr3:uid="{19A59C62-CE27-47DF-8809-501BE05C037E}" name="Total Votes by Candidate" dataDxfId="2735" totalsRowDxfId="2734"/>
  </tableColumns>
  <tableStyleInfo name="TableStyleMedium2" showFirstColumn="0" showLastColumn="0" showRowStripes="0"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BBC57633-8B3D-414D-9768-3E399FBB41E5}" name="StateSenatorSenateDistrict40General" displayName="StateSenatorSenateDistrict40General" ref="A2:F10" totalsRowCount="1" headerRowDxfId="2733" dataDxfId="2731" totalsRowDxfId="2729" headerRowBorderDxfId="2732" tableBorderDxfId="2730" totalsRowBorderDxfId="2728">
  <autoFilter ref="A2:F9" xr:uid="{FAF896EA-0001-44EC-81FD-517FAFA42BD0}">
    <filterColumn colId="0" hiddenButton="1"/>
    <filterColumn colId="1" hiddenButton="1"/>
    <filterColumn colId="2" hiddenButton="1"/>
    <filterColumn colId="3" hiddenButton="1"/>
    <filterColumn colId="4" hiddenButton="1"/>
    <filterColumn colId="5" hiddenButton="1"/>
  </autoFilter>
  <tableColumns count="6">
    <tableColumn id="1" xr3:uid="{D0527500-5EA5-4176-A050-D06E341379AE}" name="Candidate Name (Party)" totalsRowLabel="Total Votes by County" dataDxfId="2727" totalsRowDxfId="2726"/>
    <tableColumn id="2" xr3:uid="{A98F7B92-0FB2-4865-A2FD-7732AE16F8B5}" name="Part of Putnam County_x000a_Vote Results" totalsRowFunction="custom" dataDxfId="2725" totalsRowDxfId="2724">
      <totalsRowFormula>SUM(StateSenatorSenateDistrict40General[Part of Putnam County
Vote Results])</totalsRowFormula>
    </tableColumn>
    <tableColumn id="3" xr3:uid="{99C078B5-FEA2-40C7-A65C-D521FB4BA004}" name="Part of Rockland County_x000a_Vote Results" totalsRowFunction="custom" dataDxfId="2723" totalsRowDxfId="2722">
      <totalsRowFormula>SUM(StateSenatorSenateDistrict40General[Part of Rockland County
Vote Results])</totalsRowFormula>
    </tableColumn>
    <tableColumn id="4" xr3:uid="{0D72732E-7D35-479B-9F82-21AD79EE1392}" name="Part of Westchester County Vote Results" totalsRowFunction="custom" dataDxfId="2721" totalsRowDxfId="2720">
      <totalsRowFormula>SUM(StateSenatorSenateDistrict40General[Part of Westchester County Vote Results])</totalsRowFormula>
    </tableColumn>
    <tableColumn id="6" xr3:uid="{DD1BA6A0-39A7-4687-84F9-A0B93A47B7B3}" name="Total Votes by Party" totalsRowFunction="custom" dataDxfId="2719" totalsRowDxfId="2718">
      <calculatedColumnFormula>SUM(StateSenatorSenateDistrict40General[[#This Row],[Part of Putnam County
Vote Results]:[Part of Westchester County Vote Results]])</calculatedColumnFormula>
      <totalsRowFormula>SUM(StateSenatorSenateDistrict40General[Total Votes by Party])</totalsRowFormula>
    </tableColumn>
    <tableColumn id="5" xr3:uid="{EBBB8A28-3729-4236-B4FA-DFFDE380A854}" name="Total Votes by Candidate" dataDxfId="2717" totalsRowDxfId="2716"/>
  </tableColumns>
  <tableStyleInfo name="TableStyleMedium2" showFirstColumn="0" showLastColumn="0" showRowStripes="0"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F8104F8B-1F7C-4BB9-BD3D-1C12BF34C4E1}" name="StateSenatorSenateDistrict41General" displayName="StateSenatorSenateDistrict41General" ref="A2:G10" totalsRowCount="1" headerRowDxfId="2715" dataDxfId="2713" totalsRowDxfId="2711" headerRowBorderDxfId="2714" tableBorderDxfId="2712" totalsRowBorderDxfId="2710">
  <autoFilter ref="A2:G9" xr:uid="{30CCF245-9464-4C6A-A078-214F6F299B0F}">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84A8D448-ACDF-4286-8E6D-6554FE613726}" name="Candidate Name (Party)" totalsRowLabel="Total Votes by County" dataDxfId="2709" totalsRowDxfId="2708"/>
    <tableColumn id="2" xr3:uid="{1389FAAF-9022-4224-8496-59CD9DB6854F}" name="Columbia County_x000a_Vote Results" totalsRowFunction="custom" dataDxfId="2707" totalsRowDxfId="2706">
      <totalsRowFormula>SUM(StateSenatorSenateDistrict41General[Columbia County
Vote Results])</totalsRowFormula>
    </tableColumn>
    <tableColumn id="7" xr3:uid="{8E3022EB-E2E8-4AD1-A2DF-32DA391C5192}" name="Part of Dutchess County Vote Results" totalsRowFunction="custom" dataDxfId="2705" totalsRowDxfId="2704">
      <totalsRowFormula>SUM(StateSenatorSenateDistrict41General[Part of Dutchess County Vote Results])</totalsRowFormula>
    </tableColumn>
    <tableColumn id="6" xr3:uid="{94AF9CAA-9451-470F-91C1-E9242B2D146B}" name="Green County_x000a_Vote Results" totalsRowFunction="custom" dataDxfId="2703" totalsRowDxfId="2702">
      <totalsRowFormula>SUM(StateSenatorSenateDistrict41General[Green County
Vote Results])</totalsRowFormula>
    </tableColumn>
    <tableColumn id="4" xr3:uid="{4F52FF35-7987-494C-A5B5-80E6165B637A}" name="Part of Ulster County Vote Results" totalsRowFunction="custom" dataDxfId="2701" totalsRowDxfId="2700">
      <totalsRowFormula>SUM(StateSenatorSenateDistrict41General[Part of Ulster County Vote Results])</totalsRowFormula>
    </tableColumn>
    <tableColumn id="3" xr3:uid="{54DBC223-CE00-4EB4-A748-9E6788F32417}" name="Total Votes by Party" totalsRowFunction="custom" dataDxfId="2699" totalsRowDxfId="2698">
      <calculatedColumnFormula>SUM(StateSenatorSenateDistrict41General[[#This Row],[Columbia County
Vote Results]:[Part of Ulster County Vote Results]])</calculatedColumnFormula>
      <totalsRowFormula>SUM(StateSenatorSenateDistrict41General[Total Votes by Party])</totalsRowFormula>
    </tableColumn>
    <tableColumn id="5" xr3:uid="{E5674198-5C30-4E0B-830F-002B7C4B3F25}" name="Total Votes by Candidate" dataDxfId="2697" totalsRowDxfId="2696"/>
  </tableColumns>
  <tableStyleInfo name="TableStyleMedium2" showFirstColumn="0" showLastColumn="0" showRowStripes="0"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2D444153-107C-40E2-8986-59F33863D442}" name="StateSenatorSenateDistrict42General" displayName="StateSenatorSenateDistrict42General" ref="A2:D10" totalsRowCount="1" headerRowDxfId="2695" dataDxfId="2693" totalsRowDxfId="2691" headerRowBorderDxfId="2694" tableBorderDxfId="2692" totalsRowBorderDxfId="2690">
  <autoFilter ref="A2:D9" xr:uid="{9CADA4D5-AD93-43D2-97C2-C1AEED7CF8DB}">
    <filterColumn colId="0" hiddenButton="1"/>
    <filterColumn colId="1" hiddenButton="1"/>
    <filterColumn colId="2" hiddenButton="1"/>
    <filterColumn colId="3" hiddenButton="1"/>
  </autoFilter>
  <tableColumns count="4">
    <tableColumn id="1" xr3:uid="{A45B6170-228C-4604-B9D7-32F6EF2282A6}" name="Candidate Name (Party)" totalsRowLabel="Total Votes by County" dataDxfId="2689" totalsRowDxfId="2688"/>
    <tableColumn id="3" xr3:uid="{C6A2D835-97FF-464C-BDB3-17BA00E823F1}" name="Part of Orange County Vote Results" totalsRowFunction="custom" dataDxfId="2687" totalsRowDxfId="2686">
      <totalsRowFormula>SUM(StateSenatorSenateDistrict42General[Part of Orange County Vote Results])</totalsRowFormula>
    </tableColumn>
    <tableColumn id="7" xr3:uid="{68B91F1C-7B23-4629-8410-F8676A910028}" name="Total Votes by Party" totalsRowFunction="custom" dataDxfId="2685" totalsRowDxfId="2684">
      <calculatedColumnFormula>SUM(StateSenatorSenateDistrict42General[[#This Row],[Part of Orange County Vote Results]])</calculatedColumnFormula>
      <totalsRowFormula>SUM(StateSenatorSenateDistrict42General[Total Votes by Party])</totalsRowFormula>
    </tableColumn>
    <tableColumn id="5" xr3:uid="{8BCEEA62-513A-493C-BD1C-E87D2DCFE9FA}" name="Total Votes by Candidate" dataDxfId="2683" totalsRowDxfId="2682"/>
  </tableColumns>
  <tableStyleInfo name="TableStyleMedium2" showFirstColumn="0" showLastColumn="0" showRowStripes="0"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50A381D-3095-495E-8420-FA1586EC9AFD}" name="StateSenatorSenateDistrict43General" displayName="StateSenatorSenateDistrict43General" ref="A2:F9" totalsRowCount="1" headerRowDxfId="2681" dataDxfId="2679" totalsRowDxfId="2677" headerRowBorderDxfId="2680" tableBorderDxfId="2678" totalsRowBorderDxfId="2676">
  <autoFilter ref="A2:F8" xr:uid="{8A98DF03-B6E6-4856-9390-45B54A5DCAC9}">
    <filterColumn colId="0" hiddenButton="1"/>
    <filterColumn colId="1" hiddenButton="1"/>
    <filterColumn colId="2" hiddenButton="1"/>
    <filterColumn colId="3" hiddenButton="1"/>
    <filterColumn colId="4" hiddenButton="1"/>
    <filterColumn colId="5" hiddenButton="1"/>
  </autoFilter>
  <tableColumns count="6">
    <tableColumn id="1" xr3:uid="{47D8F0C2-A1D9-4481-B751-407C6FD6DAAB}" name="Candidate Name (Party)" totalsRowLabel="Total Votes by County" dataDxfId="2675" totalsRowDxfId="2674"/>
    <tableColumn id="2" xr3:uid="{BEE92FDD-E2F6-49D0-B2FB-46CDDC265698}" name="Part of Albany County_x000a_Vote Results" totalsRowFunction="custom" dataDxfId="2673" totalsRowDxfId="2672">
      <totalsRowFormula>SUM(StateSenatorSenateDistrict43General[Part of Albany County
Vote Results])</totalsRowFormula>
    </tableColumn>
    <tableColumn id="6" xr3:uid="{333C6FE9-27B6-4923-8C5B-F9D93AB35382}" name="Rensselaer County _x000a_Vote Results" totalsRowFunction="custom" dataDxfId="2671" totalsRowDxfId="2670">
      <totalsRowFormula>SUM(StateSenatorSenateDistrict43General[Rensselaer County 
Vote Results])</totalsRowFormula>
    </tableColumn>
    <tableColumn id="4" xr3:uid="{E6D2F079-9C56-461C-830F-CEDAACE22064}" name="Part of Washington County Vote Results" totalsRowFunction="custom" dataDxfId="2669" totalsRowDxfId="2668">
      <totalsRowFormula>SUM(StateSenatorSenateDistrict43General[Part of Washington County Vote Results])</totalsRowFormula>
    </tableColumn>
    <tableColumn id="7" xr3:uid="{780A6E08-68D5-4374-8347-744623F5AC2A}" name="Total Votes by Party" totalsRowFunction="custom" dataDxfId="2667" totalsRowDxfId="2666">
      <calculatedColumnFormula>SUM(StateSenatorSenateDistrict43General[[#This Row],[Part of Albany County
Vote Results]:[Part of Washington County Vote Results]])</calculatedColumnFormula>
      <totalsRowFormula>SUM(StateSenatorSenateDistrict43General[Total Votes by Party])</totalsRowFormula>
    </tableColumn>
    <tableColumn id="5" xr3:uid="{64CCB70D-2065-4F85-A00C-C4F259C77A9A}" name="Total Votes by Candidate" dataDxfId="2665" totalsRowDxfId="2664"/>
  </tableColumns>
  <tableStyleInfo name="TableStyleMedium2"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2" xr:uid="{ADA60BA2-6E56-4D84-A786-704E2756FA4D}" name="RepInCongressCongressionalDistrict19General247249253" displayName="RepInCongressCongressionalDistrict19General247249253" ref="A2:H21" totalsRowCount="1" headerRowDxfId="3859" dataDxfId="3857" totalsRowDxfId="3855" headerRowBorderDxfId="3858" tableBorderDxfId="3856" totalsRowBorderDxfId="3854">
  <tableColumns count="8">
    <tableColumn id="1" xr3:uid="{B5A7AEA6-0EB6-49C2-9707-C4BF58A8E6AD}" name="Candidate Name (Party)" totalsRowLabel="Total Votes by County" dataDxfId="3853" totalsRowDxfId="3852"/>
    <tableColumn id="7" xr3:uid="{B2C83CDA-5EC0-46D2-8810-4AB0F7665BC9}" name="Dutchess County_x000a_Vote Results" totalsRowFunction="custom" dataDxfId="3851" totalsRowDxfId="3850">
      <totalsRowFormula>SUM(RepInCongressCongressionalDistrict19General247249253[Dutchess County
Vote Results])</totalsRowFormula>
    </tableColumn>
    <tableColumn id="2" xr3:uid="{73970AEB-E0AE-4689-84B0-C23AC7D1085D}" name="Orange County_x000a_Vote Results" totalsRowFunction="custom" dataDxfId="3849" totalsRowDxfId="3848">
      <totalsRowFormula>SUM(RepInCongressCongressionalDistrict19General247249253[Orange County
Vote Results])</totalsRowFormula>
    </tableColumn>
    <tableColumn id="3" xr3:uid="{67AACF5D-97EC-4600-9F87-0175EE395738}" name="Putnam County_x000a_Vote Results" totalsRowFunction="custom" dataDxfId="3847" totalsRowDxfId="3846">
      <totalsRowFormula>SUM(RepInCongressCongressionalDistrict19General247249253[Putnam County
Vote Results])</totalsRowFormula>
    </tableColumn>
    <tableColumn id="13" xr3:uid="{B09B9B18-30AD-48ED-816E-58A5FB079C96}" name="Rockland County _x000a_Vote Results" totalsRowFunction="custom" dataDxfId="3845" totalsRowDxfId="3844">
      <totalsRowFormula>SUM(RepInCongressCongressionalDistrict19General247249253[Rockland County 
Vote Results])</totalsRowFormula>
    </tableColumn>
    <tableColumn id="8" xr3:uid="{4F161A37-616F-4ED3-8A4B-053DA61B865F}" name="Westchester County _x000a_Vote Results" totalsRowFunction="custom" dataDxfId="3843" totalsRowDxfId="3842">
      <totalsRowFormula>SUM(RepInCongressCongressionalDistrict19General247249253[Westchester County 
Vote Results])</totalsRowFormula>
    </tableColumn>
    <tableColumn id="14" xr3:uid="{E2F45FBE-1C2D-4D8F-9122-C33DA65157C3}" name="Total Votes by Party" totalsRowFunction="custom" dataDxfId="3841" totalsRowDxfId="3840">
      <calculatedColumnFormula>SUM(B3:F3)</calculatedColumnFormula>
      <totalsRowFormula>SUM(RepInCongressCongressionalDistrict19General247249253[Total Votes by Party])</totalsRowFormula>
    </tableColumn>
    <tableColumn id="5" xr3:uid="{0F994A15-2CD0-48E9-A820-F01BB55597A8}" name="Total Votes by Candidate" dataDxfId="3839" totalsRowDxfId="3838"/>
  </tableColumns>
  <tableStyleInfo name="TableStyleMedium2" showFirstColumn="0" showLastColumn="0" showRowStripes="0"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2E8C390A-41EC-4A1F-8A68-D8E8EBC4AE3A}" name="StateSenatorSenateDistrict44General" displayName="StateSenatorSenateDistrict44General" ref="A2:E10" totalsRowCount="1" headerRowDxfId="2663" dataDxfId="2661" totalsRowDxfId="2659" headerRowBorderDxfId="2662" tableBorderDxfId="2660" totalsRowBorderDxfId="2658">
  <autoFilter ref="A2:E9" xr:uid="{143BF5E4-05B9-40FA-B925-7862A6C06E97}">
    <filterColumn colId="0" hiddenButton="1"/>
    <filterColumn colId="1" hiddenButton="1"/>
    <filterColumn colId="2" hiddenButton="1"/>
    <filterColumn colId="3" hiddenButton="1"/>
    <filterColumn colId="4" hiddenButton="1"/>
  </autoFilter>
  <tableColumns count="5">
    <tableColumn id="1" xr3:uid="{DAF480C6-24F6-4664-9A15-99281496BAA6}" name="Candidate Name (Party)" totalsRowLabel="Total Votes by County" dataDxfId="2657" totalsRowDxfId="2656"/>
    <tableColumn id="2" xr3:uid="{8FB07E19-982D-4CAC-9139-175252E93D45}" name="Saratoga County _x000a_Vote Results" totalsRowFunction="custom" dataDxfId="2655" totalsRowDxfId="2654">
      <totalsRowFormula>SUM(StateSenatorSenateDistrict44General[Saratoga County 
Vote Results])</totalsRowFormula>
    </tableColumn>
    <tableColumn id="4" xr3:uid="{48FC48BF-6F29-4AAF-9FB6-94DF5C3EF97F}" name="Part of Schenectady County Vote Results" totalsRowFunction="custom" dataDxfId="2653" totalsRowDxfId="2652">
      <totalsRowFormula>SUM(StateSenatorSenateDistrict44General[Part of Schenectady County Vote Results])</totalsRowFormula>
    </tableColumn>
    <tableColumn id="3" xr3:uid="{D2514881-B910-47E8-B703-916800C2220C}" name="Total Votes by Party" totalsRowFunction="custom" dataDxfId="2651" totalsRowDxfId="2650">
      <calculatedColumnFormula>SUM(StateSenatorSenateDistrict44General[[#This Row],[Saratoga County 
Vote Results]:[Part of Schenectady County Vote Results]])</calculatedColumnFormula>
      <totalsRowFormula>SUM(StateSenatorSenateDistrict44General[Total Votes by Party])</totalsRowFormula>
    </tableColumn>
    <tableColumn id="5" xr3:uid="{34094ED3-A8F2-48A8-B541-D5156FDEE9DB}" name="Total Votes by Candidate" dataDxfId="2649" totalsRowDxfId="2648"/>
  </tableColumns>
  <tableStyleInfo name="TableStyleMedium2" showFirstColumn="0" showLastColumn="0" showRowStripes="0"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33A52D32-8FF1-4C27-A2B7-60298C0CCE4F}" name="StateSenatorSenateDistrict45General" displayName="StateSenatorSenateDistrict45General" ref="A2:I8" totalsRowCount="1" headerRowDxfId="2647" dataDxfId="2645" totalsRowDxfId="2643" headerRowBorderDxfId="2646" tableBorderDxfId="2644" totalsRowBorderDxfId="2642">
  <autoFilter ref="A2:I7" xr:uid="{77BEF245-421B-4116-930C-11876A274B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A3BD9729-A3C1-42EC-8898-3E56253A4C13}" name="Candidate Name (Party)" totalsRowLabel="Total Votes by County" dataDxfId="2641" totalsRowDxfId="2640"/>
    <tableColumn id="2" xr3:uid="{2DD64061-8A9F-4CAD-9729-CF69A4FC8062}" name="Clinton County_x000a_Vote Results" totalsRowFunction="custom" dataDxfId="2639" totalsRowDxfId="2638">
      <totalsRowFormula>SUM(StateSenatorSenateDistrict45General[Clinton County
Vote Results])</totalsRowFormula>
    </tableColumn>
    <tableColumn id="6" xr3:uid="{525A7866-65C0-4041-BD85-4D32DA5156D1}" name="Essex County_x000a_Vote Results" totalsRowFunction="custom" dataDxfId="2637" totalsRowDxfId="2636">
      <totalsRowFormula>SUM(StateSenatorSenateDistrict45General[Essex County
Vote Results])</totalsRowFormula>
    </tableColumn>
    <tableColumn id="8" xr3:uid="{F02B7E2E-C0D0-40F7-B542-FBB83F47870C}" name="Franklin County_x000a_Vote Results" totalsRowFunction="custom" dataDxfId="2635" totalsRowDxfId="2634">
      <totalsRowFormula>SUM(StateSenatorSenateDistrict45General[Franklin County
Vote Results])</totalsRowFormula>
    </tableColumn>
    <tableColumn id="10" xr3:uid="{CA4C5477-DD9F-46D2-BBEC-2361D3D953CC}" name="Part of St. Lawrence County Vote Results" totalsRowFunction="custom" dataDxfId="2633" totalsRowDxfId="2632">
      <totalsRowFormula>SUM(StateSenatorSenateDistrict45General[Part of St. Lawrence County Vote Results])</totalsRowFormula>
    </tableColumn>
    <tableColumn id="7" xr3:uid="{3C16EBC0-A142-4D61-80A1-35AE9B6AF9AC}" name="Warren County_x000a_Vote Results" totalsRowFunction="custom" dataDxfId="2631" totalsRowDxfId="2630">
      <totalsRowFormula>SUM(StateSenatorSenateDistrict45General[Warren County
Vote Results])</totalsRowFormula>
    </tableColumn>
    <tableColumn id="4" xr3:uid="{422782F3-BB85-4944-AC1C-42CC87327571}" name="Part of Washington County Vote Results" totalsRowFunction="custom" dataDxfId="2629" totalsRowDxfId="2628">
      <totalsRowFormula>SUM(StateSenatorSenateDistrict45General[Part of Washington County Vote Results])</totalsRowFormula>
    </tableColumn>
    <tableColumn id="9" xr3:uid="{9FE0E447-0203-49F7-8827-06D832B48E98}" name="Total Votes by Party" totalsRowFunction="custom" dataDxfId="2627" totalsRowDxfId="2626">
      <calculatedColumnFormula>SUM(StateSenatorSenateDistrict45General[[#This Row],[Clinton County
Vote Results]:[Part of Washington County Vote Results]])</calculatedColumnFormula>
      <totalsRowFormula>SUM(StateSenatorSenateDistrict45General[Total Votes by Party])</totalsRowFormula>
    </tableColumn>
    <tableColumn id="5" xr3:uid="{D806DA2B-F2FA-4A2B-84D1-266F01A2AD66}" name="Total Votes by Candidate" dataDxfId="2625" totalsRowDxfId="2624">
      <calculatedColumnFormula>SUM(StateSenatorSenateDistrict45General[[#This Row],[Total Votes by Party]],H4)</calculatedColumnFormula>
    </tableColumn>
  </tableColumns>
  <tableStyleInfo name="TableStyleMedium2" showFirstColumn="0" showLastColumn="0" showRowStripes="0"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845F2A50-CB64-4470-812E-68D81D37F52C}" name="StateSenatorSenateDistrict46General" displayName="StateSenatorSenateDistrict46General" ref="A2:F10" totalsRowCount="1" headerRowDxfId="2623" dataDxfId="2621" totalsRowDxfId="2619" headerRowBorderDxfId="2622" tableBorderDxfId="2620" totalsRowBorderDxfId="2618">
  <autoFilter ref="A2:F9" xr:uid="{3D675DE8-9F3B-4D15-A9AC-A53B69004873}">
    <filterColumn colId="0" hiddenButton="1"/>
    <filterColumn colId="1" hiddenButton="1"/>
    <filterColumn colId="2" hiddenButton="1"/>
    <filterColumn colId="3" hiddenButton="1"/>
    <filterColumn colId="4" hiddenButton="1"/>
    <filterColumn colId="5" hiddenButton="1"/>
  </autoFilter>
  <tableColumns count="6">
    <tableColumn id="1" xr3:uid="{5CD3883D-EB9C-4C29-991D-FD6D43A19A7A}" name="Candidate Name (Party)" totalsRowLabel="Total Votes by County" dataDxfId="2617" totalsRowDxfId="2616"/>
    <tableColumn id="2" xr3:uid="{509745B1-0503-4901-8778-350A80CE0FFB}" name="Part of Albany County Vote Results" totalsRowFunction="custom" dataDxfId="2615" totalsRowDxfId="2614">
      <totalsRowFormula>SUM(StateSenatorSenateDistrict46General[Part of Albany County Vote Results])</totalsRowFormula>
    </tableColumn>
    <tableColumn id="6" xr3:uid="{1871B05B-7EFF-447C-BF65-AA2A127C73DA}" name="Montgomery County Vote Results" totalsRowFunction="custom" dataDxfId="2613" totalsRowDxfId="2612">
      <totalsRowFormula>SUM(StateSenatorSenateDistrict46General[Montgomery County Vote Results])</totalsRowFormula>
    </tableColumn>
    <tableColumn id="4" xr3:uid="{29310063-CF32-4D04-AFB1-C8BE5A880E89}" name="Part of Schenectady County Vote Results" totalsRowFunction="custom" dataDxfId="2611" totalsRowDxfId="2610">
      <totalsRowFormula>SUM(StateSenatorSenateDistrict46General[Part of Schenectady County Vote Results])</totalsRowFormula>
    </tableColumn>
    <tableColumn id="8" xr3:uid="{C6DE9E33-3200-4341-9FEC-F432B00B4F40}" name="Total Votes by Party" totalsRowFunction="custom" dataDxfId="2609" totalsRowDxfId="2608">
      <calculatedColumnFormula>SUM(StateSenatorSenateDistrict46General[[#This Row],[Part of Albany County Vote Results]:[Part of Schenectady County Vote Results]])</calculatedColumnFormula>
      <totalsRowFormula>SUM(StateSenatorSenateDistrict46General[Total Votes by Party])</totalsRowFormula>
    </tableColumn>
    <tableColumn id="5" xr3:uid="{97B875AD-CEB2-4753-BFF4-3CBB3B95DF4A}" name="Total Votes by Candidate" dataDxfId="2607" totalsRowDxfId="2606"/>
  </tableColumns>
  <tableStyleInfo name="TableStyleMedium2" showFirstColumn="0" showLastColumn="0" showRowStripes="0"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D32CA903-0144-48DA-A020-C286E90E8BB8}" name="StateSenatorSenateDistrict47General" displayName="StateSenatorSenateDistrict47General" ref="A2:D9" totalsRowCount="1" headerRowDxfId="2605" dataDxfId="2603" totalsRowDxfId="2601" headerRowBorderDxfId="2604" tableBorderDxfId="2602" totalsRowBorderDxfId="2600">
  <autoFilter ref="A2:D8" xr:uid="{F7EE7664-3FD9-4FBF-9F90-39F7212F4430}">
    <filterColumn colId="0" hiddenButton="1"/>
    <filterColumn colId="1" hiddenButton="1"/>
    <filterColumn colId="2" hiddenButton="1"/>
    <filterColumn colId="3" hiddenButton="1"/>
  </autoFilter>
  <tableColumns count="4">
    <tableColumn id="1" xr3:uid="{C532C3C3-6595-42BB-B1AF-5A420E1D8999}" name="Candidate Name (Party)" totalsRowLabel="Total Votes by County" dataDxfId="2599" totalsRowDxfId="2598"/>
    <tableColumn id="2" xr3:uid="{C49F87DE-766E-4CB8-BFF9-55476A70E84E}" name="Part of New York County Vote Results" totalsRowFunction="custom" dataDxfId="2597" totalsRowDxfId="2596">
      <totalsRowFormula>SUM(StateSenatorSenateDistrict47General[Part of New York County Vote Results])</totalsRowFormula>
    </tableColumn>
    <tableColumn id="6" xr3:uid="{425B5107-82DD-4E8F-AA05-26534A7D6D97}" name="Total Votes by Party" totalsRowFunction="custom" dataDxfId="2595" totalsRowDxfId="2594">
      <calculatedColumnFormula>SUM(StateSenatorSenateDistrict47General[[#This Row],[Part of New York County Vote Results]])</calculatedColumnFormula>
      <totalsRowFormula>SUM(StateSenatorSenateDistrict47General[Total Votes by Party])</totalsRowFormula>
    </tableColumn>
    <tableColumn id="5" xr3:uid="{49212854-86E7-4E69-9537-D521E35D8ADF}" name="Total Votes by Candidate" dataDxfId="2593" totalsRowDxfId="2592">
      <calculatedColumnFormula>SUM(StateSenatorSenateDistrict47General[[#This Row],[Total Votes by Party]],C4,C5)</calculatedColumnFormula>
    </tableColumn>
  </tableColumns>
  <tableStyleInfo name="TableStyleMedium2" showFirstColumn="0" showLastColumn="0" showRowStripes="0"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6B9D0657-A388-42B5-AA85-56B050ED2285}" name="StateSenatorSenateDistrict48General" displayName="StateSenatorSenateDistrict48General" ref="A2:E9" totalsRowCount="1" headerRowDxfId="2591" dataDxfId="2589" totalsRowDxfId="2587" headerRowBorderDxfId="2590" tableBorderDxfId="2588" totalsRowBorderDxfId="2586">
  <autoFilter ref="A2:E8" xr:uid="{6A6C6A5A-FFCC-4DC9-93DC-78D34A69563F}">
    <filterColumn colId="0" hiddenButton="1"/>
    <filterColumn colId="1" hiddenButton="1"/>
    <filterColumn colId="2" hiddenButton="1"/>
    <filterColumn colId="3" hiddenButton="1"/>
    <filterColumn colId="4" hiddenButton="1"/>
  </autoFilter>
  <tableColumns count="5">
    <tableColumn id="1" xr3:uid="{5F1EF927-CBC5-4930-93DB-BC2079778718}" name="Candidate Name (Party)" totalsRowLabel="Total Votes by County" dataDxfId="2585" totalsRowDxfId="2584"/>
    <tableColumn id="2" xr3:uid="{2D544CF8-E1F3-4F2C-9E17-5B32C9232C45}" name="Cayuga County Vote Results" totalsRowFunction="custom" dataDxfId="2583" totalsRowDxfId="2582">
      <totalsRowFormula>SUM(StateSenatorSenateDistrict48General[Cayuga County Vote Results])</totalsRowFormula>
    </tableColumn>
    <tableColumn id="4" xr3:uid="{F375DCC3-82D4-43BE-854B-EDDB7CB0DAE6}" name="Part of Onondaga County Vote Results" totalsRowFunction="custom" dataDxfId="2581" totalsRowDxfId="2580">
      <totalsRowFormula>SUM(StateSenatorSenateDistrict48General[Part of Onondaga County Vote Results])</totalsRowFormula>
    </tableColumn>
    <tableColumn id="6" xr3:uid="{1BABA3C1-FF2C-4425-9859-21E2E4C0A3BD}" name="Total Votes by Party" totalsRowFunction="custom" dataDxfId="2579" totalsRowDxfId="2578">
      <calculatedColumnFormula>SUM(StateSenatorSenateDistrict48General[[#This Row],[Cayuga County Vote Results]:[Part of Onondaga County Vote Results]])</calculatedColumnFormula>
      <totalsRowFormula>SUM(StateSenatorSenateDistrict48General[Total Votes by Party])</totalsRowFormula>
    </tableColumn>
    <tableColumn id="5" xr3:uid="{B4590538-FC28-402C-B274-92E167F07BC9}" name="Total Votes by Candidate" dataDxfId="2577" totalsRowDxfId="2576">
      <calculatedColumnFormula>SUM(StateSenatorSenateDistrict48General[[#This Row],[Total Votes by Party]],D4,D5)</calculatedColumnFormula>
    </tableColumn>
  </tableColumns>
  <tableStyleInfo name="TableStyleMedium2" showFirstColumn="0" showLastColumn="0" showRowStripes="0"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E291BD79-C939-442A-85E8-5E51E13827DB}" name="StateSenatorSenateDistrict49General" displayName="StateSenatorSenateDistrict49General" ref="A2:J8" totalsRowCount="1" headerRowDxfId="2575" dataDxfId="2573" totalsRowDxfId="2571" headerRowBorderDxfId="2574" tableBorderDxfId="2572" totalsRowBorderDxfId="2570">
  <autoFilter ref="A2:J7" xr:uid="{AAFD0050-A9FD-43DD-B611-087E1B9A4D9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CFBB63FD-4000-4EF4-A07A-D1BC430A40DA}" name="Candidate Name (Party)" totalsRowLabel="Total Votes by County" dataDxfId="2569" totalsRowDxfId="2568"/>
    <tableColumn id="2" xr3:uid="{789E7194-16A8-4E6E-9151-A751F3CF7BC4}" name="Fulton County_x000a_Vote Results" totalsRowFunction="custom" dataDxfId="2567" totalsRowDxfId="2566">
      <totalsRowFormula>SUM(StateSenatorSenateDistrict49General[Fulton County
Vote Results])</totalsRowFormula>
    </tableColumn>
    <tableColumn id="6" xr3:uid="{1EA10462-259A-4483-809A-840D320A77DE}" name="Hamilton County_x000a_Vote Results" totalsRowFunction="custom" dataDxfId="2565" totalsRowDxfId="2564">
      <totalsRowFormula>SUM(StateSenatorSenateDistrict49General[Hamilton County
Vote Results])</totalsRowFormula>
    </tableColumn>
    <tableColumn id="9" xr3:uid="{554A53E7-5C9E-49B6-A1E1-8771B0576946}" name="Part of Herkimer County Vote Results" totalsRowFunction="custom" dataDxfId="2563" totalsRowDxfId="2562">
      <totalsRowFormula>SUM(StateSenatorSenateDistrict49General[Part of Herkimer County Vote Results])</totalsRowFormula>
    </tableColumn>
    <tableColumn id="10" xr3:uid="{F9D8322E-80D9-4E24-9EE7-B4F01E5D4FF3}" name="Jefferson County_x000a_Vote Results" totalsRowFunction="custom" dataDxfId="2561" totalsRowDxfId="2560">
      <totalsRowFormula>SUM(StateSenatorSenateDistrict49General[Jefferson County
Vote Results])</totalsRowFormula>
    </tableColumn>
    <tableColumn id="7" xr3:uid="{9B81F03A-8C73-4296-A0AF-1B210261C77A}" name="Lewis County_x000a_Vote Results" totalsRowFunction="custom" dataDxfId="2559" totalsRowDxfId="2558">
      <totalsRowFormula>SUM(StateSenatorSenateDistrict49General[Lewis County
Vote Results])</totalsRowFormula>
    </tableColumn>
    <tableColumn id="3" xr3:uid="{EDD9E16D-F7DD-48C9-BEC9-7996BC085BCF}" name="Part of Oswego County_x000a_Vote Results" totalsRowFunction="custom" dataDxfId="2557" totalsRowDxfId="2556">
      <totalsRowFormula>SUM(StateSenatorSenateDistrict49General[Part of Oswego County
Vote Results])</totalsRowFormula>
    </tableColumn>
    <tableColumn id="4" xr3:uid="{AAB67AB6-2FE3-40A2-8513-4E7A5B72DD37}" name="Part of St. Lawrence County Vote Results" totalsRowFunction="custom" dataDxfId="2555" totalsRowDxfId="2554">
      <totalsRowFormula>SUM(StateSenatorSenateDistrict49General[Part of St. Lawrence County Vote Results])</totalsRowFormula>
    </tableColumn>
    <tableColumn id="8" xr3:uid="{155C801E-BADD-45A2-B752-72C3EE9DF61D}" name="Total Votes by Party" totalsRowFunction="custom" dataDxfId="2553" totalsRowDxfId="2552">
      <calculatedColumnFormula>SUM(StateSenatorSenateDistrict49General[[#This Row],[Fulton County
Vote Results]:[Part of St. Lawrence County Vote Results]])</calculatedColumnFormula>
      <totalsRowFormula>SUM(StateSenatorSenateDistrict49General[Total Votes by Party])</totalsRowFormula>
    </tableColumn>
    <tableColumn id="5" xr3:uid="{7A7BC5F3-DEB4-4D80-98A2-81646E878477}" name="Total Votes by Candidate" dataDxfId="2551" totalsRowDxfId="2550"/>
  </tableColumns>
  <tableStyleInfo name="TableStyleMedium2" showFirstColumn="0" showLastColumn="0" showRowStripes="0"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D55A3D45-3F76-4945-9341-71C4ACEC54CA}" name="StateSenatorSenateDistrict50General" displayName="StateSenatorSenateDistrict50General" ref="A2:E10" totalsRowCount="1" headerRowDxfId="2549" dataDxfId="2547" totalsRowDxfId="2545" headerRowBorderDxfId="2548" tableBorderDxfId="2546" totalsRowBorderDxfId="2544">
  <autoFilter ref="A2:E9" xr:uid="{551E6344-DD66-4065-BCD7-D232EA268246}">
    <filterColumn colId="0" hiddenButton="1"/>
    <filterColumn colId="1" hiddenButton="1"/>
    <filterColumn colId="2" hiddenButton="1"/>
    <filterColumn colId="3" hiddenButton="1"/>
    <filterColumn colId="4" hiddenButton="1"/>
  </autoFilter>
  <tableColumns count="5">
    <tableColumn id="1" xr3:uid="{1D7BC952-E636-4EA6-9D42-07C957EB386B}" name="Candidate Name (Party)" totalsRowLabel="Total Votes by County" dataDxfId="2543" totalsRowDxfId="2542"/>
    <tableColumn id="2" xr3:uid="{E6C64C25-8800-4B17-AEBA-AA84071AB006}" name="Part of Onondaga County Vote Results" totalsRowFunction="custom" dataDxfId="2541" totalsRowDxfId="2540">
      <totalsRowFormula>SUM(StateSenatorSenateDistrict50General[Part of Onondaga County Vote Results])</totalsRowFormula>
    </tableColumn>
    <tableColumn id="4" xr3:uid="{5D5EA719-C5DA-41BB-87AA-B78B15FD2B84}" name="Part of Oswego County Vote Results" totalsRowFunction="custom" dataDxfId="2539" totalsRowDxfId="2538">
      <totalsRowFormula>SUM(StateSenatorSenateDistrict50General[Part of Oswego County Vote Results])</totalsRowFormula>
    </tableColumn>
    <tableColumn id="3" xr3:uid="{A6BF3828-1545-4E1E-9E57-817B92497C32}" name="Total Votes by Party" totalsRowFunction="custom" dataDxfId="2537" totalsRowDxfId="2536">
      <calculatedColumnFormula>SUM(StateSenatorSenateDistrict50General[[#This Row],[Part of Onondaga County Vote Results]:[Part of Oswego County Vote Results]])</calculatedColumnFormula>
      <totalsRowFormula>SUM(StateSenatorSenateDistrict50General[Total Votes by Party])</totalsRowFormula>
    </tableColumn>
    <tableColumn id="5" xr3:uid="{6313BC3F-C392-445C-B770-85C972F83DDA}" name="Total Votes by Candidate" dataDxfId="2535" totalsRowDxfId="2534"/>
  </tableColumns>
  <tableStyleInfo name="TableStyleMedium2" showFirstColumn="0" showLastColumn="0" showRowStripes="0"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E2B97C9A-914E-4006-A6AD-6790AE6A0BC8}" name="StateSenatorSenateDistrict51General" displayName="StateSenatorSenateDistrict51General" ref="A2:J10" totalsRowCount="1" headerRowDxfId="2533" dataDxfId="2531" totalsRowDxfId="2529" headerRowBorderDxfId="2532" tableBorderDxfId="2530" totalsRowBorderDxfId="2528">
  <autoFilter ref="A2:J9" xr:uid="{2231ECA1-A582-4522-8F58-66E619336A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5377BE51-1168-4312-8965-3692EF4CAF8B}" name="Candidate Name (Party)" totalsRowLabel="Total Votes by County" dataDxfId="2527" totalsRowDxfId="2526"/>
    <tableColumn id="2" xr3:uid="{1F5354B1-E1C7-4063-8154-AC738D5EE26F}" name="Part of Broome County Vote Results" totalsRowFunction="custom" dataDxfId="2525" totalsRowDxfId="2524">
      <totalsRowFormula>SUM(StateSenatorSenateDistrict51General[Part of Broome County Vote Results])</totalsRowFormula>
    </tableColumn>
    <tableColumn id="6" xr3:uid="{ADDF1720-E23E-4BCB-8CF6-EF1FC4008E69}" name="Part of Chenango County Vote Results" totalsRowFunction="custom" dataDxfId="2523" totalsRowDxfId="2522">
      <totalsRowFormula>SUM(StateSenatorSenateDistrict51General[Part of Chenango County Vote Results])</totalsRowFormula>
    </tableColumn>
    <tableColumn id="12" xr3:uid="{BE66CBB6-485F-440D-BB86-C5C74509E358}" name="Delaware County_x000a_Vote Results" totalsRowFunction="custom" dataDxfId="2521" totalsRowDxfId="2520">
      <totalsRowFormula>SUM(StateSenatorSenateDistrict51General[Delaware County
Vote Results])</totalsRowFormula>
    </tableColumn>
    <tableColumn id="11" xr3:uid="{66BB0841-5C89-4E33-8A19-45BDCE55CE5E}" name="Otsego County Vote Results" totalsRowFunction="custom" dataDxfId="2519" totalsRowDxfId="2518">
      <totalsRowFormula>SUM(StateSenatorSenateDistrict51General[Otsego County Vote Results])</totalsRowFormula>
    </tableColumn>
    <tableColumn id="10" xr3:uid="{935FFD4F-3B8E-4969-9F72-83D13FD23DC7}" name="Schoharie County_x000a_Vote Results" totalsRowFunction="custom" dataDxfId="2517" totalsRowDxfId="2516">
      <totalsRowFormula>SUM(StateSenatorSenateDistrict51General[Schoharie County
Vote Results])</totalsRowFormula>
    </tableColumn>
    <tableColumn id="9" xr3:uid="{71EF703F-8635-420B-AC37-241689585992}" name="Sullivan County_x000a_Vote Results" totalsRowFunction="custom" dataDxfId="2515" totalsRowDxfId="2514">
      <totalsRowFormula>SUM(StateSenatorSenateDistrict51General[Sullivan County
Vote Results])</totalsRowFormula>
    </tableColumn>
    <tableColumn id="4" xr3:uid="{854A304C-27DD-4D93-A3B8-ADC9BC216886}" name="Part of Ulster County Vote Results" totalsRowFunction="custom" dataDxfId="2513" totalsRowDxfId="2512">
      <totalsRowFormula>SUM(StateSenatorSenateDistrict51General[Part of Ulster County Vote Results])</totalsRowFormula>
    </tableColumn>
    <tableColumn id="8" xr3:uid="{96881761-2F5A-4420-BAA6-34317E848B21}" name="Total Votes by Party" totalsRowFunction="custom" dataDxfId="2511" totalsRowDxfId="2510">
      <calculatedColumnFormula>SUM(StateSenatorSenateDistrict51General[[#This Row],[Part of Broome County Vote Results]:[Part of Ulster County Vote Results]])</calculatedColumnFormula>
      <totalsRowFormula>SUM(StateSenatorSenateDistrict51General[Total Votes by Party])</totalsRowFormula>
    </tableColumn>
    <tableColumn id="5" xr3:uid="{3F0FB7C9-4AE0-469B-B19B-7A3F27D802F8}" name="Total Votes by Candidate" dataDxfId="2509" totalsRowDxfId="2508"/>
  </tableColumns>
  <tableStyleInfo name="TableStyleMedium2" showFirstColumn="0" showLastColumn="0" showRowStripes="0"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688EE794-6E74-45A5-BD74-B1964EC9A11C}" name="StateSenatorSenateDistrict52General" displayName="StateSenatorSenateDistrict52General" ref="A2:F10" totalsRowCount="1" headerRowDxfId="2507" dataDxfId="2505" totalsRowDxfId="2503" headerRowBorderDxfId="2506" tableBorderDxfId="2504" totalsRowBorderDxfId="2502">
  <autoFilter ref="A2:F9" xr:uid="{97BBF5E9-9936-42E5-9F11-ABDEE8F3C8FE}">
    <filterColumn colId="0" hiddenButton="1"/>
    <filterColumn colId="1" hiddenButton="1"/>
    <filterColumn colId="2" hiddenButton="1"/>
    <filterColumn colId="3" hiddenButton="1"/>
    <filterColumn colId="4" hiddenButton="1"/>
    <filterColumn colId="5" hiddenButton="1"/>
  </autoFilter>
  <tableColumns count="6">
    <tableColumn id="1" xr3:uid="{23D0E337-8AD7-45A5-9DD4-62EACA3E16FB}" name="Candidate Name (Party)" totalsRowLabel="Total Votes by County" dataDxfId="2501" totalsRowDxfId="2500"/>
    <tableColumn id="2" xr3:uid="{D934F4E8-6074-45F7-8412-C87C848827BD}" name="Part of Broome County Vote Results" totalsRowFunction="custom" dataDxfId="2499" totalsRowDxfId="2498">
      <totalsRowFormula>SUM(StateSenatorSenateDistrict52General[Part of Broome County Vote Results])</totalsRowFormula>
    </tableColumn>
    <tableColumn id="3" xr3:uid="{3D5B5812-D4D8-4C25-977F-1D31E1C0745E}" name="Cortland County_x000a_Vote Results" totalsRowFunction="custom" dataDxfId="2497" totalsRowDxfId="2496">
      <totalsRowFormula>SUM(StateSenatorSenateDistrict52General[Cortland County
Vote Results])</totalsRowFormula>
    </tableColumn>
    <tableColumn id="4" xr3:uid="{261F7222-8C22-4BDC-BF5F-4171F0925D6D}" name="Tompkins County_x000a_Vote Results" totalsRowFunction="custom" dataDxfId="2495" totalsRowDxfId="2494">
      <totalsRowFormula>SUM(StateSenatorSenateDistrict52General[Tompkins County
Vote Results])</totalsRowFormula>
    </tableColumn>
    <tableColumn id="7" xr3:uid="{C0167EE7-9F91-4CFC-9E22-E9EC026A2D10}" name="Total Votes by Party" totalsRowFunction="custom" dataDxfId="2493" totalsRowDxfId="2492">
      <calculatedColumnFormula>SUM(StateSenatorSenateDistrict52General[[#This Row],[Part of Broome County Vote Results]:[Tompkins County
Vote Results]])</calculatedColumnFormula>
      <totalsRowFormula>SUM(StateSenatorSenateDistrict52General[Total Votes by Party])</totalsRowFormula>
    </tableColumn>
    <tableColumn id="5" xr3:uid="{886C18C4-69F3-4535-97FE-CC5E288F3F7A}" name="Total Votes by Candidate" dataDxfId="2491" totalsRowDxfId="2490"/>
  </tableColumns>
  <tableStyleInfo name="TableStyleMedium2" showFirstColumn="0" showLastColumn="0" showRowStripes="0"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E6932264-FA6D-47DF-8BFE-C8C3BEEABC49}" name="StateSenatorSenateDistrict53General" displayName="StateSenatorSenateDistrict53General" ref="A2:G10" totalsRowCount="1" headerRowDxfId="2489" dataDxfId="2487" totalsRowDxfId="2485" headerRowBorderDxfId="2488" tableBorderDxfId="2486" totalsRowBorderDxfId="2484">
  <autoFilter ref="A2:G9" xr:uid="{93AF2475-4333-4CF8-9AA7-E01BBA2EA24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6D11CE6-4AF6-4EA9-811B-1214EF62EA69}" name="Candidate Name (Party)" totalsRowLabel="Total Votes by County" dataDxfId="2483" totalsRowDxfId="2482"/>
    <tableColumn id="2" xr3:uid="{1DF5E235-2506-49DD-989F-1EB4EA807C33}" name="Part of Chenango County Vote Results" totalsRowFunction="custom" dataDxfId="2481" totalsRowDxfId="2480">
      <totalsRowFormula>SUM(StateSenatorSenateDistrict53General[Part of Chenango County Vote Results])</totalsRowFormula>
    </tableColumn>
    <tableColumn id="7" xr3:uid="{F9188325-2EDF-4DCC-A9C1-49EA49E3D168}" name="Part of Herkimer County Vote Results" totalsRowFunction="custom" dataDxfId="2479" totalsRowDxfId="2478">
      <totalsRowFormula>SUM(StateSenatorSenateDistrict53General[Part of Herkimer County Vote Results])</totalsRowFormula>
    </tableColumn>
    <tableColumn id="3" xr3:uid="{07F00AE9-B436-4095-AB4D-9AA6DE8FE1BE}" name="Madison County_x000a_ Vote Results" totalsRowFunction="custom" dataDxfId="2477" totalsRowDxfId="2476">
      <totalsRowFormula>SUM(StateSenatorSenateDistrict53General[Madison County
 Vote Results])</totalsRowFormula>
    </tableColumn>
    <tableColumn id="4" xr3:uid="{0F9B946E-7986-4684-977D-73E9BC601CE0}" name="Oneida County_x000a_ Vote Results" totalsRowFunction="custom" dataDxfId="2475" totalsRowDxfId="2474">
      <totalsRowFormula>SUM(StateSenatorSenateDistrict53General[Oneida County
 Vote Results])</totalsRowFormula>
    </tableColumn>
    <tableColumn id="6" xr3:uid="{D3C961CE-32B1-41CB-8EF6-D3C06BFB952C}" name="Total Votes by Party" totalsRowFunction="custom" dataDxfId="2473" totalsRowDxfId="2472">
      <calculatedColumnFormula>SUM(StateSenatorSenateDistrict53General[[#This Row],[Part of Chenango County Vote Results]:[Oneida County
 Vote Results]])</calculatedColumnFormula>
      <totalsRowFormula>SUM(StateSenatorSenateDistrict53General[Total Votes by Party])</totalsRowFormula>
    </tableColumn>
    <tableColumn id="5" xr3:uid="{8E11411E-5F5E-4A61-A1AB-523D7EA0C4F0}" name="Total Votes by Candidate" dataDxfId="2471" totalsRowDxfId="2470"/>
  </tableColumns>
  <tableStyleInfo name="TableStyleMedium2"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4" xr:uid="{9081D6B3-E2D3-47FF-9700-BDD6D171C90E}" name="RepInCongressCongressionalDistrict1General245255" displayName="RepInCongressCongressionalDistrict1General245255" ref="A2:D21" totalsRowCount="1" headerRowDxfId="3837" dataDxfId="3835" totalsRowDxfId="3833" headerRowBorderDxfId="3836" tableBorderDxfId="3834" totalsRowBorderDxfId="3832">
  <tableColumns count="4">
    <tableColumn id="1" xr3:uid="{9ED773FF-1EC0-4408-A55D-8C270D25B1BC}" name="Candidate Name (Party)" totalsRowLabel="Total Votes by County" dataDxfId="3831" totalsRowDxfId="3830"/>
    <tableColumn id="4" xr3:uid="{95BBA737-8B6A-45E4-BDC7-0606032DD0B5}" name="Queens County _x000a_Vote Results" totalsRowFunction="custom" dataDxfId="3829" totalsRowDxfId="3828">
      <totalsRowFormula>SUM(RepInCongressCongressionalDistrict1General245255[Queens County 
Vote Results])</totalsRowFormula>
    </tableColumn>
    <tableColumn id="3" xr3:uid="{ED74E6DC-7EDA-4F5F-A9FE-62F7CF3818F5}" name="Total Votes by Party" totalsRowFunction="custom" dataDxfId="3827" totalsRowDxfId="3826">
      <calculatedColumnFormula>RepInCongressCongressionalDistrict1General245255[[#This Row],[Queens County 
Vote Results]]</calculatedColumnFormula>
      <totalsRowFormula>SUM(RepInCongressCongressionalDistrict1General245255[Total Votes by Party])</totalsRowFormula>
    </tableColumn>
    <tableColumn id="2" xr3:uid="{A89F4CD7-1713-4E41-B34B-6E1603A9350B}" name="Total Votes by Candidate" dataDxfId="3825" totalsRowDxfId="3824"/>
  </tableColumns>
  <tableStyleInfo name="TableStyleMedium2" showFirstColumn="0" showLastColumn="0" showRowStripes="0"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AA4CDAA2-FCDA-42A1-9B89-D96C3CB6FDAE}" name="StateSenatorSenateDistrict54General" displayName="StateSenatorSenateDistrict54General" ref="A2:G9" totalsRowCount="1" headerRowDxfId="2469" dataDxfId="2467" totalsRowDxfId="2465" headerRowBorderDxfId="2468" tableBorderDxfId="2466" totalsRowBorderDxfId="2464">
  <autoFilter ref="A2:G8" xr:uid="{66B88628-165F-4A8E-98A1-75A20C42531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D808933-7D90-407E-AE0D-78DAE288AA38}" name="Candidate Name (Party)" totalsRowLabel="Total Votes by County" dataDxfId="2463" totalsRowDxfId="2462"/>
    <tableColumn id="2" xr3:uid="{B3023612-F68A-4DE1-A0B0-613EA705A71A}" name="Livingston County_x000a_Vote Results" totalsRowFunction="custom" dataDxfId="2461" totalsRowDxfId="2460">
      <totalsRowFormula>SUM(StateSenatorSenateDistrict54General[Livingston County
Vote Results])</totalsRowFormula>
    </tableColumn>
    <tableColumn id="6" xr3:uid="{4F0CDECD-4CA8-4458-A82D-7D990B0488CC}" name="Part of Monroe County Vote Results" totalsRowFunction="custom" dataDxfId="2459" totalsRowDxfId="2458">
      <totalsRowFormula>SUM(StateSenatorSenateDistrict54General[Part of Monroe County Vote Results])</totalsRowFormula>
    </tableColumn>
    <tableColumn id="3" xr3:uid="{B49BB4FC-1685-48B9-B475-F53284C331CA}" name="Ontario County_x000a_Vote Results" totalsRowFunction="custom" dataDxfId="2457" totalsRowDxfId="2456">
      <totalsRowFormula>SUM(StateSenatorSenateDistrict54General[Ontario County
Vote Results])</totalsRowFormula>
    </tableColumn>
    <tableColumn id="4" xr3:uid="{BE2CA62C-4C57-4062-AEDC-396939A06F4C}" name="Wayne County_x000a_Vote Results" totalsRowFunction="custom" dataDxfId="2455" totalsRowDxfId="2454">
      <totalsRowFormula>SUM(StateSenatorSenateDistrict54General[Wayne County
Vote Results])</totalsRowFormula>
    </tableColumn>
    <tableColumn id="7" xr3:uid="{4A38FE73-E539-4620-9ED0-8434FC71978A}" name="Total Votes by Party" totalsRowFunction="custom" dataDxfId="2453" totalsRowDxfId="2452">
      <calculatedColumnFormula>SUM(StateSenatorSenateDistrict54General[[#This Row],[Livingston County
Vote Results]:[Wayne County
Vote Results]])</calculatedColumnFormula>
      <totalsRowFormula>SUM(StateSenatorSenateDistrict54General[Total Votes by Party])</totalsRowFormula>
    </tableColumn>
    <tableColumn id="5" xr3:uid="{0BF9FBC8-0D3F-4133-808E-9E2C306749E5}" name="Total Votes by Candidate" dataDxfId="2451" totalsRowDxfId="2450"/>
  </tableColumns>
  <tableStyleInfo name="TableStyleMedium2" showFirstColumn="0" showLastColumn="0" showRowStripes="0"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BC5755F-8EBB-4268-9179-3CF5BD0496C8}" name="StateSenatorSenateDistrict55General" displayName="StateSenatorSenateDistrict55General" ref="A2:D10" totalsRowCount="1" headerRowDxfId="2449" dataDxfId="2447" totalsRowDxfId="2445" headerRowBorderDxfId="2448" tableBorderDxfId="2446" totalsRowBorderDxfId="2444">
  <autoFilter ref="A2:D9" xr:uid="{B2AE2A49-3BE3-4155-95DB-5C66CB3250CA}">
    <filterColumn colId="0" hiddenButton="1"/>
    <filterColumn colId="1" hiddenButton="1"/>
    <filterColumn colId="2" hiddenButton="1"/>
    <filterColumn colId="3" hiddenButton="1"/>
  </autoFilter>
  <tableColumns count="4">
    <tableColumn id="1" xr3:uid="{8328D774-338D-4DB4-87C9-84C094FBB6B7}" name="Candidate Name (Party)" totalsRowLabel="Total Votes by County" dataDxfId="2443" totalsRowDxfId="2442"/>
    <tableColumn id="2" xr3:uid="{05666E7C-0A23-4827-9804-C815C140BBEC}" name="Part of Monroe County Vote Results" totalsRowFunction="custom" dataDxfId="2441" totalsRowDxfId="2440">
      <totalsRowFormula>SUM(StateSenatorSenateDistrict55General[Part of Monroe County Vote Results])</totalsRowFormula>
    </tableColumn>
    <tableColumn id="3" xr3:uid="{11126ADE-1D9D-4671-B509-CE2EB6152E73}" name="Total Votes by Party" totalsRowFunction="custom" dataDxfId="2439" totalsRowDxfId="2438">
      <calculatedColumnFormula>SUM(StateSenatorSenateDistrict55General[[#This Row],[Part of Monroe County Vote Results]])</calculatedColumnFormula>
      <totalsRowFormula>SUM(StateSenatorSenateDistrict55General[Total Votes by Party])</totalsRowFormula>
    </tableColumn>
    <tableColumn id="5" xr3:uid="{E3394817-7E77-4A94-B792-550ACBCA17C9}" name="Total Votes by Candidate" dataDxfId="2437" totalsRowDxfId="2436"/>
  </tableColumns>
  <tableStyleInfo name="TableStyleMedium2" showFirstColumn="0" showLastColumn="0" showRowStripes="0" showColumnStripes="0"/>
</table>
</file>

<file path=xl/tables/table9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CA777521-4845-4B10-9D7A-AF87077D9001}" name="StateSenatorSenateDistrict56General" displayName="StateSenatorSenateDistrict56General" ref="A2:D10" totalsRowCount="1" headerRowDxfId="2435" dataDxfId="2433" totalsRowDxfId="2431" headerRowBorderDxfId="2434" tableBorderDxfId="2432" totalsRowBorderDxfId="2430">
  <autoFilter ref="A2:D9" xr:uid="{67E25BD0-DCBD-4710-9F1E-1A66ED19EEA6}">
    <filterColumn colId="0" hiddenButton="1"/>
    <filterColumn colId="1" hiddenButton="1"/>
    <filterColumn colId="2" hiddenButton="1"/>
    <filterColumn colId="3" hiddenButton="1"/>
  </autoFilter>
  <tableColumns count="4">
    <tableColumn id="1" xr3:uid="{CB7F9144-157C-4BE8-B063-E8B47A746F44}" name="Candidate Name (Party)" totalsRowLabel="Total Votes by County" dataDxfId="2429" totalsRowDxfId="2428"/>
    <tableColumn id="4" xr3:uid="{22047976-8E11-42A4-A244-0D6D4C863FF5}" name="Part of Monroe County Vote Results" totalsRowFunction="custom" dataDxfId="2427" totalsRowDxfId="2426">
      <totalsRowFormula>SUM(StateSenatorSenateDistrict56General[Part of Monroe County Vote Results])</totalsRowFormula>
    </tableColumn>
    <tableColumn id="3" xr3:uid="{8321C467-7B83-447F-9FAB-B1064CFEBF5B}" name="Total Votes by Party" totalsRowFunction="custom" dataDxfId="2425" totalsRowDxfId="2424">
      <calculatedColumnFormula>StateSenatorSenateDistrict56General[[#This Row],[Part of Monroe County Vote Results]]</calculatedColumnFormula>
      <totalsRowFormula>SUM(StateSenatorSenateDistrict56General[Total Votes by Party])</totalsRowFormula>
    </tableColumn>
    <tableColumn id="2" xr3:uid="{36CE6873-8AB4-4579-910C-5ABE9886A78F}" name="Total Votes by Candidate" dataDxfId="2423" totalsRowDxfId="2422"/>
  </tableColumns>
  <tableStyleInfo name="TableStyleMedium2" showFirstColumn="0" showLastColumn="0" showRowStripes="0" showColumnStripes="0"/>
</table>
</file>

<file path=xl/tables/table9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F7CCEFB6-70B0-4466-9F43-0F588A098CAC}" name="StateSenatorSenateDistrict57General" displayName="StateSenatorSenateDistrict57General" ref="A2:H8" totalsRowCount="1" headerRowDxfId="2421" dataDxfId="2419" totalsRowDxfId="2417" headerRowBorderDxfId="2420" tableBorderDxfId="2418" totalsRowBorderDxfId="2416">
  <autoFilter ref="A2:H7" xr:uid="{32882166-3D13-45FC-9A3B-3C8BE0B4C56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65F2A57-BC80-4A90-BDEF-EE2CB41C908A}" name="Candidate Name (Party)" totalsRowLabel="Total Votes by County" dataDxfId="2415" totalsRowDxfId="2414"/>
    <tableColumn id="2" xr3:uid="{D2F46722-A087-4316-9636-12116871B835}" name="Part of Allegany County Vote Results" totalsRowFunction="custom" dataDxfId="2413" totalsRowDxfId="2412">
      <totalsRowFormula>SUM(StateSenatorSenateDistrict57General[Part of Allegany County Vote Results])</totalsRowFormula>
    </tableColumn>
    <tableColumn id="6" xr3:uid="{1B476707-0D62-415D-9810-C5C811D73F47}" name="Cattaraugus County_x000a_Vote Results" totalsRowFunction="custom" dataDxfId="2411" totalsRowDxfId="2410">
      <totalsRowFormula>SUM(StateSenatorSenateDistrict57General[Cattaraugus County
Vote Results])</totalsRowFormula>
    </tableColumn>
    <tableColumn id="7" xr3:uid="{EF066DED-2D0B-40E9-B6E3-38E5E16C77AC}" name=" Chautauqua County Vote Results" totalsRowFunction="custom" dataDxfId="2409" totalsRowDxfId="2408">
      <totalsRowFormula>SUM(StateSenatorSenateDistrict57General[[ Chautauqua County Vote Results]])</totalsRowFormula>
    </tableColumn>
    <tableColumn id="10" xr3:uid="{6C05E9F5-6215-49A4-9824-0EF6D5F73C92}" name="Genesee County_x000a_Vote Results" totalsRowFunction="custom" dataDxfId="2407" totalsRowDxfId="2406">
      <totalsRowFormula>SUM(StateSenatorSenateDistrict57General[Genesee County
Vote Results])</totalsRowFormula>
    </tableColumn>
    <tableColumn id="4" xr3:uid="{99774C17-7254-4EBC-A5F6-87B17558798F}" name="Wyoming County_x000a_Vote Results" totalsRowFunction="custom" dataDxfId="2405" totalsRowDxfId="2404">
      <totalsRowFormula>SUM(StateSenatorSenateDistrict57General[Wyoming County
Vote Results])</totalsRowFormula>
    </tableColumn>
    <tableColumn id="3" xr3:uid="{BF11E495-63D5-4606-BD40-80BC156877B3}" name="Total Votes by Party" totalsRowFunction="custom" dataDxfId="2403" totalsRowDxfId="2402">
      <calculatedColumnFormula>SUM(StateSenatorSenateDistrict57General[[#This Row],[Part of Allegany County Vote Results]:[Wyoming County
Vote Results]])</calculatedColumnFormula>
      <totalsRowFormula>SUM(StateSenatorSenateDistrict57General[Total Votes by Party])</totalsRowFormula>
    </tableColumn>
    <tableColumn id="5" xr3:uid="{1A04C80A-9C5D-4272-8E3B-52C1B4D40767}" name="Total Votes by Candidate" dataDxfId="2401" totalsRowDxfId="2400">
      <calculatedColumnFormula>SUM(StateSenatorSenateDistrict57General[[#This Row],[Total Votes by Party]],G4)</calculatedColumnFormula>
    </tableColumn>
  </tableColumns>
  <tableStyleInfo name="TableStyleMedium2" showFirstColumn="0" showLastColumn="0" showRowStripes="0" showColumnStripes="0"/>
</table>
</file>

<file path=xl/tables/table9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A3FA145F-BF29-497B-A39F-4E7A02A206E6}" name="StateSenatorSenateDistrict58General" displayName="StateSenatorSenateDistrict58General" ref="A2:J8" totalsRowCount="1" headerRowDxfId="2399" dataDxfId="2397" totalsRowDxfId="2395" headerRowBorderDxfId="2398" tableBorderDxfId="2396" totalsRowBorderDxfId="2394">
  <autoFilter ref="A2:J7" xr:uid="{0F2EF0C2-407C-425B-B319-2DE1E78852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2512B09B-D3E2-446A-880C-9908A4A93AD5}" name="Candidate Name (Party)" totalsRowLabel="Total Votes by County" dataDxfId="2393" totalsRowDxfId="2392"/>
    <tableColumn id="2" xr3:uid="{597634FD-FFD7-49EF-B24E-8D4399F621A8}" name="Part of Allegany County Vote Results" totalsRowFunction="custom" dataDxfId="2391" totalsRowDxfId="2390">
      <totalsRowFormula>SUM(StateSenatorSenateDistrict58General[Part of Allegany County Vote Results])</totalsRowFormula>
    </tableColumn>
    <tableColumn id="6" xr3:uid="{3DDEDF67-CC59-499F-A931-3C782E460A37}" name="Chemung County_x000a_Vote Results" totalsRowFunction="custom" dataDxfId="2389" totalsRowDxfId="2388">
      <totalsRowFormula>SUM(StateSenatorSenateDistrict58General[Chemung County
Vote Results])</totalsRowFormula>
    </tableColumn>
    <tableColumn id="8" xr3:uid="{1D0BC052-418E-4C0D-BEE7-BB035727428C}" name="Schuyler County_x000a_Vote Results" totalsRowFunction="custom" dataDxfId="2387" totalsRowDxfId="2386">
      <totalsRowFormula>SUM(StateSenatorSenateDistrict58General[Schuyler County
Vote Results])</totalsRowFormula>
    </tableColumn>
    <tableColumn id="10" xr3:uid="{FA4A7E21-4EA1-4850-B4C4-BF291A785179}" name="Seneca County_x000a_Vote Results" totalsRowFunction="custom" dataDxfId="2385" totalsRowDxfId="2384">
      <totalsRowFormula>SUM(StateSenatorSenateDistrict58General[Seneca County
Vote Results])</totalsRowFormula>
    </tableColumn>
    <tableColumn id="9" xr3:uid="{C84559C8-3185-498B-82EC-5ED3633AD248}" name="Steuben County_x000a_Vote Results" totalsRowFunction="custom" dataDxfId="2383" totalsRowDxfId="2382">
      <totalsRowFormula>SUM(StateSenatorSenateDistrict58General[Steuben County
Vote Results])</totalsRowFormula>
    </tableColumn>
    <tableColumn id="3" xr3:uid="{04679E02-5660-4FDE-B131-4547D3185F6C}" name="Tioga County_x000a_Vote Results" totalsRowFunction="custom" dataDxfId="2381" totalsRowDxfId="2380">
      <totalsRowFormula>SUM(StateSenatorSenateDistrict58General[Tioga County
Vote Results])</totalsRowFormula>
    </tableColumn>
    <tableColumn id="4" xr3:uid="{5D4C01EC-8DEF-478B-8A41-079ED3135DA2}" name="Yates County_x000a_Vote Results" totalsRowFunction="custom" dataDxfId="2379" totalsRowDxfId="2378">
      <totalsRowFormula>SUM(StateSenatorSenateDistrict58General[Yates County
Vote Results])</totalsRowFormula>
    </tableColumn>
    <tableColumn id="7" xr3:uid="{7685DB60-BB90-4B19-AF35-D3DA73DCE446}" name="Total Votes by Party" totalsRowFunction="custom" dataDxfId="2377" totalsRowDxfId="2376">
      <calculatedColumnFormula>SUM(StateSenatorSenateDistrict58General[[#This Row],[Part of Allegany County Vote Results]:[Yates County
Vote Results]])</calculatedColumnFormula>
      <totalsRowFormula>SUM(StateSenatorSenateDistrict58General[Total Votes by Party])</totalsRowFormula>
    </tableColumn>
    <tableColumn id="5" xr3:uid="{4A18E2AE-FB66-44AE-A6ED-6019F6529DD1}" name="Total Votes by Candidate" dataDxfId="2375" totalsRowDxfId="2374">
      <calculatedColumnFormula>SUM(StateSenatorSenateDistrict58General[[#This Row],[Total Votes by Party]],I4)</calculatedColumnFormula>
    </tableColumn>
  </tableColumns>
  <tableStyleInfo name="TableStyleMedium2" showFirstColumn="0" showLastColumn="0" showRowStripes="0" showColumnStripes="0"/>
</table>
</file>

<file path=xl/tables/table9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5EE9B6DC-8716-427B-BF76-10D27486F76C}" name="StateSenatorSenateDistrict59General" displayName="StateSenatorSenateDistrict59General" ref="A2:F8" totalsRowCount="1" headerRowDxfId="2373" dataDxfId="2371" totalsRowDxfId="2369" headerRowBorderDxfId="2372" tableBorderDxfId="2370" totalsRowBorderDxfId="2368">
  <autoFilter ref="A2:F7" xr:uid="{5A837237-3F93-4C1E-BC67-ACAD0D1021F7}">
    <filterColumn colId="0" hiddenButton="1"/>
    <filterColumn colId="1" hiddenButton="1"/>
    <filterColumn colId="2" hiddenButton="1"/>
    <filterColumn colId="3" hiddenButton="1"/>
    <filterColumn colId="4" hiddenButton="1"/>
    <filterColumn colId="5" hiddenButton="1"/>
  </autoFilter>
  <tableColumns count="6">
    <tableColumn id="1" xr3:uid="{2DEBC508-F0E7-4DCF-B3C2-4C6004BADBCC}" name="Candidate Name (Party)" totalsRowLabel="Total Votes by County" dataDxfId="2367" totalsRowDxfId="2366"/>
    <tableColumn id="2" xr3:uid="{F50B2724-2F92-483E-9656-E502557B26B4}" name="Part of Kings County Vote Results" totalsRowFunction="custom" dataDxfId="2365" totalsRowDxfId="2364">
      <totalsRowFormula>SUM(StateSenatorSenateDistrict59General[Part of Kings County Vote Results])</totalsRowFormula>
    </tableColumn>
    <tableColumn id="10" xr3:uid="{2EBC8D49-FB3C-4696-B335-E23D79323399}" name="Part of New York County Vote Results" totalsRowFunction="custom" dataDxfId="2363" totalsRowDxfId="2362">
      <totalsRowFormula>SUM(StateSenatorSenateDistrict59General[Part of New York County Vote Results])</totalsRowFormula>
    </tableColumn>
    <tableColumn id="4" xr3:uid="{8E4668EA-BC79-44FA-9EEA-940EAC42A9CC}" name="Part of Queens County Vote Results" totalsRowFunction="custom" dataDxfId="2361" totalsRowDxfId="2360">
      <totalsRowFormula>SUM(StateSenatorSenateDistrict59General[Part of Queens County Vote Results])</totalsRowFormula>
    </tableColumn>
    <tableColumn id="3" xr3:uid="{B9C794F7-008A-48A3-A3CD-05FF75F7685F}" name="Total Votes by Party" totalsRowFunction="custom" dataDxfId="2359" totalsRowDxfId="2358">
      <calculatedColumnFormula>SUM(StateSenatorSenateDistrict59General[[#This Row],[Part of Kings County Vote Results]:[Part of Queens County Vote Results]])</calculatedColumnFormula>
      <totalsRowFormula>SUM(StateSenatorSenateDistrict59General[Total Votes by Party])</totalsRowFormula>
    </tableColumn>
    <tableColumn id="5" xr3:uid="{395BC531-2F01-4845-8EDB-17E30375B3AC}" name="Total Votes by Candidate" dataDxfId="2357" totalsRowDxfId="2356">
      <calculatedColumnFormula>SUM(StateSenatorSenateDistrict59General[[#This Row],[Total Votes by Party]],E4)</calculatedColumnFormula>
    </tableColumn>
  </tableColumns>
  <tableStyleInfo name="TableStyleMedium2" showFirstColumn="0" showLastColumn="0" showRowStripes="0" showColumnStripes="0"/>
</table>
</file>

<file path=xl/tables/table9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B72CDBC0-6F7C-4D12-A3A0-996B8B879447}" name="StateSenatorSenateDistrict60General" displayName="StateSenatorSenateDistrict60General" ref="A2:D8" totalsRowCount="1" headerRowDxfId="2355" dataDxfId="2353" totalsRowDxfId="2351" headerRowBorderDxfId="2354" tableBorderDxfId="2352" totalsRowBorderDxfId="2350">
  <autoFilter ref="A2:D7" xr:uid="{8C82612D-DA72-406A-8B98-AE42A15CF515}">
    <filterColumn colId="0" hiddenButton="1"/>
    <filterColumn colId="1" hiddenButton="1"/>
    <filterColumn colId="2" hiddenButton="1"/>
    <filterColumn colId="3" hiddenButton="1"/>
  </autoFilter>
  <tableColumns count="4">
    <tableColumn id="1" xr3:uid="{C2992E26-1747-49FB-BA76-86EF4B2A25D7}" name="Candidate Name (Party)" totalsRowLabel="Total Votes by County" dataDxfId="2349" totalsRowDxfId="2348"/>
    <tableColumn id="4" xr3:uid="{8E22C333-BD30-4CAB-A451-FA33A20711A3}" name="Part of Erie County_x000a_Vote Results" totalsRowFunction="custom" dataDxfId="2347" totalsRowDxfId="2346">
      <totalsRowFormula>SUM(StateSenatorSenateDistrict60General[Part of Erie County
Vote Results])</totalsRowFormula>
    </tableColumn>
    <tableColumn id="3" xr3:uid="{C3C2B685-3D41-4E06-89FD-FFA918A27C37}" name="Total Votes by Party" totalsRowFunction="custom" dataDxfId="2345" totalsRowDxfId="2344">
      <calculatedColumnFormula>StateSenatorSenateDistrict60General[[#This Row],[Part of Erie County
Vote Results]]</calculatedColumnFormula>
      <totalsRowFormula>SUM(StateSenatorSenateDistrict60General[Total Votes by Party])</totalsRowFormula>
    </tableColumn>
    <tableColumn id="2" xr3:uid="{003EE50F-96E9-4C93-86C5-0780BFDBCF4C}" name="Total Votes by Candidate" dataDxfId="2343" totalsRowDxfId="2342">
      <calculatedColumnFormula>SUM(StateSenatorSenateDistrict60General[[#This Row],[Total Votes by Party]],C4)</calculatedColumnFormula>
    </tableColumn>
  </tableColumns>
  <tableStyleInfo name="TableStyleMedium2" showFirstColumn="0" showLastColumn="0" showRowStripes="0" showColumnStripes="0"/>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E0D85117-DCEB-4A05-841C-8807DDA7BFF5}" name="StateSenatorSenateDistrict61General" displayName="StateSenatorSenateDistrict61General" ref="A2:D10" totalsRowCount="1" headerRowDxfId="2341" dataDxfId="2339" totalsRowDxfId="2337" headerRowBorderDxfId="2340" tableBorderDxfId="2338" totalsRowBorderDxfId="2336">
  <autoFilter ref="A2:D9" xr:uid="{6B00269E-69EC-4DA7-9D15-C087191207D6}">
    <filterColumn colId="0" hiddenButton="1"/>
    <filterColumn colId="1" hiddenButton="1"/>
    <filterColumn colId="2" hiddenButton="1"/>
    <filterColumn colId="3" hiddenButton="1"/>
  </autoFilter>
  <tableColumns count="4">
    <tableColumn id="1" xr3:uid="{6A2AB5DF-1DA0-43FD-A0C5-895A53100E02}" name="Candidate Name (Party)" totalsRowLabel="Total Votes by County" dataDxfId="2335" totalsRowDxfId="2334"/>
    <tableColumn id="3" xr3:uid="{845066F5-981B-463E-8328-525515009368}" name="Part of Erie County_x000a_Vote Results" totalsRowFunction="custom" dataDxfId="2333" totalsRowDxfId="2332">
      <totalsRowFormula>SUM(StateSenatorSenateDistrict61General[Part of Erie County
Vote Results])</totalsRowFormula>
    </tableColumn>
    <tableColumn id="6" xr3:uid="{6D0B5050-A39F-4FB0-A021-449B58488121}" name="Total Votes by Party" totalsRowFunction="custom" dataDxfId="2331" totalsRowDxfId="2330">
      <calculatedColumnFormula>SUM(StateSenatorSenateDistrict61General[[#This Row],[Part of Erie County
Vote Results]])</calculatedColumnFormula>
      <totalsRowFormula>SUM(StateSenatorSenateDistrict61General[Total Votes by Party])</totalsRowFormula>
    </tableColumn>
    <tableColumn id="5" xr3:uid="{DECCDC7D-43BE-4AF6-B551-059F19BBDBF0}" name="Total Votes by Candidate" dataDxfId="2329" totalsRowDxfId="2328"/>
  </tableColumns>
  <tableStyleInfo name="TableStyleMedium2" showFirstColumn="0" showLastColumn="0" showRowStripes="0" showColumnStripes="0"/>
</table>
</file>

<file path=xl/tables/table9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D98209BC-71CA-4F1D-81C9-BFC3E72BF2CA}" name="StateSenatorSenateDistrict62General" displayName="StateSenatorSenateDistrict62General" ref="A2:F8" totalsRowCount="1" headerRowDxfId="2327" dataDxfId="2325" totalsRowDxfId="2323" headerRowBorderDxfId="2326" tableBorderDxfId="2324" totalsRowBorderDxfId="2322">
  <autoFilter ref="A2:F7" xr:uid="{625A54BC-7619-41F1-B12B-E5CECB8E46A4}">
    <filterColumn colId="0" hiddenButton="1"/>
    <filterColumn colId="1" hiddenButton="1"/>
    <filterColumn colId="2" hiddenButton="1"/>
    <filterColumn colId="3" hiddenButton="1"/>
    <filterColumn colId="4" hiddenButton="1"/>
    <filterColumn colId="5" hiddenButton="1"/>
  </autoFilter>
  <tableColumns count="6">
    <tableColumn id="1" xr3:uid="{48744D90-4A84-4C37-8AD5-8A1BA3C55C21}" name="Candidate Name (Party)" totalsRowLabel="Total Votes by County" dataDxfId="2321" totalsRowDxfId="2320"/>
    <tableColumn id="2" xr3:uid="{17C3EED4-22C9-452C-9A3F-CFF00D33B50D}" name="Part of Monroe County Vote Results" totalsRowFunction="custom" dataDxfId="2319" totalsRowDxfId="2318">
      <totalsRowFormula>SUM(StateSenatorSenateDistrict62General[Part of Monroe County Vote Results])</totalsRowFormula>
    </tableColumn>
    <tableColumn id="3" xr3:uid="{5048E2F2-B508-4641-BFAB-AB824ECC6EE0}" name="Niagara County_x000a_Vote Results" totalsRowFunction="custom" dataDxfId="2317" totalsRowDxfId="2316">
      <totalsRowFormula>SUM(StateSenatorSenateDistrict62General[Niagara County
Vote Results])</totalsRowFormula>
    </tableColumn>
    <tableColumn id="4" xr3:uid="{0CCF227D-FC7C-4B63-997B-FB2007D08BAB}" name="Orleans County_x000a_Vote Results" totalsRowFunction="custom" dataDxfId="2315" totalsRowDxfId="2314">
      <totalsRowFormula>SUM(StateSenatorSenateDistrict62General[Orleans County
Vote Results])</totalsRowFormula>
    </tableColumn>
    <tableColumn id="6" xr3:uid="{CC2361C0-86FB-4E90-B5D2-220D4600F934}" name="Total Votes by Party" totalsRowFunction="custom" dataDxfId="2313" totalsRowDxfId="2312">
      <calculatedColumnFormula>SUM(StateSenatorSenateDistrict62General[[#This Row],[Part of Monroe County Vote Results]:[Orleans County
Vote Results]])</calculatedColumnFormula>
      <totalsRowFormula>SUM(StateSenatorSenateDistrict62General[Total Votes by Party])</totalsRowFormula>
    </tableColumn>
    <tableColumn id="5" xr3:uid="{5E3CD73A-E0DF-4C5A-83AE-EDE417FABD03}" name="Total Votes by Candidate" dataDxfId="2311" totalsRowDxfId="2310">
      <calculatedColumnFormula>SUM(StateSenatorSenateDistrict62General[[#This Row],[Total Votes by Party]],E4)</calculatedColumnFormula>
    </tableColumn>
  </tableColumns>
  <tableStyleInfo name="TableStyleMedium2" showFirstColumn="0" showLastColumn="0" showRowStripes="0" showColumnStripes="0"/>
</table>
</file>

<file path=xl/tables/table9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9AAFE8F5-4E71-489F-B94F-90D213F43CB4}" name="StateSenatorSenateDistrict63General" displayName="StateSenatorSenateDistrict63General" ref="A2:D10" totalsRowCount="1" headerRowDxfId="2309" dataDxfId="2307" totalsRowDxfId="2305" headerRowBorderDxfId="2308" tableBorderDxfId="2306" totalsRowBorderDxfId="2304">
  <autoFilter ref="A2:D9" xr:uid="{F0C7570A-FCF2-4D7A-9847-44E748CDEC87}">
    <filterColumn colId="0" hiddenButton="1"/>
    <filterColumn colId="1" hiddenButton="1"/>
    <filterColumn colId="2" hiddenButton="1"/>
    <filterColumn colId="3" hiddenButton="1"/>
  </autoFilter>
  <tableColumns count="4">
    <tableColumn id="1" xr3:uid="{95A1DD09-A65F-4D10-A931-E9159C97EA34}" name="Candidate Name (Party)" totalsRowLabel="Total Votes by County" dataDxfId="2303" totalsRowDxfId="2302"/>
    <tableColumn id="4" xr3:uid="{AD7E3522-9398-4D5A-829E-50B0C1B4B9C5}" name="Part of Erie County_x000a_Vote Results" totalsRowFunction="custom" dataDxfId="2301" totalsRowDxfId="2300">
      <totalsRowFormula>SUM(StateSenatorSenateDistrict63General[Part of Erie County
Vote Results])</totalsRowFormula>
    </tableColumn>
    <tableColumn id="3" xr3:uid="{7EEFF99C-B1C3-4BAE-8D44-6A1EFE8A0AB9}" name="Total Votes by Party" totalsRowFunction="custom" dataDxfId="2299" totalsRowDxfId="2298">
      <calculatedColumnFormula>StateSenatorSenateDistrict63General[[#This Row],[Part of Erie County
Vote Results]]</calculatedColumnFormula>
      <totalsRowFormula>SUM(StateSenatorSenateDistrict63General[Total Votes by Party])</totalsRowFormula>
    </tableColumn>
    <tableColumn id="2" xr3:uid="{FB97D1EE-0443-4242-A57D-85C408F5E037}" name="Total Votes by Candidate" dataDxfId="2297" totalsRowDxfId="2296">
      <calculatedColumnFormula>SUM(StateSenatorSenateDistrict63General[[#This Row],[Total Votes by Party]],C4,C5)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2" Type="http://schemas.openxmlformats.org/officeDocument/2006/relationships/table" Target="../tables/table100.xml"/><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2" Type="http://schemas.openxmlformats.org/officeDocument/2006/relationships/table" Target="../tables/table101.xml"/><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2" Type="http://schemas.openxmlformats.org/officeDocument/2006/relationships/table" Target="../tables/table102.xml"/><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2" Type="http://schemas.openxmlformats.org/officeDocument/2006/relationships/table" Target="../tables/table103.xml"/><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2" Type="http://schemas.openxmlformats.org/officeDocument/2006/relationships/table" Target="../tables/table104.xml"/><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2" Type="http://schemas.openxmlformats.org/officeDocument/2006/relationships/table" Target="../tables/table105.xml"/><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2" Type="http://schemas.openxmlformats.org/officeDocument/2006/relationships/table" Target="../tables/table106.xml"/><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2" Type="http://schemas.openxmlformats.org/officeDocument/2006/relationships/table" Target="../tables/table107.xml"/><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2" Type="http://schemas.openxmlformats.org/officeDocument/2006/relationships/table" Target="../tables/table108.xml"/><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2" Type="http://schemas.openxmlformats.org/officeDocument/2006/relationships/table" Target="../tables/table109.xml"/><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2" Type="http://schemas.openxmlformats.org/officeDocument/2006/relationships/table" Target="../tables/table110.xml"/><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2" Type="http://schemas.openxmlformats.org/officeDocument/2006/relationships/table" Target="../tables/table111.xml"/><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2" Type="http://schemas.openxmlformats.org/officeDocument/2006/relationships/table" Target="../tables/table112.xml"/><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2" Type="http://schemas.openxmlformats.org/officeDocument/2006/relationships/table" Target="../tables/table113.xml"/><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2" Type="http://schemas.openxmlformats.org/officeDocument/2006/relationships/table" Target="../tables/table114.xml"/><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2" Type="http://schemas.openxmlformats.org/officeDocument/2006/relationships/table" Target="../tables/table115.xml"/><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2" Type="http://schemas.openxmlformats.org/officeDocument/2006/relationships/table" Target="../tables/table116.xml"/><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2" Type="http://schemas.openxmlformats.org/officeDocument/2006/relationships/table" Target="../tables/table117.xml"/><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2" Type="http://schemas.openxmlformats.org/officeDocument/2006/relationships/table" Target="../tables/table118.xml"/><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2" Type="http://schemas.openxmlformats.org/officeDocument/2006/relationships/table" Target="../tables/table119.xml"/><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2" Type="http://schemas.openxmlformats.org/officeDocument/2006/relationships/table" Target="../tables/table120.xml"/><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2" Type="http://schemas.openxmlformats.org/officeDocument/2006/relationships/table" Target="../tables/table121.xml"/><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2" Type="http://schemas.openxmlformats.org/officeDocument/2006/relationships/table" Target="../tables/table122.xml"/><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2" Type="http://schemas.openxmlformats.org/officeDocument/2006/relationships/table" Target="../tables/table123.xml"/><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2" Type="http://schemas.openxmlformats.org/officeDocument/2006/relationships/table" Target="../tables/table124.xml"/><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2" Type="http://schemas.openxmlformats.org/officeDocument/2006/relationships/table" Target="../tables/table125.xml"/><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2" Type="http://schemas.openxmlformats.org/officeDocument/2006/relationships/table" Target="../tables/table126.xml"/><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2" Type="http://schemas.openxmlformats.org/officeDocument/2006/relationships/table" Target="../tables/table127.xml"/><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2" Type="http://schemas.openxmlformats.org/officeDocument/2006/relationships/table" Target="../tables/table128.xml"/><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2" Type="http://schemas.openxmlformats.org/officeDocument/2006/relationships/table" Target="../tables/table129.xml"/><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2" Type="http://schemas.openxmlformats.org/officeDocument/2006/relationships/table" Target="../tables/table130.xml"/><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2" Type="http://schemas.openxmlformats.org/officeDocument/2006/relationships/table" Target="../tables/table131.xml"/><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2" Type="http://schemas.openxmlformats.org/officeDocument/2006/relationships/table" Target="../tables/table132.xml"/><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2" Type="http://schemas.openxmlformats.org/officeDocument/2006/relationships/table" Target="../tables/table133.xml"/><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2" Type="http://schemas.openxmlformats.org/officeDocument/2006/relationships/table" Target="../tables/table134.xml"/><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2" Type="http://schemas.openxmlformats.org/officeDocument/2006/relationships/table" Target="../tables/table135.xml"/><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2" Type="http://schemas.openxmlformats.org/officeDocument/2006/relationships/table" Target="../tables/table136.xml"/><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2" Type="http://schemas.openxmlformats.org/officeDocument/2006/relationships/table" Target="../tables/table137.xml"/><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2" Type="http://schemas.openxmlformats.org/officeDocument/2006/relationships/table" Target="../tables/table138.xml"/><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2" Type="http://schemas.openxmlformats.org/officeDocument/2006/relationships/table" Target="../tables/table139.xml"/><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2" Type="http://schemas.openxmlformats.org/officeDocument/2006/relationships/table" Target="../tables/table140.xml"/><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2" Type="http://schemas.openxmlformats.org/officeDocument/2006/relationships/table" Target="../tables/table141.xml"/><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2" Type="http://schemas.openxmlformats.org/officeDocument/2006/relationships/table" Target="../tables/table142.xml"/><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2" Type="http://schemas.openxmlformats.org/officeDocument/2006/relationships/table" Target="../tables/table143.xml"/><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2" Type="http://schemas.openxmlformats.org/officeDocument/2006/relationships/table" Target="../tables/table144.xml"/><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2" Type="http://schemas.openxmlformats.org/officeDocument/2006/relationships/table" Target="../tables/table145.xml"/><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2" Type="http://schemas.openxmlformats.org/officeDocument/2006/relationships/table" Target="../tables/table146.xml"/><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2" Type="http://schemas.openxmlformats.org/officeDocument/2006/relationships/table" Target="../tables/table147.xml"/><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2" Type="http://schemas.openxmlformats.org/officeDocument/2006/relationships/table" Target="../tables/table148.xml"/><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2" Type="http://schemas.openxmlformats.org/officeDocument/2006/relationships/table" Target="../tables/table149.xml"/><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2" Type="http://schemas.openxmlformats.org/officeDocument/2006/relationships/table" Target="../tables/table150.xml"/><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2" Type="http://schemas.openxmlformats.org/officeDocument/2006/relationships/table" Target="../tables/table151.xml"/><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2" Type="http://schemas.openxmlformats.org/officeDocument/2006/relationships/table" Target="../tables/table152.xml"/><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2" Type="http://schemas.openxmlformats.org/officeDocument/2006/relationships/table" Target="../tables/table153.xml"/><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2" Type="http://schemas.openxmlformats.org/officeDocument/2006/relationships/table" Target="../tables/table154.xml"/><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2" Type="http://schemas.openxmlformats.org/officeDocument/2006/relationships/table" Target="../tables/table155.xml"/><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2" Type="http://schemas.openxmlformats.org/officeDocument/2006/relationships/table" Target="../tables/table156.xml"/><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2" Type="http://schemas.openxmlformats.org/officeDocument/2006/relationships/table" Target="../tables/table157.xml"/><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2" Type="http://schemas.openxmlformats.org/officeDocument/2006/relationships/table" Target="../tables/table158.xml"/><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2" Type="http://schemas.openxmlformats.org/officeDocument/2006/relationships/table" Target="../tables/table159.xml"/><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2" Type="http://schemas.openxmlformats.org/officeDocument/2006/relationships/table" Target="../tables/table160.xml"/><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2" Type="http://schemas.openxmlformats.org/officeDocument/2006/relationships/table" Target="../tables/table161.xml"/><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2" Type="http://schemas.openxmlformats.org/officeDocument/2006/relationships/table" Target="../tables/table162.xml"/><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2" Type="http://schemas.openxmlformats.org/officeDocument/2006/relationships/table" Target="../tables/table163.xml"/><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2" Type="http://schemas.openxmlformats.org/officeDocument/2006/relationships/table" Target="../tables/table164.xml"/><Relationship Id="rId1" Type="http://schemas.openxmlformats.org/officeDocument/2006/relationships/printerSettings" Target="../printerSettings/printerSettings164.bin"/></Relationships>
</file>

<file path=xl/worksheets/_rels/sheet165.xml.rels><?xml version="1.0" encoding="UTF-8" standalone="yes"?>
<Relationships xmlns="http://schemas.openxmlformats.org/package/2006/relationships"><Relationship Id="rId2" Type="http://schemas.openxmlformats.org/officeDocument/2006/relationships/table" Target="../tables/table165.xml"/><Relationship Id="rId1" Type="http://schemas.openxmlformats.org/officeDocument/2006/relationships/printerSettings" Target="../printerSettings/printerSettings165.bin"/></Relationships>
</file>

<file path=xl/worksheets/_rels/sheet166.xml.rels><?xml version="1.0" encoding="UTF-8" standalone="yes"?>
<Relationships xmlns="http://schemas.openxmlformats.org/package/2006/relationships"><Relationship Id="rId2" Type="http://schemas.openxmlformats.org/officeDocument/2006/relationships/table" Target="../tables/table166.xml"/><Relationship Id="rId1" Type="http://schemas.openxmlformats.org/officeDocument/2006/relationships/printerSettings" Target="../printerSettings/printerSettings166.bin"/></Relationships>
</file>

<file path=xl/worksheets/_rels/sheet167.xml.rels><?xml version="1.0" encoding="UTF-8" standalone="yes"?>
<Relationships xmlns="http://schemas.openxmlformats.org/package/2006/relationships"><Relationship Id="rId2" Type="http://schemas.openxmlformats.org/officeDocument/2006/relationships/table" Target="../tables/table167.xml"/><Relationship Id="rId1" Type="http://schemas.openxmlformats.org/officeDocument/2006/relationships/printerSettings" Target="../printerSettings/printerSettings167.bin"/></Relationships>
</file>

<file path=xl/worksheets/_rels/sheet168.xml.rels><?xml version="1.0" encoding="UTF-8" standalone="yes"?>
<Relationships xmlns="http://schemas.openxmlformats.org/package/2006/relationships"><Relationship Id="rId2" Type="http://schemas.openxmlformats.org/officeDocument/2006/relationships/table" Target="../tables/table168.xml"/><Relationship Id="rId1" Type="http://schemas.openxmlformats.org/officeDocument/2006/relationships/printerSettings" Target="../printerSettings/printerSettings168.bin"/></Relationships>
</file>

<file path=xl/worksheets/_rels/sheet169.xml.rels><?xml version="1.0" encoding="UTF-8" standalone="yes"?>
<Relationships xmlns="http://schemas.openxmlformats.org/package/2006/relationships"><Relationship Id="rId2" Type="http://schemas.openxmlformats.org/officeDocument/2006/relationships/table" Target="../tables/table169.xml"/><Relationship Id="rId1" Type="http://schemas.openxmlformats.org/officeDocument/2006/relationships/printerSettings" Target="../printerSettings/printerSettings169.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2" Type="http://schemas.openxmlformats.org/officeDocument/2006/relationships/table" Target="../tables/table170.xml"/><Relationship Id="rId1" Type="http://schemas.openxmlformats.org/officeDocument/2006/relationships/printerSettings" Target="../printerSettings/printerSettings170.bin"/></Relationships>
</file>

<file path=xl/worksheets/_rels/sheet171.xml.rels><?xml version="1.0" encoding="UTF-8" standalone="yes"?>
<Relationships xmlns="http://schemas.openxmlformats.org/package/2006/relationships"><Relationship Id="rId2" Type="http://schemas.openxmlformats.org/officeDocument/2006/relationships/table" Target="../tables/table171.xml"/><Relationship Id="rId1" Type="http://schemas.openxmlformats.org/officeDocument/2006/relationships/printerSettings" Target="../printerSettings/printerSettings171.bin"/></Relationships>
</file>

<file path=xl/worksheets/_rels/sheet172.xml.rels><?xml version="1.0" encoding="UTF-8" standalone="yes"?>
<Relationships xmlns="http://schemas.openxmlformats.org/package/2006/relationships"><Relationship Id="rId2" Type="http://schemas.openxmlformats.org/officeDocument/2006/relationships/table" Target="../tables/table172.xml"/><Relationship Id="rId1" Type="http://schemas.openxmlformats.org/officeDocument/2006/relationships/printerSettings" Target="../printerSettings/printerSettings172.bin"/></Relationships>
</file>

<file path=xl/worksheets/_rels/sheet173.xml.rels><?xml version="1.0" encoding="UTF-8" standalone="yes"?>
<Relationships xmlns="http://schemas.openxmlformats.org/package/2006/relationships"><Relationship Id="rId2" Type="http://schemas.openxmlformats.org/officeDocument/2006/relationships/table" Target="../tables/table173.xml"/><Relationship Id="rId1" Type="http://schemas.openxmlformats.org/officeDocument/2006/relationships/printerSettings" Target="../printerSettings/printerSettings173.bin"/></Relationships>
</file>

<file path=xl/worksheets/_rels/sheet174.xml.rels><?xml version="1.0" encoding="UTF-8" standalone="yes"?>
<Relationships xmlns="http://schemas.openxmlformats.org/package/2006/relationships"><Relationship Id="rId2" Type="http://schemas.openxmlformats.org/officeDocument/2006/relationships/table" Target="../tables/table174.xml"/><Relationship Id="rId1" Type="http://schemas.openxmlformats.org/officeDocument/2006/relationships/printerSettings" Target="../printerSettings/printerSettings174.bin"/></Relationships>
</file>

<file path=xl/worksheets/_rels/sheet175.xml.rels><?xml version="1.0" encoding="UTF-8" standalone="yes"?>
<Relationships xmlns="http://schemas.openxmlformats.org/package/2006/relationships"><Relationship Id="rId2" Type="http://schemas.openxmlformats.org/officeDocument/2006/relationships/table" Target="../tables/table175.xml"/><Relationship Id="rId1" Type="http://schemas.openxmlformats.org/officeDocument/2006/relationships/printerSettings" Target="../printerSettings/printerSettings175.bin"/></Relationships>
</file>

<file path=xl/worksheets/_rels/sheet176.xml.rels><?xml version="1.0" encoding="UTF-8" standalone="yes"?>
<Relationships xmlns="http://schemas.openxmlformats.org/package/2006/relationships"><Relationship Id="rId2" Type="http://schemas.openxmlformats.org/officeDocument/2006/relationships/table" Target="../tables/table176.xml"/><Relationship Id="rId1" Type="http://schemas.openxmlformats.org/officeDocument/2006/relationships/printerSettings" Target="../printerSettings/printerSettings176.bin"/></Relationships>
</file>

<file path=xl/worksheets/_rels/sheet177.xml.rels><?xml version="1.0" encoding="UTF-8" standalone="yes"?>
<Relationships xmlns="http://schemas.openxmlformats.org/package/2006/relationships"><Relationship Id="rId2" Type="http://schemas.openxmlformats.org/officeDocument/2006/relationships/table" Target="../tables/table177.xml"/><Relationship Id="rId1" Type="http://schemas.openxmlformats.org/officeDocument/2006/relationships/printerSettings" Target="../printerSettings/printerSettings177.bin"/></Relationships>
</file>

<file path=xl/worksheets/_rels/sheet178.xml.rels><?xml version="1.0" encoding="UTF-8" standalone="yes"?>
<Relationships xmlns="http://schemas.openxmlformats.org/package/2006/relationships"><Relationship Id="rId2" Type="http://schemas.openxmlformats.org/officeDocument/2006/relationships/table" Target="../tables/table178.xml"/><Relationship Id="rId1" Type="http://schemas.openxmlformats.org/officeDocument/2006/relationships/printerSettings" Target="../printerSettings/printerSettings178.bin"/></Relationships>
</file>

<file path=xl/worksheets/_rels/sheet179.xml.rels><?xml version="1.0" encoding="UTF-8" standalone="yes"?>
<Relationships xmlns="http://schemas.openxmlformats.org/package/2006/relationships"><Relationship Id="rId2" Type="http://schemas.openxmlformats.org/officeDocument/2006/relationships/table" Target="../tables/table179.xml"/><Relationship Id="rId1" Type="http://schemas.openxmlformats.org/officeDocument/2006/relationships/printerSettings" Target="../printerSettings/printerSettings179.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2" Type="http://schemas.openxmlformats.org/officeDocument/2006/relationships/table" Target="../tables/table180.xml"/><Relationship Id="rId1" Type="http://schemas.openxmlformats.org/officeDocument/2006/relationships/printerSettings" Target="../printerSettings/printerSettings180.bin"/></Relationships>
</file>

<file path=xl/worksheets/_rels/sheet181.xml.rels><?xml version="1.0" encoding="UTF-8" standalone="yes"?>
<Relationships xmlns="http://schemas.openxmlformats.org/package/2006/relationships"><Relationship Id="rId2" Type="http://schemas.openxmlformats.org/officeDocument/2006/relationships/table" Target="../tables/table181.xml"/><Relationship Id="rId1" Type="http://schemas.openxmlformats.org/officeDocument/2006/relationships/printerSettings" Target="../printerSettings/printerSettings181.bin"/></Relationships>
</file>

<file path=xl/worksheets/_rels/sheet182.xml.rels><?xml version="1.0" encoding="UTF-8" standalone="yes"?>
<Relationships xmlns="http://schemas.openxmlformats.org/package/2006/relationships"><Relationship Id="rId2" Type="http://schemas.openxmlformats.org/officeDocument/2006/relationships/table" Target="../tables/table182.xml"/><Relationship Id="rId1" Type="http://schemas.openxmlformats.org/officeDocument/2006/relationships/printerSettings" Target="../printerSettings/printerSettings182.bin"/></Relationships>
</file>

<file path=xl/worksheets/_rels/sheet183.xml.rels><?xml version="1.0" encoding="UTF-8" standalone="yes"?>
<Relationships xmlns="http://schemas.openxmlformats.org/package/2006/relationships"><Relationship Id="rId2" Type="http://schemas.openxmlformats.org/officeDocument/2006/relationships/table" Target="../tables/table183.xml"/><Relationship Id="rId1" Type="http://schemas.openxmlformats.org/officeDocument/2006/relationships/printerSettings" Target="../printerSettings/printerSettings183.bin"/></Relationships>
</file>

<file path=xl/worksheets/_rels/sheet184.xml.rels><?xml version="1.0" encoding="UTF-8" standalone="yes"?>
<Relationships xmlns="http://schemas.openxmlformats.org/package/2006/relationships"><Relationship Id="rId2" Type="http://schemas.openxmlformats.org/officeDocument/2006/relationships/table" Target="../tables/table184.xml"/><Relationship Id="rId1" Type="http://schemas.openxmlformats.org/officeDocument/2006/relationships/printerSettings" Target="../printerSettings/printerSettings184.bin"/></Relationships>
</file>

<file path=xl/worksheets/_rels/sheet185.xml.rels><?xml version="1.0" encoding="UTF-8" standalone="yes"?>
<Relationships xmlns="http://schemas.openxmlformats.org/package/2006/relationships"><Relationship Id="rId2" Type="http://schemas.openxmlformats.org/officeDocument/2006/relationships/table" Target="../tables/table185.xml"/><Relationship Id="rId1" Type="http://schemas.openxmlformats.org/officeDocument/2006/relationships/printerSettings" Target="../printerSettings/printerSettings185.bin"/></Relationships>
</file>

<file path=xl/worksheets/_rels/sheet186.xml.rels><?xml version="1.0" encoding="UTF-8" standalone="yes"?>
<Relationships xmlns="http://schemas.openxmlformats.org/package/2006/relationships"><Relationship Id="rId2" Type="http://schemas.openxmlformats.org/officeDocument/2006/relationships/table" Target="../tables/table186.xml"/><Relationship Id="rId1" Type="http://schemas.openxmlformats.org/officeDocument/2006/relationships/printerSettings" Target="../printerSettings/printerSettings186.bin"/></Relationships>
</file>

<file path=xl/worksheets/_rels/sheet187.xml.rels><?xml version="1.0" encoding="UTF-8" standalone="yes"?>
<Relationships xmlns="http://schemas.openxmlformats.org/package/2006/relationships"><Relationship Id="rId2" Type="http://schemas.openxmlformats.org/officeDocument/2006/relationships/table" Target="../tables/table187.xml"/><Relationship Id="rId1" Type="http://schemas.openxmlformats.org/officeDocument/2006/relationships/printerSettings" Target="../printerSettings/printerSettings187.bin"/></Relationships>
</file>

<file path=xl/worksheets/_rels/sheet188.xml.rels><?xml version="1.0" encoding="UTF-8" standalone="yes"?>
<Relationships xmlns="http://schemas.openxmlformats.org/package/2006/relationships"><Relationship Id="rId2" Type="http://schemas.openxmlformats.org/officeDocument/2006/relationships/table" Target="../tables/table188.xml"/><Relationship Id="rId1" Type="http://schemas.openxmlformats.org/officeDocument/2006/relationships/printerSettings" Target="../printerSettings/printerSettings188.bin"/></Relationships>
</file>

<file path=xl/worksheets/_rels/sheet189.xml.rels><?xml version="1.0" encoding="UTF-8" standalone="yes"?>
<Relationships xmlns="http://schemas.openxmlformats.org/package/2006/relationships"><Relationship Id="rId2" Type="http://schemas.openxmlformats.org/officeDocument/2006/relationships/table" Target="../tables/table189.xml"/><Relationship Id="rId1" Type="http://schemas.openxmlformats.org/officeDocument/2006/relationships/printerSettings" Target="../printerSettings/printerSettings189.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2" Type="http://schemas.openxmlformats.org/officeDocument/2006/relationships/table" Target="../tables/table190.xml"/><Relationship Id="rId1" Type="http://schemas.openxmlformats.org/officeDocument/2006/relationships/printerSettings" Target="../printerSettings/printerSettings190.bin"/></Relationships>
</file>

<file path=xl/worksheets/_rels/sheet191.xml.rels><?xml version="1.0" encoding="UTF-8" standalone="yes"?>
<Relationships xmlns="http://schemas.openxmlformats.org/package/2006/relationships"><Relationship Id="rId2" Type="http://schemas.openxmlformats.org/officeDocument/2006/relationships/table" Target="../tables/table191.xml"/><Relationship Id="rId1" Type="http://schemas.openxmlformats.org/officeDocument/2006/relationships/printerSettings" Target="../printerSettings/printerSettings191.bin"/></Relationships>
</file>

<file path=xl/worksheets/_rels/sheet192.xml.rels><?xml version="1.0" encoding="UTF-8" standalone="yes"?>
<Relationships xmlns="http://schemas.openxmlformats.org/package/2006/relationships"><Relationship Id="rId2" Type="http://schemas.openxmlformats.org/officeDocument/2006/relationships/table" Target="../tables/table192.xml"/><Relationship Id="rId1" Type="http://schemas.openxmlformats.org/officeDocument/2006/relationships/printerSettings" Target="../printerSettings/printerSettings192.bin"/></Relationships>
</file>

<file path=xl/worksheets/_rels/sheet193.xml.rels><?xml version="1.0" encoding="UTF-8" standalone="yes"?>
<Relationships xmlns="http://schemas.openxmlformats.org/package/2006/relationships"><Relationship Id="rId2" Type="http://schemas.openxmlformats.org/officeDocument/2006/relationships/table" Target="../tables/table193.xml"/><Relationship Id="rId1" Type="http://schemas.openxmlformats.org/officeDocument/2006/relationships/printerSettings" Target="../printerSettings/printerSettings193.bin"/></Relationships>
</file>

<file path=xl/worksheets/_rels/sheet194.xml.rels><?xml version="1.0" encoding="UTF-8" standalone="yes"?>
<Relationships xmlns="http://schemas.openxmlformats.org/package/2006/relationships"><Relationship Id="rId2" Type="http://schemas.openxmlformats.org/officeDocument/2006/relationships/table" Target="../tables/table194.xml"/><Relationship Id="rId1" Type="http://schemas.openxmlformats.org/officeDocument/2006/relationships/printerSettings" Target="../printerSettings/printerSettings194.bin"/></Relationships>
</file>

<file path=xl/worksheets/_rels/sheet195.xml.rels><?xml version="1.0" encoding="UTF-8" standalone="yes"?>
<Relationships xmlns="http://schemas.openxmlformats.org/package/2006/relationships"><Relationship Id="rId2" Type="http://schemas.openxmlformats.org/officeDocument/2006/relationships/table" Target="../tables/table195.xml"/><Relationship Id="rId1" Type="http://schemas.openxmlformats.org/officeDocument/2006/relationships/printerSettings" Target="../printerSettings/printerSettings195.bin"/></Relationships>
</file>

<file path=xl/worksheets/_rels/sheet196.xml.rels><?xml version="1.0" encoding="UTF-8" standalone="yes"?>
<Relationships xmlns="http://schemas.openxmlformats.org/package/2006/relationships"><Relationship Id="rId2" Type="http://schemas.openxmlformats.org/officeDocument/2006/relationships/table" Target="../tables/table196.xml"/><Relationship Id="rId1" Type="http://schemas.openxmlformats.org/officeDocument/2006/relationships/printerSettings" Target="../printerSettings/printerSettings196.bin"/></Relationships>
</file>

<file path=xl/worksheets/_rels/sheet197.xml.rels><?xml version="1.0" encoding="UTF-8" standalone="yes"?>
<Relationships xmlns="http://schemas.openxmlformats.org/package/2006/relationships"><Relationship Id="rId2" Type="http://schemas.openxmlformats.org/officeDocument/2006/relationships/table" Target="../tables/table197.xml"/><Relationship Id="rId1" Type="http://schemas.openxmlformats.org/officeDocument/2006/relationships/printerSettings" Target="../printerSettings/printerSettings197.bin"/></Relationships>
</file>

<file path=xl/worksheets/_rels/sheet198.xml.rels><?xml version="1.0" encoding="UTF-8" standalone="yes"?>
<Relationships xmlns="http://schemas.openxmlformats.org/package/2006/relationships"><Relationship Id="rId2" Type="http://schemas.openxmlformats.org/officeDocument/2006/relationships/table" Target="../tables/table198.xml"/><Relationship Id="rId1" Type="http://schemas.openxmlformats.org/officeDocument/2006/relationships/printerSettings" Target="../printerSettings/printerSettings198.bin"/></Relationships>
</file>

<file path=xl/worksheets/_rels/sheet199.xml.rels><?xml version="1.0" encoding="UTF-8" standalone="yes"?>
<Relationships xmlns="http://schemas.openxmlformats.org/package/2006/relationships"><Relationship Id="rId2" Type="http://schemas.openxmlformats.org/officeDocument/2006/relationships/table" Target="../tables/table199.xml"/><Relationship Id="rId1" Type="http://schemas.openxmlformats.org/officeDocument/2006/relationships/printerSettings" Target="../printerSettings/printerSettings19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2" Type="http://schemas.openxmlformats.org/officeDocument/2006/relationships/table" Target="../tables/table200.xml"/><Relationship Id="rId1" Type="http://schemas.openxmlformats.org/officeDocument/2006/relationships/printerSettings" Target="../printerSettings/printerSettings200.bin"/></Relationships>
</file>

<file path=xl/worksheets/_rels/sheet201.xml.rels><?xml version="1.0" encoding="UTF-8" standalone="yes"?>
<Relationships xmlns="http://schemas.openxmlformats.org/package/2006/relationships"><Relationship Id="rId2" Type="http://schemas.openxmlformats.org/officeDocument/2006/relationships/table" Target="../tables/table201.xml"/><Relationship Id="rId1" Type="http://schemas.openxmlformats.org/officeDocument/2006/relationships/printerSettings" Target="../printerSettings/printerSettings201.bin"/></Relationships>
</file>

<file path=xl/worksheets/_rels/sheet202.xml.rels><?xml version="1.0" encoding="UTF-8" standalone="yes"?>
<Relationships xmlns="http://schemas.openxmlformats.org/package/2006/relationships"><Relationship Id="rId2" Type="http://schemas.openxmlformats.org/officeDocument/2006/relationships/table" Target="../tables/table202.xml"/><Relationship Id="rId1" Type="http://schemas.openxmlformats.org/officeDocument/2006/relationships/printerSettings" Target="../printerSettings/printerSettings202.bin"/></Relationships>
</file>

<file path=xl/worksheets/_rels/sheet203.xml.rels><?xml version="1.0" encoding="UTF-8" standalone="yes"?>
<Relationships xmlns="http://schemas.openxmlformats.org/package/2006/relationships"><Relationship Id="rId2" Type="http://schemas.openxmlformats.org/officeDocument/2006/relationships/table" Target="../tables/table203.xml"/><Relationship Id="rId1" Type="http://schemas.openxmlformats.org/officeDocument/2006/relationships/printerSettings" Target="../printerSettings/printerSettings203.bin"/></Relationships>
</file>

<file path=xl/worksheets/_rels/sheet204.xml.rels><?xml version="1.0" encoding="UTF-8" standalone="yes"?>
<Relationships xmlns="http://schemas.openxmlformats.org/package/2006/relationships"><Relationship Id="rId2" Type="http://schemas.openxmlformats.org/officeDocument/2006/relationships/table" Target="../tables/table204.xml"/><Relationship Id="rId1" Type="http://schemas.openxmlformats.org/officeDocument/2006/relationships/printerSettings" Target="../printerSettings/printerSettings204.bin"/></Relationships>
</file>

<file path=xl/worksheets/_rels/sheet205.xml.rels><?xml version="1.0" encoding="UTF-8" standalone="yes"?>
<Relationships xmlns="http://schemas.openxmlformats.org/package/2006/relationships"><Relationship Id="rId2" Type="http://schemas.openxmlformats.org/officeDocument/2006/relationships/table" Target="../tables/table205.xml"/><Relationship Id="rId1" Type="http://schemas.openxmlformats.org/officeDocument/2006/relationships/printerSettings" Target="../printerSettings/printerSettings205.bin"/></Relationships>
</file>

<file path=xl/worksheets/_rels/sheet206.xml.rels><?xml version="1.0" encoding="UTF-8" standalone="yes"?>
<Relationships xmlns="http://schemas.openxmlformats.org/package/2006/relationships"><Relationship Id="rId2" Type="http://schemas.openxmlformats.org/officeDocument/2006/relationships/table" Target="../tables/table206.xml"/><Relationship Id="rId1" Type="http://schemas.openxmlformats.org/officeDocument/2006/relationships/printerSettings" Target="../printerSettings/printerSettings206.bin"/></Relationships>
</file>

<file path=xl/worksheets/_rels/sheet207.xml.rels><?xml version="1.0" encoding="UTF-8" standalone="yes"?>
<Relationships xmlns="http://schemas.openxmlformats.org/package/2006/relationships"><Relationship Id="rId2" Type="http://schemas.openxmlformats.org/officeDocument/2006/relationships/table" Target="../tables/table207.xml"/><Relationship Id="rId1" Type="http://schemas.openxmlformats.org/officeDocument/2006/relationships/printerSettings" Target="../printerSettings/printerSettings207.bin"/></Relationships>
</file>

<file path=xl/worksheets/_rels/sheet208.xml.rels><?xml version="1.0" encoding="UTF-8" standalone="yes"?>
<Relationships xmlns="http://schemas.openxmlformats.org/package/2006/relationships"><Relationship Id="rId2" Type="http://schemas.openxmlformats.org/officeDocument/2006/relationships/table" Target="../tables/table208.xml"/><Relationship Id="rId1" Type="http://schemas.openxmlformats.org/officeDocument/2006/relationships/printerSettings" Target="../printerSettings/printerSettings208.bin"/></Relationships>
</file>

<file path=xl/worksheets/_rels/sheet209.xml.rels><?xml version="1.0" encoding="UTF-8" standalone="yes"?>
<Relationships xmlns="http://schemas.openxmlformats.org/package/2006/relationships"><Relationship Id="rId2" Type="http://schemas.openxmlformats.org/officeDocument/2006/relationships/table" Target="../tables/table209.xml"/><Relationship Id="rId1" Type="http://schemas.openxmlformats.org/officeDocument/2006/relationships/printerSettings" Target="../printerSettings/printerSettings20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10.xml.rels><?xml version="1.0" encoding="UTF-8" standalone="yes"?>
<Relationships xmlns="http://schemas.openxmlformats.org/package/2006/relationships"><Relationship Id="rId2" Type="http://schemas.openxmlformats.org/officeDocument/2006/relationships/table" Target="../tables/table210.xml"/><Relationship Id="rId1" Type="http://schemas.openxmlformats.org/officeDocument/2006/relationships/printerSettings" Target="../printerSettings/printerSettings210.bin"/></Relationships>
</file>

<file path=xl/worksheets/_rels/sheet211.xml.rels><?xml version="1.0" encoding="UTF-8" standalone="yes"?>
<Relationships xmlns="http://schemas.openxmlformats.org/package/2006/relationships"><Relationship Id="rId2" Type="http://schemas.openxmlformats.org/officeDocument/2006/relationships/table" Target="../tables/table211.xml"/><Relationship Id="rId1" Type="http://schemas.openxmlformats.org/officeDocument/2006/relationships/printerSettings" Target="../printerSettings/printerSettings211.bin"/></Relationships>
</file>

<file path=xl/worksheets/_rels/sheet212.xml.rels><?xml version="1.0" encoding="UTF-8" standalone="yes"?>
<Relationships xmlns="http://schemas.openxmlformats.org/package/2006/relationships"><Relationship Id="rId2" Type="http://schemas.openxmlformats.org/officeDocument/2006/relationships/table" Target="../tables/table212.xml"/><Relationship Id="rId1" Type="http://schemas.openxmlformats.org/officeDocument/2006/relationships/printerSettings" Target="../printerSettings/printerSettings212.bin"/></Relationships>
</file>

<file path=xl/worksheets/_rels/sheet213.xml.rels><?xml version="1.0" encoding="UTF-8" standalone="yes"?>
<Relationships xmlns="http://schemas.openxmlformats.org/package/2006/relationships"><Relationship Id="rId2" Type="http://schemas.openxmlformats.org/officeDocument/2006/relationships/table" Target="../tables/table213.xml"/><Relationship Id="rId1" Type="http://schemas.openxmlformats.org/officeDocument/2006/relationships/printerSettings" Target="../printerSettings/printerSettings213.bin"/></Relationships>
</file>

<file path=xl/worksheets/_rels/sheet214.xml.rels><?xml version="1.0" encoding="UTF-8" standalone="yes"?>
<Relationships xmlns="http://schemas.openxmlformats.org/package/2006/relationships"><Relationship Id="rId2" Type="http://schemas.openxmlformats.org/officeDocument/2006/relationships/table" Target="../tables/table214.xml"/><Relationship Id="rId1" Type="http://schemas.openxmlformats.org/officeDocument/2006/relationships/printerSettings" Target="../printerSettings/printerSettings214.bin"/></Relationships>
</file>

<file path=xl/worksheets/_rels/sheet215.xml.rels><?xml version="1.0" encoding="UTF-8" standalone="yes"?>
<Relationships xmlns="http://schemas.openxmlformats.org/package/2006/relationships"><Relationship Id="rId2" Type="http://schemas.openxmlformats.org/officeDocument/2006/relationships/table" Target="../tables/table215.xml"/><Relationship Id="rId1" Type="http://schemas.openxmlformats.org/officeDocument/2006/relationships/printerSettings" Target="../printerSettings/printerSettings215.bin"/></Relationships>
</file>

<file path=xl/worksheets/_rels/sheet216.xml.rels><?xml version="1.0" encoding="UTF-8" standalone="yes"?>
<Relationships xmlns="http://schemas.openxmlformats.org/package/2006/relationships"><Relationship Id="rId2" Type="http://schemas.openxmlformats.org/officeDocument/2006/relationships/table" Target="../tables/table216.xml"/><Relationship Id="rId1" Type="http://schemas.openxmlformats.org/officeDocument/2006/relationships/printerSettings" Target="../printerSettings/printerSettings216.bin"/></Relationships>
</file>

<file path=xl/worksheets/_rels/sheet217.xml.rels><?xml version="1.0" encoding="UTF-8" standalone="yes"?>
<Relationships xmlns="http://schemas.openxmlformats.org/package/2006/relationships"><Relationship Id="rId2" Type="http://schemas.openxmlformats.org/officeDocument/2006/relationships/table" Target="../tables/table217.xml"/><Relationship Id="rId1" Type="http://schemas.openxmlformats.org/officeDocument/2006/relationships/printerSettings" Target="../printerSettings/printerSettings217.bin"/></Relationships>
</file>

<file path=xl/worksheets/_rels/sheet218.xml.rels><?xml version="1.0" encoding="UTF-8" standalone="yes"?>
<Relationships xmlns="http://schemas.openxmlformats.org/package/2006/relationships"><Relationship Id="rId2" Type="http://schemas.openxmlformats.org/officeDocument/2006/relationships/table" Target="../tables/table218.xml"/><Relationship Id="rId1" Type="http://schemas.openxmlformats.org/officeDocument/2006/relationships/printerSettings" Target="../printerSettings/printerSettings218.bin"/></Relationships>
</file>

<file path=xl/worksheets/_rels/sheet219.xml.rels><?xml version="1.0" encoding="UTF-8" standalone="yes"?>
<Relationships xmlns="http://schemas.openxmlformats.org/package/2006/relationships"><Relationship Id="rId2" Type="http://schemas.openxmlformats.org/officeDocument/2006/relationships/table" Target="../tables/table219.xml"/><Relationship Id="rId1" Type="http://schemas.openxmlformats.org/officeDocument/2006/relationships/printerSettings" Target="../printerSettings/printerSettings2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20.xml.rels><?xml version="1.0" encoding="UTF-8" standalone="yes"?>
<Relationships xmlns="http://schemas.openxmlformats.org/package/2006/relationships"><Relationship Id="rId2" Type="http://schemas.openxmlformats.org/officeDocument/2006/relationships/table" Target="../tables/table220.xml"/><Relationship Id="rId1" Type="http://schemas.openxmlformats.org/officeDocument/2006/relationships/printerSettings" Target="../printerSettings/printerSettings220.bin"/></Relationships>
</file>

<file path=xl/worksheets/_rels/sheet221.xml.rels><?xml version="1.0" encoding="UTF-8" standalone="yes"?>
<Relationships xmlns="http://schemas.openxmlformats.org/package/2006/relationships"><Relationship Id="rId2" Type="http://schemas.openxmlformats.org/officeDocument/2006/relationships/table" Target="../tables/table221.xml"/><Relationship Id="rId1" Type="http://schemas.openxmlformats.org/officeDocument/2006/relationships/printerSettings" Target="../printerSettings/printerSettings221.bin"/></Relationships>
</file>

<file path=xl/worksheets/_rels/sheet222.xml.rels><?xml version="1.0" encoding="UTF-8" standalone="yes"?>
<Relationships xmlns="http://schemas.openxmlformats.org/package/2006/relationships"><Relationship Id="rId2" Type="http://schemas.openxmlformats.org/officeDocument/2006/relationships/table" Target="../tables/table222.xml"/><Relationship Id="rId1" Type="http://schemas.openxmlformats.org/officeDocument/2006/relationships/printerSettings" Target="../printerSettings/printerSettings222.bin"/></Relationships>
</file>

<file path=xl/worksheets/_rels/sheet223.xml.rels><?xml version="1.0" encoding="UTF-8" standalone="yes"?>
<Relationships xmlns="http://schemas.openxmlformats.org/package/2006/relationships"><Relationship Id="rId2" Type="http://schemas.openxmlformats.org/officeDocument/2006/relationships/table" Target="../tables/table223.xml"/><Relationship Id="rId1" Type="http://schemas.openxmlformats.org/officeDocument/2006/relationships/printerSettings" Target="../printerSettings/printerSettings223.bin"/></Relationships>
</file>

<file path=xl/worksheets/_rels/sheet224.xml.rels><?xml version="1.0" encoding="UTF-8" standalone="yes"?>
<Relationships xmlns="http://schemas.openxmlformats.org/package/2006/relationships"><Relationship Id="rId2" Type="http://schemas.openxmlformats.org/officeDocument/2006/relationships/table" Target="../tables/table224.xml"/><Relationship Id="rId1" Type="http://schemas.openxmlformats.org/officeDocument/2006/relationships/printerSettings" Target="../printerSettings/printerSettings224.bin"/></Relationships>
</file>

<file path=xl/worksheets/_rels/sheet225.xml.rels><?xml version="1.0" encoding="UTF-8" standalone="yes"?>
<Relationships xmlns="http://schemas.openxmlformats.org/package/2006/relationships"><Relationship Id="rId2" Type="http://schemas.openxmlformats.org/officeDocument/2006/relationships/table" Target="../tables/table225.xml"/><Relationship Id="rId1" Type="http://schemas.openxmlformats.org/officeDocument/2006/relationships/printerSettings" Target="../printerSettings/printerSettings225.bin"/></Relationships>
</file>

<file path=xl/worksheets/_rels/sheet226.xml.rels><?xml version="1.0" encoding="UTF-8" standalone="yes"?>
<Relationships xmlns="http://schemas.openxmlformats.org/package/2006/relationships"><Relationship Id="rId2" Type="http://schemas.openxmlformats.org/officeDocument/2006/relationships/table" Target="../tables/table226.xml"/><Relationship Id="rId1" Type="http://schemas.openxmlformats.org/officeDocument/2006/relationships/printerSettings" Target="../printerSettings/printerSettings226.bin"/></Relationships>
</file>

<file path=xl/worksheets/_rels/sheet227.xml.rels><?xml version="1.0" encoding="UTF-8" standalone="yes"?>
<Relationships xmlns="http://schemas.openxmlformats.org/package/2006/relationships"><Relationship Id="rId2" Type="http://schemas.openxmlformats.org/officeDocument/2006/relationships/table" Target="../tables/table227.xml"/><Relationship Id="rId1" Type="http://schemas.openxmlformats.org/officeDocument/2006/relationships/printerSettings" Target="../printerSettings/printerSettings227.bin"/></Relationships>
</file>

<file path=xl/worksheets/_rels/sheet228.xml.rels><?xml version="1.0" encoding="UTF-8" standalone="yes"?>
<Relationships xmlns="http://schemas.openxmlformats.org/package/2006/relationships"><Relationship Id="rId2" Type="http://schemas.openxmlformats.org/officeDocument/2006/relationships/table" Target="../tables/table228.xml"/><Relationship Id="rId1" Type="http://schemas.openxmlformats.org/officeDocument/2006/relationships/printerSettings" Target="../printerSettings/printerSettings228.bin"/></Relationships>
</file>

<file path=xl/worksheets/_rels/sheet229.xml.rels><?xml version="1.0" encoding="UTF-8" standalone="yes"?>
<Relationships xmlns="http://schemas.openxmlformats.org/package/2006/relationships"><Relationship Id="rId2" Type="http://schemas.openxmlformats.org/officeDocument/2006/relationships/table" Target="../tables/table229.xml"/><Relationship Id="rId1" Type="http://schemas.openxmlformats.org/officeDocument/2006/relationships/printerSettings" Target="../printerSettings/printerSettings229.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30.xml.rels><?xml version="1.0" encoding="UTF-8" standalone="yes"?>
<Relationships xmlns="http://schemas.openxmlformats.org/package/2006/relationships"><Relationship Id="rId2" Type="http://schemas.openxmlformats.org/officeDocument/2006/relationships/table" Target="../tables/table230.xml"/><Relationship Id="rId1" Type="http://schemas.openxmlformats.org/officeDocument/2006/relationships/printerSettings" Target="../printerSettings/printerSettings230.bin"/></Relationships>
</file>

<file path=xl/worksheets/_rels/sheet231.xml.rels><?xml version="1.0" encoding="UTF-8" standalone="yes"?>
<Relationships xmlns="http://schemas.openxmlformats.org/package/2006/relationships"><Relationship Id="rId2" Type="http://schemas.openxmlformats.org/officeDocument/2006/relationships/table" Target="../tables/table231.xml"/><Relationship Id="rId1" Type="http://schemas.openxmlformats.org/officeDocument/2006/relationships/printerSettings" Target="../printerSettings/printerSettings231.bin"/></Relationships>
</file>

<file path=xl/worksheets/_rels/sheet232.xml.rels><?xml version="1.0" encoding="UTF-8" standalone="yes"?>
<Relationships xmlns="http://schemas.openxmlformats.org/package/2006/relationships"><Relationship Id="rId2" Type="http://schemas.openxmlformats.org/officeDocument/2006/relationships/table" Target="../tables/table232.xml"/><Relationship Id="rId1" Type="http://schemas.openxmlformats.org/officeDocument/2006/relationships/printerSettings" Target="../printerSettings/printerSettings232.bin"/></Relationships>
</file>

<file path=xl/worksheets/_rels/sheet233.xml.rels><?xml version="1.0" encoding="UTF-8" standalone="yes"?>
<Relationships xmlns="http://schemas.openxmlformats.org/package/2006/relationships"><Relationship Id="rId2" Type="http://schemas.openxmlformats.org/officeDocument/2006/relationships/table" Target="../tables/table233.xml"/><Relationship Id="rId1" Type="http://schemas.openxmlformats.org/officeDocument/2006/relationships/printerSettings" Target="../printerSettings/printerSettings233.bin"/></Relationships>
</file>

<file path=xl/worksheets/_rels/sheet234.xml.rels><?xml version="1.0" encoding="UTF-8" standalone="yes"?>
<Relationships xmlns="http://schemas.openxmlformats.org/package/2006/relationships"><Relationship Id="rId2" Type="http://schemas.openxmlformats.org/officeDocument/2006/relationships/table" Target="../tables/table234.xml"/><Relationship Id="rId1" Type="http://schemas.openxmlformats.org/officeDocument/2006/relationships/printerSettings" Target="../printerSettings/printerSettings234.bin"/></Relationships>
</file>

<file path=xl/worksheets/_rels/sheet235.xml.rels><?xml version="1.0" encoding="UTF-8" standalone="yes"?>
<Relationships xmlns="http://schemas.openxmlformats.org/package/2006/relationships"><Relationship Id="rId2" Type="http://schemas.openxmlformats.org/officeDocument/2006/relationships/table" Target="../tables/table235.xml"/><Relationship Id="rId1" Type="http://schemas.openxmlformats.org/officeDocument/2006/relationships/printerSettings" Target="../printerSettings/printerSettings235.bin"/></Relationships>
</file>

<file path=xl/worksheets/_rels/sheet236.xml.rels><?xml version="1.0" encoding="UTF-8" standalone="yes"?>
<Relationships xmlns="http://schemas.openxmlformats.org/package/2006/relationships"><Relationship Id="rId2" Type="http://schemas.openxmlformats.org/officeDocument/2006/relationships/table" Target="../tables/table236.xml"/><Relationship Id="rId1" Type="http://schemas.openxmlformats.org/officeDocument/2006/relationships/printerSettings" Target="../printerSettings/printerSettings236.bin"/></Relationships>
</file>

<file path=xl/worksheets/_rels/sheet237.xml.rels><?xml version="1.0" encoding="UTF-8" standalone="yes"?>
<Relationships xmlns="http://schemas.openxmlformats.org/package/2006/relationships"><Relationship Id="rId2" Type="http://schemas.openxmlformats.org/officeDocument/2006/relationships/table" Target="../tables/table237.xml"/><Relationship Id="rId1" Type="http://schemas.openxmlformats.org/officeDocument/2006/relationships/printerSettings" Target="../printerSettings/printerSettings237.bin"/></Relationships>
</file>

<file path=xl/worksheets/_rels/sheet238.xml.rels><?xml version="1.0" encoding="UTF-8" standalone="yes"?>
<Relationships xmlns="http://schemas.openxmlformats.org/package/2006/relationships"><Relationship Id="rId2" Type="http://schemas.openxmlformats.org/officeDocument/2006/relationships/table" Target="../tables/table238.xml"/><Relationship Id="rId1" Type="http://schemas.openxmlformats.org/officeDocument/2006/relationships/printerSettings" Target="../printerSettings/printerSettings238.bin"/></Relationships>
</file>

<file path=xl/worksheets/_rels/sheet239.xml.rels><?xml version="1.0" encoding="UTF-8" standalone="yes"?>
<Relationships xmlns="http://schemas.openxmlformats.org/package/2006/relationships"><Relationship Id="rId2" Type="http://schemas.openxmlformats.org/officeDocument/2006/relationships/table" Target="../tables/table239.xml"/><Relationship Id="rId1" Type="http://schemas.openxmlformats.org/officeDocument/2006/relationships/printerSettings" Target="../printerSettings/printerSettings239.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40.xml.rels><?xml version="1.0" encoding="UTF-8" standalone="yes"?>
<Relationships xmlns="http://schemas.openxmlformats.org/package/2006/relationships"><Relationship Id="rId2" Type="http://schemas.openxmlformats.org/officeDocument/2006/relationships/table" Target="../tables/table240.xml"/><Relationship Id="rId1" Type="http://schemas.openxmlformats.org/officeDocument/2006/relationships/printerSettings" Target="../printerSettings/printerSettings240.bin"/></Relationships>
</file>

<file path=xl/worksheets/_rels/sheet241.xml.rels><?xml version="1.0" encoding="UTF-8" standalone="yes"?>
<Relationships xmlns="http://schemas.openxmlformats.org/package/2006/relationships"><Relationship Id="rId2" Type="http://schemas.openxmlformats.org/officeDocument/2006/relationships/table" Target="../tables/table241.xml"/><Relationship Id="rId1" Type="http://schemas.openxmlformats.org/officeDocument/2006/relationships/printerSettings" Target="../printerSettings/printerSettings241.bin"/></Relationships>
</file>

<file path=xl/worksheets/_rels/sheet242.xml.rels><?xml version="1.0" encoding="UTF-8" standalone="yes"?>
<Relationships xmlns="http://schemas.openxmlformats.org/package/2006/relationships"><Relationship Id="rId2" Type="http://schemas.openxmlformats.org/officeDocument/2006/relationships/table" Target="../tables/table242.xml"/><Relationship Id="rId1" Type="http://schemas.openxmlformats.org/officeDocument/2006/relationships/printerSettings" Target="../printerSettings/printerSettings242.bin"/></Relationships>
</file>

<file path=xl/worksheets/_rels/sheet243.xml.rels><?xml version="1.0" encoding="UTF-8" standalone="yes"?>
<Relationships xmlns="http://schemas.openxmlformats.org/package/2006/relationships"><Relationship Id="rId2" Type="http://schemas.openxmlformats.org/officeDocument/2006/relationships/table" Target="../tables/table243.xml"/><Relationship Id="rId1" Type="http://schemas.openxmlformats.org/officeDocument/2006/relationships/printerSettings" Target="../printerSettings/printerSettings243.bin"/></Relationships>
</file>

<file path=xl/worksheets/_rels/sheet244.xml.rels><?xml version="1.0" encoding="UTF-8" standalone="yes"?>
<Relationships xmlns="http://schemas.openxmlformats.org/package/2006/relationships"><Relationship Id="rId2" Type="http://schemas.openxmlformats.org/officeDocument/2006/relationships/table" Target="../tables/table244.xml"/><Relationship Id="rId1" Type="http://schemas.openxmlformats.org/officeDocument/2006/relationships/printerSettings" Target="../printerSettings/printerSettings244.bin"/></Relationships>
</file>

<file path=xl/worksheets/_rels/sheet245.xml.rels><?xml version="1.0" encoding="UTF-8" standalone="yes"?>
<Relationships xmlns="http://schemas.openxmlformats.org/package/2006/relationships"><Relationship Id="rId2" Type="http://schemas.openxmlformats.org/officeDocument/2006/relationships/table" Target="../tables/table245.xml"/><Relationship Id="rId1" Type="http://schemas.openxmlformats.org/officeDocument/2006/relationships/printerSettings" Target="../printerSettings/printerSettings245.bin"/></Relationships>
</file>

<file path=xl/worksheets/_rels/sheet246.xml.rels><?xml version="1.0" encoding="UTF-8" standalone="yes"?>
<Relationships xmlns="http://schemas.openxmlformats.org/package/2006/relationships"><Relationship Id="rId2" Type="http://schemas.openxmlformats.org/officeDocument/2006/relationships/table" Target="../tables/table246.xml"/><Relationship Id="rId1" Type="http://schemas.openxmlformats.org/officeDocument/2006/relationships/printerSettings" Target="../printerSettings/printerSettings246.bin"/></Relationships>
</file>

<file path=xl/worksheets/_rels/sheet247.xml.rels><?xml version="1.0" encoding="UTF-8" standalone="yes"?>
<Relationships xmlns="http://schemas.openxmlformats.org/package/2006/relationships"><Relationship Id="rId2" Type="http://schemas.openxmlformats.org/officeDocument/2006/relationships/table" Target="../tables/table247.xml"/><Relationship Id="rId1" Type="http://schemas.openxmlformats.org/officeDocument/2006/relationships/printerSettings" Target="../printerSettings/printerSettings247.bin"/></Relationships>
</file>

<file path=xl/worksheets/_rels/sheet248.xml.rels><?xml version="1.0" encoding="UTF-8" standalone="yes"?>
<Relationships xmlns="http://schemas.openxmlformats.org/package/2006/relationships"><Relationship Id="rId2" Type="http://schemas.openxmlformats.org/officeDocument/2006/relationships/table" Target="../tables/table248.xml"/><Relationship Id="rId1" Type="http://schemas.openxmlformats.org/officeDocument/2006/relationships/printerSettings" Target="../printerSettings/printerSettings248.bin"/></Relationships>
</file>

<file path=xl/worksheets/_rels/sheet249.xml.rels><?xml version="1.0" encoding="UTF-8" standalone="yes"?>
<Relationships xmlns="http://schemas.openxmlformats.org/package/2006/relationships"><Relationship Id="rId2" Type="http://schemas.openxmlformats.org/officeDocument/2006/relationships/table" Target="../tables/table249.xml"/><Relationship Id="rId1" Type="http://schemas.openxmlformats.org/officeDocument/2006/relationships/printerSettings" Target="../printerSettings/printerSettings249.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50.xml.rels><?xml version="1.0" encoding="UTF-8" standalone="yes"?>
<Relationships xmlns="http://schemas.openxmlformats.org/package/2006/relationships"><Relationship Id="rId2" Type="http://schemas.openxmlformats.org/officeDocument/2006/relationships/table" Target="../tables/table250.xml"/><Relationship Id="rId1" Type="http://schemas.openxmlformats.org/officeDocument/2006/relationships/printerSettings" Target="../printerSettings/printerSettings250.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table" Target="../tables/table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table" Target="../tables/table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table" Target="../tables/table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table" Target="../tables/table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table" Target="../tables/table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table" Target="../tables/table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table" Target="../tables/table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table" Target="../tables/table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table" Target="../tables/table70.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table" Target="../tables/table71.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table" Target="../tables/table72.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table" Target="../tables/table73.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table" Target="../tables/table74.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table" Target="../tables/table75.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table" Target="../tables/table76.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table" Target="../tables/table77.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table" Target="../tables/table78.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table" Target="../tables/table79.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table" Target="../tables/table80.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table" Target="../tables/table81.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table" Target="../tables/table82.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table" Target="../tables/table83.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table" Target="../tables/table84.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table" Target="../tables/table85.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table" Target="../tables/table86.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table" Target="../tables/table87.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table" Target="../tables/table88.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table" Target="../tables/table89.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table" Target="../tables/table9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table" Target="../tables/table91.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table" Target="../tables/table92.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table" Target="../tables/table93.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table" Target="../tables/table94.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table" Target="../tables/table95.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table" Target="../tables/table96.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2" Type="http://schemas.openxmlformats.org/officeDocument/2006/relationships/table" Target="../tables/table97.xml"/><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2" Type="http://schemas.openxmlformats.org/officeDocument/2006/relationships/table" Target="../tables/table98.xml"/><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2" Type="http://schemas.openxmlformats.org/officeDocument/2006/relationships/table" Target="../tables/table99.xml"/><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66"/>
  <sheetViews>
    <sheetView zoomScaleNormal="100" zoomScaleSheetLayoutView="100" workbookViewId="0">
      <pane xSplit="1" ySplit="2" topLeftCell="B3" activePane="bottomRight" state="frozen"/>
      <selection pane="topRight" activeCell="A30" sqref="A30"/>
      <selection pane="bottomLeft" activeCell="A30" sqref="A30"/>
      <selection pane="bottomRight" activeCell="A2" sqref="A2:XFD2"/>
    </sheetView>
  </sheetViews>
  <sheetFormatPr defaultRowHeight="12.75" x14ac:dyDescent="0.2"/>
  <cols>
    <col min="1" max="1" width="38.7109375" style="5" customWidth="1"/>
    <col min="2" max="21" width="20.5703125" style="5" customWidth="1"/>
    <col min="22" max="16384" width="9.140625" style="5"/>
  </cols>
  <sheetData>
    <row r="1" spans="1:22" s="2" customFormat="1" ht="24.95" customHeight="1" x14ac:dyDescent="0.2">
      <c r="A1" s="146" t="s">
        <v>0</v>
      </c>
      <c r="B1" s="146"/>
    </row>
    <row r="2" spans="1:22" s="2" customFormat="1" ht="39" customHeight="1" x14ac:dyDescent="0.2">
      <c r="A2" s="3" t="s">
        <v>1</v>
      </c>
      <c r="B2" s="1" t="s">
        <v>2</v>
      </c>
      <c r="C2" s="1" t="s">
        <v>3</v>
      </c>
      <c r="D2" s="1" t="s">
        <v>4</v>
      </c>
      <c r="E2" s="1" t="s">
        <v>5</v>
      </c>
      <c r="F2" s="1" t="s">
        <v>6</v>
      </c>
      <c r="G2" s="1" t="s">
        <v>7</v>
      </c>
      <c r="H2" s="1" t="s">
        <v>8</v>
      </c>
      <c r="I2" s="1" t="s">
        <v>9</v>
      </c>
      <c r="J2" s="1" t="s">
        <v>10</v>
      </c>
      <c r="K2" s="1" t="s">
        <v>11</v>
      </c>
      <c r="L2" s="1" t="s">
        <v>12</v>
      </c>
      <c r="M2" s="1" t="s">
        <v>13</v>
      </c>
      <c r="N2" s="1" t="s">
        <v>14</v>
      </c>
      <c r="O2" s="1" t="s">
        <v>15</v>
      </c>
      <c r="P2" s="1" t="s">
        <v>16</v>
      </c>
      <c r="Q2" s="1" t="s">
        <v>17</v>
      </c>
      <c r="R2" s="1" t="s">
        <v>18</v>
      </c>
      <c r="S2" s="1" t="s">
        <v>19</v>
      </c>
      <c r="T2" s="1" t="s">
        <v>20</v>
      </c>
      <c r="U2" s="4" t="s">
        <v>21</v>
      </c>
      <c r="V2" s="70"/>
    </row>
    <row r="3" spans="1:22" ht="14.25" customHeight="1" x14ac:dyDescent="0.2">
      <c r="A3" s="75" t="s">
        <v>22</v>
      </c>
      <c r="B3" s="76">
        <v>85741</v>
      </c>
      <c r="C3" s="76">
        <v>48554</v>
      </c>
      <c r="D3" s="76">
        <v>6006</v>
      </c>
      <c r="E3" s="76">
        <v>6848</v>
      </c>
      <c r="F3" s="76">
        <v>2</v>
      </c>
      <c r="G3" s="76">
        <v>123</v>
      </c>
      <c r="H3" s="76">
        <v>5</v>
      </c>
      <c r="I3" s="76">
        <v>2</v>
      </c>
      <c r="J3" s="76">
        <v>0</v>
      </c>
      <c r="K3" s="76">
        <v>0</v>
      </c>
      <c r="L3" s="76">
        <v>143</v>
      </c>
      <c r="M3" s="76">
        <v>1</v>
      </c>
      <c r="N3" s="76">
        <v>1</v>
      </c>
      <c r="O3" s="76">
        <v>46</v>
      </c>
      <c r="P3" s="76">
        <v>1039</v>
      </c>
      <c r="Q3" s="76">
        <v>66</v>
      </c>
      <c r="R3" s="76">
        <v>1228</v>
      </c>
      <c r="S3" s="88">
        <v>1200</v>
      </c>
      <c r="T3" s="88">
        <v>0</v>
      </c>
      <c r="U3" s="77">
        <f>SUM(B3:T3)</f>
        <v>151005</v>
      </c>
      <c r="V3" s="70"/>
    </row>
    <row r="4" spans="1:22" ht="14.25" customHeight="1" x14ac:dyDescent="0.2">
      <c r="A4" s="75" t="s">
        <v>23</v>
      </c>
      <c r="B4" s="76">
        <v>5132</v>
      </c>
      <c r="C4" s="76">
        <v>12503</v>
      </c>
      <c r="D4" s="76">
        <v>1323</v>
      </c>
      <c r="E4" s="76">
        <v>351</v>
      </c>
      <c r="F4" s="76">
        <v>0</v>
      </c>
      <c r="G4" s="76">
        <v>8</v>
      </c>
      <c r="H4" s="76">
        <v>0</v>
      </c>
      <c r="I4" s="76">
        <v>0</v>
      </c>
      <c r="J4" s="76">
        <v>0</v>
      </c>
      <c r="K4" s="76">
        <v>0</v>
      </c>
      <c r="L4" s="76">
        <v>15</v>
      </c>
      <c r="M4" s="76">
        <v>0</v>
      </c>
      <c r="N4" s="76">
        <v>0</v>
      </c>
      <c r="O4" s="76">
        <v>17</v>
      </c>
      <c r="P4" s="76">
        <v>20</v>
      </c>
      <c r="Q4" s="76">
        <v>7</v>
      </c>
      <c r="R4" s="76">
        <v>138</v>
      </c>
      <c r="S4" s="88">
        <v>155</v>
      </c>
      <c r="T4" s="88">
        <v>0</v>
      </c>
      <c r="U4" s="77">
        <f>SUM(B4:T4)</f>
        <v>19669</v>
      </c>
      <c r="V4" s="70"/>
    </row>
    <row r="5" spans="1:22" ht="14.25" customHeight="1" x14ac:dyDescent="0.2">
      <c r="A5" s="75" t="s">
        <v>24</v>
      </c>
      <c r="B5" s="76">
        <v>42191</v>
      </c>
      <c r="C5" s="76">
        <v>41138</v>
      </c>
      <c r="D5" s="76">
        <v>3625</v>
      </c>
      <c r="E5" s="76">
        <v>2951</v>
      </c>
      <c r="F5" s="76">
        <v>3</v>
      </c>
      <c r="G5" s="76">
        <v>68</v>
      </c>
      <c r="H5" s="76">
        <v>3</v>
      </c>
      <c r="I5" s="76">
        <v>0</v>
      </c>
      <c r="J5" s="76">
        <v>0</v>
      </c>
      <c r="K5" s="76">
        <v>0</v>
      </c>
      <c r="L5" s="76">
        <v>82</v>
      </c>
      <c r="M5" s="76">
        <v>0</v>
      </c>
      <c r="N5" s="76">
        <v>3</v>
      </c>
      <c r="O5" s="76">
        <v>30</v>
      </c>
      <c r="P5" s="76">
        <v>341</v>
      </c>
      <c r="Q5" s="76">
        <v>24</v>
      </c>
      <c r="R5" s="76">
        <v>757</v>
      </c>
      <c r="S5" s="76">
        <v>607</v>
      </c>
      <c r="T5" s="76">
        <v>0</v>
      </c>
      <c r="U5" s="77">
        <f t="shared" ref="U5:U34" si="0">SUM(B5:T5)</f>
        <v>91823</v>
      </c>
      <c r="V5" s="70"/>
    </row>
    <row r="6" spans="1:22" ht="14.25" customHeight="1" x14ac:dyDescent="0.2">
      <c r="A6" s="75" t="s">
        <v>25</v>
      </c>
      <c r="B6" s="76">
        <v>10747</v>
      </c>
      <c r="C6" s="76">
        <v>20433</v>
      </c>
      <c r="D6" s="76">
        <v>2153</v>
      </c>
      <c r="E6" s="76">
        <v>677</v>
      </c>
      <c r="F6" s="76">
        <v>0</v>
      </c>
      <c r="G6" s="76">
        <v>1</v>
      </c>
      <c r="H6" s="76">
        <v>0</v>
      </c>
      <c r="I6" s="76">
        <v>0</v>
      </c>
      <c r="J6" s="76">
        <v>0</v>
      </c>
      <c r="K6" s="76">
        <v>0</v>
      </c>
      <c r="L6" s="76">
        <v>28</v>
      </c>
      <c r="M6" s="76">
        <v>0</v>
      </c>
      <c r="N6" s="76">
        <v>1</v>
      </c>
      <c r="O6" s="76">
        <v>12</v>
      </c>
      <c r="P6" s="76">
        <v>53</v>
      </c>
      <c r="Q6" s="76">
        <v>2</v>
      </c>
      <c r="R6" s="76">
        <v>260</v>
      </c>
      <c r="S6" s="76">
        <v>158</v>
      </c>
      <c r="T6" s="76">
        <v>0</v>
      </c>
      <c r="U6" s="77">
        <f t="shared" si="0"/>
        <v>34525</v>
      </c>
      <c r="V6" s="70"/>
    </row>
    <row r="7" spans="1:22" ht="14.25" customHeight="1" x14ac:dyDescent="0.2">
      <c r="A7" s="75" t="s">
        <v>26</v>
      </c>
      <c r="B7" s="76">
        <v>14802</v>
      </c>
      <c r="C7" s="76">
        <v>18273</v>
      </c>
      <c r="D7" s="76">
        <v>2209</v>
      </c>
      <c r="E7" s="76">
        <v>970</v>
      </c>
      <c r="F7" s="76">
        <v>0</v>
      </c>
      <c r="G7" s="76">
        <v>9</v>
      </c>
      <c r="H7" s="76">
        <v>1</v>
      </c>
      <c r="I7" s="76">
        <v>0</v>
      </c>
      <c r="J7" s="76">
        <v>0</v>
      </c>
      <c r="K7" s="76">
        <v>1</v>
      </c>
      <c r="L7" s="76">
        <v>24</v>
      </c>
      <c r="M7" s="76">
        <v>0</v>
      </c>
      <c r="N7" s="76">
        <v>0</v>
      </c>
      <c r="O7" s="76">
        <v>2</v>
      </c>
      <c r="P7" s="76">
        <v>45</v>
      </c>
      <c r="Q7" s="76">
        <v>7</v>
      </c>
      <c r="R7" s="76">
        <v>257</v>
      </c>
      <c r="S7" s="76">
        <v>185</v>
      </c>
      <c r="T7" s="76">
        <v>0</v>
      </c>
      <c r="U7" s="77">
        <f t="shared" si="0"/>
        <v>36785</v>
      </c>
      <c r="V7" s="70"/>
    </row>
    <row r="8" spans="1:22" ht="14.25" customHeight="1" x14ac:dyDescent="0.2">
      <c r="A8" s="75" t="s">
        <v>27</v>
      </c>
      <c r="B8" s="76">
        <v>20684</v>
      </c>
      <c r="C8" s="76">
        <v>30708</v>
      </c>
      <c r="D8" s="76">
        <v>3820</v>
      </c>
      <c r="E8" s="76">
        <v>1401</v>
      </c>
      <c r="F8" s="76">
        <v>2</v>
      </c>
      <c r="G8" s="76">
        <v>3</v>
      </c>
      <c r="H8" s="76">
        <v>4</v>
      </c>
      <c r="I8" s="76">
        <v>0</v>
      </c>
      <c r="J8" s="76">
        <v>0</v>
      </c>
      <c r="K8" s="76">
        <v>0</v>
      </c>
      <c r="L8" s="76">
        <v>44</v>
      </c>
      <c r="M8" s="76">
        <v>0</v>
      </c>
      <c r="N8" s="76">
        <v>1</v>
      </c>
      <c r="O8" s="76">
        <v>16</v>
      </c>
      <c r="P8" s="76">
        <v>59</v>
      </c>
      <c r="Q8" s="76">
        <v>9</v>
      </c>
      <c r="R8" s="76">
        <v>458</v>
      </c>
      <c r="S8" s="76">
        <v>312</v>
      </c>
      <c r="T8" s="76">
        <v>0</v>
      </c>
      <c r="U8" s="89">
        <f t="shared" si="0"/>
        <v>57521</v>
      </c>
      <c r="V8" s="70"/>
    </row>
    <row r="9" spans="1:22" ht="14.25" customHeight="1" x14ac:dyDescent="0.2">
      <c r="A9" s="75" t="s">
        <v>28</v>
      </c>
      <c r="B9" s="76">
        <v>14805</v>
      </c>
      <c r="C9" s="76">
        <v>19905</v>
      </c>
      <c r="D9" s="76">
        <v>1956</v>
      </c>
      <c r="E9" s="76">
        <v>767</v>
      </c>
      <c r="F9" s="76">
        <v>0</v>
      </c>
      <c r="G9" s="76">
        <v>14</v>
      </c>
      <c r="H9" s="76">
        <v>0</v>
      </c>
      <c r="I9" s="76">
        <v>0</v>
      </c>
      <c r="J9" s="76">
        <v>0</v>
      </c>
      <c r="K9" s="76">
        <v>0</v>
      </c>
      <c r="L9" s="76">
        <v>37</v>
      </c>
      <c r="M9" s="76">
        <v>0</v>
      </c>
      <c r="N9" s="76">
        <v>0</v>
      </c>
      <c r="O9" s="76">
        <v>11</v>
      </c>
      <c r="P9" s="76">
        <v>61</v>
      </c>
      <c r="Q9" s="76">
        <v>4</v>
      </c>
      <c r="R9" s="76">
        <v>264</v>
      </c>
      <c r="S9" s="76">
        <v>179</v>
      </c>
      <c r="T9" s="76">
        <v>0</v>
      </c>
      <c r="U9" s="77">
        <f t="shared" si="0"/>
        <v>38003</v>
      </c>
      <c r="V9" s="70"/>
    </row>
    <row r="10" spans="1:22" ht="14.25" customHeight="1" x14ac:dyDescent="0.2">
      <c r="A10" s="75" t="s">
        <v>29</v>
      </c>
      <c r="B10" s="76">
        <v>7687</v>
      </c>
      <c r="C10" s="76">
        <v>13325</v>
      </c>
      <c r="D10" s="76">
        <v>969</v>
      </c>
      <c r="E10" s="76">
        <v>490</v>
      </c>
      <c r="F10" s="76">
        <v>0</v>
      </c>
      <c r="G10" s="76">
        <v>4</v>
      </c>
      <c r="H10" s="76">
        <v>0</v>
      </c>
      <c r="I10" s="76">
        <v>0</v>
      </c>
      <c r="J10" s="76">
        <v>0</v>
      </c>
      <c r="K10" s="76">
        <v>0</v>
      </c>
      <c r="L10" s="76">
        <v>28</v>
      </c>
      <c r="M10" s="76">
        <v>0</v>
      </c>
      <c r="N10" s="76">
        <v>0</v>
      </c>
      <c r="O10" s="76">
        <v>0</v>
      </c>
      <c r="P10" s="76">
        <v>35</v>
      </c>
      <c r="Q10" s="76">
        <v>2</v>
      </c>
      <c r="R10" s="76">
        <v>117</v>
      </c>
      <c r="S10" s="76">
        <v>119</v>
      </c>
      <c r="T10" s="76">
        <v>0</v>
      </c>
      <c r="U10" s="77">
        <f t="shared" si="0"/>
        <v>22776</v>
      </c>
      <c r="V10" s="70"/>
    </row>
    <row r="11" spans="1:22" ht="14.25" customHeight="1" x14ac:dyDescent="0.2">
      <c r="A11" s="75" t="s">
        <v>30</v>
      </c>
      <c r="B11" s="76">
        <v>16489</v>
      </c>
      <c r="C11" s="76">
        <v>16814</v>
      </c>
      <c r="D11" s="76">
        <v>1433</v>
      </c>
      <c r="E11" s="76">
        <v>989</v>
      </c>
      <c r="F11" s="76">
        <v>0</v>
      </c>
      <c r="G11" s="76">
        <v>3</v>
      </c>
      <c r="H11" s="76">
        <v>0</v>
      </c>
      <c r="I11" s="76">
        <v>0</v>
      </c>
      <c r="J11" s="76">
        <v>0</v>
      </c>
      <c r="K11" s="76">
        <v>0</v>
      </c>
      <c r="L11" s="76">
        <v>26</v>
      </c>
      <c r="M11" s="76">
        <v>0</v>
      </c>
      <c r="N11" s="76">
        <v>0</v>
      </c>
      <c r="O11" s="76">
        <v>3</v>
      </c>
      <c r="P11" s="76">
        <v>60</v>
      </c>
      <c r="Q11" s="76">
        <v>0</v>
      </c>
      <c r="R11" s="76">
        <v>255</v>
      </c>
      <c r="S11" s="76">
        <v>166</v>
      </c>
      <c r="T11" s="88">
        <v>0</v>
      </c>
      <c r="U11" s="77">
        <f t="shared" si="0"/>
        <v>36238</v>
      </c>
      <c r="V11" s="70"/>
    </row>
    <row r="12" spans="1:22" ht="14.25" customHeight="1" x14ac:dyDescent="0.2">
      <c r="A12" s="75" t="s">
        <v>31</v>
      </c>
      <c r="B12" s="76">
        <v>18504</v>
      </c>
      <c r="C12" s="76">
        <v>13266</v>
      </c>
      <c r="D12" s="76">
        <v>1902</v>
      </c>
      <c r="E12" s="76">
        <v>1892</v>
      </c>
      <c r="F12" s="76">
        <v>3</v>
      </c>
      <c r="G12" s="76">
        <v>37</v>
      </c>
      <c r="H12" s="76">
        <v>1</v>
      </c>
      <c r="I12" s="76">
        <v>0</v>
      </c>
      <c r="J12" s="76">
        <v>0</v>
      </c>
      <c r="K12" s="76">
        <v>0</v>
      </c>
      <c r="L12" s="76">
        <v>30</v>
      </c>
      <c r="M12" s="76">
        <v>0</v>
      </c>
      <c r="N12" s="76">
        <v>0</v>
      </c>
      <c r="O12" s="76">
        <v>8</v>
      </c>
      <c r="P12" s="76">
        <v>237</v>
      </c>
      <c r="Q12" s="76">
        <v>17</v>
      </c>
      <c r="R12" s="76">
        <v>235</v>
      </c>
      <c r="S12" s="76">
        <v>194</v>
      </c>
      <c r="T12" s="76">
        <v>0</v>
      </c>
      <c r="U12" s="77">
        <f t="shared" si="0"/>
        <v>36326</v>
      </c>
      <c r="V12" s="70"/>
    </row>
    <row r="13" spans="1:22" ht="14.25" customHeight="1" x14ac:dyDescent="0.2">
      <c r="A13" s="75" t="s">
        <v>32</v>
      </c>
      <c r="B13" s="76">
        <v>9602</v>
      </c>
      <c r="C13" s="76">
        <v>10701</v>
      </c>
      <c r="D13" s="76">
        <v>1005</v>
      </c>
      <c r="E13" s="76">
        <v>688</v>
      </c>
      <c r="F13" s="76">
        <v>0</v>
      </c>
      <c r="G13" s="76">
        <v>5</v>
      </c>
      <c r="H13" s="76">
        <v>0</v>
      </c>
      <c r="I13" s="76">
        <v>0</v>
      </c>
      <c r="J13" s="76">
        <v>0</v>
      </c>
      <c r="K13" s="76">
        <v>0</v>
      </c>
      <c r="L13" s="76">
        <v>22</v>
      </c>
      <c r="M13" s="76">
        <v>0</v>
      </c>
      <c r="N13" s="76">
        <v>0</v>
      </c>
      <c r="O13" s="76">
        <v>7</v>
      </c>
      <c r="P13" s="76">
        <v>31</v>
      </c>
      <c r="Q13" s="76">
        <v>2</v>
      </c>
      <c r="R13" s="76">
        <v>147</v>
      </c>
      <c r="S13" s="76">
        <v>120</v>
      </c>
      <c r="T13" s="76">
        <v>0</v>
      </c>
      <c r="U13" s="77">
        <f t="shared" si="0"/>
        <v>22330</v>
      </c>
      <c r="V13" s="70"/>
    </row>
    <row r="14" spans="1:22" ht="14.25" customHeight="1" x14ac:dyDescent="0.2">
      <c r="A14" s="75" t="s">
        <v>33</v>
      </c>
      <c r="B14" s="76">
        <v>8536</v>
      </c>
      <c r="C14" s="76">
        <v>12785</v>
      </c>
      <c r="D14" s="76">
        <v>1004</v>
      </c>
      <c r="E14" s="76">
        <v>701</v>
      </c>
      <c r="F14" s="76">
        <v>1</v>
      </c>
      <c r="G14" s="76">
        <v>1</v>
      </c>
      <c r="H14" s="76">
        <v>0</v>
      </c>
      <c r="I14" s="76">
        <v>0</v>
      </c>
      <c r="J14" s="76">
        <v>0</v>
      </c>
      <c r="K14" s="76">
        <v>0</v>
      </c>
      <c r="L14" s="76">
        <v>15</v>
      </c>
      <c r="M14" s="76">
        <v>0</v>
      </c>
      <c r="N14" s="76">
        <v>0</v>
      </c>
      <c r="O14" s="76">
        <v>4</v>
      </c>
      <c r="P14" s="76">
        <v>94</v>
      </c>
      <c r="Q14" s="76">
        <v>15</v>
      </c>
      <c r="R14" s="76">
        <v>128</v>
      </c>
      <c r="S14" s="88">
        <v>117</v>
      </c>
      <c r="T14" s="88">
        <v>0</v>
      </c>
      <c r="U14" s="77">
        <f t="shared" si="0"/>
        <v>23401</v>
      </c>
      <c r="V14" s="70"/>
    </row>
    <row r="15" spans="1:22" ht="14.25" customHeight="1" x14ac:dyDescent="0.2">
      <c r="A15" s="75" t="s">
        <v>34</v>
      </c>
      <c r="B15" s="76">
        <v>74947</v>
      </c>
      <c r="C15" s="76">
        <v>64625</v>
      </c>
      <c r="D15" s="76">
        <v>7153</v>
      </c>
      <c r="E15" s="76">
        <v>5047</v>
      </c>
      <c r="F15" s="76">
        <v>3</v>
      </c>
      <c r="G15" s="76">
        <v>97</v>
      </c>
      <c r="H15" s="76">
        <v>1</v>
      </c>
      <c r="I15" s="76">
        <v>0</v>
      </c>
      <c r="J15" s="76">
        <v>0</v>
      </c>
      <c r="K15" s="76">
        <v>0</v>
      </c>
      <c r="L15" s="76">
        <v>116</v>
      </c>
      <c r="M15" s="76">
        <v>0</v>
      </c>
      <c r="N15" s="76">
        <v>0</v>
      </c>
      <c r="O15" s="76">
        <v>37</v>
      </c>
      <c r="P15" s="76">
        <v>556</v>
      </c>
      <c r="Q15" s="76">
        <v>77</v>
      </c>
      <c r="R15" s="76">
        <v>1116</v>
      </c>
      <c r="S15" s="88">
        <v>800</v>
      </c>
      <c r="T15" s="88">
        <v>0</v>
      </c>
      <c r="U15" s="77">
        <f t="shared" si="0"/>
        <v>154575</v>
      </c>
      <c r="V15" s="70"/>
    </row>
    <row r="16" spans="1:22" ht="14.25" customHeight="1" x14ac:dyDescent="0.2">
      <c r="A16" s="75" t="s">
        <v>35</v>
      </c>
      <c r="B16" s="76">
        <v>234407</v>
      </c>
      <c r="C16" s="76">
        <v>178177</v>
      </c>
      <c r="D16" s="76">
        <v>26597</v>
      </c>
      <c r="E16" s="76">
        <v>14244</v>
      </c>
      <c r="F16" s="76">
        <v>1</v>
      </c>
      <c r="G16" s="76">
        <v>186</v>
      </c>
      <c r="H16" s="76">
        <v>13</v>
      </c>
      <c r="I16" s="76">
        <v>1</v>
      </c>
      <c r="J16" s="76">
        <v>0</v>
      </c>
      <c r="K16" s="76">
        <v>0</v>
      </c>
      <c r="L16" s="76">
        <v>401</v>
      </c>
      <c r="M16" s="76">
        <v>3</v>
      </c>
      <c r="N16" s="76">
        <v>2</v>
      </c>
      <c r="O16" s="76">
        <v>151</v>
      </c>
      <c r="P16" s="76">
        <v>2183</v>
      </c>
      <c r="Q16" s="76">
        <v>184</v>
      </c>
      <c r="R16" s="76">
        <v>3440</v>
      </c>
      <c r="S16" s="76">
        <v>3589</v>
      </c>
      <c r="T16" s="76">
        <v>0</v>
      </c>
      <c r="U16" s="77">
        <f t="shared" si="0"/>
        <v>463579</v>
      </c>
      <c r="V16" s="70"/>
    </row>
    <row r="17" spans="1:22" ht="14.25" customHeight="1" x14ac:dyDescent="0.2">
      <c r="A17" s="75" t="s">
        <v>36</v>
      </c>
      <c r="B17" s="76">
        <v>9063</v>
      </c>
      <c r="C17" s="76">
        <v>8827</v>
      </c>
      <c r="D17" s="76">
        <v>706</v>
      </c>
      <c r="E17" s="76">
        <v>566</v>
      </c>
      <c r="F17" s="88">
        <v>0</v>
      </c>
      <c r="G17" s="88">
        <v>10</v>
      </c>
      <c r="H17" s="88">
        <v>0</v>
      </c>
      <c r="I17" s="88">
        <v>0</v>
      </c>
      <c r="J17" s="88">
        <v>0</v>
      </c>
      <c r="K17" s="88">
        <v>0</v>
      </c>
      <c r="L17" s="88">
        <v>9</v>
      </c>
      <c r="M17" s="88">
        <v>0</v>
      </c>
      <c r="N17" s="88">
        <v>4</v>
      </c>
      <c r="O17" s="88">
        <v>4</v>
      </c>
      <c r="P17" s="88">
        <v>40</v>
      </c>
      <c r="Q17" s="88">
        <v>7</v>
      </c>
      <c r="R17" s="76">
        <v>171</v>
      </c>
      <c r="S17" s="76">
        <v>122</v>
      </c>
      <c r="T17" s="76">
        <v>0</v>
      </c>
      <c r="U17" s="77">
        <f t="shared" si="0"/>
        <v>19529</v>
      </c>
      <c r="V17" s="70"/>
    </row>
    <row r="18" spans="1:22" ht="14.25" customHeight="1" x14ac:dyDescent="0.2">
      <c r="A18" s="75" t="s">
        <v>37</v>
      </c>
      <c r="B18" s="76">
        <v>8358</v>
      </c>
      <c r="C18" s="76">
        <v>9775</v>
      </c>
      <c r="D18" s="88">
        <v>794</v>
      </c>
      <c r="E18" s="88">
        <v>463</v>
      </c>
      <c r="F18" s="76">
        <v>2</v>
      </c>
      <c r="G18" s="76">
        <v>5</v>
      </c>
      <c r="H18" s="76">
        <v>0</v>
      </c>
      <c r="I18" s="76">
        <v>0</v>
      </c>
      <c r="J18" s="76">
        <v>0</v>
      </c>
      <c r="K18" s="76">
        <v>0</v>
      </c>
      <c r="L18" s="76">
        <v>8</v>
      </c>
      <c r="M18" s="76">
        <v>0</v>
      </c>
      <c r="N18" s="76">
        <v>8</v>
      </c>
      <c r="O18" s="76">
        <v>8</v>
      </c>
      <c r="P18" s="76">
        <v>34</v>
      </c>
      <c r="Q18" s="76">
        <v>3</v>
      </c>
      <c r="R18" s="76">
        <v>113</v>
      </c>
      <c r="S18" s="76">
        <v>91</v>
      </c>
      <c r="T18" s="76">
        <v>0</v>
      </c>
      <c r="U18" s="77">
        <f t="shared" si="0"/>
        <v>19662</v>
      </c>
      <c r="V18" s="70"/>
    </row>
    <row r="19" spans="1:22" ht="14.25" customHeight="1" x14ac:dyDescent="0.2">
      <c r="A19" s="75" t="s">
        <v>38</v>
      </c>
      <c r="B19" s="76">
        <v>7284</v>
      </c>
      <c r="C19" s="76">
        <v>14983</v>
      </c>
      <c r="D19" s="76">
        <v>1254</v>
      </c>
      <c r="E19" s="76">
        <v>382</v>
      </c>
      <c r="F19" s="76">
        <v>0</v>
      </c>
      <c r="G19" s="76">
        <v>4</v>
      </c>
      <c r="H19" s="76">
        <v>0</v>
      </c>
      <c r="I19" s="76">
        <v>0</v>
      </c>
      <c r="J19" s="76">
        <v>0</v>
      </c>
      <c r="K19" s="76">
        <v>0</v>
      </c>
      <c r="L19" s="76">
        <v>11</v>
      </c>
      <c r="M19" s="76">
        <v>0</v>
      </c>
      <c r="N19" s="76">
        <v>0</v>
      </c>
      <c r="O19" s="76">
        <v>6</v>
      </c>
      <c r="P19" s="76">
        <v>24</v>
      </c>
      <c r="Q19" s="76">
        <v>5</v>
      </c>
      <c r="R19" s="76">
        <v>126</v>
      </c>
      <c r="S19" s="76">
        <v>112</v>
      </c>
      <c r="T19" s="76">
        <v>0</v>
      </c>
      <c r="U19" s="77">
        <f t="shared" si="0"/>
        <v>24191</v>
      </c>
      <c r="V19" s="70"/>
    </row>
    <row r="20" spans="1:22" ht="14.25" customHeight="1" x14ac:dyDescent="0.2">
      <c r="A20" s="75" t="s">
        <v>39</v>
      </c>
      <c r="B20" s="76">
        <v>8784</v>
      </c>
      <c r="C20" s="76">
        <v>16924</v>
      </c>
      <c r="D20" s="76">
        <v>2073</v>
      </c>
      <c r="E20" s="76">
        <v>583</v>
      </c>
      <c r="F20" s="76">
        <v>1</v>
      </c>
      <c r="G20" s="76">
        <v>10</v>
      </c>
      <c r="H20" s="76">
        <v>1</v>
      </c>
      <c r="I20" s="76">
        <v>0</v>
      </c>
      <c r="J20" s="76">
        <v>0</v>
      </c>
      <c r="K20" s="76">
        <v>0</v>
      </c>
      <c r="L20" s="76">
        <v>27</v>
      </c>
      <c r="M20" s="76">
        <v>0</v>
      </c>
      <c r="N20" s="76">
        <v>0</v>
      </c>
      <c r="O20" s="76">
        <v>6</v>
      </c>
      <c r="P20" s="76">
        <v>30</v>
      </c>
      <c r="Q20" s="76">
        <v>5</v>
      </c>
      <c r="R20" s="76">
        <v>197</v>
      </c>
      <c r="S20" s="76">
        <v>180</v>
      </c>
      <c r="T20" s="76">
        <v>0</v>
      </c>
      <c r="U20" s="77">
        <f t="shared" si="0"/>
        <v>28821</v>
      </c>
      <c r="V20" s="70"/>
    </row>
    <row r="21" spans="1:22" ht="14.25" customHeight="1" x14ac:dyDescent="0.2">
      <c r="A21" s="75" t="s">
        <v>40</v>
      </c>
      <c r="B21" s="76">
        <v>9437</v>
      </c>
      <c r="C21" s="76">
        <v>13058</v>
      </c>
      <c r="D21" s="76">
        <v>1644</v>
      </c>
      <c r="E21" s="76">
        <v>999</v>
      </c>
      <c r="F21" s="76">
        <v>2</v>
      </c>
      <c r="G21" s="76">
        <v>16</v>
      </c>
      <c r="H21" s="76">
        <v>0</v>
      </c>
      <c r="I21" s="76">
        <v>0</v>
      </c>
      <c r="J21" s="76">
        <v>0</v>
      </c>
      <c r="K21" s="76">
        <v>0</v>
      </c>
      <c r="L21" s="76">
        <v>29</v>
      </c>
      <c r="M21" s="76">
        <v>0</v>
      </c>
      <c r="N21" s="76">
        <v>0</v>
      </c>
      <c r="O21" s="76">
        <v>9</v>
      </c>
      <c r="P21" s="76">
        <v>100</v>
      </c>
      <c r="Q21" s="76">
        <v>16</v>
      </c>
      <c r="R21" s="76">
        <v>243</v>
      </c>
      <c r="S21" s="76">
        <v>135</v>
      </c>
      <c r="T21" s="88">
        <v>0</v>
      </c>
      <c r="U21" s="77">
        <f t="shared" si="0"/>
        <v>25688</v>
      </c>
      <c r="V21" s="70"/>
    </row>
    <row r="22" spans="1:22" ht="14.25" customHeight="1" x14ac:dyDescent="0.2">
      <c r="A22" s="75" t="s">
        <v>41</v>
      </c>
      <c r="B22" s="76">
        <v>1136</v>
      </c>
      <c r="C22" s="76">
        <v>2052</v>
      </c>
      <c r="D22" s="76">
        <v>171</v>
      </c>
      <c r="E22" s="76">
        <v>75</v>
      </c>
      <c r="F22" s="76">
        <v>0</v>
      </c>
      <c r="G22" s="76">
        <v>0</v>
      </c>
      <c r="H22" s="76">
        <v>0</v>
      </c>
      <c r="I22" s="76">
        <v>0</v>
      </c>
      <c r="J22" s="76">
        <v>0</v>
      </c>
      <c r="K22" s="76">
        <v>0</v>
      </c>
      <c r="L22" s="76">
        <v>2</v>
      </c>
      <c r="M22" s="76">
        <v>0</v>
      </c>
      <c r="N22" s="76">
        <v>0</v>
      </c>
      <c r="O22" s="76">
        <v>0</v>
      </c>
      <c r="P22" s="76">
        <v>1</v>
      </c>
      <c r="Q22" s="76">
        <v>2</v>
      </c>
      <c r="R22" s="76">
        <v>0</v>
      </c>
      <c r="S22" s="76">
        <v>3</v>
      </c>
      <c r="T22" s="76">
        <v>0</v>
      </c>
      <c r="U22" s="77">
        <f t="shared" si="0"/>
        <v>3442</v>
      </c>
      <c r="V22" s="70"/>
    </row>
    <row r="23" spans="1:22" ht="14.25" customHeight="1" x14ac:dyDescent="0.2">
      <c r="A23" s="75" t="s">
        <v>42</v>
      </c>
      <c r="B23" s="76">
        <v>8527</v>
      </c>
      <c r="C23" s="76">
        <v>17633</v>
      </c>
      <c r="D23" s="76">
        <v>1924</v>
      </c>
      <c r="E23" s="76">
        <v>583</v>
      </c>
      <c r="F23" s="76">
        <v>0</v>
      </c>
      <c r="G23" s="76">
        <v>7</v>
      </c>
      <c r="H23" s="76">
        <v>0</v>
      </c>
      <c r="I23" s="76">
        <v>0</v>
      </c>
      <c r="J23" s="76">
        <v>0</v>
      </c>
      <c r="K23" s="76">
        <v>0</v>
      </c>
      <c r="L23" s="76">
        <v>18</v>
      </c>
      <c r="M23" s="76">
        <v>0</v>
      </c>
      <c r="N23" s="76">
        <v>0</v>
      </c>
      <c r="O23" s="76">
        <v>4</v>
      </c>
      <c r="P23" s="76">
        <v>29</v>
      </c>
      <c r="Q23" s="76">
        <v>0</v>
      </c>
      <c r="R23" s="76">
        <v>160</v>
      </c>
      <c r="S23" s="76">
        <v>139</v>
      </c>
      <c r="T23" s="76">
        <v>0</v>
      </c>
      <c r="U23" s="77">
        <f t="shared" si="0"/>
        <v>29024</v>
      </c>
      <c r="V23" s="70"/>
    </row>
    <row r="24" spans="1:22" ht="14.25" customHeight="1" x14ac:dyDescent="0.2">
      <c r="A24" s="75" t="s">
        <v>43</v>
      </c>
      <c r="B24" s="76">
        <v>15562</v>
      </c>
      <c r="C24" s="76">
        <v>24554</v>
      </c>
      <c r="D24" s="76">
        <v>1863</v>
      </c>
      <c r="E24" s="76">
        <v>764</v>
      </c>
      <c r="F24" s="88">
        <v>0</v>
      </c>
      <c r="G24" s="88">
        <v>6</v>
      </c>
      <c r="H24" s="88">
        <v>1</v>
      </c>
      <c r="I24" s="88">
        <v>0</v>
      </c>
      <c r="J24" s="88">
        <v>0</v>
      </c>
      <c r="K24" s="88">
        <v>0</v>
      </c>
      <c r="L24" s="88">
        <v>26</v>
      </c>
      <c r="M24" s="88">
        <v>0</v>
      </c>
      <c r="N24" s="88">
        <v>0</v>
      </c>
      <c r="O24" s="88">
        <v>12</v>
      </c>
      <c r="P24" s="88">
        <v>50</v>
      </c>
      <c r="Q24" s="88">
        <v>5</v>
      </c>
      <c r="R24" s="76">
        <v>212</v>
      </c>
      <c r="S24" s="76">
        <v>256</v>
      </c>
      <c r="T24" s="88">
        <v>0</v>
      </c>
      <c r="U24" s="77">
        <f t="shared" si="0"/>
        <v>43311</v>
      </c>
      <c r="V24" s="70"/>
    </row>
    <row r="25" spans="1:22" ht="14.25" customHeight="1" x14ac:dyDescent="0.2">
      <c r="A25" s="75" t="s">
        <v>44</v>
      </c>
      <c r="B25" s="76">
        <v>3418</v>
      </c>
      <c r="C25" s="76">
        <v>8677</v>
      </c>
      <c r="D25" s="76">
        <v>676</v>
      </c>
      <c r="E25" s="76">
        <v>182</v>
      </c>
      <c r="F25" s="88">
        <v>0</v>
      </c>
      <c r="G25" s="88">
        <v>0</v>
      </c>
      <c r="H25" s="88">
        <v>0</v>
      </c>
      <c r="I25" s="88">
        <v>0</v>
      </c>
      <c r="J25" s="88">
        <v>0</v>
      </c>
      <c r="K25" s="88">
        <v>0</v>
      </c>
      <c r="L25" s="88">
        <v>7</v>
      </c>
      <c r="M25" s="88">
        <v>0</v>
      </c>
      <c r="N25" s="88">
        <v>0</v>
      </c>
      <c r="O25" s="88">
        <v>0</v>
      </c>
      <c r="P25" s="88">
        <v>4</v>
      </c>
      <c r="Q25" s="88">
        <v>2</v>
      </c>
      <c r="R25" s="88">
        <v>187</v>
      </c>
      <c r="S25" s="88">
        <v>93</v>
      </c>
      <c r="T25" s="88">
        <v>0</v>
      </c>
      <c r="U25" s="77">
        <f t="shared" si="0"/>
        <v>13246</v>
      </c>
      <c r="V25" s="70"/>
    </row>
    <row r="26" spans="1:22" ht="14.25" customHeight="1" x14ac:dyDescent="0.2">
      <c r="A26" s="75" t="s">
        <v>45</v>
      </c>
      <c r="B26" s="76">
        <v>11468</v>
      </c>
      <c r="C26" s="76">
        <v>16746</v>
      </c>
      <c r="D26" s="76">
        <v>2034</v>
      </c>
      <c r="E26" s="76">
        <v>680</v>
      </c>
      <c r="F26" s="76">
        <v>0</v>
      </c>
      <c r="G26" s="76">
        <v>12</v>
      </c>
      <c r="H26" s="76">
        <v>1</v>
      </c>
      <c r="I26" s="76">
        <v>0</v>
      </c>
      <c r="J26" s="76">
        <v>0</v>
      </c>
      <c r="K26" s="76">
        <v>0</v>
      </c>
      <c r="L26" s="76">
        <v>33</v>
      </c>
      <c r="M26" s="76">
        <v>0</v>
      </c>
      <c r="N26" s="76">
        <v>0</v>
      </c>
      <c r="O26" s="76">
        <v>17</v>
      </c>
      <c r="P26" s="76">
        <v>40</v>
      </c>
      <c r="Q26" s="76">
        <v>4</v>
      </c>
      <c r="R26" s="76">
        <v>272</v>
      </c>
      <c r="S26" s="76">
        <v>154</v>
      </c>
      <c r="T26" s="88">
        <v>0</v>
      </c>
      <c r="U26" s="77">
        <f t="shared" si="0"/>
        <v>31461</v>
      </c>
      <c r="V26" s="70"/>
    </row>
    <row r="27" spans="1:22" ht="14.25" customHeight="1" x14ac:dyDescent="0.2">
      <c r="A27" s="75" t="s">
        <v>46</v>
      </c>
      <c r="B27" s="76">
        <v>13652</v>
      </c>
      <c r="C27" s="76">
        <v>17084</v>
      </c>
      <c r="D27" s="76">
        <v>1941</v>
      </c>
      <c r="E27" s="76">
        <v>977</v>
      </c>
      <c r="F27" s="76">
        <v>1</v>
      </c>
      <c r="G27" s="76">
        <v>16</v>
      </c>
      <c r="H27" s="76">
        <v>2</v>
      </c>
      <c r="I27" s="76">
        <v>0</v>
      </c>
      <c r="J27" s="76">
        <v>2</v>
      </c>
      <c r="K27" s="76">
        <v>0</v>
      </c>
      <c r="L27" s="76">
        <v>62</v>
      </c>
      <c r="M27" s="76">
        <v>2</v>
      </c>
      <c r="N27" s="76">
        <v>0</v>
      </c>
      <c r="O27" s="76">
        <v>13</v>
      </c>
      <c r="P27" s="76">
        <v>59</v>
      </c>
      <c r="Q27" s="76">
        <v>3</v>
      </c>
      <c r="R27" s="76">
        <v>231</v>
      </c>
      <c r="S27" s="88">
        <v>220</v>
      </c>
      <c r="T27" s="88">
        <v>0</v>
      </c>
      <c r="U27" s="77">
        <f t="shared" si="0"/>
        <v>34265</v>
      </c>
      <c r="V27" s="70"/>
    </row>
    <row r="28" spans="1:22" ht="14.25" customHeight="1" x14ac:dyDescent="0.2">
      <c r="A28" s="75" t="s">
        <v>47</v>
      </c>
      <c r="B28" s="76">
        <v>201677</v>
      </c>
      <c r="C28" s="76">
        <v>126558</v>
      </c>
      <c r="D28" s="76">
        <v>19382</v>
      </c>
      <c r="E28" s="76">
        <v>13080</v>
      </c>
      <c r="F28" s="76">
        <v>4</v>
      </c>
      <c r="G28" s="76">
        <v>208</v>
      </c>
      <c r="H28" s="76">
        <v>6</v>
      </c>
      <c r="I28" s="76">
        <v>1</v>
      </c>
      <c r="J28" s="76">
        <v>0</v>
      </c>
      <c r="K28" s="76">
        <v>2</v>
      </c>
      <c r="L28" s="76">
        <v>433</v>
      </c>
      <c r="M28" s="76">
        <v>0</v>
      </c>
      <c r="N28" s="76">
        <v>3</v>
      </c>
      <c r="O28" s="76">
        <v>162</v>
      </c>
      <c r="P28" s="76">
        <v>1070</v>
      </c>
      <c r="Q28" s="76">
        <v>129</v>
      </c>
      <c r="R28" s="76">
        <v>3485</v>
      </c>
      <c r="S28" s="76">
        <v>2143</v>
      </c>
      <c r="T28" s="76">
        <v>0</v>
      </c>
      <c r="U28" s="77">
        <f t="shared" si="0"/>
        <v>368343</v>
      </c>
      <c r="V28" s="70"/>
    </row>
    <row r="29" spans="1:22" ht="14.25" customHeight="1" x14ac:dyDescent="0.2">
      <c r="A29" s="75" t="s">
        <v>48</v>
      </c>
      <c r="B29" s="78">
        <v>6918</v>
      </c>
      <c r="C29" s="78">
        <v>12025</v>
      </c>
      <c r="D29" s="78">
        <v>1261</v>
      </c>
      <c r="E29" s="78">
        <v>438</v>
      </c>
      <c r="F29" s="78">
        <v>2</v>
      </c>
      <c r="G29" s="78">
        <v>7</v>
      </c>
      <c r="H29" s="78">
        <v>0</v>
      </c>
      <c r="I29" s="78">
        <v>0</v>
      </c>
      <c r="J29" s="78">
        <v>0</v>
      </c>
      <c r="K29" s="78">
        <v>0</v>
      </c>
      <c r="L29" s="78">
        <v>24</v>
      </c>
      <c r="M29" s="78">
        <v>0</v>
      </c>
      <c r="N29" s="78">
        <v>1</v>
      </c>
      <c r="O29" s="78">
        <v>4</v>
      </c>
      <c r="P29" s="78">
        <v>29</v>
      </c>
      <c r="Q29" s="78">
        <v>3</v>
      </c>
      <c r="R29" s="78">
        <v>119</v>
      </c>
      <c r="S29" s="88">
        <v>91</v>
      </c>
      <c r="T29" s="88">
        <v>0</v>
      </c>
      <c r="U29" s="79">
        <f t="shared" si="0"/>
        <v>20922</v>
      </c>
      <c r="V29" s="70"/>
    </row>
    <row r="30" spans="1:22" ht="14.25" customHeight="1" x14ac:dyDescent="0.2">
      <c r="A30" s="75" t="s">
        <v>49</v>
      </c>
      <c r="B30" s="76">
        <v>327810</v>
      </c>
      <c r="C30" s="76">
        <v>343682</v>
      </c>
      <c r="D30" s="76">
        <v>24435</v>
      </c>
      <c r="E30" s="76">
        <v>10614</v>
      </c>
      <c r="F30" s="88">
        <v>11</v>
      </c>
      <c r="G30" s="88">
        <v>219</v>
      </c>
      <c r="H30" s="88">
        <v>13</v>
      </c>
      <c r="I30" s="88">
        <v>0</v>
      </c>
      <c r="J30" s="88">
        <v>0</v>
      </c>
      <c r="K30" s="88">
        <v>0</v>
      </c>
      <c r="L30" s="88">
        <v>367</v>
      </c>
      <c r="M30" s="88">
        <v>0</v>
      </c>
      <c r="N30" s="88">
        <v>3</v>
      </c>
      <c r="O30" s="88">
        <v>89</v>
      </c>
      <c r="P30" s="88">
        <v>4876</v>
      </c>
      <c r="Q30" s="88">
        <v>180</v>
      </c>
      <c r="R30" s="88">
        <v>6472</v>
      </c>
      <c r="S30" s="88">
        <v>3815</v>
      </c>
      <c r="T30" s="88">
        <v>0</v>
      </c>
      <c r="U30" s="77">
        <f t="shared" si="0"/>
        <v>722586</v>
      </c>
      <c r="V30" s="70"/>
    </row>
    <row r="31" spans="1:22" ht="14.25" customHeight="1" x14ac:dyDescent="0.2">
      <c r="A31" s="75" t="s">
        <v>50</v>
      </c>
      <c r="B31" s="76">
        <v>41078</v>
      </c>
      <c r="C31" s="76">
        <v>51610</v>
      </c>
      <c r="D31" s="76">
        <v>7068</v>
      </c>
      <c r="E31" s="76">
        <v>2360</v>
      </c>
      <c r="F31" s="76">
        <v>1</v>
      </c>
      <c r="G31" s="76">
        <v>18</v>
      </c>
      <c r="H31" s="76">
        <v>0</v>
      </c>
      <c r="I31" s="76">
        <v>0</v>
      </c>
      <c r="J31" s="76">
        <v>0</v>
      </c>
      <c r="K31" s="76">
        <v>0</v>
      </c>
      <c r="L31" s="76">
        <v>93</v>
      </c>
      <c r="M31" s="76">
        <v>0</v>
      </c>
      <c r="N31" s="76">
        <v>1</v>
      </c>
      <c r="O31" s="76">
        <v>30</v>
      </c>
      <c r="P31" s="76">
        <v>154</v>
      </c>
      <c r="Q31" s="76">
        <v>18</v>
      </c>
      <c r="R31" s="76">
        <v>619</v>
      </c>
      <c r="S31" s="88">
        <v>523</v>
      </c>
      <c r="T31" s="88">
        <v>0</v>
      </c>
      <c r="U31" s="77">
        <f t="shared" si="0"/>
        <v>103573</v>
      </c>
      <c r="V31" s="70"/>
    </row>
    <row r="32" spans="1:22" ht="14.25" customHeight="1" x14ac:dyDescent="0.2">
      <c r="A32" s="75" t="s">
        <v>51</v>
      </c>
      <c r="B32" s="76">
        <v>37080</v>
      </c>
      <c r="C32" s="76">
        <v>55580</v>
      </c>
      <c r="D32" s="76">
        <v>5107</v>
      </c>
      <c r="E32" s="76">
        <v>2335</v>
      </c>
      <c r="F32" s="88">
        <v>9</v>
      </c>
      <c r="G32" s="88">
        <v>23</v>
      </c>
      <c r="H32" s="88">
        <v>0</v>
      </c>
      <c r="I32" s="88">
        <v>0</v>
      </c>
      <c r="J32" s="88">
        <v>0</v>
      </c>
      <c r="K32" s="88">
        <v>1</v>
      </c>
      <c r="L32" s="88">
        <v>66</v>
      </c>
      <c r="M32" s="88">
        <v>1</v>
      </c>
      <c r="N32" s="88">
        <v>0</v>
      </c>
      <c r="O32" s="88">
        <v>10</v>
      </c>
      <c r="P32" s="88">
        <v>33</v>
      </c>
      <c r="Q32" s="88">
        <v>13</v>
      </c>
      <c r="R32" s="88">
        <v>680</v>
      </c>
      <c r="S32" s="88">
        <v>589</v>
      </c>
      <c r="T32" s="88">
        <v>0</v>
      </c>
      <c r="U32" s="77">
        <f t="shared" si="0"/>
        <v>101527</v>
      </c>
      <c r="V32" s="70"/>
    </row>
    <row r="33" spans="1:22" ht="14.25" customHeight="1" x14ac:dyDescent="0.2">
      <c r="A33" s="75" t="s">
        <v>52</v>
      </c>
      <c r="B33" s="76">
        <v>125462</v>
      </c>
      <c r="C33" s="76">
        <v>82893</v>
      </c>
      <c r="D33" s="76">
        <v>11023</v>
      </c>
      <c r="E33" s="76">
        <v>7693</v>
      </c>
      <c r="F33" s="76">
        <v>5</v>
      </c>
      <c r="G33" s="76">
        <v>112</v>
      </c>
      <c r="H33" s="76">
        <v>6</v>
      </c>
      <c r="I33" s="76">
        <v>0</v>
      </c>
      <c r="J33" s="76">
        <v>0</v>
      </c>
      <c r="K33" s="76">
        <v>2</v>
      </c>
      <c r="L33" s="76">
        <v>240</v>
      </c>
      <c r="M33" s="76">
        <v>0</v>
      </c>
      <c r="N33" s="76">
        <v>1</v>
      </c>
      <c r="O33" s="76">
        <v>71</v>
      </c>
      <c r="P33" s="76">
        <v>780</v>
      </c>
      <c r="Q33" s="76">
        <v>93</v>
      </c>
      <c r="R33" s="76">
        <v>1700</v>
      </c>
      <c r="S33" s="88">
        <v>1626</v>
      </c>
      <c r="T33" s="88">
        <v>0</v>
      </c>
      <c r="U33" s="77">
        <f t="shared" si="0"/>
        <v>231707</v>
      </c>
      <c r="V33" s="70"/>
    </row>
    <row r="34" spans="1:22" ht="14.25" customHeight="1" x14ac:dyDescent="0.2">
      <c r="A34" s="75" t="s">
        <v>53</v>
      </c>
      <c r="B34" s="76">
        <v>27932</v>
      </c>
      <c r="C34" s="76">
        <v>26679</v>
      </c>
      <c r="D34" s="76">
        <v>3542</v>
      </c>
      <c r="E34" s="76">
        <v>1588</v>
      </c>
      <c r="F34" s="76">
        <v>2</v>
      </c>
      <c r="G34" s="76">
        <v>42</v>
      </c>
      <c r="H34" s="76">
        <v>0</v>
      </c>
      <c r="I34" s="76">
        <v>0</v>
      </c>
      <c r="J34" s="76">
        <v>0</v>
      </c>
      <c r="K34" s="76">
        <v>3</v>
      </c>
      <c r="L34" s="76">
        <v>72</v>
      </c>
      <c r="M34" s="76">
        <v>1</v>
      </c>
      <c r="N34" s="76">
        <v>2</v>
      </c>
      <c r="O34" s="76">
        <v>18</v>
      </c>
      <c r="P34" s="76">
        <v>101</v>
      </c>
      <c r="Q34" s="76">
        <v>5</v>
      </c>
      <c r="R34" s="76">
        <v>447</v>
      </c>
      <c r="S34" s="76">
        <v>380</v>
      </c>
      <c r="T34" s="76">
        <v>0</v>
      </c>
      <c r="U34" s="77">
        <f t="shared" si="0"/>
        <v>60814</v>
      </c>
      <c r="V34" s="70"/>
    </row>
    <row r="35" spans="1:22" ht="14.25" customHeight="1" x14ac:dyDescent="0.2">
      <c r="A35" s="75" t="s">
        <v>54</v>
      </c>
      <c r="B35" s="76">
        <v>76403</v>
      </c>
      <c r="C35" s="76">
        <v>87189</v>
      </c>
      <c r="D35" s="76">
        <v>7747</v>
      </c>
      <c r="E35" s="76">
        <v>3850</v>
      </c>
      <c r="F35" s="76">
        <v>4</v>
      </c>
      <c r="G35" s="76">
        <v>27</v>
      </c>
      <c r="H35" s="76">
        <v>3</v>
      </c>
      <c r="I35" s="76">
        <v>0</v>
      </c>
      <c r="J35" s="76">
        <v>0</v>
      </c>
      <c r="K35" s="76">
        <v>0</v>
      </c>
      <c r="L35" s="76">
        <v>81</v>
      </c>
      <c r="M35" s="76">
        <v>2</v>
      </c>
      <c r="N35" s="76">
        <v>0</v>
      </c>
      <c r="O35" s="76">
        <v>20</v>
      </c>
      <c r="P35" s="76">
        <v>299</v>
      </c>
      <c r="Q35" s="76">
        <v>35</v>
      </c>
      <c r="R35" s="76">
        <v>1805</v>
      </c>
      <c r="S35" s="76">
        <v>1041</v>
      </c>
      <c r="T35" s="76">
        <v>0</v>
      </c>
      <c r="U35" s="77">
        <f t="shared" ref="U35:U64" si="1">SUM(B35:T35)</f>
        <v>178506</v>
      </c>
      <c r="V35" s="70"/>
    </row>
    <row r="36" spans="1:22" ht="14.25" customHeight="1" x14ac:dyDescent="0.2">
      <c r="A36" s="75" t="s">
        <v>55</v>
      </c>
      <c r="B36" s="76">
        <v>5088</v>
      </c>
      <c r="C36" s="76">
        <v>11414</v>
      </c>
      <c r="D36" s="76">
        <v>1245</v>
      </c>
      <c r="E36" s="76">
        <v>278</v>
      </c>
      <c r="F36" s="76">
        <v>0</v>
      </c>
      <c r="G36" s="76">
        <v>0</v>
      </c>
      <c r="H36" s="76">
        <v>0</v>
      </c>
      <c r="I36" s="76">
        <v>0</v>
      </c>
      <c r="J36" s="76">
        <v>0</v>
      </c>
      <c r="K36" s="76">
        <v>0</v>
      </c>
      <c r="L36" s="76">
        <v>21</v>
      </c>
      <c r="M36" s="76">
        <v>0</v>
      </c>
      <c r="N36" s="76">
        <v>0</v>
      </c>
      <c r="O36" s="76">
        <v>8</v>
      </c>
      <c r="P36" s="76">
        <v>13</v>
      </c>
      <c r="Q36" s="76">
        <v>4</v>
      </c>
      <c r="R36" s="76">
        <v>164</v>
      </c>
      <c r="S36" s="76">
        <v>66</v>
      </c>
      <c r="T36" s="76">
        <v>0</v>
      </c>
      <c r="U36" s="77">
        <f t="shared" si="1"/>
        <v>18301</v>
      </c>
      <c r="V36" s="70"/>
    </row>
    <row r="37" spans="1:22" ht="14.25" customHeight="1" x14ac:dyDescent="0.2">
      <c r="A37" s="75" t="s">
        <v>56</v>
      </c>
      <c r="B37" s="76">
        <v>19344</v>
      </c>
      <c r="C37" s="76">
        <v>30517</v>
      </c>
      <c r="D37" s="76">
        <v>3031</v>
      </c>
      <c r="E37" s="76">
        <v>1139</v>
      </c>
      <c r="F37" s="76">
        <v>1</v>
      </c>
      <c r="G37" s="76">
        <v>12</v>
      </c>
      <c r="H37" s="76">
        <v>0</v>
      </c>
      <c r="I37" s="76">
        <v>0</v>
      </c>
      <c r="J37" s="76">
        <v>0</v>
      </c>
      <c r="K37" s="76">
        <v>0</v>
      </c>
      <c r="L37" s="76">
        <v>38</v>
      </c>
      <c r="M37" s="76">
        <v>0</v>
      </c>
      <c r="N37" s="76">
        <v>0</v>
      </c>
      <c r="O37" s="76">
        <v>16</v>
      </c>
      <c r="P37" s="76">
        <v>61</v>
      </c>
      <c r="Q37" s="76">
        <v>4</v>
      </c>
      <c r="R37" s="76">
        <v>261</v>
      </c>
      <c r="S37" s="76">
        <v>288</v>
      </c>
      <c r="T37" s="88">
        <v>0</v>
      </c>
      <c r="U37" s="77">
        <f t="shared" si="1"/>
        <v>54712</v>
      </c>
      <c r="V37" s="70"/>
    </row>
    <row r="38" spans="1:22" ht="14.25" customHeight="1" x14ac:dyDescent="0.2">
      <c r="A38" s="75" t="s">
        <v>57</v>
      </c>
      <c r="B38" s="76">
        <v>12159</v>
      </c>
      <c r="C38" s="76">
        <v>13612</v>
      </c>
      <c r="D38" s="76">
        <v>1644</v>
      </c>
      <c r="E38" s="76">
        <v>872</v>
      </c>
      <c r="F38" s="76">
        <v>6</v>
      </c>
      <c r="G38" s="76">
        <v>10</v>
      </c>
      <c r="H38" s="76">
        <v>1</v>
      </c>
      <c r="I38" s="76">
        <v>0</v>
      </c>
      <c r="J38" s="76">
        <v>0</v>
      </c>
      <c r="K38" s="76">
        <v>0</v>
      </c>
      <c r="L38" s="76">
        <v>27</v>
      </c>
      <c r="M38" s="76">
        <v>0</v>
      </c>
      <c r="N38" s="76">
        <v>1</v>
      </c>
      <c r="O38" s="76">
        <v>8</v>
      </c>
      <c r="P38" s="76">
        <v>83</v>
      </c>
      <c r="Q38" s="76">
        <v>13</v>
      </c>
      <c r="R38" s="76">
        <v>174</v>
      </c>
      <c r="S38" s="76">
        <v>173</v>
      </c>
      <c r="T38" s="76">
        <v>0</v>
      </c>
      <c r="U38" s="77">
        <f t="shared" si="1"/>
        <v>28783</v>
      </c>
      <c r="V38" s="70"/>
    </row>
    <row r="39" spans="1:22" ht="14.25" customHeight="1" x14ac:dyDescent="0.2">
      <c r="A39" s="75" t="s">
        <v>58</v>
      </c>
      <c r="B39" s="76">
        <v>22839</v>
      </c>
      <c r="C39" s="76">
        <v>28858</v>
      </c>
      <c r="D39" s="76">
        <v>2695</v>
      </c>
      <c r="E39" s="76">
        <v>1117</v>
      </c>
      <c r="F39" s="76">
        <v>1</v>
      </c>
      <c r="G39" s="76">
        <v>22</v>
      </c>
      <c r="H39" s="76">
        <v>0</v>
      </c>
      <c r="I39" s="76">
        <v>0</v>
      </c>
      <c r="J39" s="76">
        <v>0</v>
      </c>
      <c r="K39" s="76">
        <v>0</v>
      </c>
      <c r="L39" s="76">
        <v>40</v>
      </c>
      <c r="M39" s="76">
        <v>0</v>
      </c>
      <c r="N39" s="76">
        <v>0</v>
      </c>
      <c r="O39" s="76">
        <v>8</v>
      </c>
      <c r="P39" s="76">
        <v>172</v>
      </c>
      <c r="Q39" s="76">
        <v>13</v>
      </c>
      <c r="R39" s="76">
        <v>386</v>
      </c>
      <c r="S39" s="76">
        <v>270</v>
      </c>
      <c r="T39" s="76">
        <v>0</v>
      </c>
      <c r="U39" s="77">
        <f t="shared" si="1"/>
        <v>56421</v>
      </c>
      <c r="V39" s="70"/>
    </row>
    <row r="40" spans="1:22" ht="14.25" customHeight="1" x14ac:dyDescent="0.2">
      <c r="A40" s="75" t="s">
        <v>59</v>
      </c>
      <c r="B40" s="76">
        <v>36420</v>
      </c>
      <c r="C40" s="76">
        <v>33175</v>
      </c>
      <c r="D40" s="76">
        <v>5426</v>
      </c>
      <c r="E40" s="76">
        <v>3248</v>
      </c>
      <c r="F40" s="76">
        <v>2</v>
      </c>
      <c r="G40" s="76">
        <v>64</v>
      </c>
      <c r="H40" s="76">
        <v>2</v>
      </c>
      <c r="I40" s="76">
        <v>0</v>
      </c>
      <c r="J40" s="76">
        <v>0</v>
      </c>
      <c r="K40" s="76">
        <v>2</v>
      </c>
      <c r="L40" s="76">
        <v>90</v>
      </c>
      <c r="M40" s="76">
        <v>0</v>
      </c>
      <c r="N40" s="76">
        <v>0</v>
      </c>
      <c r="O40" s="76">
        <v>26</v>
      </c>
      <c r="P40" s="76">
        <v>251</v>
      </c>
      <c r="Q40" s="76">
        <v>30</v>
      </c>
      <c r="R40" s="76">
        <v>582</v>
      </c>
      <c r="S40" s="76">
        <v>434</v>
      </c>
      <c r="T40" s="88">
        <v>0</v>
      </c>
      <c r="U40" s="77">
        <f t="shared" si="1"/>
        <v>79752</v>
      </c>
      <c r="V40" s="70"/>
    </row>
    <row r="41" spans="1:22" ht="14.25" customHeight="1" x14ac:dyDescent="0.2">
      <c r="A41" s="75" t="s">
        <v>60</v>
      </c>
      <c r="B41" s="76">
        <v>63816</v>
      </c>
      <c r="C41" s="76">
        <v>77318</v>
      </c>
      <c r="D41" s="76">
        <v>6225</v>
      </c>
      <c r="E41" s="76">
        <v>2064</v>
      </c>
      <c r="F41" s="88">
        <v>0</v>
      </c>
      <c r="G41" s="88">
        <v>40</v>
      </c>
      <c r="H41" s="88">
        <v>0</v>
      </c>
      <c r="I41" s="88">
        <v>0</v>
      </c>
      <c r="J41" s="88">
        <v>0</v>
      </c>
      <c r="K41" s="88">
        <v>0</v>
      </c>
      <c r="L41" s="88">
        <v>48</v>
      </c>
      <c r="M41" s="88">
        <v>0</v>
      </c>
      <c r="N41" s="88">
        <v>0</v>
      </c>
      <c r="O41" s="88">
        <v>23</v>
      </c>
      <c r="P41" s="88">
        <v>511</v>
      </c>
      <c r="Q41" s="88">
        <v>27</v>
      </c>
      <c r="R41" s="76">
        <v>1316</v>
      </c>
      <c r="S41" s="76">
        <v>861</v>
      </c>
      <c r="T41" s="88">
        <v>0</v>
      </c>
      <c r="U41" s="77">
        <f t="shared" si="1"/>
        <v>152249</v>
      </c>
      <c r="V41" s="70"/>
    </row>
    <row r="42" spans="1:22" ht="14.25" customHeight="1" x14ac:dyDescent="0.2">
      <c r="A42" s="75" t="s">
        <v>61</v>
      </c>
      <c r="B42" s="76">
        <v>17028</v>
      </c>
      <c r="C42" s="76">
        <v>23655</v>
      </c>
      <c r="D42" s="76">
        <v>2264</v>
      </c>
      <c r="E42" s="76">
        <v>982</v>
      </c>
      <c r="F42" s="76">
        <v>0</v>
      </c>
      <c r="G42" s="76">
        <v>14</v>
      </c>
      <c r="H42" s="76">
        <v>0</v>
      </c>
      <c r="I42" s="76">
        <v>0</v>
      </c>
      <c r="J42" s="76">
        <v>0</v>
      </c>
      <c r="K42" s="76">
        <v>0</v>
      </c>
      <c r="L42" s="76">
        <v>29</v>
      </c>
      <c r="M42" s="76">
        <v>0</v>
      </c>
      <c r="N42" s="76">
        <v>0</v>
      </c>
      <c r="O42" s="76">
        <v>6</v>
      </c>
      <c r="P42" s="76">
        <v>47</v>
      </c>
      <c r="Q42" s="76">
        <v>1</v>
      </c>
      <c r="R42" s="76">
        <v>381</v>
      </c>
      <c r="S42" s="76">
        <v>142</v>
      </c>
      <c r="T42" s="76">
        <v>0</v>
      </c>
      <c r="U42" s="77">
        <f t="shared" si="1"/>
        <v>44549</v>
      </c>
      <c r="V42" s="70"/>
    </row>
    <row r="43" spans="1:22" ht="14.25" customHeight="1" x14ac:dyDescent="0.2">
      <c r="A43" s="75" t="s">
        <v>62</v>
      </c>
      <c r="B43" s="76">
        <v>62823</v>
      </c>
      <c r="C43" s="76">
        <v>57120</v>
      </c>
      <c r="D43" s="76">
        <v>6820</v>
      </c>
      <c r="E43" s="76">
        <v>3498</v>
      </c>
      <c r="F43" s="76">
        <v>0</v>
      </c>
      <c r="G43" s="76">
        <v>40</v>
      </c>
      <c r="H43" s="76">
        <v>6</v>
      </c>
      <c r="I43" s="76">
        <v>0</v>
      </c>
      <c r="J43" s="76">
        <v>0</v>
      </c>
      <c r="K43" s="76">
        <v>0</v>
      </c>
      <c r="L43" s="76">
        <v>123</v>
      </c>
      <c r="M43" s="76">
        <v>0</v>
      </c>
      <c r="N43" s="76">
        <v>5</v>
      </c>
      <c r="O43" s="76">
        <v>27</v>
      </c>
      <c r="P43" s="76">
        <v>333</v>
      </c>
      <c r="Q43" s="76">
        <v>17</v>
      </c>
      <c r="R43" s="76">
        <v>1467</v>
      </c>
      <c r="S43" s="76">
        <v>538</v>
      </c>
      <c r="T43" s="76">
        <v>0</v>
      </c>
      <c r="U43" s="77">
        <f t="shared" si="1"/>
        <v>132817</v>
      </c>
      <c r="V43" s="70"/>
    </row>
    <row r="44" spans="1:22" ht="14.25" customHeight="1" x14ac:dyDescent="0.2">
      <c r="A44" s="75" t="s">
        <v>63</v>
      </c>
      <c r="B44" s="76">
        <v>37294</v>
      </c>
      <c r="C44" s="76">
        <v>27448</v>
      </c>
      <c r="D44" s="76">
        <v>4527</v>
      </c>
      <c r="E44" s="76">
        <v>2439</v>
      </c>
      <c r="F44" s="76">
        <v>4</v>
      </c>
      <c r="G44" s="76">
        <v>27</v>
      </c>
      <c r="H44" s="76">
        <v>2</v>
      </c>
      <c r="I44" s="76">
        <v>0</v>
      </c>
      <c r="J44" s="76">
        <v>0</v>
      </c>
      <c r="K44" s="76">
        <v>0</v>
      </c>
      <c r="L44" s="76">
        <v>70</v>
      </c>
      <c r="M44" s="76">
        <v>0</v>
      </c>
      <c r="N44" s="76">
        <v>0</v>
      </c>
      <c r="O44" s="76">
        <v>11</v>
      </c>
      <c r="P44" s="76">
        <v>321</v>
      </c>
      <c r="Q44" s="76">
        <v>22</v>
      </c>
      <c r="R44" s="76">
        <v>486</v>
      </c>
      <c r="S44" s="88">
        <v>461</v>
      </c>
      <c r="T44" s="88">
        <v>0</v>
      </c>
      <c r="U44" s="77">
        <f t="shared" si="1"/>
        <v>73112</v>
      </c>
      <c r="V44" s="70"/>
    </row>
    <row r="45" spans="1:22" ht="14.25" customHeight="1" x14ac:dyDescent="0.2">
      <c r="A45" s="75" t="s">
        <v>64</v>
      </c>
      <c r="B45" s="76">
        <v>5141</v>
      </c>
      <c r="C45" s="76">
        <v>9344</v>
      </c>
      <c r="D45" s="76">
        <v>1079</v>
      </c>
      <c r="E45" s="76">
        <v>406</v>
      </c>
      <c r="F45" s="88">
        <v>0</v>
      </c>
      <c r="G45" s="88">
        <v>8</v>
      </c>
      <c r="H45" s="88">
        <v>0</v>
      </c>
      <c r="I45" s="88">
        <v>0</v>
      </c>
      <c r="J45" s="88">
        <v>0</v>
      </c>
      <c r="K45" s="88">
        <v>0</v>
      </c>
      <c r="L45" s="88">
        <v>14</v>
      </c>
      <c r="M45" s="88">
        <v>0</v>
      </c>
      <c r="N45" s="88">
        <v>0</v>
      </c>
      <c r="O45" s="88">
        <v>3</v>
      </c>
      <c r="P45" s="88">
        <v>44</v>
      </c>
      <c r="Q45" s="88">
        <v>3</v>
      </c>
      <c r="R45" s="76">
        <v>99</v>
      </c>
      <c r="S45" s="76">
        <v>90</v>
      </c>
      <c r="T45" s="76">
        <v>0</v>
      </c>
      <c r="U45" s="77">
        <f t="shared" si="1"/>
        <v>16231</v>
      </c>
      <c r="V45" s="70"/>
    </row>
    <row r="46" spans="1:22" ht="14.25" customHeight="1" x14ac:dyDescent="0.2">
      <c r="A46" s="75" t="s">
        <v>65</v>
      </c>
      <c r="B46" s="76">
        <v>3470</v>
      </c>
      <c r="C46" s="76">
        <v>5207</v>
      </c>
      <c r="D46" s="76">
        <v>510</v>
      </c>
      <c r="E46" s="76">
        <v>266</v>
      </c>
      <c r="F46" s="76">
        <v>0</v>
      </c>
      <c r="G46" s="76">
        <v>2</v>
      </c>
      <c r="H46" s="76">
        <v>0</v>
      </c>
      <c r="I46" s="76">
        <v>0</v>
      </c>
      <c r="J46" s="76">
        <v>0</v>
      </c>
      <c r="K46" s="76">
        <v>0</v>
      </c>
      <c r="L46" s="76">
        <v>9</v>
      </c>
      <c r="M46" s="76">
        <v>0</v>
      </c>
      <c r="N46" s="76">
        <v>0</v>
      </c>
      <c r="O46" s="76">
        <v>4</v>
      </c>
      <c r="P46" s="76">
        <v>12</v>
      </c>
      <c r="Q46" s="76">
        <v>6</v>
      </c>
      <c r="R46" s="76">
        <v>43</v>
      </c>
      <c r="S46" s="76">
        <v>50</v>
      </c>
      <c r="T46" s="88">
        <v>0</v>
      </c>
      <c r="U46" s="77">
        <f t="shared" si="1"/>
        <v>9579</v>
      </c>
      <c r="V46" s="70"/>
    </row>
    <row r="47" spans="1:22" ht="14.25" customHeight="1" x14ac:dyDescent="0.2">
      <c r="A47" s="75" t="s">
        <v>66</v>
      </c>
      <c r="B47" s="76">
        <v>6226</v>
      </c>
      <c r="C47" s="76">
        <v>7613</v>
      </c>
      <c r="D47" s="76">
        <v>766</v>
      </c>
      <c r="E47" s="76">
        <v>384</v>
      </c>
      <c r="F47" s="76">
        <v>0</v>
      </c>
      <c r="G47" s="76">
        <v>2</v>
      </c>
      <c r="H47" s="76">
        <v>0</v>
      </c>
      <c r="I47" s="76">
        <v>0</v>
      </c>
      <c r="J47" s="76">
        <v>0</v>
      </c>
      <c r="K47" s="76">
        <v>1</v>
      </c>
      <c r="L47" s="76">
        <v>12</v>
      </c>
      <c r="M47" s="76">
        <v>0</v>
      </c>
      <c r="N47" s="76">
        <v>1</v>
      </c>
      <c r="O47" s="76">
        <v>5</v>
      </c>
      <c r="P47" s="76">
        <v>22</v>
      </c>
      <c r="Q47" s="76">
        <v>2</v>
      </c>
      <c r="R47" s="76">
        <v>110</v>
      </c>
      <c r="S47" s="76">
        <v>83</v>
      </c>
      <c r="T47" s="88">
        <v>0</v>
      </c>
      <c r="U47" s="77">
        <f t="shared" si="1"/>
        <v>15227</v>
      </c>
      <c r="V47" s="70"/>
    </row>
    <row r="48" spans="1:22" ht="14.25" customHeight="1" x14ac:dyDescent="0.2">
      <c r="A48" s="75" t="s">
        <v>67</v>
      </c>
      <c r="B48" s="76">
        <v>14577</v>
      </c>
      <c r="C48" s="76">
        <v>27489</v>
      </c>
      <c r="D48" s="76">
        <v>2288</v>
      </c>
      <c r="E48" s="76">
        <v>836</v>
      </c>
      <c r="F48" s="76">
        <v>2</v>
      </c>
      <c r="G48" s="76">
        <v>8</v>
      </c>
      <c r="H48" s="76">
        <v>0</v>
      </c>
      <c r="I48" s="76">
        <v>0</v>
      </c>
      <c r="J48" s="76">
        <v>0</v>
      </c>
      <c r="K48" s="76">
        <v>0</v>
      </c>
      <c r="L48" s="76">
        <v>55</v>
      </c>
      <c r="M48" s="76">
        <v>0</v>
      </c>
      <c r="N48" s="76">
        <v>0</v>
      </c>
      <c r="O48" s="76">
        <v>20</v>
      </c>
      <c r="P48" s="76">
        <v>60</v>
      </c>
      <c r="Q48" s="76">
        <v>9</v>
      </c>
      <c r="R48" s="76">
        <v>236</v>
      </c>
      <c r="S48" s="88">
        <v>242</v>
      </c>
      <c r="T48" s="88">
        <v>0</v>
      </c>
      <c r="U48" s="77">
        <f t="shared" si="1"/>
        <v>45822</v>
      </c>
      <c r="V48" s="70"/>
    </row>
    <row r="49" spans="1:22" ht="14.25" customHeight="1" x14ac:dyDescent="0.2">
      <c r="A49" s="75" t="s">
        <v>68</v>
      </c>
      <c r="B49" s="76">
        <v>328838</v>
      </c>
      <c r="C49" s="76">
        <v>376801</v>
      </c>
      <c r="D49" s="76">
        <v>40748</v>
      </c>
      <c r="E49" s="76">
        <v>12974</v>
      </c>
      <c r="F49" s="76">
        <v>3</v>
      </c>
      <c r="G49" s="76">
        <v>200</v>
      </c>
      <c r="H49" s="76">
        <v>3</v>
      </c>
      <c r="I49" s="76">
        <v>1</v>
      </c>
      <c r="J49" s="76">
        <v>1</v>
      </c>
      <c r="K49" s="76">
        <v>0</v>
      </c>
      <c r="L49" s="76">
        <v>385</v>
      </c>
      <c r="M49" s="76">
        <v>0</v>
      </c>
      <c r="N49" s="76">
        <v>5</v>
      </c>
      <c r="O49" s="76">
        <v>75</v>
      </c>
      <c r="P49" s="76">
        <v>2676</v>
      </c>
      <c r="Q49" s="76">
        <v>139</v>
      </c>
      <c r="R49" s="76">
        <v>4827</v>
      </c>
      <c r="S49" s="76">
        <v>3537</v>
      </c>
      <c r="T49" s="76">
        <v>0</v>
      </c>
      <c r="U49" s="77">
        <f t="shared" si="1"/>
        <v>771213</v>
      </c>
      <c r="V49" s="70"/>
    </row>
    <row r="50" spans="1:22" ht="14.25" customHeight="1" x14ac:dyDescent="0.2">
      <c r="A50" s="75" t="s">
        <v>69</v>
      </c>
      <c r="B50" s="76">
        <v>13468</v>
      </c>
      <c r="C50" s="76">
        <v>18362</v>
      </c>
      <c r="D50" s="76">
        <v>2024</v>
      </c>
      <c r="E50" s="76">
        <v>1081</v>
      </c>
      <c r="F50" s="76">
        <v>0</v>
      </c>
      <c r="G50" s="76">
        <v>9</v>
      </c>
      <c r="H50" s="76">
        <v>0</v>
      </c>
      <c r="I50" s="76">
        <v>0</v>
      </c>
      <c r="J50" s="76">
        <v>0</v>
      </c>
      <c r="K50" s="76">
        <v>0</v>
      </c>
      <c r="L50" s="76">
        <v>13</v>
      </c>
      <c r="M50" s="76">
        <v>0</v>
      </c>
      <c r="N50" s="76">
        <v>0</v>
      </c>
      <c r="O50" s="76">
        <v>4</v>
      </c>
      <c r="P50" s="76">
        <v>91</v>
      </c>
      <c r="Q50" s="76">
        <v>10</v>
      </c>
      <c r="R50" s="76">
        <v>455</v>
      </c>
      <c r="S50" s="88">
        <v>127</v>
      </c>
      <c r="T50" s="88">
        <v>0</v>
      </c>
      <c r="U50" s="77">
        <f t="shared" si="1"/>
        <v>35644</v>
      </c>
      <c r="V50" s="70"/>
    </row>
    <row r="51" spans="1:22" ht="14.25" customHeight="1" x14ac:dyDescent="0.2">
      <c r="A51" s="75" t="s">
        <v>70</v>
      </c>
      <c r="B51" s="76">
        <v>8933</v>
      </c>
      <c r="C51" s="76">
        <v>13988</v>
      </c>
      <c r="D51" s="76">
        <v>1050</v>
      </c>
      <c r="E51" s="76">
        <v>504</v>
      </c>
      <c r="F51" s="76">
        <v>0</v>
      </c>
      <c r="G51" s="76">
        <v>2</v>
      </c>
      <c r="H51" s="76">
        <v>1</v>
      </c>
      <c r="I51" s="76">
        <v>0</v>
      </c>
      <c r="J51" s="76">
        <v>0</v>
      </c>
      <c r="K51" s="76">
        <v>1</v>
      </c>
      <c r="L51" s="76">
        <v>32</v>
      </c>
      <c r="M51" s="76">
        <v>0</v>
      </c>
      <c r="N51" s="76">
        <v>0</v>
      </c>
      <c r="O51" s="76">
        <v>7</v>
      </c>
      <c r="P51" s="76">
        <v>38</v>
      </c>
      <c r="Q51" s="76">
        <v>3</v>
      </c>
      <c r="R51" s="76">
        <v>148</v>
      </c>
      <c r="S51" s="76">
        <v>132</v>
      </c>
      <c r="T51" s="76">
        <v>0</v>
      </c>
      <c r="U51" s="77">
        <f t="shared" si="1"/>
        <v>24839</v>
      </c>
      <c r="V51" s="70"/>
    </row>
    <row r="52" spans="1:22" ht="14.25" customHeight="1" x14ac:dyDescent="0.2">
      <c r="A52" s="75" t="s">
        <v>71</v>
      </c>
      <c r="B52" s="76">
        <v>30273</v>
      </c>
      <c r="C52" s="76">
        <v>10407</v>
      </c>
      <c r="D52" s="76">
        <v>947</v>
      </c>
      <c r="E52" s="76">
        <v>4358</v>
      </c>
      <c r="F52" s="76">
        <v>0</v>
      </c>
      <c r="G52" s="76">
        <v>79</v>
      </c>
      <c r="H52" s="76">
        <v>0</v>
      </c>
      <c r="I52" s="76">
        <v>0</v>
      </c>
      <c r="J52" s="76">
        <v>1</v>
      </c>
      <c r="K52" s="76">
        <v>0</v>
      </c>
      <c r="L52" s="76">
        <v>58</v>
      </c>
      <c r="M52" s="76">
        <v>1</v>
      </c>
      <c r="N52" s="76">
        <v>1</v>
      </c>
      <c r="O52" s="76">
        <v>16</v>
      </c>
      <c r="P52" s="76">
        <v>346</v>
      </c>
      <c r="Q52" s="76">
        <v>45</v>
      </c>
      <c r="R52" s="76">
        <v>384</v>
      </c>
      <c r="S52" s="76">
        <v>391</v>
      </c>
      <c r="T52" s="76">
        <v>0</v>
      </c>
      <c r="U52" s="77">
        <f t="shared" si="1"/>
        <v>47307</v>
      </c>
      <c r="V52" s="70"/>
    </row>
    <row r="53" spans="1:22" ht="14.25" customHeight="1" x14ac:dyDescent="0.2">
      <c r="A53" s="75" t="s">
        <v>72</v>
      </c>
      <c r="B53" s="76">
        <v>51205</v>
      </c>
      <c r="C53" s="76">
        <v>34589</v>
      </c>
      <c r="D53" s="76">
        <v>5154</v>
      </c>
      <c r="E53" s="76">
        <v>6769</v>
      </c>
      <c r="F53" s="88">
        <v>3</v>
      </c>
      <c r="G53" s="88">
        <v>92</v>
      </c>
      <c r="H53" s="88">
        <v>4</v>
      </c>
      <c r="I53" s="88">
        <v>0</v>
      </c>
      <c r="J53" s="88">
        <v>0</v>
      </c>
      <c r="K53" s="88">
        <v>0</v>
      </c>
      <c r="L53" s="88">
        <v>77</v>
      </c>
      <c r="M53" s="88">
        <v>0</v>
      </c>
      <c r="N53" s="88">
        <v>0</v>
      </c>
      <c r="O53" s="88">
        <v>10</v>
      </c>
      <c r="P53" s="88">
        <v>552</v>
      </c>
      <c r="Q53" s="88">
        <v>79</v>
      </c>
      <c r="R53" s="76">
        <v>1429</v>
      </c>
      <c r="S53" s="88">
        <v>61</v>
      </c>
      <c r="T53" s="88">
        <v>0</v>
      </c>
      <c r="U53" s="77">
        <f t="shared" si="1"/>
        <v>100024</v>
      </c>
      <c r="V53" s="70"/>
    </row>
    <row r="54" spans="1:22" ht="14.25" customHeight="1" x14ac:dyDescent="0.2">
      <c r="A54" s="75" t="s">
        <v>73</v>
      </c>
      <c r="B54" s="76">
        <v>16200</v>
      </c>
      <c r="C54" s="76">
        <v>16900</v>
      </c>
      <c r="D54" s="76">
        <v>1706</v>
      </c>
      <c r="E54" s="76">
        <v>899</v>
      </c>
      <c r="F54" s="76">
        <v>1</v>
      </c>
      <c r="G54" s="76">
        <v>15</v>
      </c>
      <c r="H54" s="76">
        <v>1</v>
      </c>
      <c r="I54" s="76">
        <v>0</v>
      </c>
      <c r="J54" s="76">
        <v>0</v>
      </c>
      <c r="K54" s="76">
        <v>0</v>
      </c>
      <c r="L54" s="76">
        <v>41</v>
      </c>
      <c r="M54" s="76">
        <v>0</v>
      </c>
      <c r="N54" s="76">
        <v>0</v>
      </c>
      <c r="O54" s="76">
        <v>6</v>
      </c>
      <c r="P54" s="76">
        <v>52</v>
      </c>
      <c r="Q54" s="76">
        <v>8</v>
      </c>
      <c r="R54" s="76">
        <v>232</v>
      </c>
      <c r="S54" s="88">
        <f>246+11</f>
        <v>257</v>
      </c>
      <c r="T54" s="88">
        <v>0</v>
      </c>
      <c r="U54" s="77">
        <f t="shared" si="1"/>
        <v>36318</v>
      </c>
      <c r="V54" s="70"/>
    </row>
    <row r="55" spans="1:22" ht="14.25" customHeight="1" x14ac:dyDescent="0.2">
      <c r="A55" s="75" t="s">
        <v>74</v>
      </c>
      <c r="B55" s="76">
        <v>10538</v>
      </c>
      <c r="C55" s="76">
        <v>15433</v>
      </c>
      <c r="D55" s="76">
        <v>1835</v>
      </c>
      <c r="E55" s="76">
        <v>686</v>
      </c>
      <c r="F55" s="76">
        <v>2</v>
      </c>
      <c r="G55" s="76">
        <v>4</v>
      </c>
      <c r="H55" s="76">
        <v>0</v>
      </c>
      <c r="I55" s="76">
        <v>0</v>
      </c>
      <c r="J55" s="76">
        <v>0</v>
      </c>
      <c r="K55" s="76">
        <v>0</v>
      </c>
      <c r="L55" s="76">
        <v>28</v>
      </c>
      <c r="M55" s="76">
        <v>0</v>
      </c>
      <c r="N55" s="76">
        <v>0</v>
      </c>
      <c r="O55" s="76">
        <v>11</v>
      </c>
      <c r="P55" s="76">
        <v>44</v>
      </c>
      <c r="Q55" s="76">
        <v>5</v>
      </c>
      <c r="R55" s="76">
        <v>156</v>
      </c>
      <c r="S55" s="88">
        <v>155</v>
      </c>
      <c r="T55" s="88">
        <v>0</v>
      </c>
      <c r="U55" s="77">
        <f t="shared" si="1"/>
        <v>28897</v>
      </c>
      <c r="V55" s="70"/>
    </row>
    <row r="56" spans="1:22" ht="14.25" customHeight="1" x14ac:dyDescent="0.2">
      <c r="A56" s="75" t="s">
        <v>75</v>
      </c>
      <c r="B56" s="76">
        <v>16126</v>
      </c>
      <c r="C56" s="76">
        <v>23862</v>
      </c>
      <c r="D56" s="76">
        <v>3424</v>
      </c>
      <c r="E56" s="76">
        <v>930</v>
      </c>
      <c r="F56" s="76">
        <v>0</v>
      </c>
      <c r="G56" s="76">
        <v>8</v>
      </c>
      <c r="H56" s="76">
        <v>1</v>
      </c>
      <c r="I56" s="76">
        <v>0</v>
      </c>
      <c r="J56" s="76">
        <v>0</v>
      </c>
      <c r="K56" s="76">
        <v>0</v>
      </c>
      <c r="L56" s="76">
        <v>41</v>
      </c>
      <c r="M56" s="76">
        <v>0</v>
      </c>
      <c r="N56" s="76">
        <v>0</v>
      </c>
      <c r="O56" s="76">
        <v>10</v>
      </c>
      <c r="P56" s="76">
        <v>32</v>
      </c>
      <c r="Q56" s="76">
        <v>9</v>
      </c>
      <c r="R56" s="76">
        <v>321</v>
      </c>
      <c r="S56" s="88">
        <v>251</v>
      </c>
      <c r="T56" s="88">
        <v>0</v>
      </c>
      <c r="U56" s="77">
        <f t="shared" si="1"/>
        <v>45015</v>
      </c>
      <c r="V56" s="70"/>
    </row>
    <row r="57" spans="1:22" ht="14.25" customHeight="1" x14ac:dyDescent="0.2">
      <c r="A57" s="75" t="s">
        <v>76</v>
      </c>
      <c r="B57" s="76">
        <v>276993</v>
      </c>
      <c r="C57" s="76">
        <v>155266</v>
      </c>
      <c r="D57" s="76">
        <v>12529</v>
      </c>
      <c r="E57" s="76">
        <v>10441</v>
      </c>
      <c r="F57" s="76">
        <v>3</v>
      </c>
      <c r="G57" s="76">
        <v>186</v>
      </c>
      <c r="H57" s="76">
        <v>7</v>
      </c>
      <c r="I57" s="76">
        <v>0</v>
      </c>
      <c r="J57" s="76">
        <v>0</v>
      </c>
      <c r="K57" s="76">
        <v>1</v>
      </c>
      <c r="L57" s="76">
        <v>253</v>
      </c>
      <c r="M57" s="76">
        <v>1</v>
      </c>
      <c r="N57" s="76">
        <v>0</v>
      </c>
      <c r="O57" s="76">
        <v>84</v>
      </c>
      <c r="P57" s="76">
        <v>1910</v>
      </c>
      <c r="Q57" s="76">
        <v>164</v>
      </c>
      <c r="R57" s="76">
        <v>7143</v>
      </c>
      <c r="S57" s="76">
        <v>0</v>
      </c>
      <c r="T57" s="76">
        <v>0</v>
      </c>
      <c r="U57" s="77">
        <f t="shared" si="1"/>
        <v>464981</v>
      </c>
      <c r="V57" s="70"/>
    </row>
    <row r="58" spans="1:22" ht="14.25" customHeight="1" x14ac:dyDescent="0.2">
      <c r="A58" s="75" t="s">
        <v>77</v>
      </c>
      <c r="B58" s="76">
        <v>4599</v>
      </c>
      <c r="C58" s="76">
        <v>12685</v>
      </c>
      <c r="D58" s="76">
        <v>1427</v>
      </c>
      <c r="E58" s="76">
        <v>330</v>
      </c>
      <c r="F58" s="76">
        <v>0</v>
      </c>
      <c r="G58" s="76">
        <v>0</v>
      </c>
      <c r="H58" s="76">
        <v>0</v>
      </c>
      <c r="I58" s="76">
        <v>0</v>
      </c>
      <c r="J58" s="76">
        <v>0</v>
      </c>
      <c r="K58" s="76">
        <v>0</v>
      </c>
      <c r="L58" s="76">
        <v>0</v>
      </c>
      <c r="M58" s="76">
        <v>0</v>
      </c>
      <c r="N58" s="76">
        <v>0</v>
      </c>
      <c r="O58" s="76">
        <v>0</v>
      </c>
      <c r="P58" s="76">
        <v>0</v>
      </c>
      <c r="Q58" s="76">
        <v>0</v>
      </c>
      <c r="R58" s="76">
        <v>228</v>
      </c>
      <c r="S58" s="76">
        <v>146</v>
      </c>
      <c r="T58" s="76">
        <v>0</v>
      </c>
      <c r="U58" s="77">
        <f t="shared" si="1"/>
        <v>19415</v>
      </c>
      <c r="V58" s="70"/>
    </row>
    <row r="59" spans="1:22" ht="14.25" customHeight="1" x14ac:dyDescent="0.2">
      <c r="A59" s="75" t="s">
        <v>78</v>
      </c>
      <c r="B59" s="76">
        <v>4125</v>
      </c>
      <c r="C59" s="76">
        <v>5435</v>
      </c>
      <c r="D59" s="76">
        <v>663</v>
      </c>
      <c r="E59" s="76">
        <v>276</v>
      </c>
      <c r="F59" s="76">
        <v>0</v>
      </c>
      <c r="G59" s="76">
        <v>6</v>
      </c>
      <c r="H59" s="76">
        <v>0</v>
      </c>
      <c r="I59" s="76">
        <v>0</v>
      </c>
      <c r="J59" s="76">
        <v>0</v>
      </c>
      <c r="K59" s="76">
        <v>0</v>
      </c>
      <c r="L59" s="76">
        <v>14</v>
      </c>
      <c r="M59" s="76">
        <v>0</v>
      </c>
      <c r="N59" s="76">
        <v>1</v>
      </c>
      <c r="O59" s="76">
        <v>1</v>
      </c>
      <c r="P59" s="76">
        <v>17</v>
      </c>
      <c r="Q59" s="76">
        <v>4</v>
      </c>
      <c r="R59" s="76">
        <v>76</v>
      </c>
      <c r="S59" s="88">
        <v>82</v>
      </c>
      <c r="T59" s="88">
        <v>0</v>
      </c>
      <c r="U59" s="77">
        <f t="shared" si="1"/>
        <v>10700</v>
      </c>
      <c r="V59" s="70"/>
    </row>
    <row r="60" spans="1:22" ht="14.25" customHeight="1" x14ac:dyDescent="0.2">
      <c r="A60" s="75" t="s">
        <v>79</v>
      </c>
      <c r="B60" s="76">
        <v>250998</v>
      </c>
      <c r="C60" s="80">
        <v>91194</v>
      </c>
      <c r="D60" s="76">
        <v>6980</v>
      </c>
      <c r="E60" s="76">
        <v>10672</v>
      </c>
      <c r="F60" s="76">
        <v>7</v>
      </c>
      <c r="G60" s="76">
        <v>374</v>
      </c>
      <c r="H60" s="76">
        <v>0</v>
      </c>
      <c r="I60" s="76">
        <v>0</v>
      </c>
      <c r="J60" s="76">
        <v>0</v>
      </c>
      <c r="K60" s="76">
        <v>1</v>
      </c>
      <c r="L60" s="76">
        <v>59</v>
      </c>
      <c r="M60" s="76">
        <v>0</v>
      </c>
      <c r="N60" s="76">
        <v>1</v>
      </c>
      <c r="O60" s="76">
        <v>29</v>
      </c>
      <c r="P60" s="76">
        <v>2348</v>
      </c>
      <c r="Q60" s="76">
        <v>227</v>
      </c>
      <c r="R60" s="76">
        <v>3285</v>
      </c>
      <c r="S60" s="76">
        <v>1171</v>
      </c>
      <c r="T60" s="81">
        <v>0</v>
      </c>
      <c r="U60" s="77">
        <f t="shared" si="1"/>
        <v>367346</v>
      </c>
      <c r="V60" s="70"/>
    </row>
    <row r="61" spans="1:22" ht="14.25" customHeight="1" x14ac:dyDescent="0.2">
      <c r="A61" s="75" t="s">
        <v>80</v>
      </c>
      <c r="B61" s="76">
        <v>541402</v>
      </c>
      <c r="C61" s="76">
        <v>216994</v>
      </c>
      <c r="D61" s="76">
        <v>16970</v>
      </c>
      <c r="E61" s="76">
        <v>59863</v>
      </c>
      <c r="F61" s="76">
        <v>10</v>
      </c>
      <c r="G61" s="76">
        <v>2018</v>
      </c>
      <c r="H61" s="76">
        <v>6</v>
      </c>
      <c r="I61" s="76">
        <v>0</v>
      </c>
      <c r="J61" s="76">
        <v>1</v>
      </c>
      <c r="K61" s="76">
        <v>2</v>
      </c>
      <c r="L61" s="76">
        <v>272</v>
      </c>
      <c r="M61" s="76">
        <v>3</v>
      </c>
      <c r="N61" s="76">
        <v>0</v>
      </c>
      <c r="O61" s="76">
        <v>75</v>
      </c>
      <c r="P61" s="76">
        <v>9190</v>
      </c>
      <c r="Q61" s="76">
        <v>1128</v>
      </c>
      <c r="R61" s="76">
        <v>8166</v>
      </c>
      <c r="S61" s="76">
        <v>5810</v>
      </c>
      <c r="T61" s="76">
        <v>0</v>
      </c>
      <c r="U61" s="77">
        <f t="shared" si="1"/>
        <v>861910</v>
      </c>
      <c r="V61" s="70"/>
    </row>
    <row r="62" spans="1:22" ht="14.25" customHeight="1" x14ac:dyDescent="0.2">
      <c r="A62" s="75" t="s">
        <v>81</v>
      </c>
      <c r="B62" s="76">
        <v>500360</v>
      </c>
      <c r="C62" s="76">
        <v>106487</v>
      </c>
      <c r="D62" s="76">
        <v>7434</v>
      </c>
      <c r="E62" s="76">
        <v>33422</v>
      </c>
      <c r="F62" s="76">
        <v>16</v>
      </c>
      <c r="G62" s="76">
        <v>868</v>
      </c>
      <c r="H62" s="76">
        <v>5</v>
      </c>
      <c r="I62" s="76">
        <v>1</v>
      </c>
      <c r="J62" s="76">
        <v>0</v>
      </c>
      <c r="K62" s="76">
        <v>0</v>
      </c>
      <c r="L62" s="76">
        <v>551</v>
      </c>
      <c r="M62" s="76">
        <v>2</v>
      </c>
      <c r="N62" s="76">
        <v>3</v>
      </c>
      <c r="O62" s="76">
        <v>113</v>
      </c>
      <c r="P62" s="76">
        <v>4485</v>
      </c>
      <c r="Q62" s="76">
        <v>625</v>
      </c>
      <c r="R62" s="76">
        <v>5966</v>
      </c>
      <c r="S62" s="76">
        <v>6261</v>
      </c>
      <c r="T62" s="76">
        <v>0</v>
      </c>
      <c r="U62" s="77">
        <f t="shared" si="1"/>
        <v>666599</v>
      </c>
      <c r="V62" s="70"/>
    </row>
    <row r="63" spans="1:22" ht="14.25" customHeight="1" x14ac:dyDescent="0.2">
      <c r="A63" s="75" t="s">
        <v>82</v>
      </c>
      <c r="B63" s="80">
        <v>409759</v>
      </c>
      <c r="C63" s="80">
        <v>248220</v>
      </c>
      <c r="D63" s="80">
        <v>16408</v>
      </c>
      <c r="E63" s="80">
        <v>27523</v>
      </c>
      <c r="F63" s="80">
        <v>12</v>
      </c>
      <c r="G63" s="80">
        <v>819</v>
      </c>
      <c r="H63" s="80">
        <v>7</v>
      </c>
      <c r="I63" s="80">
        <v>0</v>
      </c>
      <c r="J63" s="80">
        <v>0</v>
      </c>
      <c r="K63" s="80">
        <v>3</v>
      </c>
      <c r="L63" s="80">
        <v>251</v>
      </c>
      <c r="M63" s="80">
        <v>0</v>
      </c>
      <c r="N63" s="80">
        <v>2</v>
      </c>
      <c r="O63" s="80">
        <v>85</v>
      </c>
      <c r="P63" s="90">
        <v>8546</v>
      </c>
      <c r="Q63" s="80">
        <v>556</v>
      </c>
      <c r="R63" s="80">
        <v>5973</v>
      </c>
      <c r="S63" s="76">
        <v>3773</v>
      </c>
      <c r="T63" s="76">
        <v>0</v>
      </c>
      <c r="U63" s="77">
        <f t="shared" si="1"/>
        <v>721937</v>
      </c>
      <c r="V63" s="70"/>
    </row>
    <row r="64" spans="1:22" ht="14.25" customHeight="1" x14ac:dyDescent="0.2">
      <c r="A64" s="75" t="s">
        <v>83</v>
      </c>
      <c r="B64" s="76">
        <v>66010</v>
      </c>
      <c r="C64" s="76">
        <v>120037</v>
      </c>
      <c r="D64" s="76">
        <v>8114</v>
      </c>
      <c r="E64" s="76">
        <v>3335</v>
      </c>
      <c r="F64" s="76">
        <v>2</v>
      </c>
      <c r="G64" s="76">
        <v>97</v>
      </c>
      <c r="H64" s="76">
        <v>1</v>
      </c>
      <c r="I64" s="76">
        <v>0</v>
      </c>
      <c r="J64" s="76">
        <v>0</v>
      </c>
      <c r="K64" s="76">
        <v>0</v>
      </c>
      <c r="L64" s="76">
        <v>68</v>
      </c>
      <c r="M64" s="76">
        <v>1</v>
      </c>
      <c r="N64" s="76">
        <v>0</v>
      </c>
      <c r="O64" s="76">
        <v>26</v>
      </c>
      <c r="P64" s="76">
        <v>1874</v>
      </c>
      <c r="Q64" s="76">
        <v>55</v>
      </c>
      <c r="R64" s="76">
        <v>1026</v>
      </c>
      <c r="S64" s="76">
        <v>938</v>
      </c>
      <c r="T64" s="76">
        <v>0</v>
      </c>
      <c r="U64" s="77">
        <f t="shared" si="1"/>
        <v>201584</v>
      </c>
      <c r="V64" s="70"/>
    </row>
    <row r="65" spans="1:21" ht="14.25" customHeight="1" x14ac:dyDescent="0.2">
      <c r="A65" s="82" t="s">
        <v>84</v>
      </c>
      <c r="B65" s="83">
        <f>SUM(B3:B64)</f>
        <v>4341375</v>
      </c>
      <c r="C65" s="83">
        <f t="shared" ref="C65:T65" si="2">SUM(C3:C64)</f>
        <v>3257166</v>
      </c>
      <c r="D65" s="83">
        <f t="shared" si="2"/>
        <v>321733</v>
      </c>
      <c r="E65" s="83">
        <f t="shared" si="2"/>
        <v>277820</v>
      </c>
      <c r="F65" s="83">
        <f t="shared" si="2"/>
        <v>134</v>
      </c>
      <c r="G65" s="83">
        <f t="shared" si="2"/>
        <v>6327</v>
      </c>
      <c r="H65" s="83">
        <f t="shared" si="2"/>
        <v>108</v>
      </c>
      <c r="I65" s="83">
        <f t="shared" ref="I65:M65" si="3">SUM(I3:I64)</f>
        <v>6</v>
      </c>
      <c r="J65" s="83">
        <f t="shared" si="3"/>
        <v>5</v>
      </c>
      <c r="K65" s="83">
        <f t="shared" si="3"/>
        <v>20</v>
      </c>
      <c r="L65" s="83">
        <f t="shared" si="3"/>
        <v>5338</v>
      </c>
      <c r="M65" s="83">
        <f t="shared" si="3"/>
        <v>18</v>
      </c>
      <c r="N65" s="83">
        <f t="shared" ref="N65:Q65" si="4">SUM(N3:N64)</f>
        <v>51</v>
      </c>
      <c r="O65" s="83">
        <f t="shared" si="4"/>
        <v>1544</v>
      </c>
      <c r="P65" s="83">
        <f t="shared" si="4"/>
        <v>46698</v>
      </c>
      <c r="Q65" s="83">
        <f t="shared" si="4"/>
        <v>4152</v>
      </c>
      <c r="R65" s="83">
        <f t="shared" ref="R65" si="5">SUM(R3:R64)</f>
        <v>71559</v>
      </c>
      <c r="S65" s="83">
        <f t="shared" si="2"/>
        <v>46404</v>
      </c>
      <c r="T65" s="83">
        <f t="shared" si="2"/>
        <v>0</v>
      </c>
      <c r="U65" s="84">
        <f>SUM(B65:T65)</f>
        <v>8380458</v>
      </c>
    </row>
    <row r="66" spans="1:21" ht="14.25" customHeight="1" x14ac:dyDescent="0.2">
      <c r="A66" s="85" t="s">
        <v>85</v>
      </c>
      <c r="B66" s="86">
        <f>SUM(B65, E65)</f>
        <v>4619195</v>
      </c>
      <c r="C66" s="86">
        <f>SUM(C65,D65)</f>
        <v>3578899</v>
      </c>
      <c r="D66" s="87"/>
      <c r="E66" s="87"/>
      <c r="F66" s="86">
        <f>F65</f>
        <v>134</v>
      </c>
      <c r="G66" s="86">
        <f>G65</f>
        <v>6327</v>
      </c>
      <c r="H66" s="86">
        <f>H65</f>
        <v>108</v>
      </c>
      <c r="I66" s="86">
        <f>I65</f>
        <v>6</v>
      </c>
      <c r="J66" s="86">
        <f t="shared" ref="J66:M66" si="6">J65</f>
        <v>5</v>
      </c>
      <c r="K66" s="86">
        <f t="shared" si="6"/>
        <v>20</v>
      </c>
      <c r="L66" s="86">
        <f t="shared" si="6"/>
        <v>5338</v>
      </c>
      <c r="M66" s="86">
        <f t="shared" si="6"/>
        <v>18</v>
      </c>
      <c r="N66" s="86">
        <f>N65</f>
        <v>51</v>
      </c>
      <c r="O66" s="86">
        <f t="shared" ref="O66:Q66" si="7">O65</f>
        <v>1544</v>
      </c>
      <c r="P66" s="86">
        <f t="shared" si="7"/>
        <v>46698</v>
      </c>
      <c r="Q66" s="86">
        <f t="shared" si="7"/>
        <v>4152</v>
      </c>
      <c r="R66" s="86">
        <f t="shared" ref="R66" si="8">R65</f>
        <v>71559</v>
      </c>
      <c r="S66" s="87"/>
      <c r="T66" s="87"/>
      <c r="U66" s="87"/>
    </row>
  </sheetData>
  <mergeCells count="1">
    <mergeCell ref="A1:B1"/>
  </mergeCells>
  <phoneticPr fontId="1" type="noConversion"/>
  <pageMargins left="0.25" right="0.25" top="0.25" bottom="0.25" header="0.25" footer="0.25"/>
  <pageSetup paperSize="119" scale="79" fitToWidth="0" orientation="landscape" r:id="rId1"/>
  <headerFooter alignWithMargins="0">
    <oddFooter xml:space="preserve">&amp;RPage &amp;P of &amp;N   </oddFooter>
  </headerFooter>
  <colBreaks count="2" manualBreakCount="2">
    <brk id="21" max="65" man="1"/>
    <brk id="29" max="65" man="1"/>
  </colBreaks>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0C901-B7C4-4968-AE7A-393AF3D2C04C}">
  <sheetPr>
    <pageSetUpPr fitToPage="1"/>
  </sheetPr>
  <dimension ref="A1:D7"/>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47" t="s">
        <v>216</v>
      </c>
      <c r="B1" s="147"/>
      <c r="C1" s="147"/>
      <c r="D1" s="147"/>
    </row>
    <row r="2" spans="1:4" ht="28.5" customHeight="1" x14ac:dyDescent="0.2">
      <c r="A2" s="6" t="s">
        <v>93</v>
      </c>
      <c r="B2" s="7" t="s">
        <v>217</v>
      </c>
      <c r="C2" s="8" t="s">
        <v>84</v>
      </c>
      <c r="D2" s="9" t="s">
        <v>85</v>
      </c>
    </row>
    <row r="3" spans="1:4" ht="14.25" customHeight="1" x14ac:dyDescent="0.2">
      <c r="A3" s="28" t="s">
        <v>218</v>
      </c>
      <c r="B3" s="100">
        <v>246839</v>
      </c>
      <c r="C3" s="101">
        <f>RepInCongressCongressionalDistrict1General245255256[[#This Row],[Bronx County 
Vote Results]]</f>
        <v>246839</v>
      </c>
      <c r="D3" s="113">
        <f>SUM(RepInCongressCongressionalDistrict1General245255256[[#This Row],[Total Votes by Party]])</f>
        <v>246839</v>
      </c>
    </row>
    <row r="4" spans="1:4" ht="14.25" customHeight="1" x14ac:dyDescent="0.2">
      <c r="A4" s="29" t="s">
        <v>18</v>
      </c>
      <c r="B4" s="100">
        <v>117360</v>
      </c>
      <c r="C4" s="101">
        <f>RepInCongressCongressionalDistrict1General245255256[[#This Row],[Bronx County 
Vote Results]]</f>
        <v>117360</v>
      </c>
      <c r="D4" s="111"/>
    </row>
    <row r="5" spans="1:4" ht="14.25" customHeight="1" x14ac:dyDescent="0.2">
      <c r="A5" s="29" t="s">
        <v>19</v>
      </c>
      <c r="B5" s="100">
        <v>817</v>
      </c>
      <c r="C5" s="101">
        <f>RepInCongressCongressionalDistrict1General245255256[[#This Row],[Bronx County 
Vote Results]]</f>
        <v>817</v>
      </c>
      <c r="D5" s="111"/>
    </row>
    <row r="6" spans="1:4" ht="14.25" customHeight="1" x14ac:dyDescent="0.2">
      <c r="A6" s="29" t="s">
        <v>20</v>
      </c>
      <c r="B6" s="100">
        <v>2330</v>
      </c>
      <c r="C6" s="102">
        <f>RepInCongressCongressionalDistrict1General245255256[[#This Row],[Bronx County 
Vote Results]]</f>
        <v>2330</v>
      </c>
      <c r="D6" s="114"/>
    </row>
    <row r="7" spans="1:4" ht="14.25" customHeight="1" x14ac:dyDescent="0.2">
      <c r="A7" s="103" t="s">
        <v>21</v>
      </c>
      <c r="B7" s="100">
        <f>SUM(RepInCongressCongressionalDistrict1General245255256[Bronx County 
Vote Results])</f>
        <v>367346</v>
      </c>
      <c r="C7" s="102">
        <f>SUM(RepInCongressCongressionalDistrict1General245255256[Total Votes by Party])</f>
        <v>367346</v>
      </c>
      <c r="D7" s="115"/>
    </row>
  </sheetData>
  <mergeCells count="1">
    <mergeCell ref="A1:D1"/>
  </mergeCells>
  <pageMargins left="0.25" right="0.25" top="0.25" bottom="0.25" header="0.25" footer="0.25"/>
  <pageSetup paperSize="3" fitToHeight="0" orientation="landscape" r:id="rId1"/>
  <headerFooter alignWithMargins="0">
    <oddFooter>&amp;RPage &amp;P of &amp;N</oddFooter>
  </headerFooter>
  <rowBreaks count="8" manualBreakCount="8">
    <brk id="33" max="4" man="1"/>
    <brk id="76" max="4" man="1"/>
    <brk id="119" max="4" man="1"/>
    <brk id="161" max="16383" man="1"/>
    <brk id="185" max="16383" man="1"/>
    <brk id="219" max="16383" man="1"/>
    <brk id="257" max="16383" man="1"/>
    <brk id="299" max="16383" man="1"/>
  </rowBreaks>
  <tableParts count="1">
    <tablePart r:id="rId2"/>
  </tablePart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2FF4E-A6A0-4ABA-B740-1AF33D971F1A}">
  <sheetPr>
    <pageSetUpPr fitToPage="1"/>
  </sheetPr>
  <dimension ref="A1:D11"/>
  <sheetViews>
    <sheetView zoomScaleNormal="100"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681</v>
      </c>
      <c r="B1" s="135"/>
      <c r="C1" s="135"/>
      <c r="D1" s="135"/>
    </row>
    <row r="2" spans="1:4" ht="28.5" customHeight="1" x14ac:dyDescent="0.2">
      <c r="A2" s="33" t="s">
        <v>93</v>
      </c>
      <c r="B2" s="34" t="s">
        <v>220</v>
      </c>
      <c r="C2" s="35" t="s">
        <v>84</v>
      </c>
      <c r="D2" s="36" t="s">
        <v>85</v>
      </c>
    </row>
    <row r="3" spans="1:4" ht="14.25" customHeight="1" x14ac:dyDescent="0.2">
      <c r="A3" s="45" t="s">
        <v>682</v>
      </c>
      <c r="B3" s="136">
        <v>33700</v>
      </c>
      <c r="C3" s="137">
        <f>MemberOfAssemblyAssemblyDistrict1General[[#This Row],[Part of Suffolk County Vote Results]]</f>
        <v>33700</v>
      </c>
      <c r="D3" s="138">
        <f>SUM(MemberOfAssemblyAssemblyDistrict1General[[#This Row],[Total Votes by Party]],C6)</f>
        <v>35244</v>
      </c>
    </row>
    <row r="4" spans="1:4" ht="14.25" customHeight="1" x14ac:dyDescent="0.2">
      <c r="A4" s="45" t="s">
        <v>683</v>
      </c>
      <c r="B4" s="136">
        <v>23909</v>
      </c>
      <c r="C4" s="137">
        <f>MemberOfAssemblyAssemblyDistrict1General[[#This Row],[Part of Suffolk County Vote Results]]</f>
        <v>23909</v>
      </c>
      <c r="D4" s="138">
        <f>SUM(MemberOfAssemblyAssemblyDistrict1General[[#This Row],[Total Votes by Party]],C5)</f>
        <v>27253</v>
      </c>
    </row>
    <row r="5" spans="1:4" ht="14.25" customHeight="1" x14ac:dyDescent="0.2">
      <c r="A5" s="45" t="s">
        <v>684</v>
      </c>
      <c r="B5" s="136">
        <v>3344</v>
      </c>
      <c r="C5" s="137">
        <f>MemberOfAssemblyAssemblyDistrict1General[[#This Row],[Part of Suffolk County Vote Results]]</f>
        <v>3344</v>
      </c>
      <c r="D5" s="139"/>
    </row>
    <row r="6" spans="1:4" ht="14.25" customHeight="1" x14ac:dyDescent="0.2">
      <c r="A6" s="45" t="s">
        <v>685</v>
      </c>
      <c r="B6" s="136">
        <v>1544</v>
      </c>
      <c r="C6" s="137">
        <f>MemberOfAssemblyAssemblyDistrict1General[[#This Row],[Part of Suffolk County Vote Results]]</f>
        <v>1544</v>
      </c>
      <c r="D6" s="139"/>
    </row>
    <row r="7" spans="1:4" ht="14.25" customHeight="1" x14ac:dyDescent="0.2">
      <c r="A7" s="140" t="s">
        <v>18</v>
      </c>
      <c r="B7" s="136">
        <v>3555</v>
      </c>
      <c r="C7" s="137">
        <f>MemberOfAssemblyAssemblyDistrict1General[[#This Row],[Part of Suffolk County Vote Results]]</f>
        <v>3555</v>
      </c>
      <c r="D7" s="139"/>
    </row>
    <row r="8" spans="1:4" ht="14.25" customHeight="1" x14ac:dyDescent="0.2">
      <c r="A8" s="140" t="s">
        <v>19</v>
      </c>
      <c r="B8" s="136">
        <v>25</v>
      </c>
      <c r="C8" s="137">
        <f>MemberOfAssemblyAssemblyDistrict1General[[#This Row],[Part of Suffolk County Vote Results]]</f>
        <v>25</v>
      </c>
      <c r="D8" s="139"/>
    </row>
    <row r="9" spans="1:4" ht="14.25" customHeight="1" x14ac:dyDescent="0.2">
      <c r="A9" s="140" t="s">
        <v>20</v>
      </c>
      <c r="B9" s="136">
        <v>26</v>
      </c>
      <c r="C9" s="137">
        <f>MemberOfAssemblyAssemblyDistrict1General[[#This Row],[Part of Suffolk County Vote Results]]</f>
        <v>26</v>
      </c>
      <c r="D9" s="139"/>
    </row>
    <row r="10" spans="1:4" ht="14.25" customHeight="1" x14ac:dyDescent="0.2">
      <c r="A10" s="141" t="s">
        <v>21</v>
      </c>
      <c r="B10" s="136">
        <f>SUM(MemberOfAssemblyAssemblyDistrict1General[Part of Suffolk County Vote Results])</f>
        <v>66103</v>
      </c>
      <c r="C10" s="137">
        <f>SUM(MemberOfAssemblyAssemblyDistrict1General[Total Votes by Party])</f>
        <v>66103</v>
      </c>
      <c r="D10" s="139"/>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rowBreaks count="34" manualBreakCount="34">
    <brk id="40" max="16383" man="1"/>
    <brk id="87" max="16383" man="1"/>
    <brk id="132" max="16383" man="1"/>
    <brk id="177" max="16383" man="1"/>
    <brk id="222" max="16383" man="1"/>
    <brk id="267" max="16383" man="1"/>
    <brk id="312" max="16383" man="1"/>
    <brk id="357" max="16383" man="1"/>
    <brk id="402" max="16383" man="1"/>
    <brk id="447" max="16383" man="1"/>
    <brk id="492" max="16383" man="1"/>
    <brk id="537" max="16383" man="1"/>
    <brk id="575" max="16383" man="1"/>
    <brk id="620" max="16383" man="1"/>
    <brk id="665" max="16383" man="1"/>
    <brk id="710" max="16383" man="1"/>
    <brk id="755" max="16383" man="1"/>
    <brk id="800" max="16383" man="1"/>
    <brk id="836" max="16383" man="1"/>
    <brk id="876" max="16383" man="1"/>
    <brk id="925" max="16383" man="1"/>
    <brk id="973" max="16383" man="1"/>
    <brk id="1008" max="16383" man="1"/>
    <brk id="1051" max="16383" man="1"/>
    <brk id="1098" max="16383" man="1"/>
    <brk id="1136" max="16383" man="1"/>
    <brk id="1182" max="16383" man="1"/>
    <brk id="1218" max="16383" man="1"/>
    <brk id="1257" max="16383" man="1"/>
    <brk id="1304" max="16383" man="1"/>
    <brk id="1340" max="16383" man="1"/>
    <brk id="1381" max="16383" man="1"/>
    <brk id="1424" max="16383" man="1"/>
    <brk id="1465" max="12" man="1"/>
  </rowBreaks>
  <tableParts count="1">
    <tablePart r:id="rId2"/>
  </tablePart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D2A71-F2FF-42C1-BF3B-1E87F080F7EA}">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686</v>
      </c>
      <c r="B1" s="135"/>
      <c r="C1" s="135"/>
      <c r="D1" s="135"/>
    </row>
    <row r="2" spans="1:4" ht="28.5" customHeight="1" x14ac:dyDescent="0.2">
      <c r="A2" s="33" t="s">
        <v>93</v>
      </c>
      <c r="B2" s="34" t="s">
        <v>220</v>
      </c>
      <c r="C2" s="35" t="s">
        <v>84</v>
      </c>
      <c r="D2" s="36" t="s">
        <v>85</v>
      </c>
    </row>
    <row r="3" spans="1:4" ht="14.25" customHeight="1" x14ac:dyDescent="0.2">
      <c r="A3" s="45" t="s">
        <v>687</v>
      </c>
      <c r="B3" s="136">
        <v>25455</v>
      </c>
      <c r="C3" s="137">
        <f>MemberOfAssemblyAssemblyDistrict2General[[#This Row],[Part of Suffolk County Vote Results]]</f>
        <v>25455</v>
      </c>
      <c r="D3" s="138">
        <f>SUM(MemberOfAssemblyAssemblyDistrict2General[[#This Row],[Total Votes by Party]])</f>
        <v>25455</v>
      </c>
    </row>
    <row r="4" spans="1:4" ht="14.25" customHeight="1" x14ac:dyDescent="0.2">
      <c r="A4" s="45" t="s">
        <v>688</v>
      </c>
      <c r="B4" s="136">
        <v>40975</v>
      </c>
      <c r="C4" s="137">
        <f>MemberOfAssemblyAssemblyDistrict2General[[#This Row],[Part of Suffolk County Vote Results]]</f>
        <v>40975</v>
      </c>
      <c r="D4" s="138">
        <f>SUM(MemberOfAssemblyAssemblyDistrict2General[[#This Row],[Total Votes by Party]],C5)</f>
        <v>46488</v>
      </c>
    </row>
    <row r="5" spans="1:4" ht="14.25" customHeight="1" x14ac:dyDescent="0.2">
      <c r="A5" s="45" t="s">
        <v>689</v>
      </c>
      <c r="B5" s="136">
        <v>5513</v>
      </c>
      <c r="C5" s="137">
        <f>MemberOfAssemblyAssemblyDistrict2General[[#This Row],[Part of Suffolk County Vote Results]]</f>
        <v>5513</v>
      </c>
      <c r="D5" s="139"/>
    </row>
    <row r="6" spans="1:4" ht="14.25" customHeight="1" x14ac:dyDescent="0.2">
      <c r="A6" s="140" t="s">
        <v>18</v>
      </c>
      <c r="B6" s="136">
        <v>5795</v>
      </c>
      <c r="C6" s="137">
        <f>MemberOfAssemblyAssemblyDistrict2General[[#This Row],[Part of Suffolk County Vote Results]]</f>
        <v>5795</v>
      </c>
      <c r="D6" s="139"/>
    </row>
    <row r="7" spans="1:4" ht="14.25" customHeight="1" x14ac:dyDescent="0.2">
      <c r="A7" s="140" t="s">
        <v>19</v>
      </c>
      <c r="B7" s="136">
        <v>23</v>
      </c>
      <c r="C7" s="137">
        <f>MemberOfAssemblyAssemblyDistrict2General[[#This Row],[Part of Suffolk County Vote Results]]</f>
        <v>23</v>
      </c>
      <c r="D7" s="139"/>
    </row>
    <row r="8" spans="1:4" ht="14.25" customHeight="1" x14ac:dyDescent="0.2">
      <c r="A8" s="140" t="s">
        <v>20</v>
      </c>
      <c r="B8" s="136">
        <v>28</v>
      </c>
      <c r="C8" s="137">
        <f>MemberOfAssemblyAssemblyDistrict2General[[#This Row],[Part of Suffolk County Vote Results]]</f>
        <v>28</v>
      </c>
      <c r="D8" s="139"/>
    </row>
    <row r="9" spans="1:4" ht="14.25" customHeight="1" x14ac:dyDescent="0.2">
      <c r="A9" s="141" t="s">
        <v>21</v>
      </c>
      <c r="B9" s="136">
        <f>SUM(MemberOfAssemblyAssemblyDistrict2General[Part of Suffolk County Vote Results])</f>
        <v>77789</v>
      </c>
      <c r="C9" s="137">
        <f>SUM(MemberOfAssemblyAssemblyDistrict2General[Total Votes by Party])</f>
        <v>77789</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DB9B9-85E8-4F00-8E56-6DE88DBE7A95}">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690</v>
      </c>
      <c r="B1" s="135"/>
      <c r="C1" s="135"/>
      <c r="D1" s="135"/>
    </row>
    <row r="2" spans="1:4" ht="28.5" customHeight="1" x14ac:dyDescent="0.2">
      <c r="A2" s="33" t="s">
        <v>93</v>
      </c>
      <c r="B2" s="34" t="s">
        <v>220</v>
      </c>
      <c r="C2" s="35" t="s">
        <v>84</v>
      </c>
      <c r="D2" s="36" t="s">
        <v>85</v>
      </c>
    </row>
    <row r="3" spans="1:4" ht="14.25" customHeight="1" x14ac:dyDescent="0.2">
      <c r="A3" s="45" t="s">
        <v>691</v>
      </c>
      <c r="B3" s="136">
        <v>21451</v>
      </c>
      <c r="C3" s="137">
        <f>MemberOfAssemblyAssemblyDistrict3General[[#This Row],[Part of Suffolk County Vote Results]]</f>
        <v>21451</v>
      </c>
      <c r="D3" s="138">
        <f>MemberOfAssemblyAssemblyDistrict3General[[#This Row],[Total Votes by Party]]</f>
        <v>21451</v>
      </c>
    </row>
    <row r="4" spans="1:4" ht="14.25" customHeight="1" x14ac:dyDescent="0.2">
      <c r="A4" s="45" t="s">
        <v>692</v>
      </c>
      <c r="B4" s="136">
        <v>28626</v>
      </c>
      <c r="C4" s="137">
        <f>MemberOfAssemblyAssemblyDistrict3General[[#This Row],[Part of Suffolk County Vote Results]]</f>
        <v>28626</v>
      </c>
      <c r="D4" s="138">
        <f>SUM(MemberOfAssemblyAssemblyDistrict3General[[#This Row],[Total Votes by Party]],C5)</f>
        <v>32634</v>
      </c>
    </row>
    <row r="5" spans="1:4" ht="14.25" customHeight="1" x14ac:dyDescent="0.2">
      <c r="A5" s="45" t="s">
        <v>693</v>
      </c>
      <c r="B5" s="136">
        <v>4008</v>
      </c>
      <c r="C5" s="137">
        <f>MemberOfAssemblyAssemblyDistrict3General[[#This Row],[Part of Suffolk County Vote Results]]</f>
        <v>4008</v>
      </c>
      <c r="D5" s="139"/>
    </row>
    <row r="6" spans="1:4" ht="14.25" customHeight="1" x14ac:dyDescent="0.2">
      <c r="A6" s="140" t="s">
        <v>18</v>
      </c>
      <c r="B6" s="136">
        <v>4786</v>
      </c>
      <c r="C6" s="137">
        <f>MemberOfAssemblyAssemblyDistrict3General[[#This Row],[Part of Suffolk County Vote Results]]</f>
        <v>4786</v>
      </c>
      <c r="D6" s="139"/>
    </row>
    <row r="7" spans="1:4" ht="14.25" customHeight="1" x14ac:dyDescent="0.2">
      <c r="A7" s="140" t="s">
        <v>19</v>
      </c>
      <c r="B7" s="136">
        <v>16</v>
      </c>
      <c r="C7" s="137">
        <f>MemberOfAssemblyAssemblyDistrict3General[[#This Row],[Part of Suffolk County Vote Results]]</f>
        <v>16</v>
      </c>
      <c r="D7" s="139"/>
    </row>
    <row r="8" spans="1:4" ht="14.25" customHeight="1" x14ac:dyDescent="0.2">
      <c r="A8" s="140" t="s">
        <v>20</v>
      </c>
      <c r="B8" s="136">
        <v>14</v>
      </c>
      <c r="C8" s="137">
        <f>MemberOfAssemblyAssemblyDistrict3General[[#This Row],[Part of Suffolk County Vote Results]]</f>
        <v>14</v>
      </c>
      <c r="D8" s="139"/>
    </row>
    <row r="9" spans="1:4" ht="14.25" customHeight="1" x14ac:dyDescent="0.2">
      <c r="A9" s="141" t="s">
        <v>21</v>
      </c>
      <c r="B9" s="136">
        <f>SUM(MemberOfAssemblyAssemblyDistrict3General[Part of Suffolk County Vote Results])</f>
        <v>58901</v>
      </c>
      <c r="C9" s="137">
        <f>SUM(MemberOfAssemblyAssemblyDistrict3General[Total Votes by Party])</f>
        <v>58901</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7872-C6C9-431D-B49F-A2EA1D1866CB}">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694</v>
      </c>
    </row>
    <row r="2" spans="1:4" ht="28.5" customHeight="1" x14ac:dyDescent="0.2">
      <c r="A2" s="33" t="s">
        <v>93</v>
      </c>
      <c r="B2" s="34" t="s">
        <v>220</v>
      </c>
      <c r="C2" s="35" t="s">
        <v>84</v>
      </c>
      <c r="D2" s="36" t="s">
        <v>85</v>
      </c>
    </row>
    <row r="3" spans="1:4" ht="14.25" customHeight="1" x14ac:dyDescent="0.2">
      <c r="A3" s="37" t="s">
        <v>695</v>
      </c>
      <c r="B3" s="41">
        <v>30795</v>
      </c>
      <c r="C3" s="39">
        <f>MemberOfAssemblyAssemblyDistrict4General[[#This Row],[Part of Suffolk County Vote Results]]</f>
        <v>30795</v>
      </c>
      <c r="D3" s="133">
        <f>SUM(MemberOfAssemblyAssemblyDistrict4General[[#This Row],[Total Votes by Party]])</f>
        <v>30795</v>
      </c>
    </row>
    <row r="4" spans="1:4" ht="14.25" customHeight="1" x14ac:dyDescent="0.2">
      <c r="A4" s="37" t="s">
        <v>696</v>
      </c>
      <c r="B4" s="41">
        <v>26631</v>
      </c>
      <c r="C4" s="39">
        <f>MemberOfAssemblyAssemblyDistrict4General[[#This Row],[Part of Suffolk County Vote Results]]</f>
        <v>26631</v>
      </c>
      <c r="D4" s="133">
        <f>SUM(MemberOfAssemblyAssemblyDistrict4General[[#This Row],[Total Votes by Party]],C5)</f>
        <v>29964</v>
      </c>
    </row>
    <row r="5" spans="1:4" ht="14.25" customHeight="1" x14ac:dyDescent="0.2">
      <c r="A5" s="37" t="s">
        <v>697</v>
      </c>
      <c r="B5" s="41">
        <v>3333</v>
      </c>
      <c r="C5" s="39">
        <f>MemberOfAssemblyAssemblyDistrict4General[[#This Row],[Part of Suffolk County Vote Results]]</f>
        <v>3333</v>
      </c>
      <c r="D5" s="134"/>
    </row>
    <row r="6" spans="1:4" ht="14.25" customHeight="1" x14ac:dyDescent="0.2">
      <c r="A6" s="40" t="s">
        <v>18</v>
      </c>
      <c r="B6" s="41">
        <v>4642</v>
      </c>
      <c r="C6" s="39">
        <f>MemberOfAssemblyAssemblyDistrict4General[[#This Row],[Part of Suffolk County Vote Results]]</f>
        <v>4642</v>
      </c>
      <c r="D6" s="134"/>
    </row>
    <row r="7" spans="1:4" ht="14.25" customHeight="1" x14ac:dyDescent="0.2">
      <c r="A7" s="40" t="s">
        <v>19</v>
      </c>
      <c r="B7" s="41">
        <v>12</v>
      </c>
      <c r="C7" s="39">
        <f>MemberOfAssemblyAssemblyDistrict4General[[#This Row],[Part of Suffolk County Vote Results]]</f>
        <v>12</v>
      </c>
      <c r="D7" s="134"/>
    </row>
    <row r="8" spans="1:4" ht="14.25" customHeight="1" x14ac:dyDescent="0.2">
      <c r="A8" s="40" t="s">
        <v>20</v>
      </c>
      <c r="B8" s="41">
        <v>36</v>
      </c>
      <c r="C8" s="39">
        <f>MemberOfAssemblyAssemblyDistrict4General[[#This Row],[Part of Suffolk County Vote Results]]</f>
        <v>36</v>
      </c>
      <c r="D8" s="134"/>
    </row>
    <row r="9" spans="1:4" ht="14.25" customHeight="1" x14ac:dyDescent="0.2">
      <c r="A9" s="43" t="s">
        <v>21</v>
      </c>
      <c r="B9" s="41">
        <f>SUM(MemberOfAssemblyAssemblyDistrict4General[Part of Suffolk County Vote Results])</f>
        <v>65449</v>
      </c>
      <c r="C9" s="39">
        <f>SUM(MemberOfAssemblyAssemblyDistrict4General[Total Votes by Party])</f>
        <v>65449</v>
      </c>
      <c r="D9" s="134"/>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7886-167A-4A3C-B88E-A5F52E66B78A}">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698</v>
      </c>
      <c r="B1" s="135"/>
      <c r="C1" s="135"/>
      <c r="D1" s="135"/>
    </row>
    <row r="2" spans="1:4" ht="28.5" customHeight="1" x14ac:dyDescent="0.2">
      <c r="A2" s="33" t="s">
        <v>93</v>
      </c>
      <c r="B2" s="34" t="s">
        <v>220</v>
      </c>
      <c r="C2" s="35" t="s">
        <v>84</v>
      </c>
      <c r="D2" s="36" t="s">
        <v>85</v>
      </c>
    </row>
    <row r="3" spans="1:4" ht="14.25" customHeight="1" x14ac:dyDescent="0.2">
      <c r="A3" s="45" t="s">
        <v>699</v>
      </c>
      <c r="B3" s="136">
        <v>22783</v>
      </c>
      <c r="C3" s="137">
        <f>MemberOfAssemblyAssemblyDistrict5General[[#This Row],[Part of Suffolk County Vote Results]]</f>
        <v>22783</v>
      </c>
      <c r="D3" s="138">
        <f>SUM(MemberOfAssemblyAssemblyDistrict5General[[#This Row],[Total Votes by Party]])</f>
        <v>22783</v>
      </c>
    </row>
    <row r="4" spans="1:4" ht="14.25" customHeight="1" x14ac:dyDescent="0.2">
      <c r="A4" s="45" t="s">
        <v>700</v>
      </c>
      <c r="B4" s="136">
        <v>36953</v>
      </c>
      <c r="C4" s="137">
        <f>MemberOfAssemblyAssemblyDistrict5General[[#This Row],[Part of Suffolk County Vote Results]]</f>
        <v>36953</v>
      </c>
      <c r="D4" s="138">
        <f>SUM(MemberOfAssemblyAssemblyDistrict5General[[#This Row],[Total Votes by Party]],C5)</f>
        <v>41474</v>
      </c>
    </row>
    <row r="5" spans="1:4" ht="14.25" customHeight="1" x14ac:dyDescent="0.2">
      <c r="A5" s="45" t="s">
        <v>701</v>
      </c>
      <c r="B5" s="136">
        <v>4521</v>
      </c>
      <c r="C5" s="137">
        <f>MemberOfAssemblyAssemblyDistrict5General[[#This Row],[Part of Suffolk County Vote Results]]</f>
        <v>4521</v>
      </c>
      <c r="D5" s="139"/>
    </row>
    <row r="6" spans="1:4" ht="14.25" customHeight="1" x14ac:dyDescent="0.2">
      <c r="A6" s="140" t="s">
        <v>18</v>
      </c>
      <c r="B6" s="136">
        <v>6332</v>
      </c>
      <c r="C6" s="137">
        <f>MemberOfAssemblyAssemblyDistrict5General[[#This Row],[Part of Suffolk County Vote Results]]</f>
        <v>6332</v>
      </c>
      <c r="D6" s="139"/>
    </row>
    <row r="7" spans="1:4" ht="14.25" customHeight="1" x14ac:dyDescent="0.2">
      <c r="A7" s="140" t="s">
        <v>19</v>
      </c>
      <c r="B7" s="136">
        <v>12</v>
      </c>
      <c r="C7" s="137">
        <f>MemberOfAssemblyAssemblyDistrict5General[[#This Row],[Part of Suffolk County Vote Results]]</f>
        <v>12</v>
      </c>
      <c r="D7" s="139"/>
    </row>
    <row r="8" spans="1:4" ht="14.25" customHeight="1" x14ac:dyDescent="0.2">
      <c r="A8" s="140" t="s">
        <v>20</v>
      </c>
      <c r="B8" s="136">
        <v>47</v>
      </c>
      <c r="C8" s="137">
        <f>MemberOfAssemblyAssemblyDistrict5General[[#This Row],[Part of Suffolk County Vote Results]]</f>
        <v>47</v>
      </c>
      <c r="D8" s="139"/>
    </row>
    <row r="9" spans="1:4" ht="14.25" customHeight="1" x14ac:dyDescent="0.2">
      <c r="A9" s="141" t="s">
        <v>21</v>
      </c>
      <c r="B9" s="136">
        <f>SUM(MemberOfAssemblyAssemblyDistrict5General[Part of Suffolk County Vote Results])</f>
        <v>70648</v>
      </c>
      <c r="C9" s="137">
        <f>SUM(MemberOfAssemblyAssemblyDistrict5General[Total Votes by Party])</f>
        <v>70648</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A8EE0-A0B4-4D5A-A9BF-82BA40AD7F9C}">
  <sheetPr>
    <pageSetUpPr fitToPage="1"/>
  </sheetPr>
  <dimension ref="A1:D10"/>
  <sheetViews>
    <sheetView zoomScaleNormal="100"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702</v>
      </c>
      <c r="B1" s="135"/>
      <c r="C1" s="135"/>
      <c r="D1" s="135"/>
    </row>
    <row r="2" spans="1:4" ht="28.5" customHeight="1" x14ac:dyDescent="0.2">
      <c r="A2" s="33" t="s">
        <v>93</v>
      </c>
      <c r="B2" s="34" t="s">
        <v>220</v>
      </c>
      <c r="C2" s="35" t="s">
        <v>84</v>
      </c>
      <c r="D2" s="36" t="s">
        <v>85</v>
      </c>
    </row>
    <row r="3" spans="1:4" ht="14.25" customHeight="1" x14ac:dyDescent="0.2">
      <c r="A3" s="45" t="s">
        <v>703</v>
      </c>
      <c r="B3" s="136">
        <v>20464</v>
      </c>
      <c r="C3" s="137">
        <f>MemberOfAssemblyAssemblyDistrict6General[[#This Row],[Part of Suffolk County Vote Results]]</f>
        <v>20464</v>
      </c>
      <c r="D3" s="138">
        <f>SUM(MemberOfAssemblyAssemblyDistrict6General[[#This Row],[Total Votes by Party]],C5)</f>
        <v>22039</v>
      </c>
    </row>
    <row r="4" spans="1:4" ht="14.25" customHeight="1" x14ac:dyDescent="0.2">
      <c r="A4" s="45" t="s">
        <v>704</v>
      </c>
      <c r="B4" s="136">
        <v>11483</v>
      </c>
      <c r="C4" s="137">
        <f>MemberOfAssemblyAssemblyDistrict6General[[#This Row],[Part of Suffolk County Vote Results]]</f>
        <v>11483</v>
      </c>
      <c r="D4" s="138">
        <f>SUM(MemberOfAssemblyAssemblyDistrict6General[[#This Row],[Total Votes by Party]])</f>
        <v>11483</v>
      </c>
    </row>
    <row r="5" spans="1:4" ht="14.25" customHeight="1" x14ac:dyDescent="0.2">
      <c r="A5" s="45" t="s">
        <v>705</v>
      </c>
      <c r="B5" s="136">
        <v>1575</v>
      </c>
      <c r="C5" s="137">
        <f>MemberOfAssemblyAssemblyDistrict6General[[#This Row],[Part of Suffolk County Vote Results]]</f>
        <v>1575</v>
      </c>
      <c r="D5" s="139"/>
    </row>
    <row r="6" spans="1:4" ht="14.25" customHeight="1" x14ac:dyDescent="0.2">
      <c r="A6" s="140" t="s">
        <v>18</v>
      </c>
      <c r="B6" s="136">
        <v>4241</v>
      </c>
      <c r="C6" s="137">
        <f>MemberOfAssemblyAssemblyDistrict6General[[#This Row],[Part of Suffolk County Vote Results]]</f>
        <v>4241</v>
      </c>
      <c r="D6" s="139"/>
    </row>
    <row r="7" spans="1:4" ht="14.25" customHeight="1" x14ac:dyDescent="0.2">
      <c r="A7" s="140" t="s">
        <v>19</v>
      </c>
      <c r="B7" s="136">
        <v>59</v>
      </c>
      <c r="C7" s="137">
        <f>MemberOfAssemblyAssemblyDistrict6General[[#This Row],[Part of Suffolk County Vote Results]]</f>
        <v>59</v>
      </c>
      <c r="D7" s="139"/>
    </row>
    <row r="8" spans="1:4" ht="14.25" customHeight="1" x14ac:dyDescent="0.2">
      <c r="A8" s="140" t="s">
        <v>20</v>
      </c>
      <c r="B8" s="136">
        <v>16</v>
      </c>
      <c r="C8" s="137">
        <f>MemberOfAssemblyAssemblyDistrict6General[[#This Row],[Part of Suffolk County Vote Results]]</f>
        <v>16</v>
      </c>
      <c r="D8" s="139"/>
    </row>
    <row r="9" spans="1:4" ht="14.25" customHeight="1" x14ac:dyDescent="0.2">
      <c r="A9" s="141" t="s">
        <v>21</v>
      </c>
      <c r="B9" s="136">
        <f>SUM(MemberOfAssemblyAssemblyDistrict6General[Part of Suffolk County Vote Results])</f>
        <v>37838</v>
      </c>
      <c r="C9" s="137">
        <f>SUM(MemberOfAssemblyAssemblyDistrict6General[Total Votes by Party])</f>
        <v>37838</v>
      </c>
      <c r="D9" s="139"/>
    </row>
    <row r="10" spans="1:4" ht="14.25" x14ac:dyDescent="0.2">
      <c r="B10" s="70"/>
    </row>
  </sheetData>
  <pageMargins left="0.25" right="0.25" top="0.25" bottom="0.25" header="0.25" footer="0.25"/>
  <pageSetup paperSize="17" fitToHeight="0" orientation="landscape" r:id="rId1"/>
  <headerFooter alignWithMargins="0">
    <oddFooter>&amp;RPage &amp;P of &amp;N</oddFooter>
  </headerFooter>
  <tableParts count="1">
    <tablePart r:id="rId2"/>
  </tablePart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2FE3F-2390-46BA-A9D3-06C8BAF13B88}">
  <sheetPr>
    <pageSetUpPr fitToPage="1"/>
  </sheetPr>
  <dimension ref="A1:D10"/>
  <sheetViews>
    <sheetView workbookViewId="0"/>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706</v>
      </c>
      <c r="B1" s="135"/>
      <c r="C1" s="135"/>
      <c r="D1" s="135"/>
    </row>
    <row r="2" spans="1:4" ht="28.5" customHeight="1" x14ac:dyDescent="0.2">
      <c r="A2" s="33" t="s">
        <v>93</v>
      </c>
      <c r="B2" s="34" t="s">
        <v>220</v>
      </c>
      <c r="C2" s="35" t="s">
        <v>84</v>
      </c>
      <c r="D2" s="36" t="s">
        <v>85</v>
      </c>
    </row>
    <row r="3" spans="1:4" ht="14.25" customHeight="1" x14ac:dyDescent="0.2">
      <c r="A3" s="45" t="s">
        <v>707</v>
      </c>
      <c r="B3" s="136">
        <v>25003</v>
      </c>
      <c r="C3" s="137">
        <f>MemberOfAssemblyAssemblyDistrict7General[[#This Row],[Part of Suffolk County Vote Results]]</f>
        <v>25003</v>
      </c>
      <c r="D3" s="138">
        <f>MemberOfAssemblyAssemblyDistrict7General[[#This Row],[Total Votes by Party]]</f>
        <v>25003</v>
      </c>
    </row>
    <row r="4" spans="1:4" ht="14.25" customHeight="1" x14ac:dyDescent="0.2">
      <c r="A4" s="45" t="s">
        <v>708</v>
      </c>
      <c r="B4" s="136">
        <v>36819</v>
      </c>
      <c r="C4" s="137">
        <f>MemberOfAssemblyAssemblyDistrict7General[[#This Row],[Part of Suffolk County Vote Results]]</f>
        <v>36819</v>
      </c>
      <c r="D4" s="138">
        <f>SUM(MemberOfAssemblyAssemblyDistrict7General[[#This Row],[Total Votes by Party]],C5)</f>
        <v>42656</v>
      </c>
    </row>
    <row r="5" spans="1:4" ht="14.25" customHeight="1" x14ac:dyDescent="0.2">
      <c r="A5" s="45" t="s">
        <v>709</v>
      </c>
      <c r="B5" s="136">
        <v>5837</v>
      </c>
      <c r="C5" s="137">
        <f>MemberOfAssemblyAssemblyDistrict7General[[#This Row],[Part of Suffolk County Vote Results]]</f>
        <v>5837</v>
      </c>
      <c r="D5" s="139"/>
    </row>
    <row r="6" spans="1:4" ht="14.25" customHeight="1" x14ac:dyDescent="0.2">
      <c r="A6" s="140" t="s">
        <v>18</v>
      </c>
      <c r="B6" s="136">
        <v>5360</v>
      </c>
      <c r="C6" s="137">
        <f>MemberOfAssemblyAssemblyDistrict7General[[#This Row],[Part of Suffolk County Vote Results]]</f>
        <v>5360</v>
      </c>
      <c r="D6" s="139"/>
    </row>
    <row r="7" spans="1:4" ht="14.25" customHeight="1" x14ac:dyDescent="0.2">
      <c r="A7" s="140" t="s">
        <v>19</v>
      </c>
      <c r="B7" s="136">
        <v>16</v>
      </c>
      <c r="C7" s="137">
        <f>MemberOfAssemblyAssemblyDistrict7General[[#This Row],[Part of Suffolk County Vote Results]]</f>
        <v>16</v>
      </c>
      <c r="D7" s="139"/>
    </row>
    <row r="8" spans="1:4" ht="14.25" customHeight="1" x14ac:dyDescent="0.2">
      <c r="A8" s="140" t="s">
        <v>20</v>
      </c>
      <c r="B8" s="136">
        <v>18</v>
      </c>
      <c r="C8" s="137">
        <f>MemberOfAssemblyAssemblyDistrict7General[[#This Row],[Part of Suffolk County Vote Results]]</f>
        <v>18</v>
      </c>
      <c r="D8" s="139"/>
    </row>
    <row r="9" spans="1:4" ht="14.25" customHeight="1" x14ac:dyDescent="0.2">
      <c r="A9" s="141" t="s">
        <v>21</v>
      </c>
      <c r="B9" s="136">
        <f>SUM(MemberOfAssemblyAssemblyDistrict7General[Part of Suffolk County Vote Results])</f>
        <v>73053</v>
      </c>
      <c r="C9" s="137">
        <f>SUM(MemberOfAssemblyAssemblyDistrict7General[Total Votes by Party])</f>
        <v>73053</v>
      </c>
      <c r="D9" s="139"/>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96C35-4F5A-4FEC-9A6D-C23403CC80C4}">
  <sheetPr>
    <pageSetUpPr fitToPage="1"/>
  </sheetPr>
  <dimension ref="A1:D11"/>
  <sheetViews>
    <sheetView workbookViewId="0"/>
  </sheetViews>
  <sheetFormatPr defaultRowHeight="12.75" x14ac:dyDescent="0.2"/>
  <cols>
    <col min="1" max="1" width="26" style="32" customWidth="1"/>
    <col min="2" max="4" width="20.5703125" style="32" customWidth="1"/>
    <col min="5" max="6" width="23.5703125" style="32" customWidth="1"/>
    <col min="7" max="16384" width="9.140625" style="32"/>
  </cols>
  <sheetData>
    <row r="1" spans="1:4" ht="24.95" customHeight="1" x14ac:dyDescent="0.2">
      <c r="A1" s="31" t="s">
        <v>710</v>
      </c>
      <c r="B1" s="135"/>
      <c r="C1" s="135"/>
      <c r="D1" s="135"/>
    </row>
    <row r="2" spans="1:4" ht="28.5" customHeight="1" x14ac:dyDescent="0.2">
      <c r="A2" s="33" t="s">
        <v>93</v>
      </c>
      <c r="B2" s="34" t="s">
        <v>220</v>
      </c>
      <c r="C2" s="35" t="s">
        <v>84</v>
      </c>
      <c r="D2" s="36" t="s">
        <v>85</v>
      </c>
    </row>
    <row r="3" spans="1:4" ht="14.25" customHeight="1" x14ac:dyDescent="0.2">
      <c r="A3" s="45" t="s">
        <v>711</v>
      </c>
      <c r="B3" s="136">
        <v>24966</v>
      </c>
      <c r="C3" s="137">
        <f>MemberOfAssemblyAssemblyDistrict8General[[#This Row],[Part of Suffolk County Vote Results]]</f>
        <v>24966</v>
      </c>
      <c r="D3" s="138">
        <f>SUM(MemberOfAssemblyAssemblyDistrict8General[[#This Row],[Total Votes by Party]],C6)</f>
        <v>26016</v>
      </c>
    </row>
    <row r="4" spans="1:4" ht="14.25" customHeight="1" x14ac:dyDescent="0.2">
      <c r="A4" s="45" t="s">
        <v>712</v>
      </c>
      <c r="B4" s="136">
        <v>44993</v>
      </c>
      <c r="C4" s="137">
        <f>MemberOfAssemblyAssemblyDistrict8General[[#This Row],[Part of Suffolk County Vote Results]]</f>
        <v>44993</v>
      </c>
      <c r="D4" s="138">
        <f>SUM(MemberOfAssemblyAssemblyDistrict8General[[#This Row],[Total Votes by Party]],C5)</f>
        <v>50568</v>
      </c>
    </row>
    <row r="5" spans="1:4" ht="14.25" customHeight="1" x14ac:dyDescent="0.2">
      <c r="A5" s="45" t="s">
        <v>713</v>
      </c>
      <c r="B5" s="136">
        <v>5575</v>
      </c>
      <c r="C5" s="137">
        <f>MemberOfAssemblyAssemblyDistrict8General[[#This Row],[Part of Suffolk County Vote Results]]</f>
        <v>5575</v>
      </c>
      <c r="D5" s="139"/>
    </row>
    <row r="6" spans="1:4" ht="14.25" customHeight="1" x14ac:dyDescent="0.2">
      <c r="A6" s="45" t="s">
        <v>714</v>
      </c>
      <c r="B6" s="136">
        <v>1050</v>
      </c>
      <c r="C6" s="137">
        <f>MemberOfAssemblyAssemblyDistrict8General[[#This Row],[Part of Suffolk County Vote Results]]</f>
        <v>1050</v>
      </c>
      <c r="D6" s="139"/>
    </row>
    <row r="7" spans="1:4" ht="14.25" customHeight="1" x14ac:dyDescent="0.2">
      <c r="A7" s="140" t="s">
        <v>18</v>
      </c>
      <c r="B7" s="136">
        <v>5439</v>
      </c>
      <c r="C7" s="137">
        <f>MemberOfAssemblyAssemblyDistrict8General[[#This Row],[Part of Suffolk County Vote Results]]</f>
        <v>5439</v>
      </c>
      <c r="D7" s="139"/>
    </row>
    <row r="8" spans="1:4" ht="14.25" customHeight="1" x14ac:dyDescent="0.2">
      <c r="A8" s="140" t="s">
        <v>19</v>
      </c>
      <c r="B8" s="136">
        <v>20</v>
      </c>
      <c r="C8" s="137">
        <f>MemberOfAssemblyAssemblyDistrict8General[[#This Row],[Part of Suffolk County Vote Results]]</f>
        <v>20</v>
      </c>
      <c r="D8" s="139"/>
    </row>
    <row r="9" spans="1:4" ht="14.25" customHeight="1" x14ac:dyDescent="0.2">
      <c r="A9" s="140" t="s">
        <v>20</v>
      </c>
      <c r="B9" s="136">
        <v>28</v>
      </c>
      <c r="C9" s="137">
        <f>MemberOfAssemblyAssemblyDistrict8General[[#This Row],[Part of Suffolk County Vote Results]]</f>
        <v>28</v>
      </c>
      <c r="D9" s="139"/>
    </row>
    <row r="10" spans="1:4" ht="14.25" customHeight="1" x14ac:dyDescent="0.2">
      <c r="A10" s="141" t="s">
        <v>21</v>
      </c>
      <c r="B10" s="136">
        <f>SUM(MemberOfAssemblyAssemblyDistrict8General[Part of Suffolk County Vote Results])</f>
        <v>82071</v>
      </c>
      <c r="C10" s="137">
        <f>SUM(MemberOfAssemblyAssemblyDistrict8General[Total Votes by Party])</f>
        <v>82071</v>
      </c>
      <c r="D10" s="139"/>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7190D-38FF-4DED-9111-57E9D9655AD3}">
  <sheetPr>
    <pageSetUpPr fitToPage="1"/>
  </sheetPr>
  <dimension ref="A1:E10"/>
  <sheetViews>
    <sheetView workbookViewId="0"/>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715</v>
      </c>
      <c r="B1" s="135"/>
      <c r="C1" s="135"/>
      <c r="D1" s="135"/>
      <c r="E1" s="135"/>
    </row>
    <row r="2" spans="1:5" ht="28.5" customHeight="1" x14ac:dyDescent="0.2">
      <c r="A2" s="33" t="s">
        <v>93</v>
      </c>
      <c r="B2" s="34" t="s">
        <v>226</v>
      </c>
      <c r="C2" s="34" t="s">
        <v>220</v>
      </c>
      <c r="D2" s="35" t="s">
        <v>84</v>
      </c>
      <c r="E2" s="36" t="s">
        <v>85</v>
      </c>
    </row>
    <row r="3" spans="1:5" ht="14.25" customHeight="1" x14ac:dyDescent="0.2">
      <c r="A3" s="45" t="s">
        <v>716</v>
      </c>
      <c r="B3" s="136">
        <v>6350</v>
      </c>
      <c r="C3" s="136">
        <v>16022</v>
      </c>
      <c r="D3" s="137">
        <f>SUM(MemberOfAssemblyAssemblyDistrict9General[[#This Row],[Part of Nassau County Vote Results]:[Part of Suffolk County Vote Results]])</f>
        <v>22372</v>
      </c>
      <c r="E3" s="138">
        <f>SUM(MemberOfAssemblyAssemblyDistrict9General[[#This Row],[Total Votes by Party]])</f>
        <v>22372</v>
      </c>
    </row>
    <row r="4" spans="1:5" ht="14.25" customHeight="1" x14ac:dyDescent="0.2">
      <c r="A4" s="45" t="s">
        <v>717</v>
      </c>
      <c r="B4" s="136">
        <v>16419</v>
      </c>
      <c r="C4" s="136">
        <v>25803</v>
      </c>
      <c r="D4" s="137">
        <f>SUM(MemberOfAssemblyAssemblyDistrict9General[[#This Row],[Part of Nassau County Vote Results]:[Part of Suffolk County Vote Results]])</f>
        <v>42222</v>
      </c>
      <c r="E4" s="138">
        <f>SUM(MemberOfAssemblyAssemblyDistrict9General[[#This Row],[Total Votes by Party]],D5)</f>
        <v>46458</v>
      </c>
    </row>
    <row r="5" spans="1:5" ht="14.25" customHeight="1" x14ac:dyDescent="0.2">
      <c r="A5" s="45" t="s">
        <v>718</v>
      </c>
      <c r="B5" s="136">
        <v>1318</v>
      </c>
      <c r="C5" s="136">
        <v>2918</v>
      </c>
      <c r="D5" s="137">
        <f>SUM(MemberOfAssemblyAssemblyDistrict9General[[#This Row],[Part of Nassau County Vote Results]:[Part of Suffolk County Vote Results]])</f>
        <v>4236</v>
      </c>
      <c r="E5" s="139"/>
    </row>
    <row r="6" spans="1:5" ht="14.25" customHeight="1" x14ac:dyDescent="0.2">
      <c r="A6" s="140" t="s">
        <v>18</v>
      </c>
      <c r="B6" s="136">
        <v>1208</v>
      </c>
      <c r="C6" s="136">
        <v>3675</v>
      </c>
      <c r="D6" s="137">
        <f>SUM(MemberOfAssemblyAssemblyDistrict9General[[#This Row],[Part of Nassau County Vote Results]:[Part of Suffolk County Vote Results]])</f>
        <v>4883</v>
      </c>
      <c r="E6" s="139"/>
    </row>
    <row r="7" spans="1:5" ht="14.25" customHeight="1" x14ac:dyDescent="0.2">
      <c r="A7" s="140" t="s">
        <v>19</v>
      </c>
      <c r="B7" s="136">
        <v>8</v>
      </c>
      <c r="C7" s="136">
        <v>14</v>
      </c>
      <c r="D7" s="137">
        <f>SUM(MemberOfAssemblyAssemblyDistrict9General[[#This Row],[Part of Nassau County Vote Results]:[Part of Suffolk County Vote Results]])</f>
        <v>22</v>
      </c>
      <c r="E7" s="139"/>
    </row>
    <row r="8" spans="1:5" ht="14.25" customHeight="1" x14ac:dyDescent="0.2">
      <c r="A8" s="140" t="s">
        <v>20</v>
      </c>
      <c r="B8" s="142">
        <v>6</v>
      </c>
      <c r="C8" s="142">
        <v>15</v>
      </c>
      <c r="D8" s="137">
        <f>SUM(MemberOfAssemblyAssemblyDistrict9General[[#This Row],[Part of Nassau County Vote Results]:[Part of Suffolk County Vote Results]])</f>
        <v>21</v>
      </c>
      <c r="E8" s="139"/>
    </row>
    <row r="9" spans="1:5" ht="14.25" customHeight="1" x14ac:dyDescent="0.2">
      <c r="A9" s="141" t="s">
        <v>21</v>
      </c>
      <c r="B9" s="136">
        <f>SUM(MemberOfAssemblyAssemblyDistrict9General[Part of Nassau County Vote Results])</f>
        <v>25309</v>
      </c>
      <c r="C9" s="136">
        <f>SUM(MemberOfAssemblyAssemblyDistrict9General[Part of Suffolk County Vote Results])</f>
        <v>48447</v>
      </c>
      <c r="D9" s="137">
        <f>SUM(MemberOfAssemblyAssemblyDistrict9General[Total Votes by Party])</f>
        <v>73756</v>
      </c>
      <c r="E9" s="139"/>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59D76-B4E8-461F-AB88-C89CF1BD4B19}">
  <sheetPr>
    <pageSetUpPr fitToPage="1"/>
  </sheetPr>
  <dimension ref="A1:E10"/>
  <sheetViews>
    <sheetView workbookViewId="0"/>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719</v>
      </c>
      <c r="B1" s="135"/>
      <c r="C1" s="135"/>
      <c r="D1" s="135"/>
      <c r="E1" s="135"/>
    </row>
    <row r="2" spans="1:5" ht="28.5" customHeight="1" x14ac:dyDescent="0.2">
      <c r="A2" s="33" t="s">
        <v>93</v>
      </c>
      <c r="B2" s="34" t="s">
        <v>226</v>
      </c>
      <c r="C2" s="34" t="s">
        <v>220</v>
      </c>
      <c r="D2" s="35" t="s">
        <v>84</v>
      </c>
      <c r="E2" s="36" t="s">
        <v>85</v>
      </c>
    </row>
    <row r="3" spans="1:5" ht="14.25" customHeight="1" x14ac:dyDescent="0.2">
      <c r="A3" s="45" t="s">
        <v>720</v>
      </c>
      <c r="B3" s="136">
        <v>3708</v>
      </c>
      <c r="C3" s="136">
        <v>32230</v>
      </c>
      <c r="D3" s="137">
        <f t="shared" ref="D3:D8" si="0">SUM(B3,C3)</f>
        <v>35938</v>
      </c>
      <c r="E3" s="138">
        <f>SUM(MemberOfAssemblyAssemblyDistrict10General[[#This Row],[Total Votes by Party]])</f>
        <v>35938</v>
      </c>
    </row>
    <row r="4" spans="1:5" ht="14.25" customHeight="1" x14ac:dyDescent="0.2">
      <c r="A4" s="45" t="s">
        <v>721</v>
      </c>
      <c r="B4" s="136">
        <v>2136</v>
      </c>
      <c r="C4" s="136">
        <v>23151</v>
      </c>
      <c r="D4" s="137">
        <f t="shared" si="0"/>
        <v>25287</v>
      </c>
      <c r="E4" s="138">
        <f>SUM(MemberOfAssemblyAssemblyDistrict10General[[#This Row],[Total Votes by Party]],D5)</f>
        <v>28287</v>
      </c>
    </row>
    <row r="5" spans="1:5" ht="14.25" customHeight="1" x14ac:dyDescent="0.2">
      <c r="A5" s="45" t="s">
        <v>722</v>
      </c>
      <c r="B5" s="136">
        <v>144</v>
      </c>
      <c r="C5" s="136">
        <v>2856</v>
      </c>
      <c r="D5" s="137">
        <f t="shared" si="0"/>
        <v>3000</v>
      </c>
      <c r="E5" s="139"/>
    </row>
    <row r="6" spans="1:5" ht="14.25" customHeight="1" x14ac:dyDescent="0.2">
      <c r="A6" s="140" t="s">
        <v>18</v>
      </c>
      <c r="B6" s="136">
        <v>500</v>
      </c>
      <c r="C6" s="136">
        <v>4105</v>
      </c>
      <c r="D6" s="137">
        <f t="shared" si="0"/>
        <v>4605</v>
      </c>
      <c r="E6" s="139"/>
    </row>
    <row r="7" spans="1:5" ht="14.25" customHeight="1" x14ac:dyDescent="0.2">
      <c r="A7" s="140" t="s">
        <v>19</v>
      </c>
      <c r="B7" s="136">
        <v>7</v>
      </c>
      <c r="C7" s="136">
        <v>38</v>
      </c>
      <c r="D7" s="137">
        <f t="shared" si="0"/>
        <v>45</v>
      </c>
      <c r="E7" s="139"/>
    </row>
    <row r="8" spans="1:5" ht="14.25" customHeight="1" x14ac:dyDescent="0.2">
      <c r="A8" s="140" t="s">
        <v>20</v>
      </c>
      <c r="B8" s="136">
        <v>7</v>
      </c>
      <c r="C8" s="136">
        <v>38</v>
      </c>
      <c r="D8" s="137">
        <f t="shared" si="0"/>
        <v>45</v>
      </c>
      <c r="E8" s="139"/>
    </row>
    <row r="9" spans="1:5" ht="14.25" customHeight="1" x14ac:dyDescent="0.2">
      <c r="A9" s="144" t="s">
        <v>21</v>
      </c>
      <c r="B9" s="145">
        <f>SUM(MemberOfAssemblyAssemblyDistrict10General[Part of Nassau County Vote Results])</f>
        <v>6502</v>
      </c>
      <c r="C9" s="145">
        <f>SUM(MemberOfAssemblyAssemblyDistrict10General[Part of Suffolk County Vote Results])</f>
        <v>62418</v>
      </c>
      <c r="D9" s="104">
        <f>SUM(MemberOfAssemblyAssemblyDistrict10General[Total Votes by Party])</f>
        <v>68920</v>
      </c>
      <c r="E9" s="112"/>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4E4B-4122-4076-A7B9-0C7C7D08E6D4}">
  <sheetPr>
    <pageSetUpPr fitToPage="1"/>
  </sheetPr>
  <dimension ref="A1:D11"/>
  <sheetViews>
    <sheetView zoomScaleNormal="100" zoomScaleSheetLayoutView="12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219</v>
      </c>
      <c r="B1" s="108"/>
      <c r="C1" s="108"/>
      <c r="D1" s="108"/>
    </row>
    <row r="2" spans="1:4" ht="28.5" customHeight="1" x14ac:dyDescent="0.2">
      <c r="A2" s="6" t="s">
        <v>93</v>
      </c>
      <c r="B2" s="7" t="s">
        <v>220</v>
      </c>
      <c r="C2" s="8" t="s">
        <v>84</v>
      </c>
      <c r="D2" s="9" t="s">
        <v>85</v>
      </c>
    </row>
    <row r="3" spans="1:4" ht="14.25" customHeight="1" x14ac:dyDescent="0.2">
      <c r="A3" s="28" t="s">
        <v>221</v>
      </c>
      <c r="B3" s="100">
        <v>181647</v>
      </c>
      <c r="C3" s="101">
        <f>RepInCongressCongressionalDistrict1General[[#This Row],[Part of Suffolk County Vote Results]]</f>
        <v>181647</v>
      </c>
      <c r="D3" s="113">
        <f>SUM(RepInCongressCongressionalDistrict1General[[#This Row],[Total Votes by Party]],C6)</f>
        <v>183540</v>
      </c>
    </row>
    <row r="4" spans="1:4" ht="14.25" customHeight="1" x14ac:dyDescent="0.2">
      <c r="A4" s="28" t="s">
        <v>222</v>
      </c>
      <c r="B4" s="100">
        <v>200802</v>
      </c>
      <c r="C4" s="101">
        <f>RepInCongressCongressionalDistrict1General[[#This Row],[Part of Suffolk County Vote Results]]</f>
        <v>200802</v>
      </c>
      <c r="D4" s="113">
        <f>SUM(RepInCongressCongressionalDistrict1General[[#This Row],[Total Votes by Party]],C5)</f>
        <v>226285</v>
      </c>
    </row>
    <row r="5" spans="1:4" ht="14.25" customHeight="1" x14ac:dyDescent="0.2">
      <c r="A5" s="28" t="s">
        <v>223</v>
      </c>
      <c r="B5" s="100">
        <v>25483</v>
      </c>
      <c r="C5" s="101">
        <f>RepInCongressCongressionalDistrict1General[[#This Row],[Part of Suffolk County Vote Results]]</f>
        <v>25483</v>
      </c>
      <c r="D5" s="111"/>
    </row>
    <row r="6" spans="1:4" ht="14.25" customHeight="1" x14ac:dyDescent="0.2">
      <c r="A6" s="28" t="s">
        <v>224</v>
      </c>
      <c r="B6" s="100">
        <v>1893</v>
      </c>
      <c r="C6" s="101">
        <f>RepInCongressCongressionalDistrict1General[[#This Row],[Part of Suffolk County Vote Results]]</f>
        <v>1893</v>
      </c>
      <c r="D6" s="111"/>
    </row>
    <row r="7" spans="1:4" ht="14.25" customHeight="1" x14ac:dyDescent="0.2">
      <c r="A7" s="29" t="s">
        <v>18</v>
      </c>
      <c r="B7" s="100">
        <v>19984</v>
      </c>
      <c r="C7" s="101">
        <f>RepInCongressCongressionalDistrict1General[[#This Row],[Part of Suffolk County Vote Results]]</f>
        <v>19984</v>
      </c>
      <c r="D7" s="111"/>
    </row>
    <row r="8" spans="1:4" ht="14.25" customHeight="1" x14ac:dyDescent="0.2">
      <c r="A8" s="29" t="s">
        <v>19</v>
      </c>
      <c r="B8" s="100">
        <v>376</v>
      </c>
      <c r="C8" s="101">
        <f>RepInCongressCongressionalDistrict1General[[#This Row],[Part of Suffolk County Vote Results]]</f>
        <v>376</v>
      </c>
      <c r="D8" s="111"/>
    </row>
    <row r="9" spans="1:4" ht="14.25" customHeight="1" x14ac:dyDescent="0.2">
      <c r="A9" s="29" t="s">
        <v>20</v>
      </c>
      <c r="B9" s="100">
        <v>275</v>
      </c>
      <c r="C9" s="102">
        <f>RepInCongressCongressionalDistrict1General[[#This Row],[Part of Suffolk County Vote Results]]</f>
        <v>275</v>
      </c>
      <c r="D9" s="114"/>
    </row>
    <row r="10" spans="1:4" ht="14.25" customHeight="1" x14ac:dyDescent="0.2">
      <c r="A10" s="103" t="s">
        <v>21</v>
      </c>
      <c r="B10" s="100">
        <f>SUM(RepInCongressCongressionalDistrict1General[Part of Suffolk County Vote Results])</f>
        <v>430460</v>
      </c>
      <c r="C10" s="102">
        <f>SUM(RepInCongressCongressionalDistrict1General[Total Votes by Party])</f>
        <v>430460</v>
      </c>
      <c r="D10" s="115"/>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rowBreaks count="8" manualBreakCount="8">
    <brk id="36" max="4" man="1"/>
    <brk id="79" max="4" man="1"/>
    <brk id="122" max="4" man="1"/>
    <brk id="164" max="16383" man="1"/>
    <brk id="188" max="16383" man="1"/>
    <brk id="222" max="16383" man="1"/>
    <brk id="260" max="16383" man="1"/>
    <brk id="302" max="16383" man="1"/>
  </rowBreaks>
  <tableParts count="1">
    <tablePart r:id="rId2"/>
  </tablePart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766D9-9C4D-49B0-A1E6-BDCC4E0F06EF}">
  <sheetPr>
    <pageSetUpPr fitToPage="1"/>
  </sheetPr>
  <dimension ref="A1:E10"/>
  <sheetViews>
    <sheetView workbookViewId="0">
      <selection activeCell="E3" sqref="E3:E4"/>
    </sheetView>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723</v>
      </c>
    </row>
    <row r="2" spans="1:5" ht="28.5" customHeight="1" x14ac:dyDescent="0.2">
      <c r="A2" s="33" t="s">
        <v>93</v>
      </c>
      <c r="B2" s="34" t="s">
        <v>226</v>
      </c>
      <c r="C2" s="34" t="s">
        <v>220</v>
      </c>
      <c r="D2" s="35" t="s">
        <v>84</v>
      </c>
      <c r="E2" s="36" t="s">
        <v>85</v>
      </c>
    </row>
    <row r="3" spans="1:5" ht="14.25" customHeight="1" x14ac:dyDescent="0.2">
      <c r="A3" s="37" t="s">
        <v>724</v>
      </c>
      <c r="B3" s="41">
        <v>1882</v>
      </c>
      <c r="C3" s="41">
        <v>24996</v>
      </c>
      <c r="D3" s="39">
        <f t="shared" ref="D3:D8" si="0">SUM(B3,C3)</f>
        <v>26878</v>
      </c>
      <c r="E3" s="133">
        <f>SUM(MemberOfAssemblyAssemblyDistrict11General[[#This Row],[Total Votes by Party]])</f>
        <v>26878</v>
      </c>
    </row>
    <row r="4" spans="1:5" ht="14.25" customHeight="1" x14ac:dyDescent="0.2">
      <c r="A4" s="37" t="s">
        <v>725</v>
      </c>
      <c r="B4" s="41">
        <v>1275</v>
      </c>
      <c r="C4" s="41">
        <v>21999</v>
      </c>
      <c r="D4" s="39">
        <f t="shared" si="0"/>
        <v>23274</v>
      </c>
      <c r="E4" s="133">
        <f>SUM(MemberOfAssemblyAssemblyDistrict11General[[#This Row],[Total Votes by Party]],D5)</f>
        <v>25981</v>
      </c>
    </row>
    <row r="5" spans="1:5" ht="14.25" customHeight="1" x14ac:dyDescent="0.2">
      <c r="A5" s="37" t="s">
        <v>726</v>
      </c>
      <c r="B5" s="41">
        <v>120</v>
      </c>
      <c r="C5" s="41">
        <v>2587</v>
      </c>
      <c r="D5" s="39">
        <f t="shared" si="0"/>
        <v>2707</v>
      </c>
      <c r="E5" s="42"/>
    </row>
    <row r="6" spans="1:5" ht="14.25" customHeight="1" x14ac:dyDescent="0.2">
      <c r="A6" s="40" t="s">
        <v>18</v>
      </c>
      <c r="B6" s="41">
        <v>233</v>
      </c>
      <c r="C6" s="41">
        <v>4061</v>
      </c>
      <c r="D6" s="39">
        <f t="shared" si="0"/>
        <v>4294</v>
      </c>
      <c r="E6" s="42"/>
    </row>
    <row r="7" spans="1:5" ht="14.25" customHeight="1" x14ac:dyDescent="0.2">
      <c r="A7" s="40" t="s">
        <v>19</v>
      </c>
      <c r="B7" s="41">
        <v>0</v>
      </c>
      <c r="C7" s="41">
        <v>35</v>
      </c>
      <c r="D7" s="39">
        <f t="shared" si="0"/>
        <v>35</v>
      </c>
      <c r="E7" s="42"/>
    </row>
    <row r="8" spans="1:5" ht="14.25" customHeight="1" x14ac:dyDescent="0.2">
      <c r="A8" s="40" t="s">
        <v>20</v>
      </c>
      <c r="B8" s="41">
        <v>0</v>
      </c>
      <c r="C8" s="41">
        <v>27</v>
      </c>
      <c r="D8" s="39">
        <f t="shared" si="0"/>
        <v>27</v>
      </c>
      <c r="E8" s="42"/>
    </row>
    <row r="9" spans="1:5" ht="14.25" customHeight="1" x14ac:dyDescent="0.2">
      <c r="A9" s="49" t="s">
        <v>21</v>
      </c>
      <c r="B9" s="50">
        <f>SUM(MemberOfAssemblyAssemblyDistrict11General[Part of Nassau County Vote Results])</f>
        <v>3510</v>
      </c>
      <c r="C9" s="50">
        <f>SUM(MemberOfAssemblyAssemblyDistrict11General[Part of Suffolk County Vote Results])</f>
        <v>53705</v>
      </c>
      <c r="D9" s="51">
        <f>SUM(MemberOfAssemblyAssemblyDistrict11General[Total Votes by Party])</f>
        <v>57215</v>
      </c>
      <c r="E9" s="52"/>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FB39A-2236-4D29-9CD9-2BB9B98D7012}">
  <sheetPr>
    <pageSetUpPr fitToPage="1"/>
  </sheetPr>
  <dimension ref="A1:D10"/>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727</v>
      </c>
    </row>
    <row r="2" spans="1:4" ht="28.5" customHeight="1" x14ac:dyDescent="0.2">
      <c r="A2" s="33" t="s">
        <v>93</v>
      </c>
      <c r="B2" s="34" t="s">
        <v>220</v>
      </c>
      <c r="C2" s="35" t="s">
        <v>84</v>
      </c>
      <c r="D2" s="36" t="s">
        <v>85</v>
      </c>
    </row>
    <row r="3" spans="1:4" ht="14.25" customHeight="1" x14ac:dyDescent="0.2">
      <c r="A3" s="37" t="s">
        <v>728</v>
      </c>
      <c r="B3" s="41">
        <v>29137</v>
      </c>
      <c r="C3" s="39">
        <f>MemberOfAssemblyAssemblyDistrict12General[[#This Row],[Part of Suffolk County Vote Results]]</f>
        <v>29137</v>
      </c>
      <c r="D3" s="133">
        <f>SUM(MemberOfAssemblyAssemblyDistrict12General[[#This Row],[Total Votes by Party]])</f>
        <v>29137</v>
      </c>
    </row>
    <row r="4" spans="1:4" ht="14.25" customHeight="1" x14ac:dyDescent="0.2">
      <c r="A4" s="37" t="s">
        <v>729</v>
      </c>
      <c r="B4" s="41">
        <v>34370</v>
      </c>
      <c r="C4" s="39">
        <f>MemberOfAssemblyAssemblyDistrict12General[[#This Row],[Part of Suffolk County Vote Results]]</f>
        <v>34370</v>
      </c>
      <c r="D4" s="133">
        <f>SUM(MemberOfAssemblyAssemblyDistrict12General[[#This Row],[Total Votes by Party]],C5)</f>
        <v>38808</v>
      </c>
    </row>
    <row r="5" spans="1:4" ht="14.25" customHeight="1" x14ac:dyDescent="0.2">
      <c r="A5" s="37" t="s">
        <v>730</v>
      </c>
      <c r="B5" s="41">
        <v>4438</v>
      </c>
      <c r="C5" s="39">
        <f>MemberOfAssemblyAssemblyDistrict12General[[#This Row],[Part of Suffolk County Vote Results]]</f>
        <v>4438</v>
      </c>
      <c r="D5" s="42"/>
    </row>
    <row r="6" spans="1:4" ht="14.25" customHeight="1" x14ac:dyDescent="0.2">
      <c r="A6" s="40" t="s">
        <v>18</v>
      </c>
      <c r="B6" s="41">
        <v>5125</v>
      </c>
      <c r="C6" s="39">
        <f>MemberOfAssemblyAssemblyDistrict12General[[#This Row],[Part of Suffolk County Vote Results]]</f>
        <v>5125</v>
      </c>
      <c r="D6" s="42"/>
    </row>
    <row r="7" spans="1:4" ht="14.25" customHeight="1" x14ac:dyDescent="0.2">
      <c r="A7" s="40" t="s">
        <v>19</v>
      </c>
      <c r="B7" s="41">
        <v>15</v>
      </c>
      <c r="C7" s="39">
        <f>MemberOfAssemblyAssemblyDistrict12General[[#This Row],[Part of Suffolk County Vote Results]]</f>
        <v>15</v>
      </c>
      <c r="D7" s="42"/>
    </row>
    <row r="8" spans="1:4" ht="14.25" customHeight="1" x14ac:dyDescent="0.2">
      <c r="A8" s="40" t="s">
        <v>20</v>
      </c>
      <c r="B8" s="41">
        <v>53</v>
      </c>
      <c r="C8" s="39">
        <f>MemberOfAssemblyAssemblyDistrict12General[[#This Row],[Part of Suffolk County Vote Results]]</f>
        <v>53</v>
      </c>
      <c r="D8" s="42"/>
    </row>
    <row r="9" spans="1:4" ht="14.25" customHeight="1" x14ac:dyDescent="0.2">
      <c r="A9" s="43" t="s">
        <v>21</v>
      </c>
      <c r="B9" s="41">
        <f>SUM(MemberOfAssemblyAssemblyDistrict12General[Part of Suffolk County Vote Results])</f>
        <v>73138</v>
      </c>
      <c r="C9" s="39">
        <f>SUM(MemberOfAssemblyAssemblyDistrict12General[Total Votes by Party])</f>
        <v>73138</v>
      </c>
      <c r="D9" s="42"/>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DB845-D1B9-45C5-9E82-62D7F6B11DF1}">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731</v>
      </c>
    </row>
    <row r="2" spans="1:4" ht="28.5" customHeight="1" x14ac:dyDescent="0.2">
      <c r="A2" s="33" t="s">
        <v>93</v>
      </c>
      <c r="B2" s="34" t="s">
        <v>226</v>
      </c>
      <c r="C2" s="35" t="s">
        <v>84</v>
      </c>
      <c r="D2" s="36" t="s">
        <v>85</v>
      </c>
    </row>
    <row r="3" spans="1:4" ht="14.25" customHeight="1" x14ac:dyDescent="0.2">
      <c r="A3" s="37" t="s">
        <v>732</v>
      </c>
      <c r="B3" s="41">
        <v>30850</v>
      </c>
      <c r="C3" s="39">
        <f>MemberOfAssemblyAssemblyDistrict13General[[#This Row],[Part of Nassau County Vote Results]]</f>
        <v>30850</v>
      </c>
      <c r="D3" s="133">
        <f>SUM(MemberOfAssemblyAssemblyDistrict13General[[#This Row],[Total Votes by Party]])</f>
        <v>30850</v>
      </c>
    </row>
    <row r="4" spans="1:4" ht="14.25" customHeight="1" x14ac:dyDescent="0.2">
      <c r="A4" s="37" t="s">
        <v>733</v>
      </c>
      <c r="B4" s="41">
        <v>23178</v>
      </c>
      <c r="C4" s="39">
        <f>MemberOfAssemblyAssemblyDistrict13General[[#This Row],[Part of Nassau County Vote Results]]</f>
        <v>23178</v>
      </c>
      <c r="D4" s="133">
        <f>SUM(MemberOfAssemblyAssemblyDistrict13General[[#This Row],[Total Votes by Party]],C5)</f>
        <v>25200</v>
      </c>
    </row>
    <row r="5" spans="1:4" ht="14.25" customHeight="1" x14ac:dyDescent="0.2">
      <c r="A5" s="37" t="s">
        <v>734</v>
      </c>
      <c r="B5" s="41">
        <v>2022</v>
      </c>
      <c r="C5" s="39">
        <f>MemberOfAssemblyAssemblyDistrict13General[[#This Row],[Part of Nassau County Vote Results]]</f>
        <v>2022</v>
      </c>
      <c r="D5" s="42"/>
    </row>
    <row r="6" spans="1:4" ht="14.25" customHeight="1" x14ac:dyDescent="0.2">
      <c r="A6" s="40" t="s">
        <v>18</v>
      </c>
      <c r="B6" s="41">
        <v>4644</v>
      </c>
      <c r="C6" s="39">
        <f>MemberOfAssemblyAssemblyDistrict13General[[#This Row],[Part of Nassau County Vote Results]]</f>
        <v>4644</v>
      </c>
      <c r="D6" s="42"/>
    </row>
    <row r="7" spans="1:4" ht="14.25" customHeight="1" x14ac:dyDescent="0.2">
      <c r="A7" s="40" t="s">
        <v>19</v>
      </c>
      <c r="B7" s="41">
        <v>11</v>
      </c>
      <c r="C7" s="39">
        <f>MemberOfAssemblyAssemblyDistrict13General[[#This Row],[Part of Nassau County Vote Results]]</f>
        <v>11</v>
      </c>
      <c r="D7" s="42"/>
    </row>
    <row r="8" spans="1:4" ht="14.25" customHeight="1" x14ac:dyDescent="0.2">
      <c r="A8" s="40" t="s">
        <v>20</v>
      </c>
      <c r="B8" s="41">
        <v>99</v>
      </c>
      <c r="C8" s="39">
        <f>MemberOfAssemblyAssemblyDistrict13General[[#This Row],[Part of Nassau County Vote Results]]</f>
        <v>99</v>
      </c>
      <c r="D8" s="42"/>
    </row>
    <row r="9" spans="1:4" ht="14.25" customHeight="1" x14ac:dyDescent="0.2">
      <c r="A9" s="43" t="s">
        <v>21</v>
      </c>
      <c r="B9" s="41">
        <f>SUM(MemberOfAssemblyAssemblyDistrict13General[Part of Nassau County Vote Results])</f>
        <v>60804</v>
      </c>
      <c r="C9" s="39">
        <f>SUM(MemberOfAssemblyAssemblyDistrict13General[Total Votes by Party])</f>
        <v>60804</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563E4-F4E8-4176-A8C5-C6B329AE8A39}">
  <sheetPr>
    <pageSetUpPr fitToPage="1"/>
  </sheetPr>
  <dimension ref="A1:D9"/>
  <sheetViews>
    <sheetView workbookViewId="0">
      <selection activeCell="D3" sqref="D3:D4"/>
    </sheetView>
  </sheetViews>
  <sheetFormatPr defaultRowHeight="12.75" x14ac:dyDescent="0.2"/>
  <cols>
    <col min="1" max="1" width="29.28515625" style="32" customWidth="1"/>
    <col min="2" max="4" width="20.5703125" style="32" customWidth="1"/>
    <col min="5" max="6" width="23.5703125" style="32" customWidth="1"/>
    <col min="7" max="16384" width="9.140625" style="32"/>
  </cols>
  <sheetData>
    <row r="1" spans="1:4" ht="24.95" customHeight="1" x14ac:dyDescent="0.2">
      <c r="A1" s="31" t="s">
        <v>735</v>
      </c>
    </row>
    <row r="2" spans="1:4" ht="28.5" customHeight="1" x14ac:dyDescent="0.2">
      <c r="A2" s="33" t="s">
        <v>93</v>
      </c>
      <c r="B2" s="34" t="s">
        <v>226</v>
      </c>
      <c r="C2" s="35" t="s">
        <v>84</v>
      </c>
      <c r="D2" s="36" t="s">
        <v>85</v>
      </c>
    </row>
    <row r="3" spans="1:4" ht="14.25" customHeight="1" x14ac:dyDescent="0.2">
      <c r="A3" s="37" t="s">
        <v>736</v>
      </c>
      <c r="B3" s="41">
        <v>27906</v>
      </c>
      <c r="C3" s="39">
        <f>MemberOfAssemblyAssemblyDistrict14General[[#This Row],[Part of Nassau County Vote Results]]</f>
        <v>27906</v>
      </c>
      <c r="D3" s="133">
        <f>SUM(MemberOfAssemblyAssemblyDistrict14General[[#This Row],[Total Votes by Party]])</f>
        <v>27906</v>
      </c>
    </row>
    <row r="4" spans="1:4" ht="14.25" customHeight="1" x14ac:dyDescent="0.2">
      <c r="A4" s="37" t="s">
        <v>737</v>
      </c>
      <c r="B4" s="41">
        <v>45911</v>
      </c>
      <c r="C4" s="39">
        <f>MemberOfAssemblyAssemblyDistrict14General[[#This Row],[Part of Nassau County Vote Results]]</f>
        <v>45911</v>
      </c>
      <c r="D4" s="133">
        <f>SUM(MemberOfAssemblyAssemblyDistrict14General[[#This Row],[Total Votes by Party]],C5)</f>
        <v>49639</v>
      </c>
    </row>
    <row r="5" spans="1:4" ht="14.25" customHeight="1" x14ac:dyDescent="0.2">
      <c r="A5" s="37" t="s">
        <v>738</v>
      </c>
      <c r="B5" s="41">
        <v>3728</v>
      </c>
      <c r="C5" s="39">
        <f>MemberOfAssemblyAssemblyDistrict14General[[#This Row],[Part of Nassau County Vote Results]]</f>
        <v>3728</v>
      </c>
      <c r="D5" s="42"/>
    </row>
    <row r="6" spans="1:4" ht="14.25" customHeight="1" x14ac:dyDescent="0.2">
      <c r="A6" s="40" t="s">
        <v>18</v>
      </c>
      <c r="B6" s="41">
        <v>5442</v>
      </c>
      <c r="C6" s="39">
        <f>MemberOfAssemblyAssemblyDistrict14General[[#This Row],[Part of Nassau County Vote Results]]</f>
        <v>5442</v>
      </c>
      <c r="D6" s="42"/>
    </row>
    <row r="7" spans="1:4" ht="14.25" customHeight="1" x14ac:dyDescent="0.2">
      <c r="A7" s="40" t="s">
        <v>19</v>
      </c>
      <c r="B7" s="41">
        <v>19</v>
      </c>
      <c r="C7" s="39">
        <f>MemberOfAssemblyAssemblyDistrict14General[[#This Row],[Part of Nassau County Vote Results]]</f>
        <v>19</v>
      </c>
      <c r="D7" s="42"/>
    </row>
    <row r="8" spans="1:4" ht="14.25" customHeight="1" x14ac:dyDescent="0.2">
      <c r="A8" s="40" t="s">
        <v>20</v>
      </c>
      <c r="B8" s="41">
        <v>55</v>
      </c>
      <c r="C8" s="39">
        <f>MemberOfAssemblyAssemblyDistrict14General[[#This Row],[Part of Nassau County Vote Results]]</f>
        <v>55</v>
      </c>
      <c r="D8" s="42"/>
    </row>
    <row r="9" spans="1:4" ht="14.25" customHeight="1" x14ac:dyDescent="0.2">
      <c r="A9" s="43" t="s">
        <v>21</v>
      </c>
      <c r="B9" s="41">
        <f>SUM(MemberOfAssemblyAssemblyDistrict14General[Part of Nassau County Vote Results])</f>
        <v>83061</v>
      </c>
      <c r="C9" s="39">
        <f>SUM(MemberOfAssemblyAssemblyDistrict14General[Total Votes by Party])</f>
        <v>83061</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C2FC5-7858-4483-A2EA-35512CC70063}">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739</v>
      </c>
    </row>
    <row r="2" spans="1:4" ht="28.5" customHeight="1" x14ac:dyDescent="0.2">
      <c r="A2" s="33" t="s">
        <v>93</v>
      </c>
      <c r="B2" s="34" t="s">
        <v>226</v>
      </c>
      <c r="C2" s="35" t="s">
        <v>84</v>
      </c>
      <c r="D2" s="36" t="s">
        <v>85</v>
      </c>
    </row>
    <row r="3" spans="1:4" ht="14.25" customHeight="1" x14ac:dyDescent="0.2">
      <c r="A3" s="37" t="s">
        <v>740</v>
      </c>
      <c r="B3" s="41">
        <v>28081</v>
      </c>
      <c r="C3" s="39">
        <f>MemberOfAssemblyAssemblyDistrict15General[[#This Row],[Part of Nassau County Vote Results]]</f>
        <v>28081</v>
      </c>
      <c r="D3" s="133">
        <f>SUM(MemberOfAssemblyAssemblyDistrict15General[[#This Row],[Total Votes by Party]])</f>
        <v>28081</v>
      </c>
    </row>
    <row r="4" spans="1:4" ht="14.25" customHeight="1" x14ac:dyDescent="0.2">
      <c r="A4" s="37" t="s">
        <v>741</v>
      </c>
      <c r="B4" s="41">
        <v>35819</v>
      </c>
      <c r="C4" s="39">
        <f>MemberOfAssemblyAssemblyDistrict15General[[#This Row],[Part of Nassau County Vote Results]]</f>
        <v>35819</v>
      </c>
      <c r="D4" s="133">
        <f>SUM(MemberOfAssemblyAssemblyDistrict15General[[#This Row],[Total Votes by Party]],C5)</f>
        <v>38847</v>
      </c>
    </row>
    <row r="5" spans="1:4" ht="14.25" customHeight="1" x14ac:dyDescent="0.2">
      <c r="A5" s="37" t="s">
        <v>742</v>
      </c>
      <c r="B5" s="41">
        <v>3028</v>
      </c>
      <c r="C5" s="39">
        <f>MemberOfAssemblyAssemblyDistrict15General[[#This Row],[Part of Nassau County Vote Results]]</f>
        <v>3028</v>
      </c>
      <c r="D5" s="42"/>
    </row>
    <row r="6" spans="1:4" ht="14.25" customHeight="1" x14ac:dyDescent="0.2">
      <c r="A6" s="40" t="s">
        <v>18</v>
      </c>
      <c r="B6" s="41">
        <v>5327</v>
      </c>
      <c r="C6" s="39">
        <f>MemberOfAssemblyAssemblyDistrict15General[[#This Row],[Part of Nassau County Vote Results]]</f>
        <v>5327</v>
      </c>
      <c r="D6" s="42"/>
    </row>
    <row r="7" spans="1:4" ht="14.25" customHeight="1" x14ac:dyDescent="0.2">
      <c r="A7" s="40" t="s">
        <v>19</v>
      </c>
      <c r="B7" s="41">
        <v>11</v>
      </c>
      <c r="C7" s="39">
        <f>MemberOfAssemblyAssemblyDistrict15General[[#This Row],[Part of Nassau County Vote Results]]</f>
        <v>11</v>
      </c>
      <c r="D7" s="42"/>
    </row>
    <row r="8" spans="1:4" ht="14.25" customHeight="1" x14ac:dyDescent="0.2">
      <c r="A8" s="40" t="s">
        <v>20</v>
      </c>
      <c r="B8" s="41">
        <v>103</v>
      </c>
      <c r="C8" s="39">
        <f>MemberOfAssemblyAssemblyDistrict15General[[#This Row],[Part of Nassau County Vote Results]]</f>
        <v>103</v>
      </c>
      <c r="D8" s="42"/>
    </row>
    <row r="9" spans="1:4" ht="14.25" customHeight="1" x14ac:dyDescent="0.2">
      <c r="A9" s="43" t="s">
        <v>21</v>
      </c>
      <c r="B9" s="41">
        <f>SUM(MemberOfAssemblyAssemblyDistrict15General[Part of Nassau County Vote Results])</f>
        <v>72369</v>
      </c>
      <c r="C9" s="39">
        <f>SUM(MemberOfAssemblyAssemblyDistrict15General[Total Votes by Party])</f>
        <v>72369</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A8AA7-9CDB-489D-A1C5-3F4934490C36}">
  <sheetPr>
    <pageSetUpPr fitToPage="1"/>
  </sheetPr>
  <dimension ref="A1:D9"/>
  <sheetViews>
    <sheetView zoomScaleNormal="100"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743</v>
      </c>
    </row>
    <row r="2" spans="1:4" ht="28.5" customHeight="1" x14ac:dyDescent="0.2">
      <c r="A2" s="33" t="s">
        <v>93</v>
      </c>
      <c r="B2" s="34" t="s">
        <v>226</v>
      </c>
      <c r="C2" s="35" t="s">
        <v>84</v>
      </c>
      <c r="D2" s="36" t="s">
        <v>85</v>
      </c>
    </row>
    <row r="3" spans="1:4" ht="14.25" customHeight="1" x14ac:dyDescent="0.2">
      <c r="A3" s="37" t="s">
        <v>744</v>
      </c>
      <c r="B3" s="41">
        <v>34104</v>
      </c>
      <c r="C3" s="39">
        <f>MemberOfAssemblyAssemblyDistrict16General[[#This Row],[Part of Nassau County Vote Results]]</f>
        <v>34104</v>
      </c>
      <c r="D3" s="133">
        <f>SUM(MemberOfAssemblyAssemblyDistrict16General[[#This Row],[Total Votes by Party]])</f>
        <v>34104</v>
      </c>
    </row>
    <row r="4" spans="1:4" ht="14.25" customHeight="1" x14ac:dyDescent="0.2">
      <c r="A4" s="37" t="s">
        <v>745</v>
      </c>
      <c r="B4" s="41">
        <v>32722</v>
      </c>
      <c r="C4" s="39">
        <f>MemberOfAssemblyAssemblyDistrict16General[[#This Row],[Part of Nassau County Vote Results]]</f>
        <v>32722</v>
      </c>
      <c r="D4" s="133">
        <f>SUM(MemberOfAssemblyAssemblyDistrict16General[[#This Row],[Total Votes by Party]],C5)</f>
        <v>34842</v>
      </c>
    </row>
    <row r="5" spans="1:4" ht="14.25" customHeight="1" x14ac:dyDescent="0.2">
      <c r="A5" s="37" t="s">
        <v>746</v>
      </c>
      <c r="B5" s="41">
        <v>2120</v>
      </c>
      <c r="C5" s="39">
        <f>MemberOfAssemblyAssemblyDistrict16General[[#This Row],[Part of Nassau County Vote Results]]</f>
        <v>2120</v>
      </c>
      <c r="D5" s="42"/>
    </row>
    <row r="6" spans="1:4" ht="14.25" customHeight="1" x14ac:dyDescent="0.2">
      <c r="A6" s="40" t="s">
        <v>18</v>
      </c>
      <c r="B6" s="41">
        <v>4071</v>
      </c>
      <c r="C6" s="39">
        <f>MemberOfAssemblyAssemblyDistrict16General[[#This Row],[Part of Nassau County Vote Results]]</f>
        <v>4071</v>
      </c>
      <c r="D6" s="42"/>
    </row>
    <row r="7" spans="1:4" ht="14.25" customHeight="1" x14ac:dyDescent="0.2">
      <c r="A7" s="40" t="s">
        <v>19</v>
      </c>
      <c r="B7" s="41">
        <v>21</v>
      </c>
      <c r="C7" s="39">
        <f>MemberOfAssemblyAssemblyDistrict16General[[#This Row],[Part of Nassau County Vote Results]]</f>
        <v>21</v>
      </c>
      <c r="D7" s="42"/>
    </row>
    <row r="8" spans="1:4" ht="14.25" customHeight="1" x14ac:dyDescent="0.2">
      <c r="A8" s="40" t="s">
        <v>20</v>
      </c>
      <c r="B8" s="41">
        <v>111</v>
      </c>
      <c r="C8" s="39">
        <f>MemberOfAssemblyAssemblyDistrict16General[[#This Row],[Part of Nassau County Vote Results]]</f>
        <v>111</v>
      </c>
      <c r="D8" s="42"/>
    </row>
    <row r="9" spans="1:4" ht="14.25" customHeight="1" x14ac:dyDescent="0.2">
      <c r="A9" s="43" t="s">
        <v>21</v>
      </c>
      <c r="B9" s="41">
        <f>SUM(MemberOfAssemblyAssemblyDistrict16General[Part of Nassau County Vote Results])</f>
        <v>73149</v>
      </c>
      <c r="C9" s="39">
        <f>SUM(MemberOfAssemblyAssemblyDistrict16General[Total Votes by Party])</f>
        <v>73149</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1096F-4124-4434-A171-271B94193493}">
  <sheetPr>
    <pageSetUpPr fitToPage="1"/>
  </sheetPr>
  <dimension ref="A1:D9"/>
  <sheetViews>
    <sheetView zoomScaleNormal="100"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747</v>
      </c>
    </row>
    <row r="2" spans="1:4" ht="28.5" customHeight="1" x14ac:dyDescent="0.2">
      <c r="A2" s="33" t="s">
        <v>93</v>
      </c>
      <c r="B2" s="34" t="s">
        <v>226</v>
      </c>
      <c r="C2" s="35" t="s">
        <v>84</v>
      </c>
      <c r="D2" s="36" t="s">
        <v>85</v>
      </c>
    </row>
    <row r="3" spans="1:4" ht="14.25" customHeight="1" x14ac:dyDescent="0.2">
      <c r="A3" s="37" t="s">
        <v>748</v>
      </c>
      <c r="B3" s="41">
        <v>23887</v>
      </c>
      <c r="C3" s="39">
        <f>MemberOfAssemblyAssemblyDistrict17General[[#This Row],[Part of Nassau County Vote Results]]</f>
        <v>23887</v>
      </c>
      <c r="D3" s="133">
        <f>SUM(MemberOfAssemblyAssemblyDistrict17General[[#This Row],[Total Votes by Party]])</f>
        <v>23887</v>
      </c>
    </row>
    <row r="4" spans="1:4" ht="14.25" customHeight="1" x14ac:dyDescent="0.2">
      <c r="A4" s="37" t="s">
        <v>749</v>
      </c>
      <c r="B4" s="41">
        <v>41294</v>
      </c>
      <c r="C4" s="39">
        <f>MemberOfAssemblyAssemblyDistrict17General[[#This Row],[Part of Nassau County Vote Results]]</f>
        <v>41294</v>
      </c>
      <c r="D4" s="133">
        <f>SUM(MemberOfAssemblyAssemblyDistrict17General[[#This Row],[Total Votes by Party]],C5)</f>
        <v>45027</v>
      </c>
    </row>
    <row r="5" spans="1:4" ht="14.25" customHeight="1" x14ac:dyDescent="0.2">
      <c r="A5" s="37" t="s">
        <v>750</v>
      </c>
      <c r="B5" s="41">
        <v>3733</v>
      </c>
      <c r="C5" s="39">
        <f>MemberOfAssemblyAssemblyDistrict17General[[#This Row],[Part of Nassau County Vote Results]]</f>
        <v>3733</v>
      </c>
      <c r="D5" s="42"/>
    </row>
    <row r="6" spans="1:4" ht="14.25" customHeight="1" x14ac:dyDescent="0.2">
      <c r="A6" s="40" t="s">
        <v>18</v>
      </c>
      <c r="B6" s="41">
        <v>5418</v>
      </c>
      <c r="C6" s="39">
        <f>MemberOfAssemblyAssemblyDistrict17General[[#This Row],[Part of Nassau County Vote Results]]</f>
        <v>5418</v>
      </c>
      <c r="D6" s="42"/>
    </row>
    <row r="7" spans="1:4" ht="14.25" customHeight="1" x14ac:dyDescent="0.2">
      <c r="A7" s="40" t="s">
        <v>19</v>
      </c>
      <c r="B7" s="41">
        <v>26</v>
      </c>
      <c r="C7" s="39">
        <f>MemberOfAssemblyAssemblyDistrict17General[[#This Row],[Part of Nassau County Vote Results]]</f>
        <v>26</v>
      </c>
      <c r="D7" s="42"/>
    </row>
    <row r="8" spans="1:4" ht="14.25" customHeight="1" x14ac:dyDescent="0.2">
      <c r="A8" s="40" t="s">
        <v>20</v>
      </c>
      <c r="B8" s="41">
        <v>79</v>
      </c>
      <c r="C8" s="39">
        <f>MemberOfAssemblyAssemblyDistrict17General[[#This Row],[Part of Nassau County Vote Results]]</f>
        <v>79</v>
      </c>
      <c r="D8" s="42"/>
    </row>
    <row r="9" spans="1:4" ht="14.25" customHeight="1" x14ac:dyDescent="0.2">
      <c r="A9" s="43" t="s">
        <v>21</v>
      </c>
      <c r="B9" s="41">
        <f>SUM(MemberOfAssemblyAssemblyDistrict17General[Part of Nassau County Vote Results])</f>
        <v>74437</v>
      </c>
      <c r="C9" s="39">
        <f>SUM(MemberOfAssemblyAssemblyDistrict17General[Total Votes by Party])</f>
        <v>74437</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91ACE-4312-47C6-AE3B-D620D2A2F51A}">
  <sheetPr>
    <pageSetUpPr fitToPage="1"/>
  </sheetPr>
  <dimension ref="A1:D10"/>
  <sheetViews>
    <sheetView workbookViewId="0">
      <selection activeCell="D3" sqref="D3:D4"/>
    </sheetView>
  </sheetViews>
  <sheetFormatPr defaultRowHeight="12.75" x14ac:dyDescent="0.2"/>
  <cols>
    <col min="1" max="1" width="27" style="32" customWidth="1"/>
    <col min="2" max="4" width="20.5703125" style="32" customWidth="1"/>
    <col min="5" max="6" width="23.5703125" style="32" customWidth="1"/>
    <col min="7" max="16384" width="9.140625" style="32"/>
  </cols>
  <sheetData>
    <row r="1" spans="1:4" ht="24.95" customHeight="1" x14ac:dyDescent="0.2">
      <c r="A1" s="31" t="s">
        <v>751</v>
      </c>
    </row>
    <row r="2" spans="1:4" ht="28.5" customHeight="1" x14ac:dyDescent="0.2">
      <c r="A2" s="33" t="s">
        <v>93</v>
      </c>
      <c r="B2" s="34" t="s">
        <v>226</v>
      </c>
      <c r="C2" s="35" t="s">
        <v>84</v>
      </c>
      <c r="D2" s="36" t="s">
        <v>85</v>
      </c>
    </row>
    <row r="3" spans="1:4" ht="14.25" customHeight="1" x14ac:dyDescent="0.2">
      <c r="A3" s="37" t="s">
        <v>752</v>
      </c>
      <c r="B3" s="41">
        <v>32854</v>
      </c>
      <c r="C3" s="39">
        <f>MemberOfAssemblyAssemblyDistrict18General[[#This Row],[Part of Nassau County Vote Results]]</f>
        <v>32854</v>
      </c>
      <c r="D3" s="133">
        <f>SUM(MemberOfAssemblyAssemblyDistrict18General[[#This Row],[Total Votes by Party]],C6)</f>
        <v>33407</v>
      </c>
    </row>
    <row r="4" spans="1:4" ht="14.25" customHeight="1" x14ac:dyDescent="0.2">
      <c r="A4" s="37" t="s">
        <v>753</v>
      </c>
      <c r="B4" s="41">
        <v>6521</v>
      </c>
      <c r="C4" s="39">
        <f>MemberOfAssemblyAssemblyDistrict18General[[#This Row],[Part of Nassau County Vote Results]]</f>
        <v>6521</v>
      </c>
      <c r="D4" s="133">
        <f>SUM(MemberOfAssemblyAssemblyDistrict18General[[#This Row],[Total Votes by Party]],C5)</f>
        <v>7270</v>
      </c>
    </row>
    <row r="5" spans="1:4" ht="14.25" customHeight="1" x14ac:dyDescent="0.2">
      <c r="A5" s="37" t="s">
        <v>754</v>
      </c>
      <c r="B5" s="41">
        <v>749</v>
      </c>
      <c r="C5" s="39">
        <f>MemberOfAssemblyAssemblyDistrict18General[[#This Row],[Part of Nassau County Vote Results]]</f>
        <v>749</v>
      </c>
      <c r="D5" s="42"/>
    </row>
    <row r="6" spans="1:4" ht="14.25" customHeight="1" x14ac:dyDescent="0.2">
      <c r="A6" s="37" t="s">
        <v>755</v>
      </c>
      <c r="B6" s="41">
        <v>553</v>
      </c>
      <c r="C6" s="39">
        <f>MemberOfAssemblyAssemblyDistrict18General[[#This Row],[Part of Nassau County Vote Results]]</f>
        <v>553</v>
      </c>
      <c r="D6" s="42"/>
    </row>
    <row r="7" spans="1:4" ht="14.25" customHeight="1" x14ac:dyDescent="0.2">
      <c r="A7" s="40" t="s">
        <v>18</v>
      </c>
      <c r="B7" s="41">
        <v>3778</v>
      </c>
      <c r="C7" s="39">
        <f>MemberOfAssemblyAssemblyDistrict18General[[#This Row],[Part of Nassau County Vote Results]]</f>
        <v>3778</v>
      </c>
      <c r="D7" s="42"/>
    </row>
    <row r="8" spans="1:4" ht="14.25" customHeight="1" x14ac:dyDescent="0.2">
      <c r="A8" s="40" t="s">
        <v>19</v>
      </c>
      <c r="B8" s="41">
        <v>38</v>
      </c>
      <c r="C8" s="39">
        <f>MemberOfAssemblyAssemblyDistrict18General[[#This Row],[Part of Nassau County Vote Results]]</f>
        <v>38</v>
      </c>
      <c r="D8" s="42"/>
    </row>
    <row r="9" spans="1:4" ht="14.25" customHeight="1" x14ac:dyDescent="0.2">
      <c r="A9" s="40" t="s">
        <v>20</v>
      </c>
      <c r="B9" s="41">
        <v>40</v>
      </c>
      <c r="C9" s="39">
        <f>MemberOfAssemblyAssemblyDistrict18General[[#This Row],[Part of Nassau County Vote Results]]</f>
        <v>40</v>
      </c>
      <c r="D9" s="42"/>
    </row>
    <row r="10" spans="1:4" ht="14.25" customHeight="1" x14ac:dyDescent="0.2">
      <c r="A10" s="43" t="s">
        <v>21</v>
      </c>
      <c r="B10" s="41">
        <f>SUM(MemberOfAssemblyAssemblyDistrict18General[Part of Nassau County Vote Results])</f>
        <v>44533</v>
      </c>
      <c r="C10" s="39">
        <f>SUM(MemberOfAssemblyAssemblyDistrict18General[Total Votes by Party])</f>
        <v>44533</v>
      </c>
      <c r="D10"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CDD64-74BC-4ABC-9013-5CEF2ADF0170}">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756</v>
      </c>
    </row>
    <row r="2" spans="1:4" ht="28.5" customHeight="1" x14ac:dyDescent="0.2">
      <c r="A2" s="33" t="s">
        <v>93</v>
      </c>
      <c r="B2" s="34" t="s">
        <v>226</v>
      </c>
      <c r="C2" s="35" t="s">
        <v>84</v>
      </c>
      <c r="D2" s="36" t="s">
        <v>85</v>
      </c>
    </row>
    <row r="3" spans="1:4" ht="14.25" customHeight="1" x14ac:dyDescent="0.2">
      <c r="A3" s="37" t="s">
        <v>757</v>
      </c>
      <c r="B3" s="41">
        <v>23726</v>
      </c>
      <c r="C3" s="39">
        <f>MemberOfAssemblyAssemblyDistrict19General[[#This Row],[Part of Nassau County Vote Results]]</f>
        <v>23726</v>
      </c>
      <c r="D3" s="133">
        <f>SUM(MemberOfAssemblyAssemblyDistrict19General[[#This Row],[Total Votes by Party]])</f>
        <v>23726</v>
      </c>
    </row>
    <row r="4" spans="1:4" ht="14.25" customHeight="1" x14ac:dyDescent="0.2">
      <c r="A4" s="37" t="s">
        <v>758</v>
      </c>
      <c r="B4" s="41">
        <v>39277</v>
      </c>
      <c r="C4" s="39">
        <f>MemberOfAssemblyAssemblyDistrict19General[[#This Row],[Part of Nassau County Vote Results]]</f>
        <v>39277</v>
      </c>
      <c r="D4" s="133">
        <f>SUM(MemberOfAssemblyAssemblyDistrict19General[[#This Row],[Total Votes by Party]],C5)</f>
        <v>42865</v>
      </c>
    </row>
    <row r="5" spans="1:4" ht="14.25" customHeight="1" x14ac:dyDescent="0.2">
      <c r="A5" s="37" t="s">
        <v>759</v>
      </c>
      <c r="B5" s="41">
        <v>3588</v>
      </c>
      <c r="C5" s="39">
        <f>MemberOfAssemblyAssemblyDistrict19General[[#This Row],[Part of Nassau County Vote Results]]</f>
        <v>3588</v>
      </c>
      <c r="D5" s="42"/>
    </row>
    <row r="6" spans="1:4" ht="14.25" customHeight="1" x14ac:dyDescent="0.2">
      <c r="A6" s="40" t="s">
        <v>18</v>
      </c>
      <c r="B6" s="47">
        <v>5189</v>
      </c>
      <c r="C6" s="39">
        <f>MemberOfAssemblyAssemblyDistrict19General[[#This Row],[Part of Nassau County Vote Results]]</f>
        <v>5189</v>
      </c>
      <c r="D6" s="42"/>
    </row>
    <row r="7" spans="1:4" ht="14.25" customHeight="1" x14ac:dyDescent="0.2">
      <c r="A7" s="40" t="s">
        <v>19</v>
      </c>
      <c r="B7" s="47">
        <v>16</v>
      </c>
      <c r="C7" s="39">
        <f>MemberOfAssemblyAssemblyDistrict19General[[#This Row],[Part of Nassau County Vote Results]]</f>
        <v>16</v>
      </c>
      <c r="D7" s="42"/>
    </row>
    <row r="8" spans="1:4" ht="14.25" customHeight="1" x14ac:dyDescent="0.2">
      <c r="A8" s="40" t="s">
        <v>20</v>
      </c>
      <c r="B8" s="47">
        <v>88</v>
      </c>
      <c r="C8" s="39">
        <f>MemberOfAssemblyAssemblyDistrict19General[[#This Row],[Part of Nassau County Vote Results]]</f>
        <v>88</v>
      </c>
      <c r="D8" s="42"/>
    </row>
    <row r="9" spans="1:4" ht="14.25" customHeight="1" x14ac:dyDescent="0.2">
      <c r="A9" s="49" t="s">
        <v>21</v>
      </c>
      <c r="B9" s="50">
        <f>SUM(MemberOfAssemblyAssemblyDistrict19General[Part of Nassau County Vote Results])</f>
        <v>71884</v>
      </c>
      <c r="C9" s="51">
        <f>SUM(MemberOfAssemblyAssemblyDistrict19General[Total Votes by Party])</f>
        <v>71884</v>
      </c>
      <c r="D9"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BD623-0062-4314-B8C9-981090818898}">
  <sheetPr>
    <pageSetUpPr fitToPage="1"/>
  </sheetPr>
  <dimension ref="A1:D9"/>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760</v>
      </c>
    </row>
    <row r="2" spans="1:4" ht="28.5" customHeight="1" x14ac:dyDescent="0.2">
      <c r="A2" s="33" t="s">
        <v>93</v>
      </c>
      <c r="B2" s="34" t="s">
        <v>226</v>
      </c>
      <c r="C2" s="35" t="s">
        <v>84</v>
      </c>
      <c r="D2" s="36" t="s">
        <v>85</v>
      </c>
    </row>
    <row r="3" spans="1:4" ht="14.25" customHeight="1" x14ac:dyDescent="0.2">
      <c r="A3" s="37" t="s">
        <v>761</v>
      </c>
      <c r="B3" s="41">
        <v>23616</v>
      </c>
      <c r="C3" s="39">
        <f>MemberOfAssemblyAssemblyDistrict20General[[#This Row],[Part of Nassau County Vote Results]]</f>
        <v>23616</v>
      </c>
      <c r="D3" s="133">
        <f>MemberOfAssemblyAssemblyDistrict20General[[#This Row],[Total Votes by Party]]</f>
        <v>23616</v>
      </c>
    </row>
    <row r="4" spans="1:4" ht="14.25" customHeight="1" x14ac:dyDescent="0.2">
      <c r="A4" s="37" t="s">
        <v>762</v>
      </c>
      <c r="B4" s="41">
        <v>37134</v>
      </c>
      <c r="C4" s="39">
        <f>MemberOfAssemblyAssemblyDistrict20General[[#This Row],[Part of Nassau County Vote Results]]</f>
        <v>37134</v>
      </c>
      <c r="D4" s="133">
        <f>SUM(MemberOfAssemblyAssemblyDistrict20General[[#This Row],[Total Votes by Party]],C5)</f>
        <v>39591</v>
      </c>
    </row>
    <row r="5" spans="1:4" ht="14.25" customHeight="1" x14ac:dyDescent="0.2">
      <c r="A5" s="37" t="s">
        <v>763</v>
      </c>
      <c r="B5" s="41">
        <v>2457</v>
      </c>
      <c r="C5" s="39">
        <f>MemberOfAssemblyAssemblyDistrict20General[[#This Row],[Part of Nassau County Vote Results]]</f>
        <v>2457</v>
      </c>
      <c r="D5" s="42"/>
    </row>
    <row r="6" spans="1:4" ht="14.25" customHeight="1" x14ac:dyDescent="0.2">
      <c r="A6" s="40" t="s">
        <v>18</v>
      </c>
      <c r="B6" s="41">
        <v>4753</v>
      </c>
      <c r="C6" s="39">
        <f>MemberOfAssemblyAssemblyDistrict20General[[#This Row],[Part of Nassau County Vote Results]]</f>
        <v>4753</v>
      </c>
      <c r="D6" s="42"/>
    </row>
    <row r="7" spans="1:4" ht="14.25" customHeight="1" x14ac:dyDescent="0.2">
      <c r="A7" s="40" t="s">
        <v>19</v>
      </c>
      <c r="B7" s="41">
        <v>16</v>
      </c>
      <c r="C7" s="39">
        <f>MemberOfAssemblyAssemblyDistrict20General[[#This Row],[Part of Nassau County Vote Results]]</f>
        <v>16</v>
      </c>
      <c r="D7" s="42"/>
    </row>
    <row r="8" spans="1:4" ht="14.25" customHeight="1" x14ac:dyDescent="0.2">
      <c r="A8" s="40" t="s">
        <v>20</v>
      </c>
      <c r="B8" s="41">
        <v>57</v>
      </c>
      <c r="C8" s="39">
        <f>MemberOfAssemblyAssemblyDistrict20General[[#This Row],[Part of Nassau County Vote Results]]</f>
        <v>57</v>
      </c>
      <c r="D8" s="42"/>
    </row>
    <row r="9" spans="1:4" ht="14.25" customHeight="1" x14ac:dyDescent="0.2">
      <c r="A9" s="43" t="s">
        <v>21</v>
      </c>
      <c r="B9" s="41">
        <f>SUM(MemberOfAssemblyAssemblyDistrict20General[Part of Nassau County Vote Results])</f>
        <v>68033</v>
      </c>
      <c r="C9" s="39">
        <f>SUM(MemberOfAssemblyAssemblyDistrict20General[Total Votes by Party])</f>
        <v>68033</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665C6-00AA-4639-A773-E34D4A8A9BBE}">
  <sheetPr>
    <pageSetUpPr fitToPage="1"/>
  </sheetPr>
  <dimension ref="A1:E11"/>
  <sheetViews>
    <sheetView zoomScaleNormal="100" zoomScaleSheetLayoutView="100"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225</v>
      </c>
      <c r="B1" s="108"/>
      <c r="C1" s="108"/>
      <c r="D1" s="108"/>
      <c r="E1" s="108"/>
    </row>
    <row r="2" spans="1:5" ht="28.5" customHeight="1" x14ac:dyDescent="0.2">
      <c r="A2" s="6" t="s">
        <v>93</v>
      </c>
      <c r="B2" s="7" t="s">
        <v>226</v>
      </c>
      <c r="C2" s="7" t="s">
        <v>220</v>
      </c>
      <c r="D2" s="8" t="s">
        <v>84</v>
      </c>
      <c r="E2" s="9" t="s">
        <v>85</v>
      </c>
    </row>
    <row r="3" spans="1:5" ht="14.25" customHeight="1" x14ac:dyDescent="0.2">
      <c r="A3" s="28" t="s">
        <v>227</v>
      </c>
      <c r="B3" s="100">
        <v>12863</v>
      </c>
      <c r="C3" s="100">
        <v>117074</v>
      </c>
      <c r="D3" s="101">
        <f>SUM(RepInCongressCongressionalDistrict2General[[#This Row],[Part of Nassau County Vote Results]:[Part of Suffolk County Vote Results]])</f>
        <v>129937</v>
      </c>
      <c r="E3" s="113">
        <f>SUM(RepInCongressCongressionalDistrict2General[[#This Row],[Total Votes by Party]],D6)</f>
        <v>136371</v>
      </c>
    </row>
    <row r="4" spans="1:5" ht="14.25" customHeight="1" x14ac:dyDescent="0.2">
      <c r="A4" s="28" t="s">
        <v>228</v>
      </c>
      <c r="B4" s="100">
        <v>29633</v>
      </c>
      <c r="C4" s="100">
        <v>150741</v>
      </c>
      <c r="D4" s="101">
        <f>SUM(RepInCongressCongressionalDistrict2General[[#This Row],[Part of Nassau County Vote Results]:[Part of Suffolk County Vote Results]])</f>
        <v>180374</v>
      </c>
      <c r="E4" s="113">
        <f>SUM(RepInCongressCongressionalDistrict2General[[#This Row],[Total Votes by Party]],D5)</f>
        <v>202597</v>
      </c>
    </row>
    <row r="5" spans="1:5" ht="14.25" customHeight="1" x14ac:dyDescent="0.2">
      <c r="A5" s="28" t="s">
        <v>229</v>
      </c>
      <c r="B5" s="100">
        <v>2360</v>
      </c>
      <c r="C5" s="100">
        <v>19863</v>
      </c>
      <c r="D5" s="101">
        <f>SUM(RepInCongressCongressionalDistrict2General[[#This Row],[Part of Nassau County Vote Results]:[Part of Suffolk County Vote Results]])</f>
        <v>22223</v>
      </c>
      <c r="E5" s="111"/>
    </row>
    <row r="6" spans="1:5" ht="14.25" customHeight="1" x14ac:dyDescent="0.2">
      <c r="A6" s="28" t="s">
        <v>230</v>
      </c>
      <c r="B6" s="100">
        <v>399</v>
      </c>
      <c r="C6" s="100">
        <v>6035</v>
      </c>
      <c r="D6" s="101">
        <f>SUM(RepInCongressCongressionalDistrict2General[[#This Row],[Part of Nassau County Vote Results]:[Part of Suffolk County Vote Results]])</f>
        <v>6434</v>
      </c>
      <c r="E6" s="111"/>
    </row>
    <row r="7" spans="1:5" ht="14.25" customHeight="1" x14ac:dyDescent="0.2">
      <c r="A7" s="29" t="s">
        <v>18</v>
      </c>
      <c r="B7" s="100">
        <v>2483</v>
      </c>
      <c r="C7" s="100">
        <v>21225</v>
      </c>
      <c r="D7" s="101">
        <f>SUM(RepInCongressCongressionalDistrict2General[[#This Row],[Part of Nassau County Vote Results]:[Part of Suffolk County Vote Results]])</f>
        <v>23708</v>
      </c>
      <c r="E7" s="111"/>
    </row>
    <row r="8" spans="1:5" ht="14.25" customHeight="1" x14ac:dyDescent="0.2">
      <c r="A8" s="29" t="s">
        <v>19</v>
      </c>
      <c r="B8" s="100">
        <v>25</v>
      </c>
      <c r="C8" s="100">
        <v>226</v>
      </c>
      <c r="D8" s="101">
        <f>SUM(RepInCongressCongressionalDistrict2General[[#This Row],[Part of Nassau County Vote Results]:[Part of Suffolk County Vote Results]])</f>
        <v>251</v>
      </c>
      <c r="E8" s="111"/>
    </row>
    <row r="9" spans="1:5" ht="14.25" customHeight="1" x14ac:dyDescent="0.2">
      <c r="A9" s="29" t="s">
        <v>20</v>
      </c>
      <c r="B9" s="100">
        <v>16</v>
      </c>
      <c r="C9" s="100">
        <v>173</v>
      </c>
      <c r="D9" s="101">
        <f>SUM(RepInCongressCongressionalDistrict2General[[#This Row],[Part of Nassau County Vote Results]:[Part of Suffolk County Vote Results]])</f>
        <v>189</v>
      </c>
      <c r="E9" s="111"/>
    </row>
    <row r="10" spans="1:5" ht="14.25" customHeight="1" x14ac:dyDescent="0.2">
      <c r="A10" s="103" t="s">
        <v>21</v>
      </c>
      <c r="B10" s="100">
        <f>SUM(RepInCongressCongressionalDistrict2General[Part of Nassau County Vote Results])</f>
        <v>47779</v>
      </c>
      <c r="C10" s="100">
        <f>SUM(RepInCongressCongressionalDistrict2General[Part of Suffolk County Vote Results])</f>
        <v>315337</v>
      </c>
      <c r="D10" s="101">
        <f>SUM(RepInCongressCongressionalDistrict2General[Total Votes by Party])</f>
        <v>363116</v>
      </c>
      <c r="E10" s="111"/>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1E1B-08D6-43BE-8691-1B5C62034FE2}">
  <sheetPr>
    <pageSetUpPr fitToPage="1"/>
  </sheetPr>
  <dimension ref="A1:D9"/>
  <sheetViews>
    <sheetView workbookViewId="0">
      <selection activeCell="D3" sqref="D3:D4"/>
    </sheetView>
  </sheetViews>
  <sheetFormatPr defaultRowHeight="12.75" x14ac:dyDescent="0.2"/>
  <cols>
    <col min="1" max="1" width="31.28515625" style="32" customWidth="1"/>
    <col min="2" max="4" width="20.5703125" style="32" customWidth="1"/>
    <col min="5" max="6" width="23.5703125" style="32" customWidth="1"/>
    <col min="7" max="16384" width="9.140625" style="32"/>
  </cols>
  <sheetData>
    <row r="1" spans="1:4" ht="24.95" customHeight="1" x14ac:dyDescent="0.2">
      <c r="A1" s="31" t="s">
        <v>764</v>
      </c>
    </row>
    <row r="2" spans="1:4" ht="28.5" customHeight="1" x14ac:dyDescent="0.2">
      <c r="A2" s="33" t="s">
        <v>93</v>
      </c>
      <c r="B2" s="34" t="s">
        <v>226</v>
      </c>
      <c r="C2" s="35" t="s">
        <v>84</v>
      </c>
      <c r="D2" s="36" t="s">
        <v>85</v>
      </c>
    </row>
    <row r="3" spans="1:4" ht="14.25" customHeight="1" x14ac:dyDescent="0.2">
      <c r="A3" s="37" t="s">
        <v>765</v>
      </c>
      <c r="B3" s="41">
        <v>36031</v>
      </c>
      <c r="C3" s="39">
        <f>MemberOfAssemblyAssemblyDistrict21General[[#This Row],[Part of Nassau County Vote Results]]</f>
        <v>36031</v>
      </c>
      <c r="D3" s="133">
        <f>SUM(MemberOfAssemblyAssemblyDistrict21General[[#This Row],[Total Votes by Party]])</f>
        <v>36031</v>
      </c>
    </row>
    <row r="4" spans="1:4" ht="14.25" customHeight="1" x14ac:dyDescent="0.2">
      <c r="A4" s="37" t="s">
        <v>766</v>
      </c>
      <c r="B4" s="41">
        <v>30442</v>
      </c>
      <c r="C4" s="39">
        <f>MemberOfAssemblyAssemblyDistrict21General[[#This Row],[Part of Nassau County Vote Results]]</f>
        <v>30442</v>
      </c>
      <c r="D4" s="133">
        <f>SUM(MemberOfAssemblyAssemblyDistrict21General[[#This Row],[Total Votes by Party]],C5)</f>
        <v>33420</v>
      </c>
    </row>
    <row r="5" spans="1:4" ht="14.25" customHeight="1" x14ac:dyDescent="0.2">
      <c r="A5" s="37" t="s">
        <v>767</v>
      </c>
      <c r="B5" s="41">
        <v>2978</v>
      </c>
      <c r="C5" s="39">
        <f>MemberOfAssemblyAssemblyDistrict21General[[#This Row],[Part of Nassau County Vote Results]]</f>
        <v>2978</v>
      </c>
      <c r="D5" s="42"/>
    </row>
    <row r="6" spans="1:4" ht="14.25" customHeight="1" x14ac:dyDescent="0.2">
      <c r="A6" s="40" t="s">
        <v>18</v>
      </c>
      <c r="B6" s="41">
        <v>3968</v>
      </c>
      <c r="C6" s="39">
        <f>MemberOfAssemblyAssemblyDistrict21General[[#This Row],[Part of Nassau County Vote Results]]</f>
        <v>3968</v>
      </c>
      <c r="D6" s="42"/>
    </row>
    <row r="7" spans="1:4" ht="14.25" customHeight="1" x14ac:dyDescent="0.2">
      <c r="A7" s="40" t="s">
        <v>19</v>
      </c>
      <c r="B7" s="41">
        <v>40</v>
      </c>
      <c r="C7" s="39">
        <f>MemberOfAssemblyAssemblyDistrict21General[[#This Row],[Part of Nassau County Vote Results]]</f>
        <v>40</v>
      </c>
      <c r="D7" s="42"/>
    </row>
    <row r="8" spans="1:4" ht="14.25" customHeight="1" x14ac:dyDescent="0.2">
      <c r="A8" s="40" t="s">
        <v>20</v>
      </c>
      <c r="B8" s="41">
        <v>75</v>
      </c>
      <c r="C8" s="39">
        <f>MemberOfAssemblyAssemblyDistrict21General[[#This Row],[Part of Nassau County Vote Results]]</f>
        <v>75</v>
      </c>
      <c r="D8" s="42"/>
    </row>
    <row r="9" spans="1:4" ht="14.25" customHeight="1" x14ac:dyDescent="0.2">
      <c r="A9" s="43" t="s">
        <v>21</v>
      </c>
      <c r="B9" s="41">
        <f>SUM(MemberOfAssemblyAssemblyDistrict21General[Part of Nassau County Vote Results])</f>
        <v>73534</v>
      </c>
      <c r="C9" s="39">
        <f>SUM(MemberOfAssemblyAssemblyDistrict21General[Total Votes by Party])</f>
        <v>73534</v>
      </c>
      <c r="D9"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A780-3143-4A04-B9D3-D7F514B60F19}">
  <sheetPr>
    <pageSetUpPr fitToPage="1"/>
  </sheetPr>
  <dimension ref="A1:D10"/>
  <sheetViews>
    <sheetView workbookViewId="0">
      <selection activeCell="D3" sqref="D3:D4"/>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768</v>
      </c>
    </row>
    <row r="2" spans="1:4" ht="28.5" customHeight="1" x14ac:dyDescent="0.2">
      <c r="A2" s="33" t="s">
        <v>93</v>
      </c>
      <c r="B2" s="34" t="s">
        <v>226</v>
      </c>
      <c r="C2" s="35" t="s">
        <v>84</v>
      </c>
      <c r="D2" s="36" t="s">
        <v>85</v>
      </c>
    </row>
    <row r="3" spans="1:4" ht="14.25" customHeight="1" x14ac:dyDescent="0.2">
      <c r="A3" s="37" t="s">
        <v>769</v>
      </c>
      <c r="B3" s="41">
        <v>35462</v>
      </c>
      <c r="C3" s="39">
        <f>MemberOfAssemblyAssemblyDistrict22General[[#This Row],[Part of Nassau County Vote Results]]</f>
        <v>35462</v>
      </c>
      <c r="D3" s="133">
        <f>SUM(MemberOfAssemblyAssemblyDistrict22General[[#This Row],[Total Votes by Party]],C6)</f>
        <v>36541</v>
      </c>
    </row>
    <row r="4" spans="1:4" ht="14.25" customHeight="1" x14ac:dyDescent="0.2">
      <c r="A4" s="37" t="s">
        <v>770</v>
      </c>
      <c r="B4" s="41">
        <v>20385</v>
      </c>
      <c r="C4" s="39">
        <f>MemberOfAssemblyAssemblyDistrict22General[[#This Row],[Part of Nassau County Vote Results]]</f>
        <v>20385</v>
      </c>
      <c r="D4" s="133">
        <f>SUM(MemberOfAssemblyAssemblyDistrict22General[[#This Row],[Total Votes by Party]],C5)</f>
        <v>22204</v>
      </c>
    </row>
    <row r="5" spans="1:4" ht="14.25" customHeight="1" x14ac:dyDescent="0.2">
      <c r="A5" s="37" t="s">
        <v>771</v>
      </c>
      <c r="B5" s="41">
        <v>1819</v>
      </c>
      <c r="C5" s="39">
        <f>MemberOfAssemblyAssemblyDistrict22General[[#This Row],[Part of Nassau County Vote Results]]</f>
        <v>1819</v>
      </c>
      <c r="D5" s="42"/>
    </row>
    <row r="6" spans="1:4" ht="14.25" customHeight="1" x14ac:dyDescent="0.2">
      <c r="A6" s="37" t="s">
        <v>772</v>
      </c>
      <c r="B6" s="41">
        <v>1079</v>
      </c>
      <c r="C6" s="39">
        <f>MemberOfAssemblyAssemblyDistrict22General[[#This Row],[Part of Nassau County Vote Results]]</f>
        <v>1079</v>
      </c>
      <c r="D6" s="42"/>
    </row>
    <row r="7" spans="1:4" ht="14.25" customHeight="1" x14ac:dyDescent="0.2">
      <c r="A7" s="40" t="s">
        <v>18</v>
      </c>
      <c r="B7" s="41">
        <v>4196</v>
      </c>
      <c r="C7" s="39">
        <f>MemberOfAssemblyAssemblyDistrict22General[[#This Row],[Part of Nassau County Vote Results]]</f>
        <v>4196</v>
      </c>
      <c r="D7" s="42"/>
    </row>
    <row r="8" spans="1:4" ht="14.25" customHeight="1" x14ac:dyDescent="0.2">
      <c r="A8" s="40" t="s">
        <v>19</v>
      </c>
      <c r="B8" s="41">
        <v>43</v>
      </c>
      <c r="C8" s="39">
        <f>MemberOfAssemblyAssemblyDistrict22General[[#This Row],[Part of Nassau County Vote Results]]</f>
        <v>43</v>
      </c>
      <c r="D8" s="42"/>
    </row>
    <row r="9" spans="1:4" ht="14.25" customHeight="1" x14ac:dyDescent="0.2">
      <c r="A9" s="40" t="s">
        <v>20</v>
      </c>
      <c r="B9" s="41">
        <v>227</v>
      </c>
      <c r="C9" s="39">
        <f>MemberOfAssemblyAssemblyDistrict22General[[#This Row],[Part of Nassau County Vote Results]]</f>
        <v>227</v>
      </c>
      <c r="D9" s="42"/>
    </row>
    <row r="10" spans="1:4" ht="14.25" customHeight="1" x14ac:dyDescent="0.2">
      <c r="A10" s="43" t="s">
        <v>21</v>
      </c>
      <c r="B10" s="41">
        <f>SUM(MemberOfAssemblyAssemblyDistrict22General[Part of Nassau County Vote Results])</f>
        <v>63211</v>
      </c>
      <c r="C10" s="39">
        <f>SUM(MemberOfAssemblyAssemblyDistrict22General[Total Votes by Party])</f>
        <v>63211</v>
      </c>
      <c r="D10"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38BE2-8D36-4B47-A653-55B47352FC0A}">
  <sheetPr>
    <pageSetUpPr fitToPage="1"/>
  </sheetPr>
  <dimension ref="A1:D11"/>
  <sheetViews>
    <sheetView workbookViewId="0">
      <selection activeCell="D3" sqref="D3:D4"/>
    </sheetView>
  </sheetViews>
  <sheetFormatPr defaultRowHeight="12.75" x14ac:dyDescent="0.2"/>
  <cols>
    <col min="1" max="1" width="29" style="32" customWidth="1"/>
    <col min="2" max="4" width="20.5703125" style="32" customWidth="1"/>
    <col min="5" max="6" width="23.5703125" style="32" customWidth="1"/>
    <col min="7" max="16384" width="9.140625" style="32"/>
  </cols>
  <sheetData>
    <row r="1" spans="1:4" ht="24.95" customHeight="1" x14ac:dyDescent="0.2">
      <c r="A1" s="31" t="s">
        <v>773</v>
      </c>
    </row>
    <row r="2" spans="1:4" ht="28.5" customHeight="1" x14ac:dyDescent="0.2">
      <c r="A2" s="33" t="s">
        <v>93</v>
      </c>
      <c r="B2" s="34" t="s">
        <v>232</v>
      </c>
      <c r="C2" s="35" t="s">
        <v>84</v>
      </c>
      <c r="D2" s="36" t="s">
        <v>85</v>
      </c>
    </row>
    <row r="3" spans="1:4" ht="14.25" customHeight="1" x14ac:dyDescent="0.2">
      <c r="A3" s="37" t="s">
        <v>774</v>
      </c>
      <c r="B3" s="38">
        <v>23133</v>
      </c>
      <c r="C3" s="39">
        <f>MemberOfAssemblyAssemblyDistrict23General[[#This Row],[Part of Queens County Vote Results]]</f>
        <v>23133</v>
      </c>
      <c r="D3" s="133">
        <f>SUM(MemberOfAssemblyAssemblyDistrict23General[[#This Row],[Total Votes by Party]],C7)</f>
        <v>24235</v>
      </c>
    </row>
    <row r="4" spans="1:4" ht="14.25" customHeight="1" x14ac:dyDescent="0.2">
      <c r="A4" s="37" t="s">
        <v>775</v>
      </c>
      <c r="B4" s="38">
        <v>20658</v>
      </c>
      <c r="C4" s="39">
        <f>MemberOfAssemblyAssemblyDistrict23General[[#This Row],[Part of Queens County Vote Results]]</f>
        <v>20658</v>
      </c>
      <c r="D4" s="133">
        <f>SUM(MemberOfAssemblyAssemblyDistrict23General[[#This Row],[Total Votes by Party]],C5,C6)</f>
        <v>22667</v>
      </c>
    </row>
    <row r="5" spans="1:4" ht="14.25" customHeight="1" x14ac:dyDescent="0.2">
      <c r="A5" s="37" t="s">
        <v>776</v>
      </c>
      <c r="B5" s="38">
        <v>1733</v>
      </c>
      <c r="C5" s="39">
        <f>MemberOfAssemblyAssemblyDistrict23General[[#This Row],[Part of Queens County Vote Results]]</f>
        <v>1733</v>
      </c>
      <c r="D5" s="42"/>
    </row>
    <row r="6" spans="1:4" ht="14.25" customHeight="1" x14ac:dyDescent="0.2">
      <c r="A6" s="37" t="s">
        <v>777</v>
      </c>
      <c r="B6" s="38">
        <v>276</v>
      </c>
      <c r="C6" s="39">
        <f>MemberOfAssemblyAssemblyDistrict23General[[#This Row],[Part of Queens County Vote Results]]</f>
        <v>276</v>
      </c>
      <c r="D6" s="42"/>
    </row>
    <row r="7" spans="1:4" ht="14.25" customHeight="1" x14ac:dyDescent="0.2">
      <c r="A7" s="54" t="s">
        <v>778</v>
      </c>
      <c r="B7" s="44">
        <v>1102</v>
      </c>
      <c r="C7" s="39">
        <f>MemberOfAssemblyAssemblyDistrict23General[[#This Row],[Part of Queens County Vote Results]]</f>
        <v>1102</v>
      </c>
      <c r="D7" s="42"/>
    </row>
    <row r="8" spans="1:4" ht="14.25" customHeight="1" x14ac:dyDescent="0.2">
      <c r="A8" s="40" t="s">
        <v>18</v>
      </c>
      <c r="B8" s="41">
        <v>1717</v>
      </c>
      <c r="C8" s="39">
        <f>MemberOfAssemblyAssemblyDistrict23General[[#This Row],[Part of Queens County Vote Results]]</f>
        <v>1717</v>
      </c>
      <c r="D8" s="42"/>
    </row>
    <row r="9" spans="1:4" ht="14.25" customHeight="1" x14ac:dyDescent="0.2">
      <c r="A9" s="40" t="s">
        <v>19</v>
      </c>
      <c r="B9" s="41">
        <v>135</v>
      </c>
      <c r="C9" s="39">
        <f>MemberOfAssemblyAssemblyDistrict23General[[#This Row],[Part of Queens County Vote Results]]</f>
        <v>135</v>
      </c>
      <c r="D9" s="42"/>
    </row>
    <row r="10" spans="1:4" ht="14.25" customHeight="1" x14ac:dyDescent="0.2">
      <c r="A10" s="40" t="s">
        <v>20</v>
      </c>
      <c r="B10" s="41">
        <v>92</v>
      </c>
      <c r="C10" s="39">
        <f>MemberOfAssemblyAssemblyDistrict23General[[#This Row],[Part of Queens County Vote Results]]</f>
        <v>92</v>
      </c>
      <c r="D10" s="42"/>
    </row>
    <row r="11" spans="1:4" ht="14.25" customHeight="1" x14ac:dyDescent="0.2">
      <c r="A11" s="49" t="s">
        <v>21</v>
      </c>
      <c r="B11" s="50">
        <f>SUM(MemberOfAssemblyAssemblyDistrict23General[Part of Queens County Vote Results])</f>
        <v>48846</v>
      </c>
      <c r="C11" s="51">
        <f>SUM(MemberOfAssemblyAssemblyDistrict23General[Total Votes by Party])</f>
        <v>48846</v>
      </c>
      <c r="D11"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33378-B1E0-4CBE-907C-C9120E6D83BC}">
  <sheetPr>
    <pageSetUpPr fitToPage="1"/>
  </sheetPr>
  <dimension ref="A1:D12"/>
  <sheetViews>
    <sheetView workbookViewId="0">
      <selection activeCell="D3" sqref="D3: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779</v>
      </c>
    </row>
    <row r="2" spans="1:4" ht="28.5" customHeight="1" x14ac:dyDescent="0.2">
      <c r="A2" s="33" t="s">
        <v>93</v>
      </c>
      <c r="B2" s="34" t="s">
        <v>232</v>
      </c>
      <c r="C2" s="35" t="s">
        <v>84</v>
      </c>
      <c r="D2" s="36" t="s">
        <v>85</v>
      </c>
    </row>
    <row r="3" spans="1:4" ht="14.25" customHeight="1" x14ac:dyDescent="0.2">
      <c r="A3" s="37" t="s">
        <v>780</v>
      </c>
      <c r="B3" s="38">
        <v>23300</v>
      </c>
      <c r="C3" s="39">
        <f>MemberOfAssemblyAssemblyDistrict24General[[#This Row],[Part of Queens County Vote Results]]</f>
        <v>23300</v>
      </c>
      <c r="D3" s="133">
        <f>MemberOfAssemblyAssemblyDistrict24General[[#This Row],[Total Votes by Party]]</f>
        <v>23300</v>
      </c>
    </row>
    <row r="4" spans="1:4" ht="14.25" customHeight="1" x14ac:dyDescent="0.2">
      <c r="A4" s="37" t="s">
        <v>781</v>
      </c>
      <c r="B4" s="38">
        <v>12313</v>
      </c>
      <c r="C4" s="39">
        <f>MemberOfAssemblyAssemblyDistrict24General[[#This Row],[Part of Queens County Vote Results]]</f>
        <v>12313</v>
      </c>
      <c r="D4" s="133">
        <f>SUM(MemberOfAssemblyAssemblyDistrict24General[[#This Row],[Total Votes by Party]],C5,C6)</f>
        <v>13383</v>
      </c>
    </row>
    <row r="5" spans="1:4" ht="14.25" customHeight="1" x14ac:dyDescent="0.2">
      <c r="A5" s="37" t="s">
        <v>782</v>
      </c>
      <c r="B5" s="38">
        <v>883</v>
      </c>
      <c r="C5" s="39">
        <f>MemberOfAssemblyAssemblyDistrict24General[[#This Row],[Part of Queens County Vote Results]]</f>
        <v>883</v>
      </c>
      <c r="D5" s="151"/>
    </row>
    <row r="6" spans="1:4" ht="14.25" customHeight="1" x14ac:dyDescent="0.2">
      <c r="A6" s="37" t="s">
        <v>783</v>
      </c>
      <c r="B6" s="38">
        <v>187</v>
      </c>
      <c r="C6" s="39">
        <f>MemberOfAssemblyAssemblyDistrict24General[[#This Row],[Part of Queens County Vote Results]]</f>
        <v>187</v>
      </c>
      <c r="D6" s="151"/>
    </row>
    <row r="7" spans="1:4" ht="14.25" customHeight="1" x14ac:dyDescent="0.2">
      <c r="A7" s="37" t="s">
        <v>784</v>
      </c>
      <c r="B7" s="38">
        <v>1325</v>
      </c>
      <c r="C7" s="39">
        <f>MemberOfAssemblyAssemblyDistrict24General[[#This Row],[Part of Queens County Vote Results]]</f>
        <v>1325</v>
      </c>
      <c r="D7" s="133">
        <f>SUM(MemberOfAssemblyAssemblyDistrict24General[[#This Row],[Total Votes by Party]])</f>
        <v>1325</v>
      </c>
    </row>
    <row r="8" spans="1:4" ht="14.25" customHeight="1" x14ac:dyDescent="0.2">
      <c r="A8" s="40" t="s">
        <v>18</v>
      </c>
      <c r="B8" s="41">
        <v>2305</v>
      </c>
      <c r="C8" s="39">
        <f>MemberOfAssemblyAssemblyDistrict24General[[#This Row],[Part of Queens County Vote Results]]</f>
        <v>2305</v>
      </c>
      <c r="D8" s="134"/>
    </row>
    <row r="9" spans="1:4" ht="14.25" customHeight="1" x14ac:dyDescent="0.2">
      <c r="A9" s="40" t="s">
        <v>19</v>
      </c>
      <c r="B9" s="41">
        <v>143</v>
      </c>
      <c r="C9" s="39">
        <f>MemberOfAssemblyAssemblyDistrict24General[[#This Row],[Part of Queens County Vote Results]]</f>
        <v>143</v>
      </c>
      <c r="D9" s="42"/>
    </row>
    <row r="10" spans="1:4" ht="14.25" customHeight="1" x14ac:dyDescent="0.2">
      <c r="A10" s="40" t="s">
        <v>20</v>
      </c>
      <c r="B10" s="41">
        <v>131</v>
      </c>
      <c r="C10" s="39">
        <f>MemberOfAssemblyAssemblyDistrict24General[[#This Row],[Part of Queens County Vote Results]]</f>
        <v>131</v>
      </c>
      <c r="D10" s="42"/>
    </row>
    <row r="11" spans="1:4" ht="14.25" customHeight="1" x14ac:dyDescent="0.2">
      <c r="A11" s="16" t="s">
        <v>21</v>
      </c>
      <c r="B11" s="11">
        <f>SUM(MemberOfAssemblyAssemblyDistrict24General[Part of Queens County Vote Results])</f>
        <v>40587</v>
      </c>
      <c r="C11" s="12">
        <f>SUM(MemberOfAssemblyAssemblyDistrict24General[Total Votes by Party])</f>
        <v>40587</v>
      </c>
      <c r="D11" s="14"/>
    </row>
    <row r="12" spans="1:4" x14ac:dyDescent="0.2">
      <c r="B12"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03492-20FC-491B-A477-1F36E2BEFE51}">
  <sheetPr>
    <pageSetUpPr fitToPage="1"/>
  </sheetPr>
  <dimension ref="A1:D10"/>
  <sheetViews>
    <sheetView workbookViewId="0">
      <selection activeCell="A3" sqref="A3:XFD10"/>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785</v>
      </c>
    </row>
    <row r="2" spans="1:4" ht="28.5" customHeight="1" x14ac:dyDescent="0.2">
      <c r="A2" s="33" t="s">
        <v>93</v>
      </c>
      <c r="B2" s="34" t="s">
        <v>232</v>
      </c>
      <c r="C2" s="35" t="s">
        <v>84</v>
      </c>
      <c r="D2" s="36" t="s">
        <v>85</v>
      </c>
    </row>
    <row r="3" spans="1:4" ht="14.25" customHeight="1" x14ac:dyDescent="0.2">
      <c r="A3" s="37" t="s">
        <v>786</v>
      </c>
      <c r="B3" s="38">
        <v>15394</v>
      </c>
      <c r="C3" s="39">
        <f>MemberOfAssemblyAssemblyDistrict25General[[#This Row],[Part of Queens County Vote Results]]</f>
        <v>15394</v>
      </c>
      <c r="D3" s="133">
        <f>SUM(MemberOfAssemblyAssemblyDistrict25General[[#This Row],[Total Votes by Party]],C6)</f>
        <v>16712</v>
      </c>
    </row>
    <row r="4" spans="1:4" ht="14.25" customHeight="1" x14ac:dyDescent="0.2">
      <c r="A4" s="37" t="s">
        <v>787</v>
      </c>
      <c r="B4" s="38">
        <v>13601</v>
      </c>
      <c r="C4" s="39">
        <f>MemberOfAssemblyAssemblyDistrict25General[[#This Row],[Part of Queens County Vote Results]]</f>
        <v>13601</v>
      </c>
      <c r="D4" s="133">
        <f>SUM(MemberOfAssemblyAssemblyDistrict25General[[#This Row],[Total Votes by Party]],C5)</f>
        <v>14741</v>
      </c>
    </row>
    <row r="5" spans="1:4" ht="14.25" customHeight="1" x14ac:dyDescent="0.2">
      <c r="A5" s="37" t="s">
        <v>788</v>
      </c>
      <c r="B5" s="38">
        <v>1140</v>
      </c>
      <c r="C5" s="39">
        <f>MemberOfAssemblyAssemblyDistrict25General[[#This Row],[Part of Queens County Vote Results]]</f>
        <v>1140</v>
      </c>
      <c r="D5" s="42"/>
    </row>
    <row r="6" spans="1:4" ht="14.25" customHeight="1" x14ac:dyDescent="0.2">
      <c r="A6" s="37" t="s">
        <v>789</v>
      </c>
      <c r="B6" s="38">
        <v>1318</v>
      </c>
      <c r="C6" s="39">
        <f>MemberOfAssemblyAssemblyDistrict25General[[#This Row],[Part of Queens County Vote Results]]</f>
        <v>1318</v>
      </c>
      <c r="D6" s="42"/>
    </row>
    <row r="7" spans="1:4" ht="14.25" customHeight="1" x14ac:dyDescent="0.2">
      <c r="A7" s="40" t="s">
        <v>18</v>
      </c>
      <c r="B7" s="41">
        <v>2151</v>
      </c>
      <c r="C7" s="39">
        <f>MemberOfAssemblyAssemblyDistrict25General[[#This Row],[Part of Queens County Vote Results]]</f>
        <v>2151</v>
      </c>
      <c r="D7" s="42"/>
    </row>
    <row r="8" spans="1:4" ht="14.25" customHeight="1" x14ac:dyDescent="0.2">
      <c r="A8" s="40" t="s">
        <v>19</v>
      </c>
      <c r="B8" s="41">
        <v>179</v>
      </c>
      <c r="C8" s="39">
        <f>MemberOfAssemblyAssemblyDistrict25General[[#This Row],[Part of Queens County Vote Results]]</f>
        <v>179</v>
      </c>
      <c r="D8" s="42"/>
    </row>
    <row r="9" spans="1:4" ht="14.25" customHeight="1" x14ac:dyDescent="0.2">
      <c r="A9" s="40" t="s">
        <v>20</v>
      </c>
      <c r="B9" s="41">
        <v>135</v>
      </c>
      <c r="C9" s="39">
        <f>MemberOfAssemblyAssemblyDistrict25General[[#This Row],[Part of Queens County Vote Results]]</f>
        <v>135</v>
      </c>
      <c r="D9" s="42"/>
    </row>
    <row r="10" spans="1:4" ht="14.25" customHeight="1" x14ac:dyDescent="0.2">
      <c r="A10" s="16" t="s">
        <v>21</v>
      </c>
      <c r="B10" s="11">
        <f>SUM(MemberOfAssemblyAssemblyDistrict25General[Part of Queens County Vote Results])</f>
        <v>33918</v>
      </c>
      <c r="C10" s="12">
        <f>SUM(MemberOfAssemblyAssemblyDistrict25General[Total Votes by Party])</f>
        <v>33918</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ADA16-E97B-4EA4-A29E-8AD94B3AF556}">
  <sheetPr>
    <pageSetUpPr fitToPage="1"/>
  </sheetPr>
  <dimension ref="A1:D9"/>
  <sheetViews>
    <sheetView workbookViewId="0">
      <selection activeCell="A3" sqref="A3:XFD9"/>
    </sheetView>
  </sheetViews>
  <sheetFormatPr defaultRowHeight="12.75" x14ac:dyDescent="0.2"/>
  <cols>
    <col min="1" max="1" width="23.42578125" style="32" customWidth="1"/>
    <col min="2" max="4" width="20.5703125" style="32" customWidth="1"/>
    <col min="5" max="6" width="23.5703125" style="32" customWidth="1"/>
    <col min="7" max="16384" width="9.140625" style="32"/>
  </cols>
  <sheetData>
    <row r="1" spans="1:4" ht="24.95" customHeight="1" x14ac:dyDescent="0.2">
      <c r="A1" s="31" t="s">
        <v>790</v>
      </c>
    </row>
    <row r="2" spans="1:4" ht="28.5" customHeight="1" x14ac:dyDescent="0.2">
      <c r="A2" s="33" t="s">
        <v>93</v>
      </c>
      <c r="B2" s="34" t="s">
        <v>232</v>
      </c>
      <c r="C2" s="35" t="s">
        <v>84</v>
      </c>
      <c r="D2" s="36" t="s">
        <v>85</v>
      </c>
    </row>
    <row r="3" spans="1:4" ht="14.25" customHeight="1" x14ac:dyDescent="0.2">
      <c r="A3" s="37" t="s">
        <v>791</v>
      </c>
      <c r="B3" s="38">
        <v>27022</v>
      </c>
      <c r="C3" s="39">
        <f>MemberOfAssemblyAssemblyDistrict26General[[#This Row],[Part of Queens County Vote Results]]</f>
        <v>27022</v>
      </c>
      <c r="D3" s="133">
        <f>SUM(MemberOfAssemblyAssemblyDistrict26General[[#This Row],[Total Votes by Party]])</f>
        <v>27022</v>
      </c>
    </row>
    <row r="4" spans="1:4" ht="14.25" customHeight="1" x14ac:dyDescent="0.2">
      <c r="A4" s="37" t="s">
        <v>792</v>
      </c>
      <c r="B4" s="38">
        <v>11944</v>
      </c>
      <c r="C4" s="39">
        <f>MemberOfAssemblyAssemblyDistrict26General[[#This Row],[Part of Queens County Vote Results]]</f>
        <v>11944</v>
      </c>
      <c r="D4" s="133">
        <f>SUM(MemberOfAssemblyAssemblyDistrict26General[[#This Row],[Total Votes by Party]],C5)</f>
        <v>12738</v>
      </c>
    </row>
    <row r="5" spans="1:4" ht="14.25" customHeight="1" x14ac:dyDescent="0.2">
      <c r="A5" s="37" t="s">
        <v>793</v>
      </c>
      <c r="B5" s="38">
        <v>794</v>
      </c>
      <c r="C5" s="39">
        <f>MemberOfAssemblyAssemblyDistrict26General[[#This Row],[Part of Queens County Vote Results]]</f>
        <v>794</v>
      </c>
      <c r="D5" s="42"/>
    </row>
    <row r="6" spans="1:4" ht="14.25" customHeight="1" x14ac:dyDescent="0.2">
      <c r="A6" s="40" t="s">
        <v>18</v>
      </c>
      <c r="B6" s="41">
        <v>10698</v>
      </c>
      <c r="C6" s="39">
        <f>MemberOfAssemblyAssemblyDistrict26General[[#This Row],[Part of Queens County Vote Results]]</f>
        <v>10698</v>
      </c>
      <c r="D6" s="42"/>
    </row>
    <row r="7" spans="1:4" ht="14.25" customHeight="1" x14ac:dyDescent="0.2">
      <c r="A7" s="40" t="s">
        <v>19</v>
      </c>
      <c r="B7" s="41">
        <v>161</v>
      </c>
      <c r="C7" s="39">
        <f>MemberOfAssemblyAssemblyDistrict26General[[#This Row],[Part of Queens County Vote Results]]</f>
        <v>161</v>
      </c>
      <c r="D7" s="42"/>
    </row>
    <row r="8" spans="1:4" ht="14.25" customHeight="1" x14ac:dyDescent="0.2">
      <c r="A8" s="40" t="s">
        <v>20</v>
      </c>
      <c r="B8" s="41">
        <v>142</v>
      </c>
      <c r="C8" s="39">
        <f>MemberOfAssemblyAssemblyDistrict26General[[#This Row],[Part of Queens County Vote Results]]</f>
        <v>142</v>
      </c>
      <c r="D8" s="42"/>
    </row>
    <row r="9" spans="1:4" ht="14.25" customHeight="1" x14ac:dyDescent="0.2">
      <c r="A9" s="49" t="s">
        <v>21</v>
      </c>
      <c r="B9" s="50">
        <f>SUM(MemberOfAssemblyAssemblyDistrict26General[Part of Queens County Vote Results])</f>
        <v>50761</v>
      </c>
      <c r="C9" s="51">
        <f>SUM(MemberOfAssemblyAssemblyDistrict26General[Total Votes by Party])</f>
        <v>50761</v>
      </c>
      <c r="D9"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12477-B09C-49EB-BF66-F34109B3B5F8}">
  <sheetPr>
    <pageSetUpPr fitToPage="1"/>
  </sheetPr>
  <dimension ref="A1:D8"/>
  <sheetViews>
    <sheetView workbookViewId="0">
      <selection activeCell="A3" sqref="A3:XF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794</v>
      </c>
    </row>
    <row r="2" spans="1:4" ht="28.5" customHeight="1" x14ac:dyDescent="0.2">
      <c r="A2" s="33" t="s">
        <v>93</v>
      </c>
      <c r="B2" s="34" t="s">
        <v>232</v>
      </c>
      <c r="C2" s="35" t="s">
        <v>84</v>
      </c>
      <c r="D2" s="36" t="s">
        <v>85</v>
      </c>
    </row>
    <row r="3" spans="1:4" ht="14.25" customHeight="1" x14ac:dyDescent="0.2">
      <c r="A3" s="37" t="s">
        <v>795</v>
      </c>
      <c r="B3" s="38">
        <v>20429</v>
      </c>
      <c r="C3" s="39">
        <f>MemberOfAssemblyAssemblyDistrict27General[[#This Row],[Part of Queens County Vote Results]]</f>
        <v>20429</v>
      </c>
      <c r="D3" s="133">
        <f>SUM(MemberOfAssemblyAssemblyDistrict27General[[#This Row],[Total Votes by Party]])</f>
        <v>20429</v>
      </c>
    </row>
    <row r="4" spans="1:4" ht="14.25" customHeight="1" x14ac:dyDescent="0.2">
      <c r="A4" s="37" t="s">
        <v>796</v>
      </c>
      <c r="B4" s="38">
        <v>15150</v>
      </c>
      <c r="C4" s="39">
        <f>MemberOfAssemblyAssemblyDistrict27General[[#This Row],[Part of Queens County Vote Results]]</f>
        <v>15150</v>
      </c>
      <c r="D4" s="133">
        <f>SUM(MemberOfAssemblyAssemblyDistrict27General[[#This Row],[Total Votes by Party]])</f>
        <v>15150</v>
      </c>
    </row>
    <row r="5" spans="1:4" ht="14.25" customHeight="1" x14ac:dyDescent="0.2">
      <c r="A5" s="40" t="s">
        <v>18</v>
      </c>
      <c r="B5" s="41">
        <v>3148</v>
      </c>
      <c r="C5" s="39">
        <f>MemberOfAssemblyAssemblyDistrict27General[[#This Row],[Part of Queens County Vote Results]]</f>
        <v>3148</v>
      </c>
      <c r="D5" s="42"/>
    </row>
    <row r="6" spans="1:4" ht="14.25" customHeight="1" x14ac:dyDescent="0.2">
      <c r="A6" s="40" t="s">
        <v>19</v>
      </c>
      <c r="B6" s="41">
        <v>324</v>
      </c>
      <c r="C6" s="39">
        <f>MemberOfAssemblyAssemblyDistrict27General[[#This Row],[Part of Queens County Vote Results]]</f>
        <v>324</v>
      </c>
      <c r="D6" s="42"/>
    </row>
    <row r="7" spans="1:4" ht="14.25" customHeight="1" x14ac:dyDescent="0.2">
      <c r="A7" s="40" t="s">
        <v>20</v>
      </c>
      <c r="B7" s="41">
        <v>96</v>
      </c>
      <c r="C7" s="39">
        <f>MemberOfAssemblyAssemblyDistrict27General[[#This Row],[Part of Queens County Vote Results]]</f>
        <v>96</v>
      </c>
      <c r="D7" s="42"/>
    </row>
    <row r="8" spans="1:4" ht="14.25" customHeight="1" x14ac:dyDescent="0.2">
      <c r="A8" s="16" t="s">
        <v>21</v>
      </c>
      <c r="B8" s="11">
        <f>SUM(MemberOfAssemblyAssemblyDistrict27General[Part of Queens County Vote Results])</f>
        <v>39147</v>
      </c>
      <c r="C8" s="12">
        <f>SUM(MemberOfAssemblyAssemblyDistrict27General[Total Votes by Party])</f>
        <v>39147</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02DF3-6712-4C7E-83F4-1EE0FBEE8F82}">
  <sheetPr>
    <pageSetUpPr fitToPage="1"/>
  </sheetPr>
  <dimension ref="A1:D10"/>
  <sheetViews>
    <sheetView workbookViewId="0">
      <selection activeCell="D3" sqref="D3:D4"/>
    </sheetView>
  </sheetViews>
  <sheetFormatPr defaultRowHeight="12.75" x14ac:dyDescent="0.2"/>
  <cols>
    <col min="1" max="1" width="27.42578125" style="32" customWidth="1"/>
    <col min="2" max="4" width="20.5703125" style="32" customWidth="1"/>
    <col min="5" max="6" width="23.5703125" style="32" customWidth="1"/>
    <col min="7" max="16384" width="9.140625" style="32"/>
  </cols>
  <sheetData>
    <row r="1" spans="1:4" ht="24.95" customHeight="1" x14ac:dyDescent="0.2">
      <c r="A1" s="31" t="s">
        <v>797</v>
      </c>
    </row>
    <row r="2" spans="1:4" ht="28.5" customHeight="1" x14ac:dyDescent="0.2">
      <c r="A2" s="33" t="s">
        <v>93</v>
      </c>
      <c r="B2" s="34" t="s">
        <v>232</v>
      </c>
      <c r="C2" s="35" t="s">
        <v>84</v>
      </c>
      <c r="D2" s="36" t="s">
        <v>85</v>
      </c>
    </row>
    <row r="3" spans="1:4" ht="14.25" customHeight="1" x14ac:dyDescent="0.2">
      <c r="A3" s="37" t="s">
        <v>798</v>
      </c>
      <c r="B3" s="38">
        <v>28376</v>
      </c>
      <c r="C3" s="39">
        <f>MemberOfAssemblyAssemblyDistrict28General[[#This Row],[Part of Queens County Vote Results]]</f>
        <v>28376</v>
      </c>
      <c r="D3" s="133">
        <f>SUM(MemberOfAssemblyAssemblyDistrict28General[[#This Row],[Total Votes by Party]])</f>
        <v>28376</v>
      </c>
    </row>
    <row r="4" spans="1:4" ht="14.25" customHeight="1" x14ac:dyDescent="0.2">
      <c r="A4" s="37" t="s">
        <v>799</v>
      </c>
      <c r="B4" s="38">
        <v>19158</v>
      </c>
      <c r="C4" s="39">
        <f>MemberOfAssemblyAssemblyDistrict28General[[#This Row],[Part of Queens County Vote Results]]</f>
        <v>19158</v>
      </c>
      <c r="D4" s="133">
        <f>SUM(MemberOfAssemblyAssemblyDistrict28General[[#This Row],[Total Votes by Party]],C5,C6)</f>
        <v>19900</v>
      </c>
    </row>
    <row r="5" spans="1:4" ht="14.25" customHeight="1" x14ac:dyDescent="0.2">
      <c r="A5" s="37" t="s">
        <v>800</v>
      </c>
      <c r="B5" s="38">
        <v>547</v>
      </c>
      <c r="C5" s="39">
        <f>MemberOfAssemblyAssemblyDistrict28General[[#This Row],[Part of Queens County Vote Results]]</f>
        <v>547</v>
      </c>
      <c r="D5" s="42"/>
    </row>
    <row r="6" spans="1:4" ht="14.25" customHeight="1" x14ac:dyDescent="0.2">
      <c r="A6" s="37" t="s">
        <v>801</v>
      </c>
      <c r="B6" s="38">
        <v>195</v>
      </c>
      <c r="C6" s="39">
        <f>MemberOfAssemblyAssemblyDistrict28General[[#This Row],[Part of Queens County Vote Results]]</f>
        <v>195</v>
      </c>
      <c r="D6" s="42"/>
    </row>
    <row r="7" spans="1:4" ht="14.25" customHeight="1" x14ac:dyDescent="0.2">
      <c r="A7" s="40" t="s">
        <v>18</v>
      </c>
      <c r="B7" s="41">
        <v>3051</v>
      </c>
      <c r="C7" s="39">
        <f>MemberOfAssemblyAssemblyDistrict28General[[#This Row],[Part of Queens County Vote Results]]</f>
        <v>3051</v>
      </c>
      <c r="D7" s="42"/>
    </row>
    <row r="8" spans="1:4" ht="14.25" customHeight="1" x14ac:dyDescent="0.2">
      <c r="A8" s="40" t="s">
        <v>19</v>
      </c>
      <c r="B8" s="41">
        <v>366</v>
      </c>
      <c r="C8" s="39">
        <f>MemberOfAssemblyAssemblyDistrict28General[[#This Row],[Part of Queens County Vote Results]]</f>
        <v>366</v>
      </c>
      <c r="D8" s="42"/>
    </row>
    <row r="9" spans="1:4" ht="14.25" customHeight="1" x14ac:dyDescent="0.2">
      <c r="A9" s="40" t="s">
        <v>20</v>
      </c>
      <c r="B9" s="41">
        <v>117</v>
      </c>
      <c r="C9" s="39">
        <f>MemberOfAssemblyAssemblyDistrict28General[[#This Row],[Part of Queens County Vote Results]]</f>
        <v>117</v>
      </c>
      <c r="D9" s="42"/>
    </row>
    <row r="10" spans="1:4" ht="14.25" customHeight="1" x14ac:dyDescent="0.2">
      <c r="A10" s="49" t="s">
        <v>21</v>
      </c>
      <c r="B10" s="50">
        <f>SUM(MemberOfAssemblyAssemblyDistrict28General[Part of Queens County Vote Results])</f>
        <v>51810</v>
      </c>
      <c r="C10" s="51">
        <f>SUM(MemberOfAssemblyAssemblyDistrict28General[Total Votes by Party])</f>
        <v>51810</v>
      </c>
      <c r="D10"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BCDE2-4F90-427E-A49E-B3DC4C8D9426}">
  <sheetPr>
    <pageSetUpPr fitToPage="1"/>
  </sheetPr>
  <dimension ref="A1:D9"/>
  <sheetViews>
    <sheetView workbookViewId="0">
      <selection activeCell="A11" sqref="A11"/>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802</v>
      </c>
    </row>
    <row r="2" spans="1:4" ht="28.5" customHeight="1" x14ac:dyDescent="0.2">
      <c r="A2" s="33" t="s">
        <v>93</v>
      </c>
      <c r="B2" s="34" t="s">
        <v>232</v>
      </c>
      <c r="C2" s="35" t="s">
        <v>84</v>
      </c>
      <c r="D2" s="36" t="s">
        <v>85</v>
      </c>
    </row>
    <row r="3" spans="1:4" ht="14.25" customHeight="1" x14ac:dyDescent="0.2">
      <c r="A3" s="37" t="s">
        <v>803</v>
      </c>
      <c r="B3" s="38">
        <v>37110</v>
      </c>
      <c r="C3" s="39">
        <f>MemberOfAssemblyAssemblyDistrict29General[[#This Row],[Part of Queens County Vote Results]]</f>
        <v>37110</v>
      </c>
      <c r="D3" s="133">
        <f>SUM(MemberOfAssemblyAssemblyDistrict29General[[#This Row],[Total Votes by Party]])</f>
        <v>37110</v>
      </c>
    </row>
    <row r="4" spans="1:4" ht="14.25" customHeight="1" x14ac:dyDescent="0.2">
      <c r="A4" s="37" t="s">
        <v>804</v>
      </c>
      <c r="B4" s="38">
        <v>6015</v>
      </c>
      <c r="C4" s="39">
        <f>MemberOfAssemblyAssemblyDistrict29General[[#This Row],[Part of Queens County Vote Results]]</f>
        <v>6015</v>
      </c>
      <c r="D4" s="133">
        <f>SUM(MemberOfAssemblyAssemblyDistrict29General[[#This Row],[Total Votes by Party]])</f>
        <v>6015</v>
      </c>
    </row>
    <row r="5" spans="1:4" ht="14.25" customHeight="1" x14ac:dyDescent="0.2">
      <c r="A5" s="40" t="s">
        <v>18</v>
      </c>
      <c r="B5" s="41">
        <v>2048</v>
      </c>
      <c r="C5" s="39">
        <f>MemberOfAssemblyAssemblyDistrict29General[[#This Row],[Part of Queens County Vote Results]]</f>
        <v>2048</v>
      </c>
      <c r="D5" s="42"/>
    </row>
    <row r="6" spans="1:4" ht="14.25" customHeight="1" x14ac:dyDescent="0.2">
      <c r="A6" s="40" t="s">
        <v>19</v>
      </c>
      <c r="B6" s="41">
        <v>64</v>
      </c>
      <c r="C6" s="39">
        <f>MemberOfAssemblyAssemblyDistrict29General[[#This Row],[Part of Queens County Vote Results]]</f>
        <v>64</v>
      </c>
      <c r="D6" s="42"/>
    </row>
    <row r="7" spans="1:4" ht="14.25" customHeight="1" x14ac:dyDescent="0.2">
      <c r="A7" s="40" t="s">
        <v>20</v>
      </c>
      <c r="B7" s="41">
        <v>142</v>
      </c>
      <c r="C7" s="39">
        <f>MemberOfAssemblyAssemblyDistrict29General[[#This Row],[Part of Queens County Vote Results]]</f>
        <v>142</v>
      </c>
      <c r="D7" s="42"/>
    </row>
    <row r="8" spans="1:4" ht="14.25" customHeight="1" x14ac:dyDescent="0.2">
      <c r="A8" s="16" t="s">
        <v>21</v>
      </c>
      <c r="B8" s="11">
        <f>SUM(MemberOfAssemblyAssemblyDistrict29General[Part of Queens County Vote Results])</f>
        <v>45379</v>
      </c>
      <c r="C8" s="12">
        <f>SUM(MemberOfAssemblyAssemblyDistrict29General[Total Votes by Party])</f>
        <v>45379</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1F1A7-B7A2-49B0-8B64-A1A4F2085D48}">
  <sheetPr>
    <pageSetUpPr fitToPage="1"/>
  </sheetPr>
  <dimension ref="A1:D10"/>
  <sheetViews>
    <sheetView workbookViewId="0">
      <selection activeCell="E17" sqref="E1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805</v>
      </c>
    </row>
    <row r="2" spans="1:4" ht="28.5" customHeight="1" x14ac:dyDescent="0.2">
      <c r="A2" s="33" t="s">
        <v>93</v>
      </c>
      <c r="B2" s="34" t="s">
        <v>232</v>
      </c>
      <c r="C2" s="35" t="s">
        <v>84</v>
      </c>
      <c r="D2" s="36" t="s">
        <v>85</v>
      </c>
    </row>
    <row r="3" spans="1:4" ht="14.25" customHeight="1" x14ac:dyDescent="0.2">
      <c r="A3" s="37" t="s">
        <v>806</v>
      </c>
      <c r="B3" s="38">
        <v>16396</v>
      </c>
      <c r="C3" s="39">
        <f>MemberOfAssemblyAssemblyDistrict30General[[#This Row],[Part of Queens County Vote Results]]</f>
        <v>16396</v>
      </c>
      <c r="D3" s="133">
        <f>SUM(MemberOfAssemblyAssemblyDistrict30General[[#This Row],[Total Votes by Party]],C5)</f>
        <v>18453</v>
      </c>
    </row>
    <row r="4" spans="1:4" ht="14.25" customHeight="1" x14ac:dyDescent="0.2">
      <c r="A4" s="37" t="s">
        <v>807</v>
      </c>
      <c r="B4" s="38">
        <v>11720</v>
      </c>
      <c r="C4" s="39">
        <f>MemberOfAssemblyAssemblyDistrict30General[[#This Row],[Part of Queens County Vote Results]]</f>
        <v>11720</v>
      </c>
      <c r="D4" s="133">
        <f>SUM(MemberOfAssemblyAssemblyDistrict30General[[#This Row],[Total Votes by Party]],C6)</f>
        <v>12025</v>
      </c>
    </row>
    <row r="5" spans="1:4" ht="14.25" customHeight="1" x14ac:dyDescent="0.2">
      <c r="A5" s="37" t="s">
        <v>808</v>
      </c>
      <c r="B5" s="38">
        <v>2057</v>
      </c>
      <c r="C5" s="39">
        <f>MemberOfAssemblyAssemblyDistrict30General[[#This Row],[Part of Queens County Vote Results]]</f>
        <v>2057</v>
      </c>
      <c r="D5" s="42"/>
    </row>
    <row r="6" spans="1:4" ht="14.25" customHeight="1" x14ac:dyDescent="0.2">
      <c r="A6" s="37" t="s">
        <v>809</v>
      </c>
      <c r="B6" s="38">
        <v>305</v>
      </c>
      <c r="C6" s="39">
        <f>MemberOfAssemblyAssemblyDistrict30General[[#This Row],[Part of Queens County Vote Results]]</f>
        <v>305</v>
      </c>
      <c r="D6" s="42"/>
    </row>
    <row r="7" spans="1:4" ht="14.25" customHeight="1" x14ac:dyDescent="0.2">
      <c r="A7" s="40" t="s">
        <v>18</v>
      </c>
      <c r="B7" s="41">
        <v>2366</v>
      </c>
      <c r="C7" s="39">
        <f>MemberOfAssemblyAssemblyDistrict30General[[#This Row],[Part of Queens County Vote Results]]</f>
        <v>2366</v>
      </c>
      <c r="D7" s="42"/>
    </row>
    <row r="8" spans="1:4" ht="14.25" customHeight="1" x14ac:dyDescent="0.2">
      <c r="A8" s="40" t="s">
        <v>19</v>
      </c>
      <c r="B8" s="41">
        <v>154</v>
      </c>
      <c r="C8" s="39">
        <f>MemberOfAssemblyAssemblyDistrict30General[[#This Row],[Part of Queens County Vote Results]]</f>
        <v>154</v>
      </c>
      <c r="D8" s="42"/>
    </row>
    <row r="9" spans="1:4" ht="14.25" customHeight="1" x14ac:dyDescent="0.2">
      <c r="A9" s="40" t="s">
        <v>20</v>
      </c>
      <c r="B9" s="41">
        <v>94</v>
      </c>
      <c r="C9" s="39">
        <f>MemberOfAssemblyAssemblyDistrict30General[[#This Row],[Part of Queens County Vote Results]]</f>
        <v>94</v>
      </c>
      <c r="D9" s="42"/>
    </row>
    <row r="10" spans="1:4" ht="14.25" customHeight="1" x14ac:dyDescent="0.2">
      <c r="A10" s="16" t="s">
        <v>21</v>
      </c>
      <c r="B10" s="11">
        <f>SUM(MemberOfAssemblyAssemblyDistrict30General[Part of Queens County Vote Results])</f>
        <v>33092</v>
      </c>
      <c r="C10" s="12">
        <f>SUM(MemberOfAssemblyAssemblyDistrict30General[Total Votes by Party])</f>
        <v>33092</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4CAB-6150-4F1B-9727-DB5B2B54C02B}">
  <sheetPr>
    <pageSetUpPr fitToPage="1"/>
  </sheetPr>
  <dimension ref="A1:F12"/>
  <sheetViews>
    <sheetView zoomScaleNormal="100" zoomScaleSheetLayoutView="110" workbookViewId="0"/>
  </sheetViews>
  <sheetFormatPr defaultRowHeight="12.75" x14ac:dyDescent="0.2"/>
  <cols>
    <col min="1" max="1" width="25.5703125" customWidth="1"/>
    <col min="2" max="6" width="20.5703125" customWidth="1"/>
    <col min="7" max="8" width="23.5703125" customWidth="1"/>
  </cols>
  <sheetData>
    <row r="1" spans="1:6" ht="24.75" customHeight="1" x14ac:dyDescent="0.2">
      <c r="A1" s="72" t="s">
        <v>231</v>
      </c>
      <c r="B1" s="108"/>
      <c r="C1" s="108"/>
      <c r="D1" s="108"/>
      <c r="E1" s="108"/>
      <c r="F1" s="108"/>
    </row>
    <row r="2" spans="1:6" ht="28.5" customHeight="1" x14ac:dyDescent="0.2">
      <c r="A2" s="6" t="s">
        <v>93</v>
      </c>
      <c r="B2" s="7" t="s">
        <v>226</v>
      </c>
      <c r="C2" s="7" t="s">
        <v>232</v>
      </c>
      <c r="D2" s="7" t="s">
        <v>233</v>
      </c>
      <c r="E2" s="8" t="s">
        <v>84</v>
      </c>
      <c r="F2" s="9" t="s">
        <v>85</v>
      </c>
    </row>
    <row r="3" spans="1:6" ht="14.25" customHeight="1" x14ac:dyDescent="0.2">
      <c r="A3" s="28" t="s">
        <v>234</v>
      </c>
      <c r="B3" s="100">
        <v>134380</v>
      </c>
      <c r="C3" s="100">
        <v>37952</v>
      </c>
      <c r="D3" s="118">
        <v>13159</v>
      </c>
      <c r="E3" s="101">
        <f t="shared" ref="E3:E9" si="0">SUM(B3,C3,D3)</f>
        <v>185491</v>
      </c>
      <c r="F3" s="113">
        <f>SUM(RepInCongressCongressionalDistrict3General[[#This Row],[Total Votes by Party]],E6)</f>
        <v>187651</v>
      </c>
    </row>
    <row r="4" spans="1:6" ht="14.25" customHeight="1" x14ac:dyDescent="0.2">
      <c r="A4" s="28" t="s">
        <v>235</v>
      </c>
      <c r="B4" s="100">
        <v>122141</v>
      </c>
      <c r="C4" s="100">
        <v>29237</v>
      </c>
      <c r="D4" s="118">
        <v>9818</v>
      </c>
      <c r="E4" s="101">
        <f t="shared" si="0"/>
        <v>161196</v>
      </c>
      <c r="F4" s="113">
        <f>SUM(RepInCongressCongressionalDistrict3General[[#This Row],[Total Votes by Party]],E5)</f>
        <v>174693</v>
      </c>
    </row>
    <row r="5" spans="1:6" ht="14.25" customHeight="1" x14ac:dyDescent="0.2">
      <c r="A5" s="28" t="s">
        <v>236</v>
      </c>
      <c r="B5" s="100">
        <v>9821</v>
      </c>
      <c r="C5" s="100">
        <v>2496</v>
      </c>
      <c r="D5" s="118">
        <v>1180</v>
      </c>
      <c r="E5" s="101">
        <f t="shared" si="0"/>
        <v>13497</v>
      </c>
      <c r="F5" s="111"/>
    </row>
    <row r="6" spans="1:6" ht="14.25" customHeight="1" x14ac:dyDescent="0.2">
      <c r="A6" s="29" t="s">
        <v>237</v>
      </c>
      <c r="B6" s="110">
        <v>1149</v>
      </c>
      <c r="C6" s="110">
        <v>869</v>
      </c>
      <c r="D6" s="118">
        <v>142</v>
      </c>
      <c r="E6" s="101">
        <f t="shared" si="0"/>
        <v>2160</v>
      </c>
      <c r="F6" s="111"/>
    </row>
    <row r="7" spans="1:6" ht="14.25" customHeight="1" x14ac:dyDescent="0.2">
      <c r="A7" s="29" t="s">
        <v>18</v>
      </c>
      <c r="B7" s="100">
        <v>14045</v>
      </c>
      <c r="C7" s="100">
        <v>3183</v>
      </c>
      <c r="D7" s="118">
        <v>1087</v>
      </c>
      <c r="E7" s="101">
        <f t="shared" si="0"/>
        <v>18315</v>
      </c>
      <c r="F7" s="111"/>
    </row>
    <row r="8" spans="1:6" ht="14.25" customHeight="1" x14ac:dyDescent="0.2">
      <c r="A8" s="29" t="s">
        <v>19</v>
      </c>
      <c r="B8" s="100">
        <v>420</v>
      </c>
      <c r="C8" s="100">
        <v>0</v>
      </c>
      <c r="D8" s="118">
        <v>23</v>
      </c>
      <c r="E8" s="101">
        <f t="shared" si="0"/>
        <v>443</v>
      </c>
      <c r="F8" s="111"/>
    </row>
    <row r="9" spans="1:6" ht="14.25" customHeight="1" x14ac:dyDescent="0.2">
      <c r="A9" s="29" t="s">
        <v>20</v>
      </c>
      <c r="B9" s="100">
        <v>512</v>
      </c>
      <c r="C9" s="100">
        <v>261</v>
      </c>
      <c r="D9" s="118">
        <v>7</v>
      </c>
      <c r="E9" s="101">
        <f t="shared" si="0"/>
        <v>780</v>
      </c>
      <c r="F9" s="111"/>
    </row>
    <row r="10" spans="1:6" ht="14.25" customHeight="1" x14ac:dyDescent="0.2">
      <c r="A10" s="29" t="s">
        <v>21</v>
      </c>
      <c r="B10" s="119">
        <f>SUM(RepInCongressCongressionalDistrict3General[Part of Nassau County Vote Results])</f>
        <v>282468</v>
      </c>
      <c r="C10" s="119">
        <f>SUM(RepInCongressCongressionalDistrict3General[Part of Queens County Vote Results])</f>
        <v>73998</v>
      </c>
      <c r="D10" s="119">
        <f>SUM(RepInCongressCongressionalDistrict3General[Part of Suffolk County
Vote Results])</f>
        <v>25416</v>
      </c>
      <c r="E10" s="101">
        <f>SUM(RepInCongressCongressionalDistrict3General[Total Votes by Party])</f>
        <v>381882</v>
      </c>
      <c r="F10" s="111"/>
    </row>
    <row r="11" spans="1:6" ht="14.25" x14ac:dyDescent="0.2">
      <c r="C11" s="70"/>
      <c r="D11" s="70"/>
    </row>
    <row r="12" spans="1:6" x14ac:dyDescent="0.2">
      <c r="D12" s="18"/>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9AD82-3E2C-40BB-AB4A-6B94F6C4EE1F}">
  <sheetPr>
    <pageSetUpPr fitToPage="1"/>
  </sheetPr>
  <dimension ref="A1:D8"/>
  <sheetViews>
    <sheetView workbookViewId="0">
      <selection activeCell="C16" sqref="C16"/>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810</v>
      </c>
    </row>
    <row r="2" spans="1:4" ht="28.5" customHeight="1" x14ac:dyDescent="0.2">
      <c r="A2" s="33" t="s">
        <v>93</v>
      </c>
      <c r="B2" s="34" t="s">
        <v>232</v>
      </c>
      <c r="C2" s="35" t="s">
        <v>84</v>
      </c>
      <c r="D2" s="36" t="s">
        <v>85</v>
      </c>
    </row>
    <row r="3" spans="1:4" ht="14.25" customHeight="1" x14ac:dyDescent="0.2">
      <c r="A3" s="37" t="s">
        <v>811</v>
      </c>
      <c r="B3" s="38">
        <v>26045</v>
      </c>
      <c r="C3" s="39">
        <f>MemberOfAssemblyAssemblyDistrict31General[[#This Row],[Part of Queens County Vote Results]]</f>
        <v>26045</v>
      </c>
      <c r="D3" s="133">
        <f>SUM(MemberOfAssemblyAssemblyDistrict31General[[#This Row],[Total Votes by Party]],C4)</f>
        <v>28127</v>
      </c>
    </row>
    <row r="4" spans="1:4" ht="14.25" customHeight="1" x14ac:dyDescent="0.2">
      <c r="A4" s="37" t="s">
        <v>812</v>
      </c>
      <c r="B4" s="38">
        <v>2082</v>
      </c>
      <c r="C4" s="39">
        <f>MemberOfAssemblyAssemblyDistrict31General[[#This Row],[Part of Queens County Vote Results]]</f>
        <v>2082</v>
      </c>
      <c r="D4" s="42"/>
    </row>
    <row r="5" spans="1:4" ht="14.25" customHeight="1" x14ac:dyDescent="0.2">
      <c r="A5" s="40" t="s">
        <v>18</v>
      </c>
      <c r="B5" s="41">
        <v>6103</v>
      </c>
      <c r="C5" s="39">
        <f>MemberOfAssemblyAssemblyDistrict31General[[#This Row],[Part of Queens County Vote Results]]</f>
        <v>6103</v>
      </c>
      <c r="D5" s="42"/>
    </row>
    <row r="6" spans="1:4" ht="14.25" customHeight="1" x14ac:dyDescent="0.2">
      <c r="A6" s="40" t="s">
        <v>19</v>
      </c>
      <c r="B6" s="41">
        <v>44</v>
      </c>
      <c r="C6" s="39">
        <f>MemberOfAssemblyAssemblyDistrict31General[[#This Row],[Part of Queens County Vote Results]]</f>
        <v>44</v>
      </c>
      <c r="D6" s="42"/>
    </row>
    <row r="7" spans="1:4" ht="14.25" customHeight="1" x14ac:dyDescent="0.2">
      <c r="A7" s="40" t="s">
        <v>20</v>
      </c>
      <c r="B7" s="41">
        <v>172</v>
      </c>
      <c r="C7" s="39">
        <f>MemberOfAssemblyAssemblyDistrict31General[[#This Row],[Part of Queens County Vote Results]]</f>
        <v>172</v>
      </c>
      <c r="D7" s="42"/>
    </row>
    <row r="8" spans="1:4" ht="14.25" customHeight="1" x14ac:dyDescent="0.2">
      <c r="A8" s="49" t="s">
        <v>21</v>
      </c>
      <c r="B8" s="50">
        <f>SUM(MemberOfAssemblyAssemblyDistrict31General[Part of Queens County Vote Results])</f>
        <v>34446</v>
      </c>
      <c r="C8" s="51">
        <f>SUM(MemberOfAssemblyAssemblyDistrict31General[Total Votes by Party])</f>
        <v>34446</v>
      </c>
      <c r="D8" s="5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9F9C9-ACE2-4D4B-AA29-5CDF365D2C41}">
  <sheetPr>
    <pageSetUpPr fitToPage="1"/>
  </sheetPr>
  <dimension ref="A1:D8"/>
  <sheetViews>
    <sheetView workbookViewId="0">
      <selection activeCell="A3" sqref="A3:XFD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813</v>
      </c>
    </row>
    <row r="2" spans="1:4" ht="28.5" customHeight="1" x14ac:dyDescent="0.2">
      <c r="A2" s="33" t="s">
        <v>93</v>
      </c>
      <c r="B2" s="34" t="s">
        <v>232</v>
      </c>
      <c r="C2" s="35" t="s">
        <v>84</v>
      </c>
      <c r="D2" s="36" t="s">
        <v>85</v>
      </c>
    </row>
    <row r="3" spans="1:4" ht="14.25" customHeight="1" x14ac:dyDescent="0.2">
      <c r="A3" s="37" t="s">
        <v>814</v>
      </c>
      <c r="B3" s="38">
        <v>32663</v>
      </c>
      <c r="C3" s="39">
        <f>MemberOfAssemblyAssemblyDistrict32General[[#This Row],[Part of Queens County Vote Results]]</f>
        <v>32663</v>
      </c>
      <c r="D3" s="133">
        <f>SUM(MemberOfAssemblyAssemblyDistrict32General[[#This Row],[Total Votes by Party]])</f>
        <v>32663</v>
      </c>
    </row>
    <row r="4" spans="1:4" ht="14.25" customHeight="1" x14ac:dyDescent="0.2">
      <c r="A4" s="40" t="s">
        <v>18</v>
      </c>
      <c r="B4" s="41">
        <v>6174</v>
      </c>
      <c r="C4" s="39">
        <f>MemberOfAssemblyAssemblyDistrict32General[[#This Row],[Part of Queens County Vote Results]]</f>
        <v>6174</v>
      </c>
      <c r="D4" s="42"/>
    </row>
    <row r="5" spans="1:4" ht="14.25" customHeight="1" x14ac:dyDescent="0.2">
      <c r="A5" s="40" t="s">
        <v>19</v>
      </c>
      <c r="B5" s="41">
        <v>32</v>
      </c>
      <c r="C5" s="39">
        <f>MemberOfAssemblyAssemblyDistrict32General[[#This Row],[Part of Queens County Vote Results]]</f>
        <v>32</v>
      </c>
      <c r="D5" s="42"/>
    </row>
    <row r="6" spans="1:4" ht="14.25" customHeight="1" x14ac:dyDescent="0.2">
      <c r="A6" s="40" t="s">
        <v>20</v>
      </c>
      <c r="B6" s="41">
        <v>184</v>
      </c>
      <c r="C6" s="39">
        <f>MemberOfAssemblyAssemblyDistrict32General[[#This Row],[Part of Queens County Vote Results]]</f>
        <v>184</v>
      </c>
      <c r="D6" s="42"/>
    </row>
    <row r="7" spans="1:4" ht="14.25" customHeight="1" x14ac:dyDescent="0.2">
      <c r="A7" s="43" t="s">
        <v>21</v>
      </c>
      <c r="B7" s="41">
        <f>SUM(MemberOfAssemblyAssemblyDistrict32General[Part of Queens County Vote Results])</f>
        <v>39053</v>
      </c>
      <c r="C7" s="39">
        <f>SUM(MemberOfAssemblyAssemblyDistrict32General[Total Votes by Party])</f>
        <v>39053</v>
      </c>
      <c r="D7" s="42"/>
    </row>
    <row r="8" spans="1:4" x14ac:dyDescent="0.2">
      <c r="B8"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93EB4-1DC2-489D-9C60-FC5F57C97EDF}">
  <sheetPr>
    <pageSetUpPr fitToPage="1"/>
  </sheetPr>
  <dimension ref="A1:D8"/>
  <sheetViews>
    <sheetView workbookViewId="0">
      <selection activeCell="A3" sqref="A3:XFD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815</v>
      </c>
    </row>
    <row r="2" spans="1:4" ht="28.5" customHeight="1" x14ac:dyDescent="0.2">
      <c r="A2" s="33" t="s">
        <v>93</v>
      </c>
      <c r="B2" s="34" t="s">
        <v>232</v>
      </c>
      <c r="C2" s="35" t="s">
        <v>84</v>
      </c>
      <c r="D2" s="36" t="s">
        <v>85</v>
      </c>
    </row>
    <row r="3" spans="1:4" ht="14.25" customHeight="1" x14ac:dyDescent="0.2">
      <c r="A3" s="37" t="s">
        <v>816</v>
      </c>
      <c r="B3" s="38">
        <v>39298</v>
      </c>
      <c r="C3" s="39">
        <f>MemberOfAssemblyAssemblyDistrict33General[[#This Row],[Part of Queens County Vote Results]]</f>
        <v>39298</v>
      </c>
      <c r="D3" s="133">
        <f>SUM(MemberOfAssemblyAssemblyDistrict33General[[#This Row],[Total Votes by Party]])</f>
        <v>39298</v>
      </c>
    </row>
    <row r="4" spans="1:4" ht="14.25" customHeight="1" x14ac:dyDescent="0.2">
      <c r="A4" s="40" t="s">
        <v>18</v>
      </c>
      <c r="B4" s="41">
        <v>9789</v>
      </c>
      <c r="C4" s="39">
        <f>MemberOfAssemblyAssemblyDistrict33General[[#This Row],[Part of Queens County Vote Results]]</f>
        <v>9789</v>
      </c>
      <c r="D4" s="42"/>
    </row>
    <row r="5" spans="1:4" ht="14.25" customHeight="1" x14ac:dyDescent="0.2">
      <c r="A5" s="40" t="s">
        <v>19</v>
      </c>
      <c r="B5" s="41">
        <v>70</v>
      </c>
      <c r="C5" s="39">
        <f>MemberOfAssemblyAssemblyDistrict33General[[#This Row],[Part of Queens County Vote Results]]</f>
        <v>70</v>
      </c>
      <c r="D5" s="42"/>
    </row>
    <row r="6" spans="1:4" ht="14.25" customHeight="1" x14ac:dyDescent="0.2">
      <c r="A6" s="40" t="s">
        <v>20</v>
      </c>
      <c r="B6" s="41">
        <v>443</v>
      </c>
      <c r="C6" s="39">
        <f>MemberOfAssemblyAssemblyDistrict33General[[#This Row],[Part of Queens County Vote Results]]</f>
        <v>443</v>
      </c>
      <c r="D6" s="42"/>
    </row>
    <row r="7" spans="1:4" ht="14.25" customHeight="1" x14ac:dyDescent="0.2">
      <c r="A7" s="43" t="s">
        <v>21</v>
      </c>
      <c r="B7" s="41">
        <f>SUM(MemberOfAssemblyAssemblyDistrict33General[Part of Queens County Vote Results])</f>
        <v>49600</v>
      </c>
      <c r="C7" s="39">
        <f>SUM(MemberOfAssemblyAssemblyDistrict33General[Total Votes by Party])</f>
        <v>49600</v>
      </c>
      <c r="D7" s="42"/>
    </row>
    <row r="8" spans="1:4" x14ac:dyDescent="0.2">
      <c r="B8"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DE330-343F-4133-92D5-8422AEB7A1C2}">
  <sheetPr>
    <pageSetUpPr fitToPage="1"/>
  </sheetPr>
  <dimension ref="A1:D9"/>
  <sheetViews>
    <sheetView workbookViewId="0">
      <selection activeCell="A3" sqref="A3:XFD9"/>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817</v>
      </c>
    </row>
    <row r="2" spans="1:4" ht="28.5" customHeight="1" x14ac:dyDescent="0.2">
      <c r="A2" s="33" t="s">
        <v>93</v>
      </c>
      <c r="B2" s="34" t="s">
        <v>232</v>
      </c>
      <c r="C2" s="35" t="s">
        <v>84</v>
      </c>
      <c r="D2" s="36" t="s">
        <v>85</v>
      </c>
    </row>
    <row r="3" spans="1:4" ht="14.25" customHeight="1" x14ac:dyDescent="0.2">
      <c r="A3" s="37" t="s">
        <v>818</v>
      </c>
      <c r="B3" s="38">
        <v>21293</v>
      </c>
      <c r="C3" s="39">
        <f>MemberOfAssemblyAssemblyDistrict34General[[#This Row],[Part of Queens County Vote Results]]</f>
        <v>21293</v>
      </c>
      <c r="D3" s="133">
        <f>SUM(MemberOfAssemblyAssemblyDistrict34General[[#This Row],[Total Votes by Party]],C4)</f>
        <v>26635</v>
      </c>
    </row>
    <row r="4" spans="1:4" ht="14.25" customHeight="1" x14ac:dyDescent="0.2">
      <c r="A4" s="37" t="s">
        <v>819</v>
      </c>
      <c r="B4" s="38">
        <v>5342</v>
      </c>
      <c r="C4" s="39">
        <f>MemberOfAssemblyAssemblyDistrict34General[[#This Row],[Part of Queens County Vote Results]]</f>
        <v>5342</v>
      </c>
      <c r="D4" s="42"/>
    </row>
    <row r="5" spans="1:4" ht="14.25" customHeight="1" x14ac:dyDescent="0.2">
      <c r="A5" s="40" t="s">
        <v>18</v>
      </c>
      <c r="B5" s="41">
        <v>11133</v>
      </c>
      <c r="C5" s="39">
        <f>MemberOfAssemblyAssemblyDistrict34General[[#This Row],[Part of Queens County Vote Results]]</f>
        <v>11133</v>
      </c>
      <c r="D5" s="42"/>
    </row>
    <row r="6" spans="1:4" ht="14.25" customHeight="1" x14ac:dyDescent="0.2">
      <c r="A6" s="40" t="s">
        <v>19</v>
      </c>
      <c r="B6" s="41">
        <v>219</v>
      </c>
      <c r="C6" s="39">
        <f>MemberOfAssemblyAssemblyDistrict34General[[#This Row],[Part of Queens County Vote Results]]</f>
        <v>219</v>
      </c>
      <c r="D6" s="42"/>
    </row>
    <row r="7" spans="1:4" ht="14.25" customHeight="1" x14ac:dyDescent="0.2">
      <c r="A7" s="40" t="s">
        <v>20</v>
      </c>
      <c r="B7" s="41">
        <v>491</v>
      </c>
      <c r="C7" s="39">
        <f>MemberOfAssemblyAssemblyDistrict34General[[#This Row],[Part of Queens County Vote Results]]</f>
        <v>491</v>
      </c>
      <c r="D7" s="42"/>
    </row>
    <row r="8" spans="1:4" ht="14.25" customHeight="1" x14ac:dyDescent="0.2">
      <c r="A8" s="49" t="s">
        <v>21</v>
      </c>
      <c r="B8" s="50">
        <f>SUM(MemberOfAssemblyAssemblyDistrict34General[Part of Queens County Vote Results])</f>
        <v>38478</v>
      </c>
      <c r="C8" s="51">
        <f>SUM(MemberOfAssemblyAssemblyDistrict34General[Total Votes by Party])</f>
        <v>38478</v>
      </c>
      <c r="D8" s="52"/>
    </row>
    <row r="9" spans="1:4" ht="14.25" customHeight="1" x14ac:dyDescent="0.2">
      <c r="B9"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EFB0C-0C4D-4B4B-960F-A6AC11507F63}">
  <sheetPr>
    <pageSetUpPr fitToPage="1"/>
  </sheetPr>
  <dimension ref="A1:D9"/>
  <sheetViews>
    <sheetView workbookViewId="0">
      <selection activeCell="A3" sqref="A3:XF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820</v>
      </c>
    </row>
    <row r="2" spans="1:4" ht="28.5" customHeight="1" x14ac:dyDescent="0.2">
      <c r="A2" s="33" t="s">
        <v>93</v>
      </c>
      <c r="B2" s="34" t="s">
        <v>232</v>
      </c>
      <c r="C2" s="35" t="s">
        <v>84</v>
      </c>
      <c r="D2" s="36" t="s">
        <v>85</v>
      </c>
    </row>
    <row r="3" spans="1:4" ht="14.25" customHeight="1" x14ac:dyDescent="0.2">
      <c r="A3" s="45" t="s">
        <v>821</v>
      </c>
      <c r="B3" s="38">
        <v>16178</v>
      </c>
      <c r="C3" s="39">
        <f>MemberOfAssemblyAssemblyDistrict35General[[#This Row],[Part of Queens County Vote Results]]</f>
        <v>16178</v>
      </c>
      <c r="D3" s="133">
        <f>SUM(MemberOfAssemblyAssemblyDistrict35General[[#This Row],[Total Votes by Party]],C4)</f>
        <v>18978</v>
      </c>
    </row>
    <row r="4" spans="1:4" ht="14.25" customHeight="1" x14ac:dyDescent="0.2">
      <c r="A4" s="45" t="s">
        <v>822</v>
      </c>
      <c r="B4" s="38">
        <v>2800</v>
      </c>
      <c r="C4" s="39">
        <f>MemberOfAssemblyAssemblyDistrict35General[[#This Row],[Part of Queens County Vote Results]]</f>
        <v>2800</v>
      </c>
      <c r="D4" s="42"/>
    </row>
    <row r="5" spans="1:4" ht="14.25" customHeight="1" x14ac:dyDescent="0.2">
      <c r="A5" s="40" t="s">
        <v>18</v>
      </c>
      <c r="B5" s="41">
        <v>9331</v>
      </c>
      <c r="C5" s="39">
        <f>MemberOfAssemblyAssemblyDistrict35General[[#This Row],[Part of Queens County Vote Results]]</f>
        <v>9331</v>
      </c>
      <c r="D5" s="42"/>
    </row>
    <row r="6" spans="1:4" ht="14.25" customHeight="1" x14ac:dyDescent="0.2">
      <c r="A6" s="40" t="s">
        <v>19</v>
      </c>
      <c r="B6" s="41">
        <v>62</v>
      </c>
      <c r="C6" s="39">
        <f>MemberOfAssemblyAssemblyDistrict35General[[#This Row],[Part of Queens County Vote Results]]</f>
        <v>62</v>
      </c>
      <c r="D6" s="42"/>
    </row>
    <row r="7" spans="1:4" ht="14.25" customHeight="1" x14ac:dyDescent="0.2">
      <c r="A7" s="40" t="s">
        <v>20</v>
      </c>
      <c r="B7" s="41">
        <v>252</v>
      </c>
      <c r="C7" s="39">
        <f>MemberOfAssemblyAssemblyDistrict35General[[#This Row],[Part of Queens County Vote Results]]</f>
        <v>252</v>
      </c>
      <c r="D7" s="42"/>
    </row>
    <row r="8" spans="1:4" ht="14.25" customHeight="1" x14ac:dyDescent="0.2">
      <c r="A8" s="49" t="s">
        <v>21</v>
      </c>
      <c r="B8" s="50">
        <f>SUM(MemberOfAssemblyAssemblyDistrict35General[Part of Queens County Vote Results])</f>
        <v>28623</v>
      </c>
      <c r="C8" s="51">
        <f>SUM(MemberOfAssemblyAssemblyDistrict35General[Total Votes by Party])</f>
        <v>28623</v>
      </c>
      <c r="D8" s="52"/>
    </row>
    <row r="9" spans="1:4" x14ac:dyDescent="0.2">
      <c r="B9" s="46"/>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BA26D-17DC-4572-A1AA-54C2917B4E2D}">
  <sheetPr>
    <pageSetUpPr fitToPage="1"/>
  </sheetPr>
  <dimension ref="A1:D8"/>
  <sheetViews>
    <sheetView workbookViewId="0">
      <selection activeCell="A3" sqref="A3:XFD8"/>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823</v>
      </c>
    </row>
    <row r="2" spans="1:4" ht="28.5" customHeight="1" x14ac:dyDescent="0.2">
      <c r="A2" s="33" t="s">
        <v>93</v>
      </c>
      <c r="B2" s="34" t="s">
        <v>232</v>
      </c>
      <c r="C2" s="35" t="s">
        <v>84</v>
      </c>
      <c r="D2" s="36" t="s">
        <v>85</v>
      </c>
    </row>
    <row r="3" spans="1:4" ht="14.25" customHeight="1" x14ac:dyDescent="0.2">
      <c r="A3" s="37" t="s">
        <v>824</v>
      </c>
      <c r="B3" s="38">
        <v>30161</v>
      </c>
      <c r="C3" s="39">
        <f>MemberOfAssemblyAssemblyDistrict36General[[#This Row],[Part of Queens County Vote Results]]</f>
        <v>30161</v>
      </c>
      <c r="D3" s="133">
        <f>SUM(MemberOfAssemblyAssemblyDistrict36General[[#This Row],[Total Votes by Party]],C4)</f>
        <v>37911</v>
      </c>
    </row>
    <row r="4" spans="1:4" ht="14.25" customHeight="1" x14ac:dyDescent="0.2">
      <c r="A4" s="37" t="s">
        <v>825</v>
      </c>
      <c r="B4" s="38">
        <v>7750</v>
      </c>
      <c r="C4" s="39">
        <f>MemberOfAssemblyAssemblyDistrict36General[[#This Row],[Part of Queens County Vote Results]]</f>
        <v>7750</v>
      </c>
      <c r="D4" s="42"/>
    </row>
    <row r="5" spans="1:4" ht="14.25" customHeight="1" x14ac:dyDescent="0.2">
      <c r="A5" s="40" t="s">
        <v>18</v>
      </c>
      <c r="B5" s="41">
        <v>10424</v>
      </c>
      <c r="C5" s="39">
        <f>MemberOfAssemblyAssemblyDistrict36General[[#This Row],[Part of Queens County Vote Results]]</f>
        <v>10424</v>
      </c>
      <c r="D5" s="42"/>
    </row>
    <row r="6" spans="1:4" ht="14.25" customHeight="1" x14ac:dyDescent="0.2">
      <c r="A6" s="40" t="s">
        <v>19</v>
      </c>
      <c r="B6" s="41">
        <v>380</v>
      </c>
      <c r="C6" s="39">
        <f>MemberOfAssemblyAssemblyDistrict36General[[#This Row],[Part of Queens County Vote Results]]</f>
        <v>380</v>
      </c>
      <c r="D6" s="42"/>
    </row>
    <row r="7" spans="1:4" ht="14.25" customHeight="1" x14ac:dyDescent="0.2">
      <c r="A7" s="40" t="s">
        <v>20</v>
      </c>
      <c r="B7" s="41">
        <v>596</v>
      </c>
      <c r="C7" s="39">
        <f>MemberOfAssemblyAssemblyDistrict36General[[#This Row],[Part of Queens County Vote Results]]</f>
        <v>596</v>
      </c>
      <c r="D7" s="42"/>
    </row>
    <row r="8" spans="1:4" ht="14.25" customHeight="1" x14ac:dyDescent="0.2">
      <c r="A8" s="16" t="s">
        <v>21</v>
      </c>
      <c r="B8" s="11">
        <f>SUM(MemberOfAssemblyAssemblyDistrict36General[Part of Queens County Vote Results])</f>
        <v>49311</v>
      </c>
      <c r="C8" s="12">
        <f>SUM(MemberOfAssemblyAssemblyDistrict36General[Total Votes by Party])</f>
        <v>49311</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0FB98-E2D2-46DF-9B0A-2E5F47FC8B7B}">
  <sheetPr>
    <pageSetUpPr fitToPage="1"/>
  </sheetPr>
  <dimension ref="A1:E9"/>
  <sheetViews>
    <sheetView workbookViewId="0">
      <selection activeCell="A3" sqref="A3:XFD9"/>
    </sheetView>
  </sheetViews>
  <sheetFormatPr defaultRowHeight="12.75" x14ac:dyDescent="0.2"/>
  <cols>
    <col min="1" max="1" width="25.5703125" style="32" customWidth="1"/>
    <col min="2" max="5" width="20.5703125" style="32" customWidth="1"/>
    <col min="6" max="7" width="23.5703125" style="32" customWidth="1"/>
    <col min="8" max="16384" width="9.140625" style="32"/>
  </cols>
  <sheetData>
    <row r="1" spans="1:5" ht="24.95" customHeight="1" x14ac:dyDescent="0.2">
      <c r="A1" s="31" t="s">
        <v>826</v>
      </c>
    </row>
    <row r="2" spans="1:5" ht="28.5" customHeight="1" x14ac:dyDescent="0.2">
      <c r="A2" s="33" t="s">
        <v>93</v>
      </c>
      <c r="B2" s="34" t="s">
        <v>267</v>
      </c>
      <c r="C2" s="34" t="s">
        <v>232</v>
      </c>
      <c r="D2" s="35" t="s">
        <v>84</v>
      </c>
      <c r="E2" s="36" t="s">
        <v>85</v>
      </c>
    </row>
    <row r="3" spans="1:5" ht="14.25" customHeight="1" x14ac:dyDescent="0.2">
      <c r="A3" s="37" t="s">
        <v>827</v>
      </c>
      <c r="B3" s="38">
        <v>0</v>
      </c>
      <c r="C3" s="38">
        <v>26527</v>
      </c>
      <c r="D3" s="39">
        <f>SUM(B3,C3)</f>
        <v>26527</v>
      </c>
      <c r="E3" s="133">
        <f>SUM(MemberOfAssemblyAssemblyDistrict37General[[#This Row],[Total Votes by Party]],D4)</f>
        <v>34293</v>
      </c>
    </row>
    <row r="4" spans="1:5" ht="14.25" customHeight="1" x14ac:dyDescent="0.2">
      <c r="A4" s="37" t="s">
        <v>828</v>
      </c>
      <c r="B4" s="38">
        <v>0</v>
      </c>
      <c r="C4" s="41">
        <v>7766</v>
      </c>
      <c r="D4" s="39">
        <f t="shared" ref="D4:D7" si="0">SUM(B4,C4)</f>
        <v>7766</v>
      </c>
      <c r="E4" s="42"/>
    </row>
    <row r="5" spans="1:5" ht="14.25" customHeight="1" x14ac:dyDescent="0.2">
      <c r="A5" s="40" t="s">
        <v>18</v>
      </c>
      <c r="B5" s="41">
        <v>0</v>
      </c>
      <c r="C5" s="41">
        <v>11844</v>
      </c>
      <c r="D5" s="39">
        <f t="shared" si="0"/>
        <v>11844</v>
      </c>
      <c r="E5" s="42"/>
    </row>
    <row r="6" spans="1:5" ht="14.25" customHeight="1" x14ac:dyDescent="0.2">
      <c r="A6" s="40" t="s">
        <v>19</v>
      </c>
      <c r="B6" s="41">
        <v>0</v>
      </c>
      <c r="C6" s="41">
        <v>306</v>
      </c>
      <c r="D6" s="39">
        <f t="shared" si="0"/>
        <v>306</v>
      </c>
      <c r="E6" s="42"/>
    </row>
    <row r="7" spans="1:5" ht="14.25" customHeight="1" x14ac:dyDescent="0.2">
      <c r="A7" s="40" t="s">
        <v>20</v>
      </c>
      <c r="B7" s="41">
        <v>0</v>
      </c>
      <c r="C7" s="41">
        <v>533</v>
      </c>
      <c r="D7" s="39">
        <f t="shared" si="0"/>
        <v>533</v>
      </c>
      <c r="E7" s="42"/>
    </row>
    <row r="8" spans="1:5" ht="14.25" customHeight="1" x14ac:dyDescent="0.2">
      <c r="A8" s="16" t="s">
        <v>21</v>
      </c>
      <c r="B8" s="11">
        <f>SUM(MemberOfAssemblyAssemblyDistrict37General[Part of New York County Vote Results])</f>
        <v>0</v>
      </c>
      <c r="C8" s="11">
        <f>SUM(MemberOfAssemblyAssemblyDistrict37General[Part of Queens County Vote Results])</f>
        <v>46976</v>
      </c>
      <c r="D8" s="12">
        <f>SUM(MemberOfAssemblyAssemblyDistrict37General[Total Votes by Party])</f>
        <v>46976</v>
      </c>
      <c r="E8" s="14"/>
    </row>
    <row r="9" spans="1:5" ht="14.25" customHeight="1" x14ac:dyDescent="0.2">
      <c r="C9" s="70"/>
    </row>
  </sheetData>
  <pageMargins left="0.25" right="0.25" top="0.25" bottom="0.25" header="0.25" footer="0.25"/>
  <pageSetup paperSize="5" fitToHeight="0" orientation="landscape" r:id="rId1"/>
  <headerFooter alignWithMargins="0">
    <oddFooter>&amp;RPage &amp;P of &amp;N</oddFooter>
  </headerFooter>
  <ignoredErrors>
    <ignoredError sqref="D3:E3" calculatedColumn="1"/>
  </ignoredErrors>
  <tableParts count="1">
    <tablePart r:id="rId2"/>
  </tablePart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888F2-277B-4182-99CD-077542E18F88}">
  <sheetPr>
    <pageSetUpPr fitToPage="1"/>
  </sheetPr>
  <dimension ref="A1:D7"/>
  <sheetViews>
    <sheetView workbookViewId="0">
      <selection activeCell="D18" sqref="D18"/>
    </sheetView>
  </sheetViews>
  <sheetFormatPr defaultRowHeight="12.75" x14ac:dyDescent="0.2"/>
  <cols>
    <col min="1" max="1" width="27.7109375" style="32" customWidth="1"/>
    <col min="2" max="4" width="20.5703125" style="32" customWidth="1"/>
    <col min="5" max="6" width="23.5703125" style="32" customWidth="1"/>
    <col min="7" max="16384" width="9.140625" style="32"/>
  </cols>
  <sheetData>
    <row r="1" spans="1:4" ht="24.95" customHeight="1" x14ac:dyDescent="0.2">
      <c r="A1" s="31" t="s">
        <v>829</v>
      </c>
    </row>
    <row r="2" spans="1:4" ht="28.5" customHeight="1" x14ac:dyDescent="0.2">
      <c r="A2" s="33" t="s">
        <v>93</v>
      </c>
      <c r="B2" s="34" t="s">
        <v>232</v>
      </c>
      <c r="C2" s="35" t="s">
        <v>84</v>
      </c>
      <c r="D2" s="36" t="s">
        <v>85</v>
      </c>
    </row>
    <row r="3" spans="1:4" ht="14.25" customHeight="1" x14ac:dyDescent="0.2">
      <c r="A3" s="37" t="s">
        <v>830</v>
      </c>
      <c r="B3" s="38">
        <v>22718</v>
      </c>
      <c r="C3" s="39">
        <f>MemberOfAssemblyAssemblyDistrict38General[[#This Row],[Part of Queens County Vote Results]]</f>
        <v>22718</v>
      </c>
      <c r="D3" s="133">
        <f>SUM(MemberOfAssemblyAssemblyDistrict38General[[#This Row],[Total Votes by Party]])</f>
        <v>22718</v>
      </c>
    </row>
    <row r="4" spans="1:4" ht="14.25" customHeight="1" x14ac:dyDescent="0.2">
      <c r="A4" s="40" t="s">
        <v>18</v>
      </c>
      <c r="B4" s="41">
        <v>11096</v>
      </c>
      <c r="C4" s="39">
        <f>MemberOfAssemblyAssemblyDistrict38General[[#This Row],[Part of Queens County Vote Results]]</f>
        <v>11096</v>
      </c>
      <c r="D4" s="42"/>
    </row>
    <row r="5" spans="1:4" ht="14.25" customHeight="1" x14ac:dyDescent="0.2">
      <c r="A5" s="40" t="s">
        <v>19</v>
      </c>
      <c r="B5" s="41">
        <v>79</v>
      </c>
      <c r="C5" s="39">
        <f>MemberOfAssemblyAssemblyDistrict38General[[#This Row],[Part of Queens County Vote Results]]</f>
        <v>79</v>
      </c>
      <c r="D5" s="42"/>
    </row>
    <row r="6" spans="1:4" ht="14.25" customHeight="1" x14ac:dyDescent="0.2">
      <c r="A6" s="40" t="s">
        <v>20</v>
      </c>
      <c r="B6" s="41">
        <v>519</v>
      </c>
      <c r="C6" s="39">
        <f>MemberOfAssemblyAssemblyDistrict38General[[#This Row],[Part of Queens County Vote Results]]</f>
        <v>519</v>
      </c>
      <c r="D6" s="42"/>
    </row>
    <row r="7" spans="1:4" ht="14.25" customHeight="1" x14ac:dyDescent="0.2">
      <c r="A7" s="43" t="s">
        <v>21</v>
      </c>
      <c r="B7" s="41">
        <f>SUM(MemberOfAssemblyAssemblyDistrict38General[Part of Queens County Vote Results])</f>
        <v>34412</v>
      </c>
      <c r="C7" s="39">
        <f>SUM(MemberOfAssemblyAssemblyDistrict38General[Total Votes by Party])</f>
        <v>34412</v>
      </c>
      <c r="D7"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3DA59-5318-4E47-8508-7DC659D7653D}">
  <sheetPr>
    <pageSetUpPr fitToPage="1"/>
  </sheetPr>
  <dimension ref="A1:D7"/>
  <sheetViews>
    <sheetView workbookViewId="0">
      <selection activeCell="A3" sqref="A3:XFD7"/>
    </sheetView>
  </sheetViews>
  <sheetFormatPr defaultRowHeight="12.75" x14ac:dyDescent="0.2"/>
  <cols>
    <col min="1" max="1" width="25.5703125" style="32" customWidth="1"/>
    <col min="2" max="4" width="20.5703125" style="32" customWidth="1"/>
    <col min="5" max="6" width="23.5703125" style="32" customWidth="1"/>
    <col min="7" max="16384" width="9.140625" style="32"/>
  </cols>
  <sheetData>
    <row r="1" spans="1:4" ht="24.95" customHeight="1" x14ac:dyDescent="0.2">
      <c r="A1" s="31" t="s">
        <v>831</v>
      </c>
    </row>
    <row r="2" spans="1:4" ht="28.5" customHeight="1" x14ac:dyDescent="0.2">
      <c r="A2" s="33" t="s">
        <v>93</v>
      </c>
      <c r="B2" s="34" t="s">
        <v>232</v>
      </c>
      <c r="C2" s="35" t="s">
        <v>84</v>
      </c>
      <c r="D2" s="36" t="s">
        <v>85</v>
      </c>
    </row>
    <row r="3" spans="1:4" ht="14.25" customHeight="1" x14ac:dyDescent="0.2">
      <c r="A3" s="37" t="s">
        <v>832</v>
      </c>
      <c r="B3" s="38">
        <v>19859</v>
      </c>
      <c r="C3" s="39">
        <f>MemberOfAssemblyAssemblyDistrict39General[[#This Row],[Part of Queens County Vote Results]]</f>
        <v>19859</v>
      </c>
      <c r="D3" s="133">
        <f>SUM(MemberOfAssemblyAssemblyDistrict39General[[#This Row],[Total Votes by Party]])</f>
        <v>19859</v>
      </c>
    </row>
    <row r="4" spans="1:4" ht="14.25" customHeight="1" x14ac:dyDescent="0.2">
      <c r="A4" s="40" t="s">
        <v>18</v>
      </c>
      <c r="B4" s="41">
        <v>10526</v>
      </c>
      <c r="C4" s="39">
        <f>MemberOfAssemblyAssemblyDistrict39General[[#This Row],[Part of Queens County Vote Results]]</f>
        <v>10526</v>
      </c>
      <c r="D4" s="42"/>
    </row>
    <row r="5" spans="1:4" ht="14.25" customHeight="1" x14ac:dyDescent="0.2">
      <c r="A5" s="40" t="s">
        <v>19</v>
      </c>
      <c r="B5" s="41">
        <v>147</v>
      </c>
      <c r="C5" s="39">
        <f>MemberOfAssemblyAssemblyDistrict39General[[#This Row],[Part of Queens County Vote Results]]</f>
        <v>147</v>
      </c>
      <c r="D5" s="42"/>
    </row>
    <row r="6" spans="1:4" ht="14.25" customHeight="1" x14ac:dyDescent="0.2">
      <c r="A6" s="40" t="s">
        <v>20</v>
      </c>
      <c r="B6" s="41">
        <v>525</v>
      </c>
      <c r="C6" s="39">
        <f>MemberOfAssemblyAssemblyDistrict39General[[#This Row],[Part of Queens County Vote Results]]</f>
        <v>525</v>
      </c>
      <c r="D6" s="42"/>
    </row>
    <row r="7" spans="1:4" ht="14.25" customHeight="1" x14ac:dyDescent="0.2">
      <c r="A7" s="43" t="s">
        <v>21</v>
      </c>
      <c r="B7" s="41">
        <f>SUM(MemberOfAssemblyAssemblyDistrict39General[Part of Queens County Vote Results])</f>
        <v>31057</v>
      </c>
      <c r="C7" s="39">
        <f>SUM(MemberOfAssemblyAssemblyDistrict39General[Total Votes by Party])</f>
        <v>31057</v>
      </c>
      <c r="D7" s="42"/>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6E98-10E5-4EA7-AD06-8633A4764F58}">
  <sheetPr>
    <pageSetUpPr fitToPage="1"/>
  </sheetPr>
  <dimension ref="A1:D10"/>
  <sheetViews>
    <sheetView zoomScaleNormal="100"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833</v>
      </c>
    </row>
    <row r="2" spans="1:4" ht="28.5" customHeight="1" x14ac:dyDescent="0.2">
      <c r="A2" s="6" t="s">
        <v>93</v>
      </c>
      <c r="B2" s="7" t="s">
        <v>232</v>
      </c>
      <c r="C2" s="8" t="s">
        <v>84</v>
      </c>
      <c r="D2" s="9" t="s">
        <v>85</v>
      </c>
    </row>
    <row r="3" spans="1:4" ht="14.25" customHeight="1" x14ac:dyDescent="0.2">
      <c r="A3" s="10" t="s">
        <v>834</v>
      </c>
      <c r="B3" s="17">
        <v>12499</v>
      </c>
      <c r="C3" s="12">
        <f>MemberOfAssemblyAssemblyDistrict40General[[#This Row],[Part of Queens County Vote Results]]</f>
        <v>12499</v>
      </c>
      <c r="D3" s="116">
        <f>SUM(MemberOfAssemblyAssemblyDistrict40General[[#This Row],[Total Votes by Party]],C6)</f>
        <v>13481</v>
      </c>
    </row>
    <row r="4" spans="1:4" ht="14.25" customHeight="1" x14ac:dyDescent="0.2">
      <c r="A4" s="10" t="s">
        <v>835</v>
      </c>
      <c r="B4" s="17">
        <v>10007</v>
      </c>
      <c r="C4" s="12">
        <f>MemberOfAssemblyAssemblyDistrict40General[[#This Row],[Part of Queens County Vote Results]]</f>
        <v>10007</v>
      </c>
      <c r="D4" s="116">
        <f>SUM(MemberOfAssemblyAssemblyDistrict40General[[#This Row],[Total Votes by Party]],C5)</f>
        <v>10814</v>
      </c>
    </row>
    <row r="5" spans="1:4" ht="14.25" customHeight="1" x14ac:dyDescent="0.2">
      <c r="A5" s="10" t="s">
        <v>836</v>
      </c>
      <c r="B5" s="17">
        <v>807</v>
      </c>
      <c r="C5" s="12">
        <f>MemberOfAssemblyAssemblyDistrict40General[[#This Row],[Part of Queens County Vote Results]]</f>
        <v>807</v>
      </c>
      <c r="D5" s="14"/>
    </row>
    <row r="6" spans="1:4" ht="14.25" customHeight="1" x14ac:dyDescent="0.2">
      <c r="A6" s="10" t="s">
        <v>837</v>
      </c>
      <c r="B6" s="17">
        <v>982</v>
      </c>
      <c r="C6" s="12">
        <f>MemberOfAssemblyAssemblyDistrict40General[[#This Row],[Part of Queens County Vote Results]]</f>
        <v>982</v>
      </c>
      <c r="D6" s="14"/>
    </row>
    <row r="7" spans="1:4" ht="14.25" customHeight="1" x14ac:dyDescent="0.2">
      <c r="A7" s="15" t="s">
        <v>18</v>
      </c>
      <c r="B7" s="11">
        <v>1948</v>
      </c>
      <c r="C7" s="12">
        <f>MemberOfAssemblyAssemblyDistrict40General[[#This Row],[Part of Queens County Vote Results]]</f>
        <v>1948</v>
      </c>
      <c r="D7" s="14"/>
    </row>
    <row r="8" spans="1:4" ht="14.25" customHeight="1" x14ac:dyDescent="0.2">
      <c r="A8" s="15" t="s">
        <v>19</v>
      </c>
      <c r="B8" s="11">
        <v>130</v>
      </c>
      <c r="C8" s="12">
        <f>MemberOfAssemblyAssemblyDistrict40General[[#This Row],[Part of Queens County Vote Results]]</f>
        <v>130</v>
      </c>
      <c r="D8" s="14"/>
    </row>
    <row r="9" spans="1:4" ht="14.25" customHeight="1" x14ac:dyDescent="0.2">
      <c r="A9" s="15" t="s">
        <v>20</v>
      </c>
      <c r="B9" s="11">
        <v>68</v>
      </c>
      <c r="C9" s="12">
        <f>MemberOfAssemblyAssemblyDistrict40General[[#This Row],[Part of Queens County Vote Results]]</f>
        <v>68</v>
      </c>
      <c r="D9" s="14"/>
    </row>
    <row r="10" spans="1:4" ht="14.25" customHeight="1" x14ac:dyDescent="0.2">
      <c r="A10" s="16" t="s">
        <v>21</v>
      </c>
      <c r="B10" s="11">
        <f>SUM(MemberOfAssemblyAssemblyDistrict40General[Part of Queens County Vote Results])</f>
        <v>26441</v>
      </c>
      <c r="C10" s="12">
        <f>SUM(MemberOfAssemblyAssemblyDistrict40General[Total Votes by Party])</f>
        <v>26441</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BC7A4-649B-4A9A-9F91-5B5B1F03D347}">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238</v>
      </c>
      <c r="B1" s="108"/>
      <c r="C1" s="108"/>
      <c r="D1" s="108"/>
    </row>
    <row r="2" spans="1:4" ht="28.5" customHeight="1" x14ac:dyDescent="0.2">
      <c r="A2" s="6" t="s">
        <v>93</v>
      </c>
      <c r="B2" s="7" t="s">
        <v>226</v>
      </c>
      <c r="C2" s="8" t="s">
        <v>84</v>
      </c>
      <c r="D2" s="9" t="s">
        <v>85</v>
      </c>
    </row>
    <row r="3" spans="1:4" ht="14.25" customHeight="1" x14ac:dyDescent="0.2">
      <c r="A3" s="120" t="s">
        <v>239</v>
      </c>
      <c r="B3" s="100">
        <v>190569</v>
      </c>
      <c r="C3" s="101">
        <f>RepInCongressCongressionalDistrict4General[[#This Row],[Part of Nassau County Vote Results]]</f>
        <v>190569</v>
      </c>
      <c r="D3" s="113">
        <f>SUM(RepInCongressCongressionalDistrict4General[[#This Row],[Total Votes by Party]],C6)</f>
        <v>191760</v>
      </c>
    </row>
    <row r="4" spans="1:4" ht="14.25" customHeight="1" x14ac:dyDescent="0.2">
      <c r="A4" s="28" t="s">
        <v>240</v>
      </c>
      <c r="B4" s="100">
        <v>169641</v>
      </c>
      <c r="C4" s="101">
        <f>RepInCongressCongressionalDistrict4General[[#This Row],[Part of Nassau County Vote Results]]</f>
        <v>169641</v>
      </c>
      <c r="D4" s="113">
        <f>SUM(RepInCongressCongressionalDistrict4General[[#This Row],[Total Votes by Party]],C5)</f>
        <v>183157</v>
      </c>
    </row>
    <row r="5" spans="1:4" ht="14.25" customHeight="1" x14ac:dyDescent="0.2">
      <c r="A5" s="28" t="s">
        <v>241</v>
      </c>
      <c r="B5" s="100">
        <v>13516</v>
      </c>
      <c r="C5" s="101">
        <f>RepInCongressCongressionalDistrict4General[[#This Row],[Part of Nassau County Vote Results]]</f>
        <v>13516</v>
      </c>
      <c r="D5" s="111"/>
    </row>
    <row r="6" spans="1:4" ht="14.25" customHeight="1" x14ac:dyDescent="0.2">
      <c r="A6" s="28" t="s">
        <v>242</v>
      </c>
      <c r="B6" s="100">
        <v>1191</v>
      </c>
      <c r="C6" s="101">
        <f>RepInCongressCongressionalDistrict4General[[#This Row],[Part of Nassau County Vote Results]]</f>
        <v>1191</v>
      </c>
      <c r="D6" s="111"/>
    </row>
    <row r="7" spans="1:4" ht="14.25" customHeight="1" x14ac:dyDescent="0.2">
      <c r="A7" s="29" t="s">
        <v>18</v>
      </c>
      <c r="B7" s="100">
        <v>16465</v>
      </c>
      <c r="C7" s="101">
        <f>RepInCongressCongressionalDistrict4General[[#This Row],[Part of Nassau County Vote Results]]</f>
        <v>16465</v>
      </c>
      <c r="D7" s="111"/>
    </row>
    <row r="8" spans="1:4" ht="14.25" customHeight="1" x14ac:dyDescent="0.2">
      <c r="A8" s="29" t="s">
        <v>19</v>
      </c>
      <c r="B8" s="100">
        <v>347</v>
      </c>
      <c r="C8" s="101">
        <f>RepInCongressCongressionalDistrict4General[[#This Row],[Part of Nassau County Vote Results]]</f>
        <v>347</v>
      </c>
      <c r="D8" s="111"/>
    </row>
    <row r="9" spans="1:4" ht="14.25" customHeight="1" x14ac:dyDescent="0.2">
      <c r="A9" s="29" t="s">
        <v>20</v>
      </c>
      <c r="B9" s="100">
        <v>601</v>
      </c>
      <c r="C9" s="101">
        <f>RepInCongressCongressionalDistrict4General[[#This Row],[Part of Nassau County Vote Results]]</f>
        <v>601</v>
      </c>
      <c r="D9" s="111"/>
    </row>
    <row r="10" spans="1:4" ht="14.25" customHeight="1" x14ac:dyDescent="0.2">
      <c r="A10" s="103" t="s">
        <v>21</v>
      </c>
      <c r="B10" s="100">
        <f>SUM(RepInCongressCongressionalDistrict4General[Part of Nassau County Vote Results])</f>
        <v>392330</v>
      </c>
      <c r="C10" s="101">
        <f>SUM(RepInCongressCongressionalDistrict4General[Total Votes by Party])</f>
        <v>392330</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4250C-06F5-4083-B0EC-ACDC2F5B172E}">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838</v>
      </c>
    </row>
    <row r="2" spans="1:4" ht="28.5" customHeight="1" x14ac:dyDescent="0.2">
      <c r="A2" s="6" t="s">
        <v>93</v>
      </c>
      <c r="B2" s="7" t="s">
        <v>253</v>
      </c>
      <c r="C2" s="8" t="s">
        <v>84</v>
      </c>
      <c r="D2" s="9" t="s">
        <v>85</v>
      </c>
    </row>
    <row r="3" spans="1:4" ht="14.25" customHeight="1" x14ac:dyDescent="0.2">
      <c r="A3" s="10" t="s">
        <v>839</v>
      </c>
      <c r="B3" s="17">
        <v>19061</v>
      </c>
      <c r="C3" s="12">
        <f>MemberOfAssemblyAssemblyDistrict41General[[#This Row],[Part of Kings County Vote Results]]</f>
        <v>19061</v>
      </c>
      <c r="D3" s="116">
        <f>SUM(MemberOfAssemblyAssemblyDistrict41General[[#This Row],[Total Votes by Party]],C4,C5)</f>
        <v>37348</v>
      </c>
    </row>
    <row r="4" spans="1:4" ht="14.25" customHeight="1" x14ac:dyDescent="0.2">
      <c r="A4" s="10" t="s">
        <v>840</v>
      </c>
      <c r="B4" s="17">
        <v>16305</v>
      </c>
      <c r="C4" s="12">
        <f>MemberOfAssemblyAssemblyDistrict41General[[#This Row],[Part of Kings County Vote Results]]</f>
        <v>16305</v>
      </c>
      <c r="D4" s="14"/>
    </row>
    <row r="5" spans="1:4" ht="14.25" customHeight="1" x14ac:dyDescent="0.2">
      <c r="A5" s="10" t="s">
        <v>841</v>
      </c>
      <c r="B5" s="17">
        <v>1982</v>
      </c>
      <c r="C5" s="12">
        <f>MemberOfAssemblyAssemblyDistrict41General[[#This Row],[Part of Kings County Vote Results]]</f>
        <v>1982</v>
      </c>
      <c r="D5" s="14"/>
    </row>
    <row r="6" spans="1:4" ht="14.25" customHeight="1" x14ac:dyDescent="0.2">
      <c r="A6" s="15" t="s">
        <v>18</v>
      </c>
      <c r="B6" s="17">
        <v>6256</v>
      </c>
      <c r="C6" s="12">
        <f>MemberOfAssemblyAssemblyDistrict41General[[#This Row],[Part of Kings County Vote Results]]</f>
        <v>6256</v>
      </c>
      <c r="D6" s="14"/>
    </row>
    <row r="7" spans="1:4" ht="14.25" customHeight="1" x14ac:dyDescent="0.2">
      <c r="A7" s="15" t="s">
        <v>19</v>
      </c>
      <c r="B7" s="17">
        <v>185</v>
      </c>
      <c r="C7" s="12">
        <f>MemberOfAssemblyAssemblyDistrict41General[[#This Row],[Part of Kings County Vote Results]]</f>
        <v>185</v>
      </c>
      <c r="D7" s="14"/>
    </row>
    <row r="8" spans="1:4" ht="14.25" customHeight="1" x14ac:dyDescent="0.2">
      <c r="A8" s="15" t="s">
        <v>20</v>
      </c>
      <c r="B8" s="17">
        <v>345</v>
      </c>
      <c r="C8" s="12">
        <f>MemberOfAssemblyAssemblyDistrict41General[[#This Row],[Part of Kings County Vote Results]]</f>
        <v>345</v>
      </c>
      <c r="D8" s="14"/>
    </row>
    <row r="9" spans="1:4" ht="14.25" customHeight="1" x14ac:dyDescent="0.2">
      <c r="A9" s="16" t="s">
        <v>21</v>
      </c>
      <c r="B9" s="11">
        <f>SUM(MemberOfAssemblyAssemblyDistrict41General[Part of Kings County Vote Results])</f>
        <v>44134</v>
      </c>
      <c r="C9" s="12">
        <f>SUM(MemberOfAssemblyAssemblyDistrict41General[Total Votes by Party])</f>
        <v>44134</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8EB8-39D4-4172-81FF-590C72BF10E8}">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842</v>
      </c>
    </row>
    <row r="2" spans="1:4" ht="28.5" customHeight="1" x14ac:dyDescent="0.2">
      <c r="A2" s="6" t="s">
        <v>93</v>
      </c>
      <c r="B2" s="7" t="s">
        <v>253</v>
      </c>
      <c r="C2" s="8" t="s">
        <v>84</v>
      </c>
      <c r="D2" s="9" t="s">
        <v>85</v>
      </c>
    </row>
    <row r="3" spans="1:4" ht="14.25" customHeight="1" x14ac:dyDescent="0.2">
      <c r="A3" s="10" t="s">
        <v>843</v>
      </c>
      <c r="B3" s="17">
        <v>34509</v>
      </c>
      <c r="C3" s="12">
        <f>MemberOfAssemblyAssemblyDistrict42General[[#This Row],[Part of Kings County Vote Results]]</f>
        <v>34509</v>
      </c>
      <c r="D3" s="116">
        <f>SUM(MemberOfAssemblyAssemblyDistrict42General[[#This Row],[Total Votes by Party]])</f>
        <v>34509</v>
      </c>
    </row>
    <row r="4" spans="1:4" ht="14.25" customHeight="1" x14ac:dyDescent="0.2">
      <c r="A4" s="15" t="s">
        <v>18</v>
      </c>
      <c r="B4" s="17">
        <v>9379</v>
      </c>
      <c r="C4" s="12">
        <f>MemberOfAssemblyAssemblyDistrict42General[[#This Row],[Part of Kings County Vote Results]]</f>
        <v>9379</v>
      </c>
      <c r="D4" s="14"/>
    </row>
    <row r="5" spans="1:4" ht="14.25" customHeight="1" x14ac:dyDescent="0.2">
      <c r="A5" s="15" t="s">
        <v>19</v>
      </c>
      <c r="B5" s="17">
        <v>175</v>
      </c>
      <c r="C5" s="12">
        <f>MemberOfAssemblyAssemblyDistrict42General[[#This Row],[Part of Kings County Vote Results]]</f>
        <v>175</v>
      </c>
      <c r="D5" s="14"/>
    </row>
    <row r="6" spans="1:4" ht="14.25" customHeight="1" x14ac:dyDescent="0.2">
      <c r="A6" s="15" t="s">
        <v>20</v>
      </c>
      <c r="B6" s="17">
        <v>471</v>
      </c>
      <c r="C6" s="12">
        <f>MemberOfAssemblyAssemblyDistrict42General[[#This Row],[Part of Kings County Vote Results]]</f>
        <v>471</v>
      </c>
      <c r="D6" s="14"/>
    </row>
    <row r="7" spans="1:4" ht="14.25" customHeight="1" x14ac:dyDescent="0.2">
      <c r="A7" s="16" t="s">
        <v>21</v>
      </c>
      <c r="B7" s="11">
        <f>SUM(MemberOfAssemblyAssemblyDistrict42General[Part of Kings County Vote Results])</f>
        <v>44534</v>
      </c>
      <c r="C7" s="12">
        <f>SUM(MemberOfAssemblyAssemblyDistrict42General[Total Votes by Party])</f>
        <v>44534</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19EA-D401-4FFD-BEDE-ACC5EC5EF334}">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844</v>
      </c>
    </row>
    <row r="2" spans="1:4" ht="28.5" customHeight="1" x14ac:dyDescent="0.2">
      <c r="A2" s="6" t="s">
        <v>93</v>
      </c>
      <c r="B2" s="7" t="s">
        <v>253</v>
      </c>
      <c r="C2" s="8" t="s">
        <v>84</v>
      </c>
      <c r="D2" s="9" t="s">
        <v>85</v>
      </c>
    </row>
    <row r="3" spans="1:4" ht="14.25" customHeight="1" x14ac:dyDescent="0.2">
      <c r="A3" s="10" t="s">
        <v>845</v>
      </c>
      <c r="B3" s="17">
        <v>37884</v>
      </c>
      <c r="C3" s="12">
        <f>MemberOfAssemblyAssemblyDistrict43General[[#This Row],[Part of Kings County Vote Results]]</f>
        <v>37884</v>
      </c>
      <c r="D3" s="116">
        <f>SUM(MemberOfAssemblyAssemblyDistrict43General[[#This Row],[Total Votes by Party]],C4)</f>
        <v>43422</v>
      </c>
    </row>
    <row r="4" spans="1:4" ht="14.25" customHeight="1" x14ac:dyDescent="0.2">
      <c r="A4" s="10" t="s">
        <v>846</v>
      </c>
      <c r="B4" s="17">
        <v>5538</v>
      </c>
      <c r="C4" s="12">
        <f>MemberOfAssemblyAssemblyDistrict43General[[#This Row],[Part of Kings County Vote Results]]</f>
        <v>5538</v>
      </c>
      <c r="D4" s="14"/>
    </row>
    <row r="5" spans="1:4" ht="14.25" customHeight="1" x14ac:dyDescent="0.2">
      <c r="A5" s="15" t="s">
        <v>18</v>
      </c>
      <c r="B5" s="17">
        <v>8176</v>
      </c>
      <c r="C5" s="12">
        <f>MemberOfAssemblyAssemblyDistrict43General[[#This Row],[Part of Kings County Vote Results]]</f>
        <v>8176</v>
      </c>
      <c r="D5" s="14"/>
    </row>
    <row r="6" spans="1:4" ht="14.25" customHeight="1" x14ac:dyDescent="0.2">
      <c r="A6" s="15" t="s">
        <v>19</v>
      </c>
      <c r="B6" s="17">
        <v>234</v>
      </c>
      <c r="C6" s="12">
        <f>MemberOfAssemblyAssemblyDistrict43General[[#This Row],[Part of Kings County Vote Results]]</f>
        <v>234</v>
      </c>
      <c r="D6" s="14"/>
    </row>
    <row r="7" spans="1:4" ht="14.25" customHeight="1" x14ac:dyDescent="0.2">
      <c r="A7" s="15" t="s">
        <v>20</v>
      </c>
      <c r="B7" s="17">
        <v>243</v>
      </c>
      <c r="C7" s="12">
        <f>MemberOfAssemblyAssemblyDistrict43General[[#This Row],[Part of Kings County Vote Results]]</f>
        <v>243</v>
      </c>
      <c r="D7" s="14"/>
    </row>
    <row r="8" spans="1:4" ht="14.25" customHeight="1" x14ac:dyDescent="0.2">
      <c r="A8" s="16" t="s">
        <v>21</v>
      </c>
      <c r="B8" s="11">
        <f>SUM(MemberOfAssemblyAssemblyDistrict43General[Part of Kings County Vote Results])</f>
        <v>52075</v>
      </c>
      <c r="C8" s="12">
        <f>SUM(MemberOfAssemblyAssemblyDistrict43General[Total Votes by Party])</f>
        <v>52075</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0E721-0D7F-4367-8700-597953B993CA}">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847</v>
      </c>
    </row>
    <row r="2" spans="1:4" ht="28.5" customHeight="1" x14ac:dyDescent="0.2">
      <c r="A2" s="6" t="s">
        <v>93</v>
      </c>
      <c r="B2" s="7" t="s">
        <v>253</v>
      </c>
      <c r="C2" s="8" t="s">
        <v>84</v>
      </c>
      <c r="D2" s="9" t="s">
        <v>85</v>
      </c>
    </row>
    <row r="3" spans="1:4" ht="14.25" customHeight="1" x14ac:dyDescent="0.2">
      <c r="A3" s="10" t="s">
        <v>848</v>
      </c>
      <c r="B3" s="17">
        <v>37408</v>
      </c>
      <c r="C3" s="12">
        <f>MemberOfAssemblyAssemblyDistrict44General[[#This Row],[Part of Kings County Vote Results]]</f>
        <v>37408</v>
      </c>
      <c r="D3" s="116">
        <f>SUM(MemberOfAssemblyAssemblyDistrict44General[[#This Row],[Total Votes by Party]],C6)</f>
        <v>47081</v>
      </c>
    </row>
    <row r="4" spans="1:4" ht="14.25" customHeight="1" x14ac:dyDescent="0.2">
      <c r="A4" s="10" t="s">
        <v>849</v>
      </c>
      <c r="B4" s="17">
        <v>6920</v>
      </c>
      <c r="C4" s="12">
        <f>MemberOfAssemblyAssemblyDistrict44General[[#This Row],[Part of Kings County Vote Results]]</f>
        <v>6920</v>
      </c>
      <c r="D4" s="116">
        <f>SUM(MemberOfAssemblyAssemblyDistrict44General[[#This Row],[Total Votes by Party]],C5)</f>
        <v>8087</v>
      </c>
    </row>
    <row r="5" spans="1:4" ht="14.25" customHeight="1" x14ac:dyDescent="0.2">
      <c r="A5" s="10" t="s">
        <v>850</v>
      </c>
      <c r="B5" s="17">
        <v>1167</v>
      </c>
      <c r="C5" s="12">
        <f>MemberOfAssemblyAssemblyDistrict44General[[#This Row],[Part of Kings County Vote Results]]</f>
        <v>1167</v>
      </c>
      <c r="D5" s="14"/>
    </row>
    <row r="6" spans="1:4" ht="14.25" customHeight="1" x14ac:dyDescent="0.2">
      <c r="A6" s="10" t="s">
        <v>851</v>
      </c>
      <c r="B6" s="17">
        <v>9673</v>
      </c>
      <c r="C6" s="12">
        <f>MemberOfAssemblyAssemblyDistrict44General[[#This Row],[Part of Kings County Vote Results]]</f>
        <v>9673</v>
      </c>
      <c r="D6" s="14"/>
    </row>
    <row r="7" spans="1:4" ht="14.25" customHeight="1" x14ac:dyDescent="0.2">
      <c r="A7" s="15" t="s">
        <v>18</v>
      </c>
      <c r="B7" s="17">
        <v>3833</v>
      </c>
      <c r="C7" s="12">
        <f>MemberOfAssemblyAssemblyDistrict44General[[#This Row],[Part of Kings County Vote Results]]</f>
        <v>3833</v>
      </c>
      <c r="D7" s="14"/>
    </row>
    <row r="8" spans="1:4" ht="14.25" customHeight="1" x14ac:dyDescent="0.2">
      <c r="A8" s="15" t="s">
        <v>19</v>
      </c>
      <c r="B8" s="17">
        <v>569</v>
      </c>
      <c r="C8" s="12">
        <f>MemberOfAssemblyAssemblyDistrict44General[[#This Row],[Part of Kings County Vote Results]]</f>
        <v>569</v>
      </c>
      <c r="D8" s="14"/>
    </row>
    <row r="9" spans="1:4" ht="14.25" customHeight="1" x14ac:dyDescent="0.2">
      <c r="A9" s="15" t="s">
        <v>20</v>
      </c>
      <c r="B9" s="17">
        <v>284</v>
      </c>
      <c r="C9" s="12">
        <f>MemberOfAssemblyAssemblyDistrict44General[[#This Row],[Part of Kings County Vote Results]]</f>
        <v>284</v>
      </c>
      <c r="D9" s="14"/>
    </row>
    <row r="10" spans="1:4" ht="14.25" customHeight="1" x14ac:dyDescent="0.2">
      <c r="A10" s="16" t="s">
        <v>21</v>
      </c>
      <c r="B10" s="11">
        <f>SUM(MemberOfAssemblyAssemblyDistrict44General[Part of Kings County Vote Results])</f>
        <v>59854</v>
      </c>
      <c r="C10" s="12">
        <f>SUM(MemberOfAssemblyAssemblyDistrict44General[Total Votes by Party])</f>
        <v>59854</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8A0C3-F91E-4F00-9651-AFA20EFF3765}">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852</v>
      </c>
    </row>
    <row r="2" spans="1:4" ht="28.5" customHeight="1" x14ac:dyDescent="0.2">
      <c r="A2" s="6" t="s">
        <v>93</v>
      </c>
      <c r="B2" s="7" t="s">
        <v>253</v>
      </c>
      <c r="C2" s="8" t="s">
        <v>84</v>
      </c>
      <c r="D2" s="9" t="s">
        <v>85</v>
      </c>
    </row>
    <row r="3" spans="1:4" ht="14.25" customHeight="1" x14ac:dyDescent="0.2">
      <c r="A3" s="10" t="s">
        <v>853</v>
      </c>
      <c r="B3" s="17">
        <v>15151</v>
      </c>
      <c r="C3" s="12">
        <f>MemberOfAssemblyAssemblyDistrict45General[[#This Row],[Part of Kings County Vote Results]]</f>
        <v>15151</v>
      </c>
      <c r="D3" s="116">
        <f>SUM(MemberOfAssemblyAssemblyDistrict45General[[#This Row],[Total Votes by Party]])</f>
        <v>15151</v>
      </c>
    </row>
    <row r="4" spans="1:4" ht="14.25" customHeight="1" x14ac:dyDescent="0.2">
      <c r="A4" s="10" t="s">
        <v>854</v>
      </c>
      <c r="B4" s="17">
        <v>14060</v>
      </c>
      <c r="C4" s="12">
        <f>MemberOfAssemblyAssemblyDistrict45General[[#This Row],[Part of Kings County Vote Results]]</f>
        <v>14060</v>
      </c>
      <c r="D4" s="116">
        <f>SUM(MemberOfAssemblyAssemblyDistrict45General[[#This Row],[Total Votes by Party]],C5)</f>
        <v>15383</v>
      </c>
    </row>
    <row r="5" spans="1:4" ht="14.25" customHeight="1" x14ac:dyDescent="0.2">
      <c r="A5" s="10" t="s">
        <v>855</v>
      </c>
      <c r="B5" s="17">
        <v>1323</v>
      </c>
      <c r="C5" s="12">
        <f>MemberOfAssemblyAssemblyDistrict45General[[#This Row],[Part of Kings County Vote Results]]</f>
        <v>1323</v>
      </c>
      <c r="D5" s="14"/>
    </row>
    <row r="6" spans="1:4" ht="14.25" customHeight="1" x14ac:dyDescent="0.2">
      <c r="A6" s="15" t="s">
        <v>18</v>
      </c>
      <c r="B6" s="17">
        <v>3345</v>
      </c>
      <c r="C6" s="12">
        <f>MemberOfAssemblyAssemblyDistrict45General[[#This Row],[Part of Kings County Vote Results]]</f>
        <v>3345</v>
      </c>
      <c r="D6" s="14"/>
    </row>
    <row r="7" spans="1:4" ht="14.25" customHeight="1" x14ac:dyDescent="0.2">
      <c r="A7" s="15" t="s">
        <v>19</v>
      </c>
      <c r="B7" s="17">
        <v>149</v>
      </c>
      <c r="C7" s="12">
        <f>MemberOfAssemblyAssemblyDistrict45General[[#This Row],[Part of Kings County Vote Results]]</f>
        <v>149</v>
      </c>
      <c r="D7" s="14"/>
    </row>
    <row r="8" spans="1:4" ht="14.25" customHeight="1" x14ac:dyDescent="0.2">
      <c r="A8" s="15" t="s">
        <v>20</v>
      </c>
      <c r="B8" s="17">
        <v>138</v>
      </c>
      <c r="C8" s="12">
        <f>MemberOfAssemblyAssemblyDistrict45General[[#This Row],[Part of Kings County Vote Results]]</f>
        <v>138</v>
      </c>
      <c r="D8" s="14"/>
    </row>
    <row r="9" spans="1:4" ht="14.25" customHeight="1" x14ac:dyDescent="0.2">
      <c r="A9" s="16" t="s">
        <v>21</v>
      </c>
      <c r="B9" s="11">
        <f>SUM(MemberOfAssemblyAssemblyDistrict45General[Part of Kings County Vote Results])</f>
        <v>34166</v>
      </c>
      <c r="C9" s="12">
        <f>SUM(MemberOfAssemblyAssemblyDistrict45General[Total Votes by Party])</f>
        <v>34166</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0F8D-3BC9-4724-AC1B-3DCADCB3F0FA}">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856</v>
      </c>
    </row>
    <row r="2" spans="1:4" ht="28.5" customHeight="1" x14ac:dyDescent="0.2">
      <c r="A2" s="6" t="s">
        <v>93</v>
      </c>
      <c r="B2" s="7" t="s">
        <v>253</v>
      </c>
      <c r="C2" s="8" t="s">
        <v>84</v>
      </c>
      <c r="D2" s="9" t="s">
        <v>85</v>
      </c>
    </row>
    <row r="3" spans="1:4" ht="14.25" customHeight="1" x14ac:dyDescent="0.2">
      <c r="A3" s="10" t="s">
        <v>857</v>
      </c>
      <c r="B3" s="17">
        <v>19540</v>
      </c>
      <c r="C3" s="12">
        <f>MemberOfAssemblyAssemblyDistrict46General[[#This Row],[Part of Kings County Vote Results]]</f>
        <v>19540</v>
      </c>
      <c r="D3" s="116">
        <f>SUM(MemberOfAssemblyAssemblyDistrict46General[[#This Row],[Total Votes by Party]])</f>
        <v>19540</v>
      </c>
    </row>
    <row r="4" spans="1:4" ht="14.25" customHeight="1" x14ac:dyDescent="0.2">
      <c r="A4" s="10" t="s">
        <v>858</v>
      </c>
      <c r="B4" s="17">
        <v>19099</v>
      </c>
      <c r="C4" s="12">
        <f>MemberOfAssemblyAssemblyDistrict46General[[#This Row],[Part of Kings County Vote Results]]</f>
        <v>19099</v>
      </c>
      <c r="D4" s="116">
        <f>SUM(MemberOfAssemblyAssemblyDistrict46General[[#This Row],[Total Votes by Party]],C5)</f>
        <v>21031</v>
      </c>
    </row>
    <row r="5" spans="1:4" ht="14.25" customHeight="1" x14ac:dyDescent="0.2">
      <c r="A5" s="10" t="s">
        <v>859</v>
      </c>
      <c r="B5" s="17">
        <v>1932</v>
      </c>
      <c r="C5" s="12">
        <f>MemberOfAssemblyAssemblyDistrict46General[[#This Row],[Part of Kings County Vote Results]]</f>
        <v>1932</v>
      </c>
      <c r="D5" s="14"/>
    </row>
    <row r="6" spans="1:4" ht="14.25" customHeight="1" x14ac:dyDescent="0.2">
      <c r="A6" s="15" t="s">
        <v>18</v>
      </c>
      <c r="B6" s="17">
        <v>4352</v>
      </c>
      <c r="C6" s="12">
        <f>MemberOfAssemblyAssemblyDistrict46General[[#This Row],[Part of Kings County Vote Results]]</f>
        <v>4352</v>
      </c>
      <c r="D6" s="14"/>
    </row>
    <row r="7" spans="1:4" ht="14.25" customHeight="1" x14ac:dyDescent="0.2">
      <c r="A7" s="15" t="s">
        <v>19</v>
      </c>
      <c r="B7" s="17">
        <v>155</v>
      </c>
      <c r="C7" s="12">
        <f>MemberOfAssemblyAssemblyDistrict46General[[#This Row],[Part of Kings County Vote Results]]</f>
        <v>155</v>
      </c>
      <c r="D7" s="14"/>
    </row>
    <row r="8" spans="1:4" ht="14.25" customHeight="1" x14ac:dyDescent="0.2">
      <c r="A8" s="15" t="s">
        <v>20</v>
      </c>
      <c r="B8" s="17">
        <v>160</v>
      </c>
      <c r="C8" s="12">
        <f>MemberOfAssemblyAssemblyDistrict46General[[#This Row],[Part of Kings County Vote Results]]</f>
        <v>160</v>
      </c>
      <c r="D8" s="14"/>
    </row>
    <row r="9" spans="1:4" ht="14.25" customHeight="1" x14ac:dyDescent="0.2">
      <c r="A9" s="16" t="s">
        <v>21</v>
      </c>
      <c r="B9" s="11">
        <f>SUM(MemberOfAssemblyAssemblyDistrict46General[Part of Kings County Vote Results])</f>
        <v>45238</v>
      </c>
      <c r="C9" s="12">
        <f>SUM(MemberOfAssemblyAssemblyDistrict46General[Total Votes by Party])</f>
        <v>45238</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8C0D3-AF26-4746-93ED-FB713743D114}">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860</v>
      </c>
    </row>
    <row r="2" spans="1:4" ht="28.5" customHeight="1" x14ac:dyDescent="0.2">
      <c r="A2" s="6" t="s">
        <v>93</v>
      </c>
      <c r="B2" s="7" t="s">
        <v>253</v>
      </c>
      <c r="C2" s="8" t="s">
        <v>84</v>
      </c>
      <c r="D2" s="9" t="s">
        <v>85</v>
      </c>
    </row>
    <row r="3" spans="1:4" ht="14.25" customHeight="1" x14ac:dyDescent="0.2">
      <c r="A3" s="10" t="s">
        <v>861</v>
      </c>
      <c r="B3" s="17">
        <v>16365</v>
      </c>
      <c r="C3" s="12">
        <f>MemberOfAssemblyAssemblyDistrict47General[[#This Row],[Part of Kings County Vote Results]]</f>
        <v>16365</v>
      </c>
      <c r="D3" s="116">
        <f>SUM(MemberOfAssemblyAssemblyDistrict47General[[#This Row],[Total Votes by Party]])</f>
        <v>16365</v>
      </c>
    </row>
    <row r="4" spans="1:4" ht="14.25" customHeight="1" x14ac:dyDescent="0.2">
      <c r="A4" s="10" t="s">
        <v>862</v>
      </c>
      <c r="B4" s="17">
        <v>9479</v>
      </c>
      <c r="C4" s="12">
        <f>MemberOfAssemblyAssemblyDistrict47General[[#This Row],[Part of Kings County Vote Results]]</f>
        <v>9479</v>
      </c>
      <c r="D4" s="116">
        <f>SUM(MemberOfAssemblyAssemblyDistrict47General[[#This Row],[Total Votes by Party]],C5)</f>
        <v>10566</v>
      </c>
    </row>
    <row r="5" spans="1:4" ht="14.25" customHeight="1" x14ac:dyDescent="0.2">
      <c r="A5" s="10" t="s">
        <v>863</v>
      </c>
      <c r="B5" s="17">
        <v>1087</v>
      </c>
      <c r="C5" s="12">
        <f>MemberOfAssemblyAssemblyDistrict47General[[#This Row],[Part of Kings County Vote Results]]</f>
        <v>1087</v>
      </c>
      <c r="D5" s="14"/>
    </row>
    <row r="6" spans="1:4" ht="14.25" customHeight="1" x14ac:dyDescent="0.2">
      <c r="A6" s="15" t="s">
        <v>18</v>
      </c>
      <c r="B6" s="17">
        <v>2919</v>
      </c>
      <c r="C6" s="12">
        <f>MemberOfAssemblyAssemblyDistrict47General[[#This Row],[Part of Kings County Vote Results]]</f>
        <v>2919</v>
      </c>
      <c r="D6" s="14"/>
    </row>
    <row r="7" spans="1:4" ht="14.25" customHeight="1" x14ac:dyDescent="0.2">
      <c r="A7" s="15" t="s">
        <v>19</v>
      </c>
      <c r="B7" s="17">
        <v>74</v>
      </c>
      <c r="C7" s="12">
        <f>MemberOfAssemblyAssemblyDistrict47General[[#This Row],[Part of Kings County Vote Results]]</f>
        <v>74</v>
      </c>
      <c r="D7" s="14"/>
    </row>
    <row r="8" spans="1:4" ht="14.25" customHeight="1" x14ac:dyDescent="0.2">
      <c r="A8" s="15" t="s">
        <v>20</v>
      </c>
      <c r="B8" s="17">
        <v>121</v>
      </c>
      <c r="C8" s="12">
        <f>MemberOfAssemblyAssemblyDistrict47General[[#This Row],[Part of Kings County Vote Results]]</f>
        <v>121</v>
      </c>
      <c r="D8" s="14"/>
    </row>
    <row r="9" spans="1:4" ht="14.25" customHeight="1" x14ac:dyDescent="0.2">
      <c r="A9" s="16" t="s">
        <v>21</v>
      </c>
      <c r="B9" s="11">
        <f>SUM(MemberOfAssemblyAssemblyDistrict47General[Part of Kings County Vote Results])</f>
        <v>30045</v>
      </c>
      <c r="C9" s="12">
        <f>SUM(MemberOfAssemblyAssemblyDistrict47General[Total Votes by Party])</f>
        <v>30045</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C47C1-9338-4D11-BD78-3C6CE8A9994A}">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864</v>
      </c>
    </row>
    <row r="2" spans="1:4" ht="28.5" customHeight="1" x14ac:dyDescent="0.2">
      <c r="A2" s="6" t="s">
        <v>93</v>
      </c>
      <c r="B2" s="7" t="s">
        <v>253</v>
      </c>
      <c r="C2" s="8" t="s">
        <v>84</v>
      </c>
      <c r="D2" s="9" t="s">
        <v>85</v>
      </c>
    </row>
    <row r="3" spans="1:4" ht="14.25" customHeight="1" x14ac:dyDescent="0.2">
      <c r="A3" s="10" t="s">
        <v>865</v>
      </c>
      <c r="B3" s="17">
        <v>12539</v>
      </c>
      <c r="C3" s="12">
        <f>MemberOfAssemblyAssemblyDistrict48General[[#This Row],[Part of Kings County Vote Results]]</f>
        <v>12539</v>
      </c>
      <c r="D3" s="116">
        <f>SUM(MemberOfAssemblyAssemblyDistrict48General[[#This Row],[Total Votes by Party]],C4)</f>
        <v>24643</v>
      </c>
    </row>
    <row r="4" spans="1:4" ht="14.25" customHeight="1" x14ac:dyDescent="0.2">
      <c r="A4" s="10" t="s">
        <v>866</v>
      </c>
      <c r="B4" s="17">
        <v>12104</v>
      </c>
      <c r="C4" s="12">
        <f>MemberOfAssemblyAssemblyDistrict48General[[#This Row],[Part of Kings County Vote Results]]</f>
        <v>12104</v>
      </c>
      <c r="D4" s="14"/>
    </row>
    <row r="5" spans="1:4" ht="14.25" customHeight="1" x14ac:dyDescent="0.2">
      <c r="A5" s="15" t="s">
        <v>18</v>
      </c>
      <c r="B5" s="17">
        <v>8144</v>
      </c>
      <c r="C5" s="12">
        <f>MemberOfAssemblyAssemblyDistrict48General[[#This Row],[Part of Kings County Vote Results]]</f>
        <v>8144</v>
      </c>
      <c r="D5" s="14"/>
    </row>
    <row r="6" spans="1:4" ht="14.25" customHeight="1" x14ac:dyDescent="0.2">
      <c r="A6" s="15" t="s">
        <v>19</v>
      </c>
      <c r="B6" s="17">
        <v>370</v>
      </c>
      <c r="C6" s="12">
        <f>MemberOfAssemblyAssemblyDistrict48General[[#This Row],[Part of Kings County Vote Results]]</f>
        <v>370</v>
      </c>
      <c r="D6" s="14"/>
    </row>
    <row r="7" spans="1:4" ht="14.25" customHeight="1" x14ac:dyDescent="0.2">
      <c r="A7" s="15" t="s">
        <v>20</v>
      </c>
      <c r="B7" s="17">
        <v>279</v>
      </c>
      <c r="C7" s="12">
        <f>MemberOfAssemblyAssemblyDistrict48General[[#This Row],[Part of Kings County Vote Results]]</f>
        <v>279</v>
      </c>
      <c r="D7" s="14"/>
    </row>
    <row r="8" spans="1:4" ht="14.25" customHeight="1" x14ac:dyDescent="0.2">
      <c r="A8" s="16" t="s">
        <v>21</v>
      </c>
      <c r="B8" s="11">
        <f>SUM(MemberOfAssemblyAssemblyDistrict48General[Part of Kings County Vote Results])</f>
        <v>33436</v>
      </c>
      <c r="C8" s="12">
        <f>SUM(MemberOfAssemblyAssemblyDistrict48General[Total Votes by Party])</f>
        <v>33436</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13D2F-D23A-4131-A96F-8AF1EAACF695}">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867</v>
      </c>
    </row>
    <row r="2" spans="1:4" ht="28.5" customHeight="1" x14ac:dyDescent="0.2">
      <c r="A2" s="6" t="s">
        <v>93</v>
      </c>
      <c r="B2" s="7" t="s">
        <v>253</v>
      </c>
      <c r="C2" s="8" t="s">
        <v>84</v>
      </c>
      <c r="D2" s="9" t="s">
        <v>85</v>
      </c>
    </row>
    <row r="3" spans="1:4" ht="14.25" customHeight="1" x14ac:dyDescent="0.2">
      <c r="A3" s="10" t="s">
        <v>868</v>
      </c>
      <c r="B3" s="17">
        <v>12951</v>
      </c>
      <c r="C3" s="12">
        <f>MemberOfAssemblyAssemblyDistrict49General[[#This Row],[Part of Kings County Vote Results]]</f>
        <v>12951</v>
      </c>
      <c r="D3" s="116">
        <f>SUM(MemberOfAssemblyAssemblyDistrict49General[[#This Row],[Total Votes by Party]],C4)</f>
        <v>15093</v>
      </c>
    </row>
    <row r="4" spans="1:4" ht="14.25" customHeight="1" x14ac:dyDescent="0.2">
      <c r="A4" s="10" t="s">
        <v>869</v>
      </c>
      <c r="B4" s="17">
        <v>2142</v>
      </c>
      <c r="C4" s="12">
        <f>MemberOfAssemblyAssemblyDistrict49General[[#This Row],[Part of Kings County Vote Results]]</f>
        <v>2142</v>
      </c>
      <c r="D4" s="14"/>
    </row>
    <row r="5" spans="1:4" ht="14.25" customHeight="1" x14ac:dyDescent="0.2">
      <c r="A5" s="15" t="s">
        <v>18</v>
      </c>
      <c r="B5" s="17">
        <v>7930</v>
      </c>
      <c r="C5" s="12">
        <f>MemberOfAssemblyAssemblyDistrict49General[[#This Row],[Part of Kings County Vote Results]]</f>
        <v>7930</v>
      </c>
      <c r="D5" s="14"/>
    </row>
    <row r="6" spans="1:4" ht="14.25" customHeight="1" x14ac:dyDescent="0.2">
      <c r="A6" s="15" t="s">
        <v>19</v>
      </c>
      <c r="B6" s="17">
        <v>62</v>
      </c>
      <c r="C6" s="12">
        <f>MemberOfAssemblyAssemblyDistrict49General[[#This Row],[Part of Kings County Vote Results]]</f>
        <v>62</v>
      </c>
      <c r="D6" s="14"/>
    </row>
    <row r="7" spans="1:4" ht="14.25" customHeight="1" x14ac:dyDescent="0.2">
      <c r="A7" s="15" t="s">
        <v>20</v>
      </c>
      <c r="B7" s="17">
        <v>425</v>
      </c>
      <c r="C7" s="12">
        <f>MemberOfAssemblyAssemblyDistrict49General[[#This Row],[Part of Kings County Vote Results]]</f>
        <v>425</v>
      </c>
      <c r="D7" s="14"/>
    </row>
    <row r="8" spans="1:4" ht="14.25" customHeight="1" x14ac:dyDescent="0.2">
      <c r="A8" s="16" t="s">
        <v>21</v>
      </c>
      <c r="B8" s="11">
        <f>SUM(MemberOfAssemblyAssemblyDistrict49General[Part of Kings County Vote Results])</f>
        <v>23510</v>
      </c>
      <c r="C8" s="12">
        <f>SUM(MemberOfAssemblyAssemblyDistrict49General[Total Votes by Party])</f>
        <v>23510</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51DB-2988-492A-9D56-24FE40EA5417}">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870</v>
      </c>
    </row>
    <row r="2" spans="1:4" ht="28.5" customHeight="1" x14ac:dyDescent="0.2">
      <c r="A2" s="6" t="s">
        <v>93</v>
      </c>
      <c r="B2" s="7" t="s">
        <v>253</v>
      </c>
      <c r="C2" s="8" t="s">
        <v>84</v>
      </c>
      <c r="D2" s="9" t="s">
        <v>85</v>
      </c>
    </row>
    <row r="3" spans="1:4" ht="14.25" customHeight="1" x14ac:dyDescent="0.2">
      <c r="A3" s="10" t="s">
        <v>871</v>
      </c>
      <c r="B3" s="17">
        <v>29622</v>
      </c>
      <c r="C3" s="12">
        <f>MemberOfAssemblyAssemblyDistrict50General[[#This Row],[Part of Kings County Vote Results]]</f>
        <v>29622</v>
      </c>
      <c r="D3" s="116">
        <f>SUM(MemberOfAssemblyAssemblyDistrict50General[[#This Row],[Total Votes by Party]],C4)</f>
        <v>36598</v>
      </c>
    </row>
    <row r="4" spans="1:4" ht="14.25" customHeight="1" x14ac:dyDescent="0.2">
      <c r="A4" s="10" t="s">
        <v>872</v>
      </c>
      <c r="B4" s="17">
        <v>6976</v>
      </c>
      <c r="C4" s="12">
        <f>MemberOfAssemblyAssemblyDistrict50General[[#This Row],[Part of Kings County Vote Results]]</f>
        <v>6976</v>
      </c>
      <c r="D4" s="14"/>
    </row>
    <row r="5" spans="1:4" ht="14.25" customHeight="1" x14ac:dyDescent="0.2">
      <c r="A5" s="15" t="s">
        <v>18</v>
      </c>
      <c r="B5" s="17">
        <v>11509</v>
      </c>
      <c r="C5" s="12">
        <f>MemberOfAssemblyAssemblyDistrict50General[[#This Row],[Part of Kings County Vote Results]]</f>
        <v>11509</v>
      </c>
      <c r="D5" s="14"/>
    </row>
    <row r="6" spans="1:4" ht="14.25" customHeight="1" x14ac:dyDescent="0.2">
      <c r="A6" s="15" t="s">
        <v>19</v>
      </c>
      <c r="B6" s="17">
        <v>390</v>
      </c>
      <c r="C6" s="12">
        <f>MemberOfAssemblyAssemblyDistrict50General[[#This Row],[Part of Kings County Vote Results]]</f>
        <v>390</v>
      </c>
      <c r="D6" s="14"/>
    </row>
    <row r="7" spans="1:4" ht="14.25" customHeight="1" x14ac:dyDescent="0.2">
      <c r="A7" s="15" t="s">
        <v>20</v>
      </c>
      <c r="B7" s="17">
        <v>749</v>
      </c>
      <c r="C7" s="12">
        <f>MemberOfAssemblyAssemblyDistrict50General[[#This Row],[Part of Kings County Vote Results]]</f>
        <v>749</v>
      </c>
      <c r="D7" s="14"/>
    </row>
    <row r="8" spans="1:4" ht="14.25" customHeight="1" x14ac:dyDescent="0.2">
      <c r="A8" s="16" t="s">
        <v>21</v>
      </c>
      <c r="B8" s="11">
        <f>SUM(MemberOfAssemblyAssemblyDistrict50General[Part of Kings County Vote Results])</f>
        <v>49246</v>
      </c>
      <c r="C8" s="12">
        <f>SUM(MemberOfAssemblyAssemblyDistrict50General[Total Votes by Party])</f>
        <v>49246</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49DE2-58CD-4854-A2FF-724BFE84E9C7}">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243</v>
      </c>
      <c r="B1" s="108"/>
      <c r="C1" s="108"/>
      <c r="D1" s="108"/>
    </row>
    <row r="2" spans="1:4" ht="28.5" customHeight="1" x14ac:dyDescent="0.2">
      <c r="A2" s="6" t="s">
        <v>93</v>
      </c>
      <c r="B2" s="7" t="s">
        <v>232</v>
      </c>
      <c r="C2" s="8" t="s">
        <v>84</v>
      </c>
      <c r="D2" s="9" t="s">
        <v>85</v>
      </c>
    </row>
    <row r="3" spans="1:4" ht="14.25" customHeight="1" x14ac:dyDescent="0.2">
      <c r="A3" s="28" t="s">
        <v>244</v>
      </c>
      <c r="B3" s="118">
        <v>168425</v>
      </c>
      <c r="C3" s="101">
        <f>SUM(RepInCongressCongressionalDistrict5General[[#This Row],[Part of Queens County Vote Results]])</f>
        <v>168425</v>
      </c>
      <c r="D3" s="113">
        <f>RepInCongressCongressionalDistrict5General[[#This Row],[Total Votes by Party]]</f>
        <v>168425</v>
      </c>
    </row>
    <row r="4" spans="1:4" ht="14.25" customHeight="1" x14ac:dyDescent="0.2">
      <c r="A4" s="29" t="s">
        <v>245</v>
      </c>
      <c r="B4" s="118">
        <v>56689</v>
      </c>
      <c r="C4" s="101">
        <f>SUM(RepInCongressCongressionalDistrict5General[[#This Row],[Part of Queens County Vote Results]])</f>
        <v>56689</v>
      </c>
      <c r="D4" s="113">
        <f>SUM(C4,C5)</f>
        <v>62529</v>
      </c>
    </row>
    <row r="5" spans="1:4" ht="14.25" customHeight="1" x14ac:dyDescent="0.2">
      <c r="A5" s="29" t="s">
        <v>246</v>
      </c>
      <c r="B5" s="118">
        <v>5840</v>
      </c>
      <c r="C5" s="101">
        <f>SUM(RepInCongressCongressionalDistrict5General[[#This Row],[Part of Queens County Vote Results]])</f>
        <v>5840</v>
      </c>
      <c r="D5" s="111"/>
    </row>
    <row r="6" spans="1:4" ht="14.25" customHeight="1" x14ac:dyDescent="0.2">
      <c r="A6" s="29" t="s">
        <v>18</v>
      </c>
      <c r="B6" s="118">
        <v>12060</v>
      </c>
      <c r="C6" s="101">
        <f>SUM(RepInCongressCongressionalDistrict5General[[#This Row],[Part of Queens County Vote Results]])</f>
        <v>12060</v>
      </c>
      <c r="D6" s="111"/>
    </row>
    <row r="7" spans="1:4" ht="14.25" customHeight="1" x14ac:dyDescent="0.2">
      <c r="A7" s="29" t="s">
        <v>19</v>
      </c>
      <c r="B7" s="118">
        <v>0</v>
      </c>
      <c r="C7" s="101">
        <f>SUM(RepInCongressCongressionalDistrict5General[[#This Row],[Part of Queens County Vote Results]])</f>
        <v>0</v>
      </c>
      <c r="D7" s="111"/>
    </row>
    <row r="8" spans="1:4" ht="14.25" customHeight="1" x14ac:dyDescent="0.2">
      <c r="A8" s="29" t="s">
        <v>20</v>
      </c>
      <c r="B8" s="118">
        <v>782</v>
      </c>
      <c r="C8" s="101">
        <f>SUM(RepInCongressCongressionalDistrict5General[[#This Row],[Part of Queens County Vote Results]])</f>
        <v>782</v>
      </c>
      <c r="D8" s="111"/>
    </row>
    <row r="9" spans="1:4" ht="14.25" customHeight="1" x14ac:dyDescent="0.2">
      <c r="A9" s="103" t="s">
        <v>21</v>
      </c>
      <c r="B9" s="100">
        <f>SUM(RepInCongressCongressionalDistrict5General[Part of Queens County Vote Results])</f>
        <v>243796</v>
      </c>
      <c r="C9" s="101">
        <f>SUM(RepInCongressCongressionalDistrict5General[Total Votes by Party])</f>
        <v>243796</v>
      </c>
      <c r="D9" s="111"/>
    </row>
    <row r="10" spans="1:4" x14ac:dyDescent="0.2">
      <c r="B10" s="18"/>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33412-666C-44F7-AE93-15D93530F4B8}">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873</v>
      </c>
    </row>
    <row r="2" spans="1:4" ht="28.5" customHeight="1" x14ac:dyDescent="0.2">
      <c r="A2" s="6" t="s">
        <v>93</v>
      </c>
      <c r="B2" s="7" t="s">
        <v>253</v>
      </c>
      <c r="C2" s="8" t="s">
        <v>84</v>
      </c>
      <c r="D2" s="9" t="s">
        <v>85</v>
      </c>
    </row>
    <row r="3" spans="1:4" ht="14.25" customHeight="1" x14ac:dyDescent="0.2">
      <c r="A3" s="10" t="s">
        <v>874</v>
      </c>
      <c r="B3" s="17">
        <v>17669</v>
      </c>
      <c r="C3" s="12">
        <f>MemberOfAssemblyAssemblyDistrict51General[[#This Row],[Part of Kings County Vote Results]]</f>
        <v>17669</v>
      </c>
      <c r="D3" s="116">
        <f>SUM(MemberOfAssemblyAssemblyDistrict51General[[#This Row],[Total Votes by Party]],C6)</f>
        <v>22007</v>
      </c>
    </row>
    <row r="4" spans="1:4" ht="14.25" customHeight="1" x14ac:dyDescent="0.2">
      <c r="A4" s="10" t="s">
        <v>875</v>
      </c>
      <c r="B4" s="17">
        <v>5749</v>
      </c>
      <c r="C4" s="12">
        <f>MemberOfAssemblyAssemblyDistrict51General[[#This Row],[Part of Kings County Vote Results]]</f>
        <v>5749</v>
      </c>
      <c r="D4" s="116">
        <f>SUM(MemberOfAssemblyAssemblyDistrict51General[[#This Row],[Total Votes by Party]],C5)</f>
        <v>6554</v>
      </c>
    </row>
    <row r="5" spans="1:4" ht="14.25" customHeight="1" x14ac:dyDescent="0.2">
      <c r="A5" s="10" t="s">
        <v>876</v>
      </c>
      <c r="B5" s="17">
        <v>805</v>
      </c>
      <c r="C5" s="12">
        <f>MemberOfAssemblyAssemblyDistrict51General[[#This Row],[Part of Kings County Vote Results]]</f>
        <v>805</v>
      </c>
      <c r="D5" s="14"/>
    </row>
    <row r="6" spans="1:4" ht="14.25" customHeight="1" x14ac:dyDescent="0.2">
      <c r="A6" s="10" t="s">
        <v>877</v>
      </c>
      <c r="B6" s="17">
        <v>4338</v>
      </c>
      <c r="C6" s="12">
        <f>MemberOfAssemblyAssemblyDistrict51General[[#This Row],[Part of Kings County Vote Results]]</f>
        <v>4338</v>
      </c>
      <c r="D6" s="14"/>
    </row>
    <row r="7" spans="1:4" ht="14.25" customHeight="1" x14ac:dyDescent="0.2">
      <c r="A7" s="15" t="s">
        <v>18</v>
      </c>
      <c r="B7" s="17">
        <v>3217</v>
      </c>
      <c r="C7" s="12">
        <f>MemberOfAssemblyAssemblyDistrict51General[[#This Row],[Part of Kings County Vote Results]]</f>
        <v>3217</v>
      </c>
      <c r="D7" s="14"/>
    </row>
    <row r="8" spans="1:4" ht="14.25" customHeight="1" x14ac:dyDescent="0.2">
      <c r="A8" s="15" t="s">
        <v>19</v>
      </c>
      <c r="B8" s="17">
        <v>167</v>
      </c>
      <c r="C8" s="12">
        <f>MemberOfAssemblyAssemblyDistrict51General[[#This Row],[Part of Kings County Vote Results]]</f>
        <v>167</v>
      </c>
      <c r="D8" s="14"/>
    </row>
    <row r="9" spans="1:4" ht="14.25" customHeight="1" x14ac:dyDescent="0.2">
      <c r="A9" s="15" t="s">
        <v>20</v>
      </c>
      <c r="B9" s="17">
        <v>91</v>
      </c>
      <c r="C9" s="12">
        <f>MemberOfAssemblyAssemblyDistrict51General[[#This Row],[Part of Kings County Vote Results]]</f>
        <v>91</v>
      </c>
      <c r="D9" s="14"/>
    </row>
    <row r="10" spans="1:4" ht="14.25" customHeight="1" x14ac:dyDescent="0.2">
      <c r="A10" s="16" t="s">
        <v>21</v>
      </c>
      <c r="B10" s="11">
        <f>SUM(MemberOfAssemblyAssemblyDistrict51General[Part of Kings County Vote Results])</f>
        <v>32036</v>
      </c>
      <c r="C10" s="12">
        <f>SUM(MemberOfAssemblyAssemblyDistrict51General[Total Votes by Party])</f>
        <v>32036</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CCAF9-4DD4-450A-84D9-8628CFF0A8FD}">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878</v>
      </c>
    </row>
    <row r="2" spans="1:4" ht="28.5" customHeight="1" x14ac:dyDescent="0.2">
      <c r="A2" s="6" t="s">
        <v>93</v>
      </c>
      <c r="B2" s="7" t="s">
        <v>253</v>
      </c>
      <c r="C2" s="8" t="s">
        <v>84</v>
      </c>
      <c r="D2" s="9" t="s">
        <v>85</v>
      </c>
    </row>
    <row r="3" spans="1:4" ht="14.25" customHeight="1" x14ac:dyDescent="0.2">
      <c r="A3" s="10" t="s">
        <v>879</v>
      </c>
      <c r="B3" s="17">
        <v>51326</v>
      </c>
      <c r="C3" s="12">
        <f>MemberOfAssemblyAssemblyDistrict52General[[#This Row],[Part of Kings County Vote Results]]</f>
        <v>51326</v>
      </c>
      <c r="D3" s="116">
        <f>SUM(MemberOfAssemblyAssemblyDistrict52General[[#This Row],[Total Votes by Party]],C5)</f>
        <v>60758</v>
      </c>
    </row>
    <row r="4" spans="1:4" ht="14.25" customHeight="1" x14ac:dyDescent="0.2">
      <c r="A4" s="10" t="s">
        <v>880</v>
      </c>
      <c r="B4" s="17">
        <v>3785</v>
      </c>
      <c r="C4" s="12">
        <f>MemberOfAssemblyAssemblyDistrict52General[[#This Row],[Part of Kings County Vote Results]]</f>
        <v>3785</v>
      </c>
      <c r="D4" s="116">
        <f>SUM(MemberOfAssemblyAssemblyDistrict52General[[#This Row],[Total Votes by Party]])</f>
        <v>3785</v>
      </c>
    </row>
    <row r="5" spans="1:4" ht="14.25" customHeight="1" x14ac:dyDescent="0.2">
      <c r="A5" s="10" t="s">
        <v>881</v>
      </c>
      <c r="B5" s="17">
        <v>9432</v>
      </c>
      <c r="C5" s="12">
        <f>MemberOfAssemblyAssemblyDistrict52General[[#This Row],[Part of Kings County Vote Results]]</f>
        <v>9432</v>
      </c>
      <c r="D5" s="14"/>
    </row>
    <row r="6" spans="1:4" ht="14.25" customHeight="1" x14ac:dyDescent="0.2">
      <c r="A6" s="15" t="s">
        <v>18</v>
      </c>
      <c r="B6" s="17">
        <v>4847</v>
      </c>
      <c r="C6" s="12">
        <f>MemberOfAssemblyAssemblyDistrict52General[[#This Row],[Part of Kings County Vote Results]]</f>
        <v>4847</v>
      </c>
      <c r="D6" s="14"/>
    </row>
    <row r="7" spans="1:4" ht="14.25" customHeight="1" x14ac:dyDescent="0.2">
      <c r="A7" s="15" t="s">
        <v>19</v>
      </c>
      <c r="B7" s="17">
        <v>1042</v>
      </c>
      <c r="C7" s="12">
        <f>MemberOfAssemblyAssemblyDistrict52General[[#This Row],[Part of Kings County Vote Results]]</f>
        <v>1042</v>
      </c>
      <c r="D7" s="14"/>
    </row>
    <row r="8" spans="1:4" ht="14.25" customHeight="1" x14ac:dyDescent="0.2">
      <c r="A8" s="15" t="s">
        <v>20</v>
      </c>
      <c r="B8" s="17">
        <v>176</v>
      </c>
      <c r="C8" s="12">
        <f>MemberOfAssemblyAssemblyDistrict52General[[#This Row],[Part of Kings County Vote Results]]</f>
        <v>176</v>
      </c>
      <c r="D8" s="14"/>
    </row>
    <row r="9" spans="1:4" ht="14.25" customHeight="1" x14ac:dyDescent="0.2">
      <c r="A9" s="16" t="s">
        <v>21</v>
      </c>
      <c r="B9" s="11">
        <f>SUM(MemberOfAssemblyAssemblyDistrict52General[Part of Kings County Vote Results])</f>
        <v>70608</v>
      </c>
      <c r="C9" s="12">
        <f>SUM(MemberOfAssemblyAssemblyDistrict52General[Total Votes by Party])</f>
        <v>70608</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80B1C-9700-47EB-B18F-E4D1BF5B2D78}">
  <sheetPr>
    <pageSetUpPr fitToPage="1"/>
  </sheetPr>
  <dimension ref="A1:D7"/>
  <sheetViews>
    <sheetView zoomScaleNormal="100"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882</v>
      </c>
    </row>
    <row r="2" spans="1:4" ht="28.5" customHeight="1" x14ac:dyDescent="0.2">
      <c r="A2" s="6" t="s">
        <v>93</v>
      </c>
      <c r="B2" s="7" t="s">
        <v>253</v>
      </c>
      <c r="C2" s="8" t="s">
        <v>84</v>
      </c>
      <c r="D2" s="9" t="s">
        <v>85</v>
      </c>
    </row>
    <row r="3" spans="1:4" ht="14.25" customHeight="1" x14ac:dyDescent="0.2">
      <c r="A3" s="10" t="s">
        <v>883</v>
      </c>
      <c r="B3" s="17">
        <v>33100</v>
      </c>
      <c r="C3" s="12">
        <f>MemberOfAssemblyAssemblyDistrict53General[[#This Row],[Part of Kings County Vote Results]]</f>
        <v>33100</v>
      </c>
      <c r="D3" s="116">
        <f>SUM(MemberOfAssemblyAssemblyDistrict53General[[#This Row],[Total Votes by Party]])</f>
        <v>33100</v>
      </c>
    </row>
    <row r="4" spans="1:4" ht="14.25" customHeight="1" x14ac:dyDescent="0.2">
      <c r="A4" s="15" t="s">
        <v>18</v>
      </c>
      <c r="B4" s="17">
        <v>8998</v>
      </c>
      <c r="C4" s="12">
        <f>MemberOfAssemblyAssemblyDistrict53General[[#This Row],[Part of Kings County Vote Results]]</f>
        <v>8998</v>
      </c>
      <c r="D4" s="14"/>
    </row>
    <row r="5" spans="1:4" ht="14.25" customHeight="1" x14ac:dyDescent="0.2">
      <c r="A5" s="15" t="s">
        <v>19</v>
      </c>
      <c r="B5" s="17">
        <v>206</v>
      </c>
      <c r="C5" s="12">
        <f>MemberOfAssemblyAssemblyDistrict53General[[#This Row],[Part of Kings County Vote Results]]</f>
        <v>206</v>
      </c>
      <c r="D5" s="14"/>
    </row>
    <row r="6" spans="1:4" ht="14.25" customHeight="1" x14ac:dyDescent="0.2">
      <c r="A6" s="15" t="s">
        <v>20</v>
      </c>
      <c r="B6" s="17">
        <v>245</v>
      </c>
      <c r="C6" s="12">
        <f>MemberOfAssemblyAssemblyDistrict53General[[#This Row],[Part of Kings County Vote Results]]</f>
        <v>245</v>
      </c>
      <c r="D6" s="14"/>
    </row>
    <row r="7" spans="1:4" ht="14.25" customHeight="1" x14ac:dyDescent="0.2">
      <c r="A7" s="16" t="s">
        <v>21</v>
      </c>
      <c r="B7" s="11">
        <f>SUM(MemberOfAssemblyAssemblyDistrict53General[Part of Kings County Vote Results])</f>
        <v>42549</v>
      </c>
      <c r="C7" s="12">
        <f>SUM(MemberOfAssemblyAssemblyDistrict53General[Total Votes by Party])</f>
        <v>42549</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6BC0-C75F-4F2B-A46D-79B7AEB612A3}">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884</v>
      </c>
    </row>
    <row r="2" spans="1:4" ht="28.5" customHeight="1" x14ac:dyDescent="0.2">
      <c r="A2" s="6" t="s">
        <v>93</v>
      </c>
      <c r="B2" s="7" t="s">
        <v>253</v>
      </c>
      <c r="C2" s="8" t="s">
        <v>84</v>
      </c>
      <c r="D2" s="9" t="s">
        <v>85</v>
      </c>
    </row>
    <row r="3" spans="1:4" ht="14.25" customHeight="1" x14ac:dyDescent="0.2">
      <c r="A3" s="10" t="s">
        <v>885</v>
      </c>
      <c r="B3" s="17">
        <v>21908</v>
      </c>
      <c r="C3" s="12">
        <f>MemberOfAssemblyAssemblyDistrict54General[[#This Row],[Part of Kings County Vote Results]]</f>
        <v>21908</v>
      </c>
      <c r="D3" s="116">
        <f>MemberOfAssemblyAssemblyDistrict54General[[#This Row],[Total Votes by Party]]</f>
        <v>21908</v>
      </c>
    </row>
    <row r="4" spans="1:4" ht="14.25" customHeight="1" x14ac:dyDescent="0.2">
      <c r="A4" s="15" t="s">
        <v>18</v>
      </c>
      <c r="B4" s="17">
        <v>7600</v>
      </c>
      <c r="C4" s="12">
        <f>MemberOfAssemblyAssemblyDistrict54General[[#This Row],[Part of Kings County Vote Results]]</f>
        <v>7600</v>
      </c>
      <c r="D4" s="14"/>
    </row>
    <row r="5" spans="1:4" ht="14.25" customHeight="1" x14ac:dyDescent="0.2">
      <c r="A5" s="15" t="s">
        <v>19</v>
      </c>
      <c r="B5" s="17">
        <v>44</v>
      </c>
      <c r="C5" s="12">
        <f>MemberOfAssemblyAssemblyDistrict54General[[#This Row],[Part of Kings County Vote Results]]</f>
        <v>44</v>
      </c>
      <c r="D5" s="14"/>
    </row>
    <row r="6" spans="1:4" ht="14.25" customHeight="1" x14ac:dyDescent="0.2">
      <c r="A6" s="15" t="s">
        <v>20</v>
      </c>
      <c r="B6" s="17">
        <v>277</v>
      </c>
      <c r="C6" s="12">
        <f>MemberOfAssemblyAssemblyDistrict54General[[#This Row],[Part of Kings County Vote Results]]</f>
        <v>277</v>
      </c>
      <c r="D6" s="14"/>
    </row>
    <row r="7" spans="1:4" ht="14.25" customHeight="1" x14ac:dyDescent="0.2">
      <c r="A7" s="16" t="s">
        <v>21</v>
      </c>
      <c r="B7" s="11">
        <f>SUM(MemberOfAssemblyAssemblyDistrict54General[Part of Kings County Vote Results])</f>
        <v>29829</v>
      </c>
      <c r="C7" s="12">
        <f>SUM(MemberOfAssemblyAssemblyDistrict54General[Total Votes by Party])</f>
        <v>29829</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C5285-2B4D-44CC-8DEA-7E48C0C092B4}">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886</v>
      </c>
    </row>
    <row r="2" spans="1:4" ht="28.5" customHeight="1" x14ac:dyDescent="0.2">
      <c r="A2" s="6" t="s">
        <v>93</v>
      </c>
      <c r="B2" s="7" t="s">
        <v>253</v>
      </c>
      <c r="C2" s="8" t="s">
        <v>84</v>
      </c>
      <c r="D2" s="9" t="s">
        <v>85</v>
      </c>
    </row>
    <row r="3" spans="1:4" ht="14.25" customHeight="1" x14ac:dyDescent="0.2">
      <c r="A3" s="10" t="s">
        <v>887</v>
      </c>
      <c r="B3" s="17">
        <v>28825</v>
      </c>
      <c r="C3" s="12">
        <f>MemberOfAssemblyAssemblyDistrict55General[[#This Row],[Part of Kings County Vote Results]]</f>
        <v>28825</v>
      </c>
      <c r="D3" s="116">
        <f>SUM(MemberOfAssemblyAssemblyDistrict55General[[#This Row],[Total Votes by Party]])</f>
        <v>28825</v>
      </c>
    </row>
    <row r="4" spans="1:4" ht="14.25" customHeight="1" x14ac:dyDescent="0.2">
      <c r="A4" s="10" t="s">
        <v>888</v>
      </c>
      <c r="B4" s="17">
        <v>2068</v>
      </c>
      <c r="C4" s="12">
        <f>MemberOfAssemblyAssemblyDistrict55General[[#This Row],[Part of Kings County Vote Results]]</f>
        <v>2068</v>
      </c>
      <c r="D4" s="116">
        <f>SUM(MemberOfAssemblyAssemblyDistrict55General[[#This Row],[Total Votes by Party]],C5)</f>
        <v>2612</v>
      </c>
    </row>
    <row r="5" spans="1:4" ht="14.25" customHeight="1" x14ac:dyDescent="0.2">
      <c r="A5" s="10" t="s">
        <v>889</v>
      </c>
      <c r="B5" s="17">
        <v>544</v>
      </c>
      <c r="C5" s="12">
        <f>MemberOfAssemblyAssemblyDistrict55General[[#This Row],[Part of Kings County Vote Results]]</f>
        <v>544</v>
      </c>
      <c r="D5" s="14"/>
    </row>
    <row r="6" spans="1:4" ht="14.25" customHeight="1" x14ac:dyDescent="0.2">
      <c r="A6" s="15" t="s">
        <v>18</v>
      </c>
      <c r="B6" s="17">
        <v>2632</v>
      </c>
      <c r="C6" s="12">
        <f>MemberOfAssemblyAssemblyDistrict55General[[#This Row],[Part of Kings County Vote Results]]</f>
        <v>2632</v>
      </c>
      <c r="D6" s="14"/>
    </row>
    <row r="7" spans="1:4" ht="14.25" customHeight="1" x14ac:dyDescent="0.2">
      <c r="A7" s="15" t="s">
        <v>19</v>
      </c>
      <c r="B7" s="17">
        <v>21</v>
      </c>
      <c r="C7" s="12">
        <f>MemberOfAssemblyAssemblyDistrict55General[[#This Row],[Part of Kings County Vote Results]]</f>
        <v>21</v>
      </c>
      <c r="D7" s="14"/>
    </row>
    <row r="8" spans="1:4" ht="14.25" customHeight="1" x14ac:dyDescent="0.2">
      <c r="A8" s="15" t="s">
        <v>20</v>
      </c>
      <c r="B8" s="17">
        <v>51</v>
      </c>
      <c r="C8" s="12">
        <f>MemberOfAssemblyAssemblyDistrict55General[[#This Row],[Part of Kings County Vote Results]]</f>
        <v>51</v>
      </c>
      <c r="D8" s="14"/>
    </row>
    <row r="9" spans="1:4" ht="14.25" customHeight="1" x14ac:dyDescent="0.2">
      <c r="A9" s="16" t="s">
        <v>21</v>
      </c>
      <c r="B9" s="11">
        <f>SUM(MemberOfAssemblyAssemblyDistrict55General[Part of Kings County Vote Results])</f>
        <v>34141</v>
      </c>
      <c r="C9" s="12">
        <f>SUM(MemberOfAssemblyAssemblyDistrict55General[Total Votes by Party])</f>
        <v>34141</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8C5EC-16C0-43DF-A920-96701085F8E2}">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890</v>
      </c>
    </row>
    <row r="2" spans="1:4" ht="28.5" customHeight="1" x14ac:dyDescent="0.2">
      <c r="A2" s="6" t="s">
        <v>93</v>
      </c>
      <c r="B2" s="7" t="s">
        <v>253</v>
      </c>
      <c r="C2" s="8" t="s">
        <v>84</v>
      </c>
      <c r="D2" s="9" t="s">
        <v>85</v>
      </c>
    </row>
    <row r="3" spans="1:4" ht="14.25" customHeight="1" x14ac:dyDescent="0.2">
      <c r="A3" s="10" t="s">
        <v>891</v>
      </c>
      <c r="B3" s="17">
        <v>37956</v>
      </c>
      <c r="C3" s="12">
        <f>MemberOfAssemblyAssemblyDistrict56General[[#This Row],[Part of Kings County Vote Results]]</f>
        <v>37956</v>
      </c>
      <c r="D3" s="116">
        <f>SUM(MemberOfAssemblyAssemblyDistrict56General[[#This Row],[Total Votes by Party]])</f>
        <v>37956</v>
      </c>
    </row>
    <row r="4" spans="1:4" ht="14.25" customHeight="1" x14ac:dyDescent="0.2">
      <c r="A4" s="15" t="s">
        <v>18</v>
      </c>
      <c r="B4" s="17">
        <v>7868</v>
      </c>
      <c r="C4" s="12">
        <f>MemberOfAssemblyAssemblyDistrict56General[[#This Row],[Part of Kings County Vote Results]]</f>
        <v>7868</v>
      </c>
      <c r="D4" s="14"/>
    </row>
    <row r="5" spans="1:4" ht="14.25" customHeight="1" x14ac:dyDescent="0.2">
      <c r="A5" s="15" t="s">
        <v>19</v>
      </c>
      <c r="B5" s="17">
        <v>140</v>
      </c>
      <c r="C5" s="12">
        <f>MemberOfAssemblyAssemblyDistrict56General[[#This Row],[Part of Kings County Vote Results]]</f>
        <v>140</v>
      </c>
      <c r="D5" s="14"/>
    </row>
    <row r="6" spans="1:4" ht="14.25" customHeight="1" x14ac:dyDescent="0.2">
      <c r="A6" s="15" t="s">
        <v>20</v>
      </c>
      <c r="B6" s="17">
        <v>371</v>
      </c>
      <c r="C6" s="12">
        <f>MemberOfAssemblyAssemblyDistrict56General[[#This Row],[Part of Kings County Vote Results]]</f>
        <v>371</v>
      </c>
      <c r="D6" s="14"/>
    </row>
    <row r="7" spans="1:4" ht="14.25" customHeight="1" x14ac:dyDescent="0.2">
      <c r="A7" s="16" t="s">
        <v>21</v>
      </c>
      <c r="B7" s="11">
        <f>SUM(MemberOfAssemblyAssemblyDistrict56General[Part of Kings County Vote Results])</f>
        <v>46335</v>
      </c>
      <c r="C7" s="12">
        <f>SUM(MemberOfAssemblyAssemblyDistrict56General[Total Votes by Party])</f>
        <v>46335</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ECACC-9FF7-4300-B49E-3A33E64B5618}">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892</v>
      </c>
    </row>
    <row r="2" spans="1:4" ht="28.5" customHeight="1" x14ac:dyDescent="0.2">
      <c r="A2" s="6" t="s">
        <v>93</v>
      </c>
      <c r="B2" s="7" t="s">
        <v>253</v>
      </c>
      <c r="C2" s="8" t="s">
        <v>84</v>
      </c>
      <c r="D2" s="9" t="s">
        <v>85</v>
      </c>
    </row>
    <row r="3" spans="1:4" ht="14.25" customHeight="1" x14ac:dyDescent="0.2">
      <c r="A3" s="10" t="s">
        <v>893</v>
      </c>
      <c r="B3" s="17">
        <v>47424</v>
      </c>
      <c r="C3" s="12">
        <f>MemberOfAssemblyAssemblyDistrict57General[[#This Row],[Part of Kings County Vote Results]]</f>
        <v>47424</v>
      </c>
      <c r="D3" s="116">
        <f>SUM(MemberOfAssemblyAssemblyDistrict57General[[#This Row],[Total Votes by Party]])</f>
        <v>47424</v>
      </c>
    </row>
    <row r="4" spans="1:4" ht="14.25" customHeight="1" x14ac:dyDescent="0.2">
      <c r="A4" s="15" t="s">
        <v>18</v>
      </c>
      <c r="B4" s="17">
        <v>8485</v>
      </c>
      <c r="C4" s="12">
        <f>MemberOfAssemblyAssemblyDistrict57General[[#This Row],[Part of Kings County Vote Results]]</f>
        <v>8485</v>
      </c>
      <c r="D4" s="14"/>
    </row>
    <row r="5" spans="1:4" ht="14.25" customHeight="1" x14ac:dyDescent="0.2">
      <c r="A5" s="15" t="s">
        <v>19</v>
      </c>
      <c r="B5" s="17">
        <v>352</v>
      </c>
      <c r="C5" s="12">
        <f>MemberOfAssemblyAssemblyDistrict57General[[#This Row],[Part of Kings County Vote Results]]</f>
        <v>352</v>
      </c>
      <c r="D5" s="14"/>
    </row>
    <row r="6" spans="1:4" ht="14.25" customHeight="1" x14ac:dyDescent="0.2">
      <c r="A6" s="15" t="s">
        <v>20</v>
      </c>
      <c r="B6" s="17">
        <v>317</v>
      </c>
      <c r="C6" s="12">
        <f>MemberOfAssemblyAssemblyDistrict57General[[#This Row],[Part of Kings County Vote Results]]</f>
        <v>317</v>
      </c>
      <c r="D6" s="14"/>
    </row>
    <row r="7" spans="1:4" ht="14.25" customHeight="1" x14ac:dyDescent="0.2">
      <c r="A7" s="16" t="s">
        <v>21</v>
      </c>
      <c r="B7" s="11">
        <f>SUM(MemberOfAssemblyAssemblyDistrict57General[Part of Kings County Vote Results])</f>
        <v>56578</v>
      </c>
      <c r="C7" s="12">
        <f>SUM(MemberOfAssemblyAssemblyDistrict57General[Total Votes by Party])</f>
        <v>56578</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60310-BE0C-4ABB-BA1A-5E0304285A82}">
  <sheetPr>
    <pageSetUpPr fitToPage="1"/>
  </sheetPr>
  <dimension ref="A1:D7"/>
  <sheetViews>
    <sheetView workbookViewId="0">
      <selection activeCell="A3" sqref="A3:XFD7"/>
    </sheetView>
  </sheetViews>
  <sheetFormatPr defaultRowHeight="12.75" x14ac:dyDescent="0.2"/>
  <cols>
    <col min="1" max="1" width="30.5703125" customWidth="1"/>
    <col min="2" max="4" width="20.5703125" customWidth="1"/>
    <col min="5" max="6" width="23.5703125" customWidth="1"/>
  </cols>
  <sheetData>
    <row r="1" spans="1:4" ht="24.95" customHeight="1" x14ac:dyDescent="0.2">
      <c r="A1" s="71" t="s">
        <v>894</v>
      </c>
    </row>
    <row r="2" spans="1:4" ht="28.5" customHeight="1" x14ac:dyDescent="0.2">
      <c r="A2" s="6" t="s">
        <v>93</v>
      </c>
      <c r="B2" s="7" t="s">
        <v>253</v>
      </c>
      <c r="C2" s="8" t="s">
        <v>84</v>
      </c>
      <c r="D2" s="9" t="s">
        <v>85</v>
      </c>
    </row>
    <row r="3" spans="1:4" ht="14.25" customHeight="1" x14ac:dyDescent="0.2">
      <c r="A3" s="10" t="s">
        <v>895</v>
      </c>
      <c r="B3" s="17">
        <v>35744</v>
      </c>
      <c r="C3" s="12">
        <f>MemberOfAssemblyAssemblyDistrict58General[[#This Row],[Part of Kings County Vote Results]]</f>
        <v>35744</v>
      </c>
      <c r="D3" s="116">
        <f>SUM(MemberOfAssemblyAssemblyDistrict58General[[#This Row],[Total Votes by Party]])</f>
        <v>35744</v>
      </c>
    </row>
    <row r="4" spans="1:4" ht="14.25" customHeight="1" x14ac:dyDescent="0.2">
      <c r="A4" s="15" t="s">
        <v>18</v>
      </c>
      <c r="B4" s="17">
        <v>5087</v>
      </c>
      <c r="C4" s="12">
        <f>MemberOfAssemblyAssemblyDistrict58General[[#This Row],[Part of Kings County Vote Results]]</f>
        <v>5087</v>
      </c>
      <c r="D4" s="14"/>
    </row>
    <row r="5" spans="1:4" ht="14.25" customHeight="1" x14ac:dyDescent="0.2">
      <c r="A5" s="15" t="s">
        <v>19</v>
      </c>
      <c r="B5" s="17">
        <v>64</v>
      </c>
      <c r="C5" s="12">
        <f>MemberOfAssemblyAssemblyDistrict58General[[#This Row],[Part of Kings County Vote Results]]</f>
        <v>64</v>
      </c>
      <c r="D5" s="14"/>
    </row>
    <row r="6" spans="1:4" ht="14.25" customHeight="1" x14ac:dyDescent="0.2">
      <c r="A6" s="15" t="s">
        <v>20</v>
      </c>
      <c r="B6" s="17">
        <v>71</v>
      </c>
      <c r="C6" s="12">
        <f>MemberOfAssemblyAssemblyDistrict58General[[#This Row],[Part of Kings County Vote Results]]</f>
        <v>71</v>
      </c>
      <c r="D6" s="14"/>
    </row>
    <row r="7" spans="1:4" ht="14.25" customHeight="1" x14ac:dyDescent="0.2">
      <c r="A7" s="16" t="s">
        <v>21</v>
      </c>
      <c r="B7" s="11">
        <f>SUM(MemberOfAssemblyAssemblyDistrict58General[Part of Kings County Vote Results])</f>
        <v>40966</v>
      </c>
      <c r="C7" s="12">
        <f>SUM(MemberOfAssemblyAssemblyDistrict58General[Total Votes by Party])</f>
        <v>40966</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320E7-152E-4778-B935-AE7640F50013}">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896</v>
      </c>
    </row>
    <row r="2" spans="1:4" ht="28.5" customHeight="1" x14ac:dyDescent="0.2">
      <c r="A2" s="6" t="s">
        <v>93</v>
      </c>
      <c r="B2" s="7" t="s">
        <v>253</v>
      </c>
      <c r="C2" s="8" t="s">
        <v>84</v>
      </c>
      <c r="D2" s="9" t="s">
        <v>85</v>
      </c>
    </row>
    <row r="3" spans="1:4" ht="14.25" customHeight="1" x14ac:dyDescent="0.2">
      <c r="A3" s="10" t="s">
        <v>897</v>
      </c>
      <c r="B3" s="17">
        <v>29237</v>
      </c>
      <c r="C3" s="12">
        <f>MemberOfAssemblyAssemblyDistrict59General[[#This Row],[Part of Kings County Vote Results]]</f>
        <v>29237</v>
      </c>
      <c r="D3" s="116">
        <f>SUM(MemberOfAssemblyAssemblyDistrict59General[[#This Row],[Total Votes by Party]],C4,C5)</f>
        <v>41030</v>
      </c>
    </row>
    <row r="4" spans="1:4" ht="14.25" customHeight="1" x14ac:dyDescent="0.2">
      <c r="A4" s="10" t="s">
        <v>898</v>
      </c>
      <c r="B4" s="17">
        <v>10147</v>
      </c>
      <c r="C4" s="12">
        <f>MemberOfAssemblyAssemblyDistrict59General[[#This Row],[Part of Kings County Vote Results]]</f>
        <v>10147</v>
      </c>
      <c r="D4" s="14"/>
    </row>
    <row r="5" spans="1:4" ht="14.25" customHeight="1" x14ac:dyDescent="0.2">
      <c r="A5" s="10" t="s">
        <v>899</v>
      </c>
      <c r="B5" s="17">
        <v>1646</v>
      </c>
      <c r="C5" s="12">
        <f>MemberOfAssemblyAssemblyDistrict59General[[#This Row],[Part of Kings County Vote Results]]</f>
        <v>1646</v>
      </c>
      <c r="D5" s="14"/>
    </row>
    <row r="6" spans="1:4" ht="14.25" customHeight="1" x14ac:dyDescent="0.2">
      <c r="A6" s="15" t="s">
        <v>18</v>
      </c>
      <c r="B6" s="17">
        <v>5084</v>
      </c>
      <c r="C6" s="12">
        <f>MemberOfAssemblyAssemblyDistrict59General[[#This Row],[Part of Kings County Vote Results]]</f>
        <v>5084</v>
      </c>
      <c r="D6" s="14"/>
    </row>
    <row r="7" spans="1:4" ht="14.25" customHeight="1" x14ac:dyDescent="0.2">
      <c r="A7" s="15" t="s">
        <v>19</v>
      </c>
      <c r="B7" s="17">
        <v>88</v>
      </c>
      <c r="C7" s="12">
        <f>MemberOfAssemblyAssemblyDistrict59General[[#This Row],[Part of Kings County Vote Results]]</f>
        <v>88</v>
      </c>
      <c r="D7" s="14"/>
    </row>
    <row r="8" spans="1:4" ht="14.25" customHeight="1" x14ac:dyDescent="0.2">
      <c r="A8" s="15" t="s">
        <v>20</v>
      </c>
      <c r="B8" s="17">
        <v>190</v>
      </c>
      <c r="C8" s="12">
        <f>MemberOfAssemblyAssemblyDistrict59General[[#This Row],[Part of Kings County Vote Results]]</f>
        <v>190</v>
      </c>
      <c r="D8" s="14"/>
    </row>
    <row r="9" spans="1:4" ht="14.25" customHeight="1" x14ac:dyDescent="0.2">
      <c r="A9" s="16" t="s">
        <v>21</v>
      </c>
      <c r="B9" s="11">
        <f>SUM(MemberOfAssemblyAssemblyDistrict59General[Part of Kings County Vote Results])</f>
        <v>46392</v>
      </c>
      <c r="C9" s="12">
        <f>SUM(MemberOfAssemblyAssemblyDistrict59General[Total Votes by Party])</f>
        <v>46392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27B7-3CBC-4701-8A0D-4C404A85DA92}">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900</v>
      </c>
    </row>
    <row r="2" spans="1:4" ht="28.5" customHeight="1" x14ac:dyDescent="0.2">
      <c r="A2" s="6" t="s">
        <v>93</v>
      </c>
      <c r="B2" s="7" t="s">
        <v>253</v>
      </c>
      <c r="C2" s="8" t="s">
        <v>84</v>
      </c>
      <c r="D2" s="9" t="s">
        <v>85</v>
      </c>
    </row>
    <row r="3" spans="1:4" ht="14.25" customHeight="1" x14ac:dyDescent="0.2">
      <c r="A3" s="10" t="s">
        <v>901</v>
      </c>
      <c r="B3" s="17">
        <v>29257</v>
      </c>
      <c r="C3" s="12">
        <f>MemberOfAssemblyAssemblyDistrict60General[[#This Row],[Part of Kings County Vote Results]]</f>
        <v>29257</v>
      </c>
      <c r="D3" s="116">
        <f>SUM(MemberOfAssemblyAssemblyDistrict60General[[#This Row],[Total Votes by Party]])</f>
        <v>29257</v>
      </c>
    </row>
    <row r="4" spans="1:4" ht="14.25" customHeight="1" x14ac:dyDescent="0.2">
      <c r="A4" s="15" t="s">
        <v>18</v>
      </c>
      <c r="B4" s="17">
        <v>6681</v>
      </c>
      <c r="C4" s="12">
        <f>MemberOfAssemblyAssemblyDistrict60General[[#This Row],[Part of Kings County Vote Results]]</f>
        <v>6681</v>
      </c>
      <c r="D4" s="14"/>
    </row>
    <row r="5" spans="1:4" ht="14.25" customHeight="1" x14ac:dyDescent="0.2">
      <c r="A5" s="15" t="s">
        <v>19</v>
      </c>
      <c r="B5" s="17">
        <v>28</v>
      </c>
      <c r="C5" s="12">
        <f>MemberOfAssemblyAssemblyDistrict60General[[#This Row],[Part of Kings County Vote Results]]</f>
        <v>28</v>
      </c>
      <c r="D5" s="14"/>
    </row>
    <row r="6" spans="1:4" ht="14.25" customHeight="1" x14ac:dyDescent="0.2">
      <c r="A6" s="15" t="s">
        <v>20</v>
      </c>
      <c r="B6" s="17">
        <v>103</v>
      </c>
      <c r="C6" s="12">
        <f>MemberOfAssemblyAssemblyDistrict60General[[#This Row],[Part of Kings County Vote Results]]</f>
        <v>103</v>
      </c>
      <c r="D6" s="14"/>
    </row>
    <row r="7" spans="1:4" ht="14.25" customHeight="1" x14ac:dyDescent="0.2">
      <c r="A7" s="16" t="s">
        <v>21</v>
      </c>
      <c r="B7" s="11">
        <f>SUM(MemberOfAssemblyAssemblyDistrict60General[Part of Kings County Vote Results])</f>
        <v>36069</v>
      </c>
      <c r="C7" s="12">
        <f>SUM(MemberOfAssemblyAssemblyDistrict60General[Total Votes by Party])</f>
        <v>36069</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BE2F-47A1-4026-ADDF-96BFEE73D7B4}">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247</v>
      </c>
      <c r="B1" s="108"/>
      <c r="C1" s="108"/>
      <c r="D1" s="108"/>
    </row>
    <row r="2" spans="1:4" ht="28.5" customHeight="1" x14ac:dyDescent="0.2">
      <c r="A2" s="6" t="s">
        <v>93</v>
      </c>
      <c r="B2" s="7" t="s">
        <v>232</v>
      </c>
      <c r="C2" s="8" t="s">
        <v>84</v>
      </c>
      <c r="D2" s="9" t="s">
        <v>85</v>
      </c>
    </row>
    <row r="3" spans="1:4" ht="14.25" customHeight="1" x14ac:dyDescent="0.2">
      <c r="A3" s="120" t="s">
        <v>248</v>
      </c>
      <c r="B3" s="118">
        <v>120205</v>
      </c>
      <c r="C3" s="101">
        <f>RepInCongressCongressionalDistrict6General[[#This Row],[Part of Queens County Vote Results]]</f>
        <v>120205</v>
      </c>
      <c r="D3" s="113">
        <f>SUM(RepInCongressCongressionalDistrict6General[[#This Row],[Total Votes by Party]])</f>
        <v>120205</v>
      </c>
    </row>
    <row r="4" spans="1:4" ht="14.25" customHeight="1" x14ac:dyDescent="0.2">
      <c r="A4" s="28" t="s">
        <v>249</v>
      </c>
      <c r="B4" s="118">
        <v>69654</v>
      </c>
      <c r="C4" s="101">
        <f>RepInCongressCongressionalDistrict6General[[#This Row],[Part of Queens County Vote Results]]</f>
        <v>69654</v>
      </c>
      <c r="D4" s="113">
        <f>SUM(RepInCongressCongressionalDistrict6General[[#This Row],[Total Votes by Party]],C5)</f>
        <v>74559</v>
      </c>
    </row>
    <row r="5" spans="1:4" ht="14.25" customHeight="1" x14ac:dyDescent="0.2">
      <c r="A5" s="28" t="s">
        <v>250</v>
      </c>
      <c r="B5" s="118">
        <v>4905</v>
      </c>
      <c r="C5" s="101">
        <f>RepInCongressCongressionalDistrict6General[[#This Row],[Part of Queens County Vote Results]]</f>
        <v>4905</v>
      </c>
      <c r="D5" s="111"/>
    </row>
    <row r="6" spans="1:4" ht="14.25" customHeight="1" x14ac:dyDescent="0.2">
      <c r="A6" s="28" t="s">
        <v>251</v>
      </c>
      <c r="B6" s="118">
        <v>3272</v>
      </c>
      <c r="C6" s="101">
        <f>RepInCongressCongressionalDistrict6General[[#This Row],[Part of Queens County Vote Results]]</f>
        <v>3272</v>
      </c>
      <c r="D6" s="113">
        <f>RepInCongressCongressionalDistrict6General[[#This Row],[Total Votes by Party]]</f>
        <v>3272</v>
      </c>
    </row>
    <row r="7" spans="1:4" ht="14.25" customHeight="1" x14ac:dyDescent="0.2">
      <c r="A7" s="29" t="s">
        <v>18</v>
      </c>
      <c r="B7" s="100">
        <v>12467</v>
      </c>
      <c r="C7" s="101">
        <f>RepInCongressCongressionalDistrict6General[[#This Row],[Part of Queens County Vote Results]]</f>
        <v>12467</v>
      </c>
      <c r="D7" s="111"/>
    </row>
    <row r="8" spans="1:4" ht="14.25" customHeight="1" x14ac:dyDescent="0.2">
      <c r="A8" s="29" t="s">
        <v>19</v>
      </c>
      <c r="B8" s="100">
        <v>0</v>
      </c>
      <c r="C8" s="101">
        <f>RepInCongressCongressionalDistrict6General[[#This Row],[Part of Queens County Vote Results]]</f>
        <v>0</v>
      </c>
      <c r="D8" s="111"/>
    </row>
    <row r="9" spans="1:4" ht="14.25" customHeight="1" x14ac:dyDescent="0.2">
      <c r="A9" s="29" t="s">
        <v>20</v>
      </c>
      <c r="B9" s="100">
        <v>654</v>
      </c>
      <c r="C9" s="101">
        <f>RepInCongressCongressionalDistrict6General[[#This Row],[Part of Queens County Vote Results]]</f>
        <v>654</v>
      </c>
      <c r="D9" s="111"/>
    </row>
    <row r="10" spans="1:4" ht="14.25" customHeight="1" x14ac:dyDescent="0.2">
      <c r="A10" s="103" t="s">
        <v>21</v>
      </c>
      <c r="B10" s="100">
        <f>SUM(RepInCongressCongressionalDistrict6General[Part of Queens County Vote Results])</f>
        <v>211157</v>
      </c>
      <c r="C10" s="101">
        <f>SUM(RepInCongressCongressionalDistrict6General[Total Votes by Party])</f>
        <v>211157</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625D-4B5F-4B3B-ACA3-F48B5D3C9ADE}">
  <sheetPr>
    <pageSetUpPr fitToPage="1"/>
  </sheetPr>
  <dimension ref="A1:F8"/>
  <sheetViews>
    <sheetView workbookViewId="0">
      <selection activeCell="A3" sqref="A3:XFD7"/>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902</v>
      </c>
    </row>
    <row r="2" spans="1:6" ht="28.5" customHeight="1" x14ac:dyDescent="0.2">
      <c r="A2" s="6" t="s">
        <v>93</v>
      </c>
      <c r="B2" s="7" t="s">
        <v>253</v>
      </c>
      <c r="C2" s="7" t="s">
        <v>267</v>
      </c>
      <c r="D2" s="7" t="s">
        <v>484</v>
      </c>
      <c r="E2" s="8" t="s">
        <v>84</v>
      </c>
      <c r="F2" s="9" t="s">
        <v>85</v>
      </c>
    </row>
    <row r="3" spans="1:6" ht="14.25" customHeight="1" x14ac:dyDescent="0.2">
      <c r="A3" s="10" t="s">
        <v>903</v>
      </c>
      <c r="B3" s="11">
        <v>1</v>
      </c>
      <c r="C3" s="11">
        <v>6614</v>
      </c>
      <c r="D3" s="11">
        <v>25369</v>
      </c>
      <c r="E3" s="12">
        <f t="shared" ref="E3:E6" si="0">SUM(B3,C3,D3)</f>
        <v>31984</v>
      </c>
      <c r="F3" s="116">
        <f>SUM(MemberOfAssemblyAssemblyDistrict61General[[#This Row],[Total Votes by Party]])</f>
        <v>31984</v>
      </c>
    </row>
    <row r="4" spans="1:6" ht="14.25" customHeight="1" x14ac:dyDescent="0.2">
      <c r="A4" s="15" t="s">
        <v>18</v>
      </c>
      <c r="B4" s="11">
        <v>1</v>
      </c>
      <c r="C4" s="11">
        <v>2343</v>
      </c>
      <c r="D4" s="11">
        <v>9979</v>
      </c>
      <c r="E4" s="12">
        <f t="shared" si="0"/>
        <v>12323</v>
      </c>
      <c r="F4" s="14"/>
    </row>
    <row r="5" spans="1:6" ht="14.25" customHeight="1" x14ac:dyDescent="0.2">
      <c r="A5" s="15" t="s">
        <v>19</v>
      </c>
      <c r="B5" s="11">
        <v>0</v>
      </c>
      <c r="C5" s="11">
        <v>135</v>
      </c>
      <c r="D5" s="11">
        <v>98</v>
      </c>
      <c r="E5" s="12">
        <f t="shared" si="0"/>
        <v>233</v>
      </c>
      <c r="F5" s="14"/>
    </row>
    <row r="6" spans="1:6" ht="14.25" customHeight="1" x14ac:dyDescent="0.2">
      <c r="A6" s="15" t="s">
        <v>20</v>
      </c>
      <c r="B6" s="11">
        <v>0</v>
      </c>
      <c r="C6" s="11">
        <v>96</v>
      </c>
      <c r="D6" s="11">
        <v>608</v>
      </c>
      <c r="E6" s="12">
        <f t="shared" si="0"/>
        <v>704</v>
      </c>
      <c r="F6" s="14"/>
    </row>
    <row r="7" spans="1:6" ht="14.25" customHeight="1" x14ac:dyDescent="0.2">
      <c r="A7" s="16" t="s">
        <v>21</v>
      </c>
      <c r="B7" s="11">
        <f>SUM(MemberOfAssemblyAssemblyDistrict61General[Part of Kings County Vote Results])</f>
        <v>2</v>
      </c>
      <c r="C7" s="11">
        <f>SUM(MemberOfAssemblyAssemblyDistrict61General[Part of New York County Vote Results])</f>
        <v>9188</v>
      </c>
      <c r="D7" s="11">
        <f>SUM(MemberOfAssemblyAssemblyDistrict61General[Part of Richmond County Vote Results])</f>
        <v>36054</v>
      </c>
      <c r="E7" s="12">
        <f>SUM(MemberOfAssemblyAssemblyDistrict61General[Total Votes by Party])</f>
        <v>45244</v>
      </c>
      <c r="F7" s="14"/>
    </row>
    <row r="8" spans="1:6" ht="14.25" x14ac:dyDescent="0.2">
      <c r="B8" s="70"/>
      <c r="D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8E84A-C02B-458A-93CC-63229AE82A52}">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904</v>
      </c>
    </row>
    <row r="2" spans="1:4" ht="28.5" customHeight="1" x14ac:dyDescent="0.2">
      <c r="A2" s="6" t="s">
        <v>93</v>
      </c>
      <c r="B2" s="7" t="s">
        <v>484</v>
      </c>
      <c r="C2" s="8" t="s">
        <v>84</v>
      </c>
      <c r="D2" s="9" t="s">
        <v>85</v>
      </c>
    </row>
    <row r="3" spans="1:4" ht="14.25" customHeight="1" x14ac:dyDescent="0.2">
      <c r="A3" s="10" t="s">
        <v>905</v>
      </c>
      <c r="B3" s="11">
        <v>53553</v>
      </c>
      <c r="C3" s="12">
        <f>MemberOfAssemblyAssemblyDistrict62General[[#This Row],[Part of Richmond County Vote Results]]</f>
        <v>53553</v>
      </c>
      <c r="D3" s="116">
        <f>SUM(MemberOfAssemblyAssemblyDistrict62General[[#This Row],[Total Votes by Party]],C4)</f>
        <v>58409</v>
      </c>
    </row>
    <row r="4" spans="1:4" ht="14.25" customHeight="1" x14ac:dyDescent="0.2">
      <c r="A4" s="10" t="s">
        <v>906</v>
      </c>
      <c r="B4" s="11">
        <v>4856</v>
      </c>
      <c r="C4" s="12">
        <f>MemberOfAssemblyAssemblyDistrict62General[[#This Row],[Part of Richmond County Vote Results]]</f>
        <v>4856</v>
      </c>
      <c r="D4" s="14"/>
    </row>
    <row r="5" spans="1:4" ht="14.25" customHeight="1" x14ac:dyDescent="0.2">
      <c r="A5" s="15" t="s">
        <v>18</v>
      </c>
      <c r="B5" s="11">
        <v>8475</v>
      </c>
      <c r="C5" s="12">
        <f>MemberOfAssemblyAssemblyDistrict62General[[#This Row],[Part of Richmond County Vote Results]]</f>
        <v>8475</v>
      </c>
      <c r="D5" s="14"/>
    </row>
    <row r="6" spans="1:4" ht="14.25" customHeight="1" x14ac:dyDescent="0.2">
      <c r="A6" s="15" t="s">
        <v>19</v>
      </c>
      <c r="B6" s="11">
        <v>65</v>
      </c>
      <c r="C6" s="12">
        <f>MemberOfAssemblyAssemblyDistrict62General[[#This Row],[Part of Richmond County Vote Results]]</f>
        <v>65</v>
      </c>
      <c r="D6" s="14"/>
    </row>
    <row r="7" spans="1:4" ht="14.25" customHeight="1" x14ac:dyDescent="0.2">
      <c r="A7" s="15" t="s">
        <v>20</v>
      </c>
      <c r="B7" s="11">
        <v>696</v>
      </c>
      <c r="C7" s="12">
        <f>MemberOfAssemblyAssemblyDistrict62General[[#This Row],[Part of Richmond County Vote Results]]</f>
        <v>696</v>
      </c>
      <c r="D7" s="14"/>
    </row>
    <row r="8" spans="1:4" ht="14.25" customHeight="1" x14ac:dyDescent="0.2">
      <c r="A8" s="16" t="s">
        <v>21</v>
      </c>
      <c r="B8" s="11">
        <f>SUM(MemberOfAssemblyAssemblyDistrict62General[Part of Richmond County Vote Results])</f>
        <v>67645</v>
      </c>
      <c r="C8" s="12">
        <f>SUM(MemberOfAssemblyAssemblyDistrict62General[Total Votes by Party])</f>
        <v>67645</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B232C-1EB5-4C1A-97FF-03E939652A1F}">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907</v>
      </c>
    </row>
    <row r="2" spans="1:4" ht="28.5" customHeight="1" x14ac:dyDescent="0.2">
      <c r="A2" s="6" t="s">
        <v>93</v>
      </c>
      <c r="B2" s="7" t="s">
        <v>484</v>
      </c>
      <c r="C2" s="8" t="s">
        <v>84</v>
      </c>
      <c r="D2" s="9" t="s">
        <v>85</v>
      </c>
    </row>
    <row r="3" spans="1:4" ht="14.25" customHeight="1" x14ac:dyDescent="0.2">
      <c r="A3" s="10" t="s">
        <v>908</v>
      </c>
      <c r="B3" s="11">
        <v>21481</v>
      </c>
      <c r="C3" s="12">
        <f>MemberOfAssemblyAssemblyDistrict63General[[#This Row],[Part of Richmond County Vote Results]]</f>
        <v>21481</v>
      </c>
      <c r="D3" s="116">
        <f>SUM(MemberOfAssemblyAssemblyDistrict63General[[#This Row],[Total Votes by Party]])</f>
        <v>21481</v>
      </c>
    </row>
    <row r="4" spans="1:4" ht="14.25" customHeight="1" x14ac:dyDescent="0.2">
      <c r="A4" s="10" t="s">
        <v>909</v>
      </c>
      <c r="B4" s="11">
        <v>26858</v>
      </c>
      <c r="C4" s="12">
        <f>MemberOfAssemblyAssemblyDistrict63General[[#This Row],[Part of Richmond County Vote Results]]</f>
        <v>26858</v>
      </c>
      <c r="D4" s="116">
        <f>SUM(MemberOfAssemblyAssemblyDistrict63General[[#This Row],[Total Votes by Party]],C5)</f>
        <v>29156</v>
      </c>
    </row>
    <row r="5" spans="1:4" ht="14.25" customHeight="1" x14ac:dyDescent="0.2">
      <c r="A5" s="10" t="s">
        <v>910</v>
      </c>
      <c r="B5" s="11">
        <v>2298</v>
      </c>
      <c r="C5" s="12">
        <f>MemberOfAssemblyAssemblyDistrict63General[[#This Row],[Part of Richmond County Vote Results]]</f>
        <v>2298</v>
      </c>
      <c r="D5" s="23"/>
    </row>
    <row r="6" spans="1:4" ht="14.25" customHeight="1" x14ac:dyDescent="0.2">
      <c r="A6" s="15" t="s">
        <v>18</v>
      </c>
      <c r="B6" s="11">
        <v>1868</v>
      </c>
      <c r="C6" s="12">
        <f>MemberOfAssemblyAssemblyDistrict63General[[#This Row],[Part of Richmond County Vote Results]]</f>
        <v>1868</v>
      </c>
      <c r="D6" s="14"/>
    </row>
    <row r="7" spans="1:4" ht="14.25" customHeight="1" x14ac:dyDescent="0.2">
      <c r="A7" s="15" t="s">
        <v>19</v>
      </c>
      <c r="B7" s="11">
        <v>206</v>
      </c>
      <c r="C7" s="12">
        <f>MemberOfAssemblyAssemblyDistrict63General[[#This Row],[Part of Richmond County Vote Results]]</f>
        <v>206</v>
      </c>
      <c r="D7" s="14"/>
    </row>
    <row r="8" spans="1:4" ht="14.25" customHeight="1" x14ac:dyDescent="0.2">
      <c r="A8" s="15" t="s">
        <v>20</v>
      </c>
      <c r="B8" s="11">
        <v>247</v>
      </c>
      <c r="C8" s="12">
        <f>MemberOfAssemblyAssemblyDistrict63General[[#This Row],[Part of Richmond County Vote Results]]</f>
        <v>247</v>
      </c>
      <c r="D8" s="14"/>
    </row>
    <row r="9" spans="1:4" ht="14.25" customHeight="1" x14ac:dyDescent="0.2">
      <c r="A9" s="16" t="s">
        <v>21</v>
      </c>
      <c r="B9" s="11">
        <f>SUM(MemberOfAssemblyAssemblyDistrict63General[Part of Richmond County Vote Results])</f>
        <v>52958</v>
      </c>
      <c r="C9" s="12">
        <f>SUM(MemberOfAssemblyAssemblyDistrict63General[Total Votes by Party])</f>
        <v>52958</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82CA8-8DAC-49ED-89E7-F735091C00AF}">
  <sheetPr>
    <pageSetUpPr fitToPage="1"/>
  </sheetPr>
  <dimension ref="A1:E9"/>
  <sheetViews>
    <sheetView workbookViewId="0">
      <selection activeCell="A3" sqref="A3:XFD9"/>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911</v>
      </c>
    </row>
    <row r="2" spans="1:5" ht="28.5" customHeight="1" x14ac:dyDescent="0.2">
      <c r="A2" s="6" t="s">
        <v>93</v>
      </c>
      <c r="B2" s="7" t="s">
        <v>253</v>
      </c>
      <c r="C2" s="7" t="s">
        <v>484</v>
      </c>
      <c r="D2" s="8" t="s">
        <v>84</v>
      </c>
      <c r="E2" s="9" t="s">
        <v>85</v>
      </c>
    </row>
    <row r="3" spans="1:5" ht="14.25" customHeight="1" x14ac:dyDescent="0.2">
      <c r="A3" s="10" t="s">
        <v>912</v>
      </c>
      <c r="B3" s="25">
        <v>4357</v>
      </c>
      <c r="C3" s="11">
        <v>32269</v>
      </c>
      <c r="D3" s="12">
        <f>SUM(MemberOfAssemblyAssemblyDistrict64General[[#This Row],[Part of Kings County Vote Results]:[Part of Richmond County Vote Results]])</f>
        <v>36626</v>
      </c>
      <c r="E3" s="116">
        <f>SUM(MemberOfAssemblyAssemblyDistrict64General[[#This Row],[Total Votes by Party]],D4)</f>
        <v>41352</v>
      </c>
    </row>
    <row r="4" spans="1:5" ht="14.25" customHeight="1" x14ac:dyDescent="0.2">
      <c r="A4" s="10" t="s">
        <v>913</v>
      </c>
      <c r="B4" s="26">
        <v>992</v>
      </c>
      <c r="C4" s="11">
        <v>3734</v>
      </c>
      <c r="D4" s="12">
        <f>SUM(MemberOfAssemblyAssemblyDistrict64General[[#This Row],[Part of Kings County Vote Results]:[Part of Richmond County Vote Results]])</f>
        <v>4726</v>
      </c>
      <c r="E4" s="14"/>
    </row>
    <row r="5" spans="1:5" ht="14.25" customHeight="1" x14ac:dyDescent="0.2">
      <c r="A5" s="15" t="s">
        <v>18</v>
      </c>
      <c r="B5" s="26">
        <v>4395</v>
      </c>
      <c r="C5" s="11">
        <v>8056</v>
      </c>
      <c r="D5" s="12">
        <f>SUM(MemberOfAssemblyAssemblyDistrict64General[[#This Row],[Part of Kings County Vote Results]:[Part of Richmond County Vote Results]])</f>
        <v>12451</v>
      </c>
      <c r="E5" s="14"/>
    </row>
    <row r="6" spans="1:5" ht="14.25" customHeight="1" x14ac:dyDescent="0.2">
      <c r="A6" s="15" t="s">
        <v>19</v>
      </c>
      <c r="B6" s="26">
        <v>56</v>
      </c>
      <c r="C6" s="11">
        <v>78</v>
      </c>
      <c r="D6" s="12">
        <f>SUM(MemberOfAssemblyAssemblyDistrict64General[[#This Row],[Part of Kings County Vote Results]:[Part of Richmond County Vote Results]])</f>
        <v>134</v>
      </c>
      <c r="E6" s="14"/>
    </row>
    <row r="7" spans="1:5" ht="14.25" customHeight="1" x14ac:dyDescent="0.2">
      <c r="A7" s="15" t="s">
        <v>20</v>
      </c>
      <c r="B7" s="73">
        <v>367</v>
      </c>
      <c r="C7" s="11">
        <v>790</v>
      </c>
      <c r="D7" s="12">
        <f>SUM(MemberOfAssemblyAssemblyDistrict64General[[#This Row],[Part of Kings County Vote Results]:[Part of Richmond County Vote Results]])</f>
        <v>1157</v>
      </c>
      <c r="E7" s="14"/>
    </row>
    <row r="8" spans="1:5" ht="14.25" customHeight="1" x14ac:dyDescent="0.2">
      <c r="A8" s="16" t="s">
        <v>21</v>
      </c>
      <c r="B8" s="11">
        <f>SUM(MemberOfAssemblyAssemblyDistrict64General[Part of Kings County Vote Results])</f>
        <v>10167</v>
      </c>
      <c r="C8" s="11">
        <f>SUM(MemberOfAssemblyAssemblyDistrict64General[Part of Richmond County Vote Results])</f>
        <v>44927</v>
      </c>
      <c r="D8" s="12">
        <f>SUM(D3:D7)</f>
        <v>55094</v>
      </c>
      <c r="E8" s="14"/>
    </row>
    <row r="9" spans="1:5" ht="14.25" customHeight="1" x14ac:dyDescent="0.2">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47D0-F523-4D42-940D-97D8469EAA8F}">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914</v>
      </c>
    </row>
    <row r="2" spans="1:4" ht="28.5" customHeight="1" x14ac:dyDescent="0.2">
      <c r="A2" s="6" t="s">
        <v>93</v>
      </c>
      <c r="B2" s="7" t="s">
        <v>267</v>
      </c>
      <c r="C2" s="8" t="s">
        <v>84</v>
      </c>
      <c r="D2" s="9" t="s">
        <v>85</v>
      </c>
    </row>
    <row r="3" spans="1:4" ht="14.25" customHeight="1" x14ac:dyDescent="0.2">
      <c r="A3" s="10" t="s">
        <v>915</v>
      </c>
      <c r="B3" s="11">
        <v>29492</v>
      </c>
      <c r="C3" s="12">
        <f>MemberOfAssemblyAssemblyDistrict65General[[#This Row],[Part of New York County Vote Results]]</f>
        <v>29492</v>
      </c>
      <c r="D3" s="116">
        <f>SUM(MemberOfAssemblyAssemblyDistrict65General[[#This Row],[Total Votes by Party]],C4)</f>
        <v>33630</v>
      </c>
    </row>
    <row r="4" spans="1:4" ht="14.25" customHeight="1" x14ac:dyDescent="0.2">
      <c r="A4" s="10" t="s">
        <v>916</v>
      </c>
      <c r="B4" s="11">
        <v>4138</v>
      </c>
      <c r="C4" s="12">
        <f>MemberOfAssemblyAssemblyDistrict65General[[#This Row],[Part of New York County Vote Results]]</f>
        <v>4138</v>
      </c>
      <c r="D4" s="14"/>
    </row>
    <row r="5" spans="1:4" ht="14.25" customHeight="1" x14ac:dyDescent="0.2">
      <c r="A5" s="15" t="s">
        <v>18</v>
      </c>
      <c r="B5" s="11">
        <v>10523</v>
      </c>
      <c r="C5" s="12">
        <f>MemberOfAssemblyAssemblyDistrict65General[[#This Row],[Part of New York County Vote Results]]</f>
        <v>10523</v>
      </c>
      <c r="D5" s="14"/>
    </row>
    <row r="6" spans="1:4" ht="14.25" customHeight="1" x14ac:dyDescent="0.2">
      <c r="A6" s="15" t="s">
        <v>19</v>
      </c>
      <c r="B6" s="11">
        <v>524</v>
      </c>
      <c r="C6" s="12">
        <f>MemberOfAssemblyAssemblyDistrict65General[[#This Row],[Part of New York County Vote Results]]</f>
        <v>524</v>
      </c>
      <c r="D6" s="14"/>
    </row>
    <row r="7" spans="1:4" ht="14.25" customHeight="1" x14ac:dyDescent="0.2">
      <c r="A7" s="15" t="s">
        <v>20</v>
      </c>
      <c r="B7" s="11">
        <v>303</v>
      </c>
      <c r="C7" s="12">
        <f>MemberOfAssemblyAssemblyDistrict65General[[#This Row],[Part of New York County Vote Results]]</f>
        <v>303</v>
      </c>
      <c r="D7" s="14"/>
    </row>
    <row r="8" spans="1:4" ht="14.25" customHeight="1" x14ac:dyDescent="0.2">
      <c r="A8" s="16" t="s">
        <v>21</v>
      </c>
      <c r="B8" s="11">
        <f>SUM(MemberOfAssemblyAssemblyDistrict65General[Part of New York County Vote Results])</f>
        <v>44980</v>
      </c>
      <c r="C8" s="12">
        <f>SUM(MemberOfAssemblyAssemblyDistrict65General[Total Votes by Party])</f>
        <v>44980</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B8CC0-AF87-4012-B443-E77E07321C18}">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917</v>
      </c>
    </row>
    <row r="2" spans="1:4" ht="28.5" customHeight="1" x14ac:dyDescent="0.2">
      <c r="A2" s="6" t="s">
        <v>93</v>
      </c>
      <c r="B2" s="7" t="s">
        <v>267</v>
      </c>
      <c r="C2" s="8" t="s">
        <v>84</v>
      </c>
      <c r="D2" s="9" t="s">
        <v>85</v>
      </c>
    </row>
    <row r="3" spans="1:4" ht="14.25" customHeight="1" x14ac:dyDescent="0.2">
      <c r="A3" s="10" t="s">
        <v>918</v>
      </c>
      <c r="B3" s="11">
        <v>47097</v>
      </c>
      <c r="C3" s="12">
        <f>MemberOfAssemblyAssemblyDistrict66General[[#This Row],[Part of New York County Vote Results]]</f>
        <v>47097</v>
      </c>
      <c r="D3" s="116">
        <f>SUM(MemberOfAssemblyAssemblyDistrict66General[[#This Row],[Total Votes by Party]])</f>
        <v>47097</v>
      </c>
    </row>
    <row r="4" spans="1:4" ht="14.25" customHeight="1" x14ac:dyDescent="0.2">
      <c r="A4" s="15" t="s">
        <v>18</v>
      </c>
      <c r="B4" s="11">
        <v>11017</v>
      </c>
      <c r="C4" s="12">
        <f>MemberOfAssemblyAssemblyDistrict66General[[#This Row],[Part of New York County Vote Results]]</f>
        <v>11017</v>
      </c>
      <c r="D4" s="14"/>
    </row>
    <row r="5" spans="1:4" ht="14.25" customHeight="1" x14ac:dyDescent="0.2">
      <c r="A5" s="15" t="s">
        <v>19</v>
      </c>
      <c r="B5" s="11">
        <v>1587</v>
      </c>
      <c r="C5" s="12">
        <f>MemberOfAssemblyAssemblyDistrict66General[[#This Row],[Part of New York County Vote Results]]</f>
        <v>1587</v>
      </c>
      <c r="D5" s="14"/>
    </row>
    <row r="6" spans="1:4" ht="14.25" customHeight="1" x14ac:dyDescent="0.2">
      <c r="A6" s="15" t="s">
        <v>20</v>
      </c>
      <c r="B6" s="11">
        <v>515</v>
      </c>
      <c r="C6" s="12">
        <f>MemberOfAssemblyAssemblyDistrict66General[[#This Row],[Part of New York County Vote Results]]</f>
        <v>515</v>
      </c>
      <c r="D6" s="14"/>
    </row>
    <row r="7" spans="1:4" ht="14.25" customHeight="1" x14ac:dyDescent="0.2">
      <c r="A7" s="16" t="s">
        <v>21</v>
      </c>
      <c r="B7" s="11">
        <f>SUM(MemberOfAssemblyAssemblyDistrict66General[Part of New York County Vote Results])</f>
        <v>60216</v>
      </c>
      <c r="C7" s="12">
        <f>SUM(MemberOfAssemblyAssemblyDistrict66General[Total Votes by Party])</f>
        <v>60216</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10E27-1F16-470A-82E0-554224EF78B1}">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919</v>
      </c>
    </row>
    <row r="2" spans="1:4" ht="28.5" customHeight="1" x14ac:dyDescent="0.2">
      <c r="A2" s="6" t="s">
        <v>93</v>
      </c>
      <c r="B2" s="7" t="s">
        <v>267</v>
      </c>
      <c r="C2" s="8" t="s">
        <v>84</v>
      </c>
      <c r="D2" s="9" t="s">
        <v>85</v>
      </c>
    </row>
    <row r="3" spans="1:4" ht="14.25" customHeight="1" x14ac:dyDescent="0.2">
      <c r="A3" s="10" t="s">
        <v>920</v>
      </c>
      <c r="B3" s="11">
        <v>48227</v>
      </c>
      <c r="C3" s="12">
        <f>MemberOfAssemblyAssemblyDistrict67General[[#This Row],[Part of New York County Vote Results]]</f>
        <v>48227</v>
      </c>
      <c r="D3" s="116">
        <f>SUM(MemberOfAssemblyAssemblyDistrict67General[[#This Row],[Total Votes by Party]],C4)</f>
        <v>52239</v>
      </c>
    </row>
    <row r="4" spans="1:4" ht="14.25" customHeight="1" x14ac:dyDescent="0.2">
      <c r="A4" s="10" t="s">
        <v>921</v>
      </c>
      <c r="B4" s="11">
        <v>4012</v>
      </c>
      <c r="C4" s="12">
        <f>MemberOfAssemblyAssemblyDistrict67General[[#This Row],[Part of New York County Vote Results]]</f>
        <v>4012</v>
      </c>
      <c r="D4" s="14"/>
    </row>
    <row r="5" spans="1:4" ht="14.25" customHeight="1" x14ac:dyDescent="0.2">
      <c r="A5" s="15" t="s">
        <v>18</v>
      </c>
      <c r="B5" s="11">
        <v>10303</v>
      </c>
      <c r="C5" s="12">
        <f>MemberOfAssemblyAssemblyDistrict67General[[#This Row],[Part of New York County Vote Results]]</f>
        <v>10303</v>
      </c>
      <c r="D5" s="14"/>
    </row>
    <row r="6" spans="1:4" ht="14.25" customHeight="1" x14ac:dyDescent="0.2">
      <c r="A6" s="15" t="s">
        <v>19</v>
      </c>
      <c r="B6" s="11">
        <v>1263</v>
      </c>
      <c r="C6" s="12">
        <f>MemberOfAssemblyAssemblyDistrict67General[[#This Row],[Part of New York County Vote Results]]</f>
        <v>1263</v>
      </c>
      <c r="D6" s="14"/>
    </row>
    <row r="7" spans="1:4" ht="14.25" customHeight="1" x14ac:dyDescent="0.2">
      <c r="A7" s="15" t="s">
        <v>20</v>
      </c>
      <c r="B7" s="11">
        <v>633</v>
      </c>
      <c r="C7" s="12">
        <f>MemberOfAssemblyAssemblyDistrict67General[[#This Row],[Part of New York County Vote Results]]</f>
        <v>633</v>
      </c>
      <c r="D7" s="14"/>
    </row>
    <row r="8" spans="1:4" ht="14.25" customHeight="1" x14ac:dyDescent="0.2">
      <c r="A8" s="16" t="s">
        <v>21</v>
      </c>
      <c r="B8" s="11">
        <f>SUM(MemberOfAssemblyAssemblyDistrict67General[Part of New York County Vote Results])</f>
        <v>64438</v>
      </c>
      <c r="C8" s="12">
        <f>SUM(MemberOfAssemblyAssemblyDistrict67General[Total Votes by Party])</f>
        <v>64438</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E754E-23AD-48CE-8B31-1C5BA964FF4E}">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922</v>
      </c>
    </row>
    <row r="2" spans="1:4" ht="28.5" customHeight="1" x14ac:dyDescent="0.2">
      <c r="A2" s="6" t="s">
        <v>93</v>
      </c>
      <c r="B2" s="7" t="s">
        <v>267</v>
      </c>
      <c r="C2" s="8" t="s">
        <v>84</v>
      </c>
      <c r="D2" s="9" t="s">
        <v>85</v>
      </c>
    </row>
    <row r="3" spans="1:4" ht="14.25" customHeight="1" x14ac:dyDescent="0.2">
      <c r="A3" s="10" t="s">
        <v>923</v>
      </c>
      <c r="B3" s="11">
        <v>34635</v>
      </c>
      <c r="C3" s="12">
        <f>MemberOfAssemblyAssemblyDistrict68General[[#This Row],[Part of New York County Vote Results]]</f>
        <v>34635</v>
      </c>
      <c r="D3" s="116">
        <f>SUM(MemberOfAssemblyAssemblyDistrict68General[[#This Row],[Total Votes by Party]])</f>
        <v>34635</v>
      </c>
    </row>
    <row r="4" spans="1:4" ht="14.25" customHeight="1" x14ac:dyDescent="0.2">
      <c r="A4" s="15" t="s">
        <v>18</v>
      </c>
      <c r="B4" s="11">
        <v>11088</v>
      </c>
      <c r="C4" s="12">
        <f>MemberOfAssemblyAssemblyDistrict68General[[#This Row],[Part of New York County Vote Results]]</f>
        <v>11088</v>
      </c>
      <c r="D4" s="14"/>
    </row>
    <row r="5" spans="1:4" ht="14.25" customHeight="1" x14ac:dyDescent="0.2">
      <c r="A5" s="15" t="s">
        <v>19</v>
      </c>
      <c r="B5" s="11">
        <v>362</v>
      </c>
      <c r="C5" s="12">
        <f>MemberOfAssemblyAssemblyDistrict68General[[#This Row],[Part of New York County Vote Results]]</f>
        <v>362</v>
      </c>
      <c r="D5" s="14"/>
    </row>
    <row r="6" spans="1:4" ht="14.25" customHeight="1" x14ac:dyDescent="0.2">
      <c r="A6" s="15" t="s">
        <v>20</v>
      </c>
      <c r="B6" s="11">
        <v>420</v>
      </c>
      <c r="C6" s="12">
        <f>MemberOfAssemblyAssemblyDistrict68General[[#This Row],[Part of New York County Vote Results]]</f>
        <v>420</v>
      </c>
      <c r="D6" s="14"/>
    </row>
    <row r="7" spans="1:4" ht="14.25" customHeight="1" x14ac:dyDescent="0.2">
      <c r="A7" s="16" t="s">
        <v>21</v>
      </c>
      <c r="B7" s="11">
        <f>SUM(MemberOfAssemblyAssemblyDistrict68General[Part of New York County Vote Results])</f>
        <v>46505</v>
      </c>
      <c r="C7" s="12">
        <f>SUM(MemberOfAssemblyAssemblyDistrict68General[Total Votes by Party])</f>
        <v>46505</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FBDC2-F630-4CD4-96BD-DD697F7D3A83}">
  <sheetPr>
    <pageSetUpPr fitToPage="1"/>
  </sheetPr>
  <dimension ref="A1:D7"/>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924</v>
      </c>
    </row>
    <row r="2" spans="1:4" ht="28.5" customHeight="1" x14ac:dyDescent="0.2">
      <c r="A2" s="6" t="s">
        <v>93</v>
      </c>
      <c r="B2" s="7" t="s">
        <v>267</v>
      </c>
      <c r="C2" s="8" t="s">
        <v>84</v>
      </c>
      <c r="D2" s="9" t="s">
        <v>85</v>
      </c>
    </row>
    <row r="3" spans="1:4" ht="14.25" customHeight="1" x14ac:dyDescent="0.2">
      <c r="A3" s="10" t="s">
        <v>925</v>
      </c>
      <c r="B3" s="11">
        <v>48223</v>
      </c>
      <c r="C3" s="12">
        <f>MemberOfAssemblyAssemblyDistrict69General[[#This Row],[Part of New York County Vote Results]]</f>
        <v>48223</v>
      </c>
      <c r="D3" s="116">
        <f>SUM(MemberOfAssemblyAssemblyDistrict69General[[#This Row],[Total Votes by Party]])</f>
        <v>48223</v>
      </c>
    </row>
    <row r="4" spans="1:4" ht="14.25" customHeight="1" x14ac:dyDescent="0.2">
      <c r="A4" s="15" t="s">
        <v>18</v>
      </c>
      <c r="B4" s="11">
        <v>11737</v>
      </c>
      <c r="C4" s="12">
        <f>MemberOfAssemblyAssemblyDistrict69General[[#This Row],[Part of New York County Vote Results]]</f>
        <v>11737</v>
      </c>
      <c r="D4" s="14"/>
    </row>
    <row r="5" spans="1:4" ht="14.25" customHeight="1" x14ac:dyDescent="0.2">
      <c r="A5" s="15" t="s">
        <v>19</v>
      </c>
      <c r="B5" s="11">
        <v>1321</v>
      </c>
      <c r="C5" s="12">
        <f>MemberOfAssemblyAssemblyDistrict69General[[#This Row],[Part of New York County Vote Results]]</f>
        <v>1321</v>
      </c>
      <c r="D5" s="14"/>
    </row>
    <row r="6" spans="1:4" ht="14.25" customHeight="1" x14ac:dyDescent="0.2">
      <c r="A6" s="15" t="s">
        <v>20</v>
      </c>
      <c r="B6" s="11">
        <v>434</v>
      </c>
      <c r="C6" s="12">
        <f>MemberOfAssemblyAssemblyDistrict69General[[#This Row],[Part of New York County Vote Results]]</f>
        <v>434</v>
      </c>
      <c r="D6" s="14"/>
    </row>
    <row r="7" spans="1:4" ht="14.25" customHeight="1" x14ac:dyDescent="0.2">
      <c r="A7" s="16" t="s">
        <v>21</v>
      </c>
      <c r="B7" s="11">
        <f>SUM(MemberOfAssemblyAssemblyDistrict69General[Part of New York County Vote Results])</f>
        <v>61715</v>
      </c>
      <c r="C7" s="12">
        <f>SUM(MemberOfAssemblyAssemblyDistrict69General[Total Votes by Party])</f>
        <v>61715</v>
      </c>
      <c r="D7"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62855-4A9B-46FB-BC2D-8C9868143B4A}">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926</v>
      </c>
    </row>
    <row r="2" spans="1:4" ht="28.5" customHeight="1" x14ac:dyDescent="0.2">
      <c r="A2" s="6" t="s">
        <v>93</v>
      </c>
      <c r="B2" s="7" t="s">
        <v>267</v>
      </c>
      <c r="C2" s="8" t="s">
        <v>84</v>
      </c>
      <c r="D2" s="9" t="s">
        <v>85</v>
      </c>
    </row>
    <row r="3" spans="1:4" ht="14.25" customHeight="1" x14ac:dyDescent="0.2">
      <c r="A3" s="28" t="s">
        <v>927</v>
      </c>
      <c r="B3" s="11">
        <v>41529</v>
      </c>
      <c r="C3" s="12">
        <f>MemberOfAssemblyAssemblyDistrict70General[[#This Row],[Part of New York County Vote Results]]</f>
        <v>41529</v>
      </c>
      <c r="D3" s="116">
        <f>SUM(MemberOfAssemblyAssemblyDistrict70General[[#This Row],[Total Votes by Party]])</f>
        <v>41529</v>
      </c>
    </row>
    <row r="4" spans="1:4" ht="14.25" customHeight="1" x14ac:dyDescent="0.2">
      <c r="A4" s="10" t="s">
        <v>928</v>
      </c>
      <c r="B4" s="11">
        <v>3989</v>
      </c>
      <c r="C4" s="12">
        <f>MemberOfAssemblyAssemblyDistrict70General[[#This Row],[Part of New York County Vote Results]]</f>
        <v>3989</v>
      </c>
      <c r="D4" s="116">
        <f>SUM(MemberOfAssemblyAssemblyDistrict70General[[#This Row],[Total Votes by Party]])</f>
        <v>3989</v>
      </c>
    </row>
    <row r="5" spans="1:4" ht="14.25" customHeight="1" x14ac:dyDescent="0.2">
      <c r="A5" s="15" t="s">
        <v>18</v>
      </c>
      <c r="B5" s="11">
        <v>5150</v>
      </c>
      <c r="C5" s="12">
        <f>MemberOfAssemblyAssemblyDistrict70General[[#This Row],[Part of New York County Vote Results]]</f>
        <v>5150</v>
      </c>
      <c r="D5" s="14"/>
    </row>
    <row r="6" spans="1:4" ht="14.25" customHeight="1" x14ac:dyDescent="0.2">
      <c r="A6" s="15" t="s">
        <v>19</v>
      </c>
      <c r="B6" s="11">
        <v>293</v>
      </c>
      <c r="C6" s="12">
        <f>MemberOfAssemblyAssemblyDistrict70General[[#This Row],[Part of New York County Vote Results]]</f>
        <v>293</v>
      </c>
      <c r="D6" s="14"/>
    </row>
    <row r="7" spans="1:4" ht="14.25" customHeight="1" x14ac:dyDescent="0.2">
      <c r="A7" s="15" t="s">
        <v>20</v>
      </c>
      <c r="B7" s="11">
        <v>144</v>
      </c>
      <c r="C7" s="12">
        <f>MemberOfAssemblyAssemblyDistrict70General[[#This Row],[Part of New York County Vote Results]]</f>
        <v>144</v>
      </c>
      <c r="D7" s="14"/>
    </row>
    <row r="8" spans="1:4" ht="14.25" customHeight="1" x14ac:dyDescent="0.2">
      <c r="A8" s="16" t="s">
        <v>21</v>
      </c>
      <c r="B8" s="11">
        <f>SUM(MemberOfAssemblyAssemblyDistrict70General[Part of New York County Vote Results])</f>
        <v>51105</v>
      </c>
      <c r="C8" s="12">
        <f>SUM(MemberOfAssemblyAssemblyDistrict70General[Total Votes by Party])</f>
        <v>51105</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6986-3203-4286-BD3B-638573784049}">
  <sheetPr>
    <pageSetUpPr fitToPage="1"/>
  </sheetPr>
  <dimension ref="A1:E11"/>
  <sheetViews>
    <sheetView zoomScaleNormal="100" zoomScaleSheetLayoutView="110"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252</v>
      </c>
      <c r="B1" s="108"/>
      <c r="C1" s="108"/>
      <c r="D1" s="108"/>
      <c r="E1" s="108"/>
    </row>
    <row r="2" spans="1:5" ht="28.5" customHeight="1" x14ac:dyDescent="0.2">
      <c r="A2" s="6" t="s">
        <v>93</v>
      </c>
      <c r="B2" s="7" t="s">
        <v>253</v>
      </c>
      <c r="C2" s="7" t="s">
        <v>232</v>
      </c>
      <c r="D2" s="8" t="s">
        <v>84</v>
      </c>
      <c r="E2" s="9" t="s">
        <v>85</v>
      </c>
    </row>
    <row r="3" spans="1:5" ht="14.25" customHeight="1" x14ac:dyDescent="0.2">
      <c r="A3" s="28" t="s">
        <v>254</v>
      </c>
      <c r="B3" s="118">
        <v>93243</v>
      </c>
      <c r="C3" s="118">
        <v>51898</v>
      </c>
      <c r="D3" s="101">
        <f t="shared" ref="D3:D9" si="0">SUM(B3,C3)</f>
        <v>145141</v>
      </c>
      <c r="E3" s="113">
        <f>SUM(RepInCongressCongressionalDistrict7General[[#This Row],[Total Votes by Party]],D6)</f>
        <v>172795</v>
      </c>
    </row>
    <row r="4" spans="1:5" ht="14.25" customHeight="1" x14ac:dyDescent="0.2">
      <c r="A4" s="28" t="s">
        <v>255</v>
      </c>
      <c r="B4" s="118">
        <v>18457</v>
      </c>
      <c r="C4" s="118">
        <v>24595</v>
      </c>
      <c r="D4" s="101">
        <f t="shared" si="0"/>
        <v>43052</v>
      </c>
      <c r="E4" s="113">
        <f>SUM(RepInCongressCongressionalDistrict7General[[#This Row],[Total Votes by Party]],D5)</f>
        <v>48435</v>
      </c>
    </row>
    <row r="5" spans="1:5" ht="14.25" customHeight="1" x14ac:dyDescent="0.2">
      <c r="A5" s="28" t="s">
        <v>256</v>
      </c>
      <c r="B5" s="118">
        <v>3263</v>
      </c>
      <c r="C5" s="122">
        <v>2120</v>
      </c>
      <c r="D5" s="101">
        <f t="shared" si="0"/>
        <v>5383</v>
      </c>
      <c r="E5" s="111"/>
    </row>
    <row r="6" spans="1:5" ht="14.25" customHeight="1" x14ac:dyDescent="0.2">
      <c r="A6" s="28" t="s">
        <v>257</v>
      </c>
      <c r="B6" s="118">
        <v>17884</v>
      </c>
      <c r="C6" s="118">
        <v>9770</v>
      </c>
      <c r="D6" s="101">
        <f t="shared" si="0"/>
        <v>27654</v>
      </c>
      <c r="E6" s="111"/>
    </row>
    <row r="7" spans="1:5" ht="14.25" customHeight="1" x14ac:dyDescent="0.2">
      <c r="A7" s="29" t="s">
        <v>18</v>
      </c>
      <c r="B7" s="118">
        <v>10429</v>
      </c>
      <c r="C7" s="100">
        <v>5127</v>
      </c>
      <c r="D7" s="101">
        <f t="shared" si="0"/>
        <v>15556</v>
      </c>
      <c r="E7" s="111"/>
    </row>
    <row r="8" spans="1:5" ht="14.25" customHeight="1" x14ac:dyDescent="0.2">
      <c r="A8" s="29" t="s">
        <v>19</v>
      </c>
      <c r="B8" s="118">
        <v>0</v>
      </c>
      <c r="C8" s="100">
        <v>0</v>
      </c>
      <c r="D8" s="101">
        <f t="shared" si="0"/>
        <v>0</v>
      </c>
      <c r="E8" s="111"/>
    </row>
    <row r="9" spans="1:5" ht="14.25" customHeight="1" x14ac:dyDescent="0.2">
      <c r="A9" s="29" t="s">
        <v>20</v>
      </c>
      <c r="B9" s="118">
        <v>322</v>
      </c>
      <c r="C9" s="100">
        <v>227</v>
      </c>
      <c r="D9" s="101">
        <f t="shared" si="0"/>
        <v>549</v>
      </c>
      <c r="E9" s="111"/>
    </row>
    <row r="10" spans="1:5" ht="14.25" customHeight="1" x14ac:dyDescent="0.2">
      <c r="A10" s="103" t="s">
        <v>21</v>
      </c>
      <c r="B10" s="100">
        <f>SUM(RepInCongressCongressionalDistrict7General[Part of Kings County Vote Results])</f>
        <v>143598</v>
      </c>
      <c r="C10" s="100">
        <f>SUM(RepInCongressCongressionalDistrict7General[Part of Queens County Vote Results])</f>
        <v>93737</v>
      </c>
      <c r="D10" s="101">
        <f>SUM(RepInCongressCongressionalDistrict7General[Total Votes by Party])</f>
        <v>237335</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A5F7-8459-4395-8B70-B42EE7D43845}">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929</v>
      </c>
    </row>
    <row r="2" spans="1:4" ht="28.5" customHeight="1" x14ac:dyDescent="0.2">
      <c r="A2" s="6" t="s">
        <v>93</v>
      </c>
      <c r="B2" s="7" t="s">
        <v>267</v>
      </c>
      <c r="C2" s="8" t="s">
        <v>84</v>
      </c>
      <c r="D2" s="9" t="s">
        <v>85</v>
      </c>
    </row>
    <row r="3" spans="1:4" ht="14.25" customHeight="1" x14ac:dyDescent="0.2">
      <c r="A3" s="10" t="s">
        <v>930</v>
      </c>
      <c r="B3" s="11">
        <v>37267</v>
      </c>
      <c r="C3" s="12">
        <f>MemberOfAssemblyAssemblyDistrict71General[[#This Row],[Part of New York County Vote Results]]</f>
        <v>37267</v>
      </c>
      <c r="D3" s="116">
        <f>SUM(MemberOfAssemblyAssemblyDistrict71General[[#This Row],[Total Votes by Party]])</f>
        <v>37267</v>
      </c>
    </row>
    <row r="4" spans="1:4" ht="14.25" customHeight="1" x14ac:dyDescent="0.2">
      <c r="A4" s="10" t="s">
        <v>931</v>
      </c>
      <c r="B4" s="11">
        <v>5621</v>
      </c>
      <c r="C4" s="12">
        <f>MemberOfAssemblyAssemblyDistrict71General[[#This Row],[Part of New York County Vote Results]]</f>
        <v>5621</v>
      </c>
      <c r="D4" s="116">
        <f>SUM(MemberOfAssemblyAssemblyDistrict71General[[#This Row],[Total Votes by Party]])</f>
        <v>5621</v>
      </c>
    </row>
    <row r="5" spans="1:4" ht="14.25" customHeight="1" x14ac:dyDescent="0.2">
      <c r="A5" s="15" t="s">
        <v>18</v>
      </c>
      <c r="B5" s="11">
        <v>5570</v>
      </c>
      <c r="C5" s="12">
        <f>MemberOfAssemblyAssemblyDistrict71General[[#This Row],[Part of New York County Vote Results]]</f>
        <v>5570</v>
      </c>
      <c r="D5" s="14"/>
    </row>
    <row r="6" spans="1:4" ht="14.25" customHeight="1" x14ac:dyDescent="0.2">
      <c r="A6" s="15" t="s">
        <v>19</v>
      </c>
      <c r="B6" s="11">
        <v>371</v>
      </c>
      <c r="C6" s="12">
        <f>MemberOfAssemblyAssemblyDistrict71General[[#This Row],[Part of New York County Vote Results]]</f>
        <v>371</v>
      </c>
      <c r="D6" s="14"/>
    </row>
    <row r="7" spans="1:4" ht="14.25" customHeight="1" x14ac:dyDescent="0.2">
      <c r="A7" s="15" t="s">
        <v>20</v>
      </c>
      <c r="B7" s="11">
        <v>167</v>
      </c>
      <c r="C7" s="12">
        <f>MemberOfAssemblyAssemblyDistrict71General[[#This Row],[Part of New York County Vote Results]]</f>
        <v>167</v>
      </c>
      <c r="D7" s="14"/>
    </row>
    <row r="8" spans="1:4" ht="14.25" customHeight="1" x14ac:dyDescent="0.2">
      <c r="A8" s="16" t="s">
        <v>21</v>
      </c>
      <c r="B8" s="11">
        <f>SUM(MemberOfAssemblyAssemblyDistrict71General[Part of New York County Vote Results])</f>
        <v>48996</v>
      </c>
      <c r="C8" s="12">
        <f>SUM(MemberOfAssemblyAssemblyDistrict71General[Total Votes by Party])</f>
        <v>48996</v>
      </c>
      <c r="D8" s="14"/>
    </row>
    <row r="9"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2EDA5-1C5A-4889-9921-DAC92BC67410}">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932</v>
      </c>
    </row>
    <row r="2" spans="1:4" ht="28.5" customHeight="1" x14ac:dyDescent="0.2">
      <c r="A2" s="6" t="s">
        <v>93</v>
      </c>
      <c r="B2" s="7" t="s">
        <v>267</v>
      </c>
      <c r="C2" s="8" t="s">
        <v>84</v>
      </c>
      <c r="D2" s="9" t="s">
        <v>85</v>
      </c>
    </row>
    <row r="3" spans="1:4" ht="14.25" customHeight="1" x14ac:dyDescent="0.2">
      <c r="A3" s="10" t="s">
        <v>933</v>
      </c>
      <c r="B3" s="11">
        <v>26275</v>
      </c>
      <c r="C3" s="12">
        <f>MemberOfAssemblyAssemblyDistrict72General[[#This Row],[Part of New York County Vote Results]]</f>
        <v>26275</v>
      </c>
      <c r="D3" s="116">
        <f>SUM(MemberOfAssemblyAssemblyDistrict72General[[#This Row],[Total Votes by Party]],C4)</f>
        <v>30439</v>
      </c>
    </row>
    <row r="4" spans="1:4" ht="14.25" customHeight="1" x14ac:dyDescent="0.2">
      <c r="A4" s="10" t="s">
        <v>934</v>
      </c>
      <c r="B4" s="11">
        <v>4164</v>
      </c>
      <c r="C4" s="12">
        <f>MemberOfAssemblyAssemblyDistrict72General[[#This Row],[Part of New York County Vote Results]]</f>
        <v>4164</v>
      </c>
      <c r="D4" s="14"/>
    </row>
    <row r="5" spans="1:4" ht="14.25" customHeight="1" x14ac:dyDescent="0.2">
      <c r="A5" s="15" t="s">
        <v>18</v>
      </c>
      <c r="B5" s="11">
        <v>10386</v>
      </c>
      <c r="C5" s="12">
        <f>MemberOfAssemblyAssemblyDistrict72General[[#This Row],[Part of New York County Vote Results]]</f>
        <v>10386</v>
      </c>
      <c r="D5" s="14"/>
    </row>
    <row r="6" spans="1:4" ht="14.25" customHeight="1" x14ac:dyDescent="0.2">
      <c r="A6" s="15" t="s">
        <v>19</v>
      </c>
      <c r="B6" s="11">
        <v>254</v>
      </c>
      <c r="C6" s="12">
        <f>MemberOfAssemblyAssemblyDistrict72General[[#This Row],[Part of New York County Vote Results]]</f>
        <v>254</v>
      </c>
      <c r="D6" s="14"/>
    </row>
    <row r="7" spans="1:4" ht="14.25" customHeight="1" x14ac:dyDescent="0.2">
      <c r="A7" s="15" t="s">
        <v>20</v>
      </c>
      <c r="B7" s="11">
        <v>254</v>
      </c>
      <c r="C7" s="12">
        <f>MemberOfAssemblyAssemblyDistrict72General[[#This Row],[Part of New York County Vote Results]]</f>
        <v>254</v>
      </c>
      <c r="D7" s="14"/>
    </row>
    <row r="8" spans="1:4" ht="14.25" customHeight="1" x14ac:dyDescent="0.2">
      <c r="A8" s="16" t="s">
        <v>21</v>
      </c>
      <c r="B8" s="11">
        <f>SUM(MemberOfAssemblyAssemblyDistrict72General[Part of New York County Vote Results])</f>
        <v>41333</v>
      </c>
      <c r="C8" s="12">
        <f>SUM(MemberOfAssemblyAssemblyDistrict72General[Total Votes by Party])</f>
        <v>41333</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C70E9-6893-4FFA-950C-DF0F0F1BB6B2}">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935</v>
      </c>
    </row>
    <row r="2" spans="1:4" ht="28.5" customHeight="1" x14ac:dyDescent="0.2">
      <c r="A2" s="6" t="s">
        <v>93</v>
      </c>
      <c r="B2" s="7" t="s">
        <v>267</v>
      </c>
      <c r="C2" s="8" t="s">
        <v>84</v>
      </c>
      <c r="D2" s="9" t="s">
        <v>85</v>
      </c>
    </row>
    <row r="3" spans="1:4" ht="14.25" customHeight="1" x14ac:dyDescent="0.2">
      <c r="A3" s="10" t="s">
        <v>936</v>
      </c>
      <c r="B3" s="11">
        <v>40741</v>
      </c>
      <c r="C3" s="12">
        <f>MemberOfAssemblyAssemblyDistrict73General[[#This Row],[Part of New York County Vote Results]]</f>
        <v>40741</v>
      </c>
      <c r="D3" s="116">
        <f>SUM(MemberOfAssemblyAssemblyDistrict73General[[#This Row],[Total Votes by Party]],C5)</f>
        <v>42552</v>
      </c>
    </row>
    <row r="4" spans="1:4" ht="14.25" customHeight="1" x14ac:dyDescent="0.2">
      <c r="A4" s="10" t="s">
        <v>937</v>
      </c>
      <c r="B4" s="11">
        <v>15414</v>
      </c>
      <c r="C4" s="12">
        <f>MemberOfAssemblyAssemblyDistrict73General[[#This Row],[Part of New York County Vote Results]]</f>
        <v>15414</v>
      </c>
      <c r="D4" s="116">
        <f>SUM(MemberOfAssemblyAssemblyDistrict73General[[#This Row],[Total Votes by Party]])</f>
        <v>15414</v>
      </c>
    </row>
    <row r="5" spans="1:4" ht="14.25" customHeight="1" x14ac:dyDescent="0.2">
      <c r="A5" s="10" t="s">
        <v>938</v>
      </c>
      <c r="B5" s="11">
        <v>1811</v>
      </c>
      <c r="C5" s="12">
        <f>MemberOfAssemblyAssemblyDistrict73General[[#This Row],[Part of New York County Vote Results]]</f>
        <v>1811</v>
      </c>
      <c r="D5" s="14"/>
    </row>
    <row r="6" spans="1:4" ht="14.25" customHeight="1" x14ac:dyDescent="0.2">
      <c r="A6" s="15" t="s">
        <v>18</v>
      </c>
      <c r="B6" s="11">
        <v>4019</v>
      </c>
      <c r="C6" s="12">
        <f>MemberOfAssemblyAssemblyDistrict73General[[#This Row],[Part of New York County Vote Results]]</f>
        <v>4019</v>
      </c>
      <c r="D6" s="14"/>
    </row>
    <row r="7" spans="1:4" ht="14.25" customHeight="1" x14ac:dyDescent="0.2">
      <c r="A7" s="15" t="s">
        <v>19</v>
      </c>
      <c r="B7" s="11">
        <v>1377</v>
      </c>
      <c r="C7" s="12">
        <f>MemberOfAssemblyAssemblyDistrict73General[[#This Row],[Part of New York County Vote Results]]</f>
        <v>1377</v>
      </c>
      <c r="D7" s="14"/>
    </row>
    <row r="8" spans="1:4" ht="14.25" customHeight="1" x14ac:dyDescent="0.2">
      <c r="A8" s="15" t="s">
        <v>20</v>
      </c>
      <c r="B8" s="11">
        <v>93</v>
      </c>
      <c r="C8" s="12">
        <f>MemberOfAssemblyAssemblyDistrict73General[[#This Row],[Part of New York County Vote Results]]</f>
        <v>93</v>
      </c>
      <c r="D8" s="14"/>
    </row>
    <row r="9" spans="1:4" ht="14.25" customHeight="1" x14ac:dyDescent="0.2">
      <c r="A9" s="16" t="s">
        <v>21</v>
      </c>
      <c r="B9" s="11">
        <f>SUM(MemberOfAssemblyAssemblyDistrict73General[Part of New York County Vote Results])</f>
        <v>63455</v>
      </c>
      <c r="C9" s="12">
        <f>SUM(MemberOfAssemblyAssemblyDistrict73General[Total Votes by Party])</f>
        <v>63455</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9B328-9292-4580-AFD8-B82412087407}">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939</v>
      </c>
    </row>
    <row r="2" spans="1:4" ht="28.5" customHeight="1" x14ac:dyDescent="0.2">
      <c r="A2" s="6" t="s">
        <v>93</v>
      </c>
      <c r="B2" s="7" t="s">
        <v>267</v>
      </c>
      <c r="C2" s="8" t="s">
        <v>84</v>
      </c>
      <c r="D2" s="9" t="s">
        <v>85</v>
      </c>
    </row>
    <row r="3" spans="1:4" ht="14.25" customHeight="1" x14ac:dyDescent="0.2">
      <c r="A3" s="10" t="s">
        <v>940</v>
      </c>
      <c r="B3" s="11">
        <v>38149</v>
      </c>
      <c r="C3" s="12">
        <f>MemberOfAssemblyAssemblyDistrict74General[[#This Row],[Part of New York County Vote Results]]</f>
        <v>38149</v>
      </c>
      <c r="D3" s="116">
        <f>SUM(MemberOfAssemblyAssemblyDistrict74General[[#This Row],[Total Votes by Party]],C4)</f>
        <v>42651</v>
      </c>
    </row>
    <row r="4" spans="1:4" ht="14.25" customHeight="1" x14ac:dyDescent="0.2">
      <c r="A4" s="10" t="s">
        <v>941</v>
      </c>
      <c r="B4" s="11">
        <v>4502</v>
      </c>
      <c r="C4" s="12">
        <f>MemberOfAssemblyAssemblyDistrict74General[[#This Row],[Part of New York County Vote Results]]</f>
        <v>4502</v>
      </c>
      <c r="D4" s="14"/>
    </row>
    <row r="5" spans="1:4" ht="14.25" customHeight="1" x14ac:dyDescent="0.2">
      <c r="A5" s="15" t="s">
        <v>18</v>
      </c>
      <c r="B5" s="11">
        <v>11118</v>
      </c>
      <c r="C5" s="12">
        <f>MemberOfAssemblyAssemblyDistrict74General[[#This Row],[Part of New York County Vote Results]]</f>
        <v>11118</v>
      </c>
      <c r="D5" s="14"/>
    </row>
    <row r="6" spans="1:4" ht="14.25" customHeight="1" x14ac:dyDescent="0.2">
      <c r="A6" s="15" t="s">
        <v>19</v>
      </c>
      <c r="B6" s="11">
        <v>967</v>
      </c>
      <c r="C6" s="12">
        <f>MemberOfAssemblyAssemblyDistrict74General[[#This Row],[Part of New York County Vote Results]]</f>
        <v>967</v>
      </c>
      <c r="D6" s="14"/>
    </row>
    <row r="7" spans="1:4" ht="14.25" customHeight="1" x14ac:dyDescent="0.2">
      <c r="A7" s="15" t="s">
        <v>20</v>
      </c>
      <c r="B7" s="11">
        <v>445</v>
      </c>
      <c r="C7" s="12">
        <f>MemberOfAssemblyAssemblyDistrict74General[[#This Row],[Part of New York County Vote Results]]</f>
        <v>445</v>
      </c>
      <c r="D7" s="14"/>
    </row>
    <row r="8" spans="1:4" ht="14.25" customHeight="1" x14ac:dyDescent="0.2">
      <c r="A8" s="16" t="s">
        <v>21</v>
      </c>
      <c r="B8" s="11">
        <f>SUM(MemberOfAssemblyAssemblyDistrict74General[Part of New York County Vote Results])</f>
        <v>55181</v>
      </c>
      <c r="C8" s="12">
        <f>SUM(MemberOfAssemblyAssemblyDistrict74General[Total Votes by Party])</f>
        <v>55181</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B1DCE-3A00-4919-8DF7-7A6ADB94E788}">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942</v>
      </c>
    </row>
    <row r="2" spans="1:4" ht="28.5" customHeight="1" x14ac:dyDescent="0.2">
      <c r="A2" s="6" t="s">
        <v>93</v>
      </c>
      <c r="B2" s="7" t="s">
        <v>267</v>
      </c>
      <c r="C2" s="8" t="s">
        <v>84</v>
      </c>
      <c r="D2" s="9" t="s">
        <v>85</v>
      </c>
    </row>
    <row r="3" spans="1:4" ht="14.25" customHeight="1" x14ac:dyDescent="0.2">
      <c r="A3" s="10" t="s">
        <v>943</v>
      </c>
      <c r="B3" s="11">
        <v>39750</v>
      </c>
      <c r="C3" s="12">
        <f>MemberOfAssemblyAssemblyDistrict75General[[#This Row],[Part of New York County Vote Results]]</f>
        <v>39750</v>
      </c>
      <c r="D3" s="116">
        <f>SUM(MemberOfAssemblyAssemblyDistrict75General[[#This Row],[Total Votes by Party]],C4)</f>
        <v>43531</v>
      </c>
    </row>
    <row r="4" spans="1:4" ht="14.25" customHeight="1" x14ac:dyDescent="0.2">
      <c r="A4" s="10" t="s">
        <v>944</v>
      </c>
      <c r="B4" s="11">
        <v>3781</v>
      </c>
      <c r="C4" s="12">
        <f>MemberOfAssemblyAssemblyDistrict75General[[#This Row],[Part of New York County Vote Results]]</f>
        <v>3781</v>
      </c>
      <c r="D4" s="14"/>
    </row>
    <row r="5" spans="1:4" ht="14.25" customHeight="1" x14ac:dyDescent="0.2">
      <c r="A5" s="15" t="s">
        <v>18</v>
      </c>
      <c r="B5" s="11">
        <v>10586</v>
      </c>
      <c r="C5" s="12">
        <f>MemberOfAssemblyAssemblyDistrict75General[[#This Row],[Part of New York County Vote Results]]</f>
        <v>10586</v>
      </c>
      <c r="D5" s="14"/>
    </row>
    <row r="6" spans="1:4" ht="14.25" customHeight="1" x14ac:dyDescent="0.2">
      <c r="A6" s="15" t="s">
        <v>19</v>
      </c>
      <c r="B6" s="11">
        <v>1123</v>
      </c>
      <c r="C6" s="12">
        <f>MemberOfAssemblyAssemblyDistrict75General[[#This Row],[Part of New York County Vote Results]]</f>
        <v>1123</v>
      </c>
      <c r="D6" s="14"/>
    </row>
    <row r="7" spans="1:4" ht="14.25" customHeight="1" x14ac:dyDescent="0.2">
      <c r="A7" s="15" t="s">
        <v>20</v>
      </c>
      <c r="B7" s="11">
        <v>404</v>
      </c>
      <c r="C7" s="12">
        <f>MemberOfAssemblyAssemblyDistrict75General[[#This Row],[Part of New York County Vote Results]]</f>
        <v>404</v>
      </c>
      <c r="D7" s="14"/>
    </row>
    <row r="8" spans="1:4" ht="14.25" customHeight="1" x14ac:dyDescent="0.2">
      <c r="A8" s="16" t="s">
        <v>21</v>
      </c>
      <c r="B8" s="11">
        <f>SUM(MemberOfAssemblyAssemblyDistrict75General[Part of New York County Vote Results])</f>
        <v>55644</v>
      </c>
      <c r="C8" s="12">
        <f>SUM(MemberOfAssemblyAssemblyDistrict75General[Total Votes by Party])</f>
        <v>55644</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419D-37B1-43B0-A25D-68FE25F27740}">
  <sheetPr>
    <pageSetUpPr fitToPage="1"/>
  </sheetPr>
  <dimension ref="A1:D8"/>
  <sheetViews>
    <sheetView workbookViewId="0">
      <selection activeCell="A3" sqref="A3:XFD8"/>
    </sheetView>
  </sheetViews>
  <sheetFormatPr defaultRowHeight="12.75" x14ac:dyDescent="0.2"/>
  <cols>
    <col min="1" max="1" width="30" customWidth="1"/>
    <col min="2" max="4" width="20.5703125" customWidth="1"/>
    <col min="5" max="6" width="23.5703125" customWidth="1"/>
  </cols>
  <sheetData>
    <row r="1" spans="1:4" ht="24.95" customHeight="1" x14ac:dyDescent="0.2">
      <c r="A1" s="71" t="s">
        <v>945</v>
      </c>
    </row>
    <row r="2" spans="1:4" ht="28.5" customHeight="1" x14ac:dyDescent="0.2">
      <c r="A2" s="6" t="s">
        <v>93</v>
      </c>
      <c r="B2" s="7" t="s">
        <v>267</v>
      </c>
      <c r="C2" s="8" t="s">
        <v>84</v>
      </c>
      <c r="D2" s="9" t="s">
        <v>85</v>
      </c>
    </row>
    <row r="3" spans="1:4" ht="14.25" customHeight="1" x14ac:dyDescent="0.2">
      <c r="A3" s="10" t="s">
        <v>946</v>
      </c>
      <c r="B3" s="11">
        <v>46962</v>
      </c>
      <c r="C3" s="12">
        <f>MemberOfAssemblyAssemblyDistrict76General[[#This Row],[Part of New York County Vote Results]]</f>
        <v>46962</v>
      </c>
      <c r="D3" s="116">
        <f>SUM(MemberOfAssemblyAssemblyDistrict76General[[#This Row],[Total Votes by Party]],C4)</f>
        <v>50508</v>
      </c>
    </row>
    <row r="4" spans="1:4" ht="14.25" customHeight="1" x14ac:dyDescent="0.2">
      <c r="A4" s="10" t="s">
        <v>947</v>
      </c>
      <c r="B4" s="11">
        <v>3546</v>
      </c>
      <c r="C4" s="12">
        <f>MemberOfAssemblyAssemblyDistrict76General[[#This Row],[Part of New York County Vote Results]]</f>
        <v>3546</v>
      </c>
      <c r="D4" s="14"/>
    </row>
    <row r="5" spans="1:4" ht="14.25" customHeight="1" x14ac:dyDescent="0.2">
      <c r="A5" s="15" t="s">
        <v>18</v>
      </c>
      <c r="B5" s="11">
        <v>11566</v>
      </c>
      <c r="C5" s="12">
        <f>MemberOfAssemblyAssemblyDistrict76General[[#This Row],[Part of New York County Vote Results]]</f>
        <v>11566</v>
      </c>
      <c r="D5" s="14"/>
    </row>
    <row r="6" spans="1:4" ht="14.25" customHeight="1" x14ac:dyDescent="0.2">
      <c r="A6" s="15" t="s">
        <v>19</v>
      </c>
      <c r="B6" s="11">
        <v>1185</v>
      </c>
      <c r="C6" s="12">
        <f>MemberOfAssemblyAssemblyDistrict76General[[#This Row],[Part of New York County Vote Results]]</f>
        <v>1185</v>
      </c>
      <c r="D6" s="14"/>
    </row>
    <row r="7" spans="1:4" ht="14.25" customHeight="1" x14ac:dyDescent="0.2">
      <c r="A7" s="15" t="s">
        <v>20</v>
      </c>
      <c r="B7" s="11">
        <v>584</v>
      </c>
      <c r="C7" s="12">
        <f>MemberOfAssemblyAssemblyDistrict76General[[#This Row],[Part of New York County Vote Results]]</f>
        <v>584</v>
      </c>
      <c r="D7" s="14"/>
    </row>
    <row r="8" spans="1:4" ht="14.25" customHeight="1" x14ac:dyDescent="0.2">
      <c r="A8" s="16" t="s">
        <v>21</v>
      </c>
      <c r="B8" s="11">
        <f>SUM(MemberOfAssemblyAssemblyDistrict76General[Part of New York County Vote Results])</f>
        <v>63843</v>
      </c>
      <c r="C8" s="12">
        <f>SUM(MemberOfAssemblyAssemblyDistrict76General[Total Votes by Party])</f>
        <v>63843</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72896-630C-473D-9620-1D63A7A92344}">
  <sheetPr>
    <pageSetUpPr fitToPage="1"/>
  </sheetPr>
  <dimension ref="A1:D9"/>
  <sheetViews>
    <sheetView workbookViewId="0">
      <selection activeCell="A3" sqref="A3:XFD9"/>
    </sheetView>
  </sheetViews>
  <sheetFormatPr defaultRowHeight="12.75" x14ac:dyDescent="0.2"/>
  <cols>
    <col min="1" max="1" width="33" customWidth="1"/>
    <col min="2" max="4" width="20.5703125" customWidth="1"/>
    <col min="5" max="6" width="23.5703125" customWidth="1"/>
  </cols>
  <sheetData>
    <row r="1" spans="1:4" ht="24.95" customHeight="1" x14ac:dyDescent="0.2">
      <c r="A1" s="71" t="s">
        <v>948</v>
      </c>
    </row>
    <row r="2" spans="1:4" ht="28.5" customHeight="1" x14ac:dyDescent="0.2">
      <c r="A2" s="6" t="s">
        <v>93</v>
      </c>
      <c r="B2" s="7" t="s">
        <v>281</v>
      </c>
      <c r="C2" s="8" t="s">
        <v>84</v>
      </c>
      <c r="D2" s="9" t="s">
        <v>85</v>
      </c>
    </row>
    <row r="3" spans="1:4" ht="14.25" customHeight="1" x14ac:dyDescent="0.2">
      <c r="A3" s="10" t="s">
        <v>949</v>
      </c>
      <c r="B3" s="11">
        <v>18104</v>
      </c>
      <c r="C3" s="12">
        <f>MemberOfAssemblyAssemblyDistrict77General[[#This Row],[Part of Bronx County Vote Results]]</f>
        <v>18104</v>
      </c>
      <c r="D3" s="116">
        <f>SUM(MemberOfAssemblyAssemblyDistrict77General[[#This Row],[Total Votes by Party]])</f>
        <v>18104</v>
      </c>
    </row>
    <row r="4" spans="1:4" ht="14.25" customHeight="1" x14ac:dyDescent="0.2">
      <c r="A4" s="10" t="s">
        <v>950</v>
      </c>
      <c r="B4" s="11">
        <v>5020</v>
      </c>
      <c r="C4" s="12">
        <f>MemberOfAssemblyAssemblyDistrict77General[[#This Row],[Part of Bronx County Vote Results]]</f>
        <v>5020</v>
      </c>
      <c r="D4" s="116">
        <f>SUM(MemberOfAssemblyAssemblyDistrict77General[[#This Row],[Total Votes by Party]])</f>
        <v>5020</v>
      </c>
    </row>
    <row r="5" spans="1:4" ht="14.25" customHeight="1" x14ac:dyDescent="0.2">
      <c r="A5" s="10" t="s">
        <v>951</v>
      </c>
      <c r="B5" s="11">
        <v>1204</v>
      </c>
      <c r="C5" s="12">
        <f>MemberOfAssemblyAssemblyDistrict77General[[#This Row],[Part of Bronx County Vote Results]]</f>
        <v>1204</v>
      </c>
      <c r="D5" s="116">
        <f>SUM(MemberOfAssemblyAssemblyDistrict77General[[#This Row],[Total Votes by Party]])</f>
        <v>1204</v>
      </c>
    </row>
    <row r="6" spans="1:4" ht="14.25" customHeight="1" x14ac:dyDescent="0.2">
      <c r="A6" s="15" t="s">
        <v>18</v>
      </c>
      <c r="B6" s="11">
        <v>4048</v>
      </c>
      <c r="C6" s="12">
        <f>MemberOfAssemblyAssemblyDistrict77General[[#This Row],[Part of Bronx County Vote Results]]</f>
        <v>4048</v>
      </c>
      <c r="D6" s="14"/>
    </row>
    <row r="7" spans="1:4" ht="14.25" customHeight="1" x14ac:dyDescent="0.2">
      <c r="A7" s="15" t="s">
        <v>19</v>
      </c>
      <c r="B7" s="11">
        <v>32</v>
      </c>
      <c r="C7" s="12">
        <f>MemberOfAssemblyAssemblyDistrict77General[[#This Row],[Part of Bronx County Vote Results]]</f>
        <v>32</v>
      </c>
      <c r="D7" s="14"/>
    </row>
    <row r="8" spans="1:4" ht="14.25" customHeight="1" x14ac:dyDescent="0.2">
      <c r="A8" s="15" t="s">
        <v>20</v>
      </c>
      <c r="B8" s="11">
        <v>53</v>
      </c>
      <c r="C8" s="12">
        <f>MemberOfAssemblyAssemblyDistrict77General[[#This Row],[Part of Bronx County Vote Results]]</f>
        <v>53</v>
      </c>
      <c r="D8" s="14"/>
    </row>
    <row r="9" spans="1:4" ht="14.25" customHeight="1" x14ac:dyDescent="0.2">
      <c r="A9" s="16" t="s">
        <v>21</v>
      </c>
      <c r="B9" s="11">
        <f>SUM(MemberOfAssemblyAssemblyDistrict77General[Part of Bronx County Vote Results])</f>
        <v>28461</v>
      </c>
      <c r="C9" s="12">
        <f>SUM(MemberOfAssemblyAssemblyDistrict77General[Total Votes by Party])</f>
        <v>28461</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0355E-BEA2-4B4B-9126-080BBE50FA27}">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952</v>
      </c>
    </row>
    <row r="2" spans="1:4" ht="28.5" customHeight="1" x14ac:dyDescent="0.2">
      <c r="A2" s="6" t="s">
        <v>93</v>
      </c>
      <c r="B2" s="7" t="s">
        <v>281</v>
      </c>
      <c r="C2" s="8" t="s">
        <v>84</v>
      </c>
      <c r="D2" s="9" t="s">
        <v>85</v>
      </c>
    </row>
    <row r="3" spans="1:4" ht="14.25" customHeight="1" x14ac:dyDescent="0.2">
      <c r="A3" s="10" t="s">
        <v>953</v>
      </c>
      <c r="B3" s="11">
        <v>17254</v>
      </c>
      <c r="C3" s="12">
        <f>MemberOfAssemblyAssemblyDistrict78General[[#This Row],[Part of Bronx County Vote Results]]</f>
        <v>17254</v>
      </c>
      <c r="D3" s="116">
        <f>SUM(MemberOfAssemblyAssemblyDistrict78General[[#This Row],[Total Votes by Party]])</f>
        <v>17254</v>
      </c>
    </row>
    <row r="4" spans="1:4" ht="14.25" customHeight="1" x14ac:dyDescent="0.2">
      <c r="A4" s="10" t="s">
        <v>954</v>
      </c>
      <c r="B4" s="11">
        <v>5674</v>
      </c>
      <c r="C4" s="12">
        <f>MemberOfAssemblyAssemblyDistrict78General[[#This Row],[Part of Bronx County Vote Results]]</f>
        <v>5674</v>
      </c>
      <c r="D4" s="116">
        <f>SUM(MemberOfAssemblyAssemblyDistrict78General[[#This Row],[Total Votes by Party]],C5)</f>
        <v>6229</v>
      </c>
    </row>
    <row r="5" spans="1:4" ht="14.25" customHeight="1" x14ac:dyDescent="0.2">
      <c r="A5" s="10" t="s">
        <v>955</v>
      </c>
      <c r="B5" s="11">
        <v>555</v>
      </c>
      <c r="C5" s="12">
        <f>MemberOfAssemblyAssemblyDistrict78General[[#This Row],[Part of Bronx County Vote Results]]</f>
        <v>555</v>
      </c>
      <c r="D5" s="14"/>
    </row>
    <row r="6" spans="1:4" ht="14.25" customHeight="1" x14ac:dyDescent="0.2">
      <c r="A6" s="15" t="s">
        <v>18</v>
      </c>
      <c r="B6" s="11">
        <v>3106</v>
      </c>
      <c r="C6" s="12">
        <f>MemberOfAssemblyAssemblyDistrict78General[[#This Row],[Part of Bronx County Vote Results]]</f>
        <v>3106</v>
      </c>
      <c r="D6" s="14"/>
    </row>
    <row r="7" spans="1:4" ht="14.25" customHeight="1" x14ac:dyDescent="0.2">
      <c r="A7" s="15" t="s">
        <v>19</v>
      </c>
      <c r="B7" s="11">
        <v>58</v>
      </c>
      <c r="C7" s="12">
        <f>MemberOfAssemblyAssemblyDistrict78General[[#This Row],[Part of Bronx County Vote Results]]</f>
        <v>58</v>
      </c>
      <c r="D7" s="14"/>
    </row>
    <row r="8" spans="1:4" ht="14.25" customHeight="1" x14ac:dyDescent="0.2">
      <c r="A8" s="15" t="s">
        <v>20</v>
      </c>
      <c r="B8" s="11">
        <v>47</v>
      </c>
      <c r="C8" s="12">
        <f>MemberOfAssemblyAssemblyDistrict78General[[#This Row],[Part of Bronx County Vote Results]]</f>
        <v>47</v>
      </c>
      <c r="D8" s="14"/>
    </row>
    <row r="9" spans="1:4" ht="14.25" customHeight="1" x14ac:dyDescent="0.2">
      <c r="A9" s="16" t="s">
        <v>21</v>
      </c>
      <c r="B9" s="11">
        <f>SUM(MemberOfAssemblyAssemblyDistrict78General[Part of Bronx County Vote Results])</f>
        <v>26694</v>
      </c>
      <c r="C9" s="12">
        <f>SUM(MemberOfAssemblyAssemblyDistrict78General[Total Votes by Party])</f>
        <v>26694</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E8C62-0EA2-4256-B212-A63BFC63F9D9}">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956</v>
      </c>
    </row>
    <row r="2" spans="1:4" ht="28.5" customHeight="1" x14ac:dyDescent="0.2">
      <c r="A2" s="6" t="s">
        <v>93</v>
      </c>
      <c r="B2" s="7" t="s">
        <v>281</v>
      </c>
      <c r="C2" s="8" t="s">
        <v>84</v>
      </c>
      <c r="D2" s="9" t="s">
        <v>85</v>
      </c>
    </row>
    <row r="3" spans="1:4" ht="14.25" customHeight="1" x14ac:dyDescent="0.2">
      <c r="A3" s="10" t="s">
        <v>957</v>
      </c>
      <c r="B3" s="11">
        <v>20585</v>
      </c>
      <c r="C3" s="12">
        <f>MemberOfAssemblyAssemblyDistrict79General[[#This Row],[Part of Bronx County Vote Results]]</f>
        <v>20585</v>
      </c>
      <c r="D3" s="116">
        <f>SUM(MemberOfAssemblyAssemblyDistrict79General[[#This Row],[Total Votes by Party]])</f>
        <v>20585</v>
      </c>
    </row>
    <row r="4" spans="1:4" ht="14.25" customHeight="1" x14ac:dyDescent="0.2">
      <c r="A4" s="10" t="s">
        <v>958</v>
      </c>
      <c r="B4" s="11">
        <v>4238</v>
      </c>
      <c r="C4" s="12">
        <f>MemberOfAssemblyAssemblyDistrict79General[[#This Row],[Part of Bronx County Vote Results]]</f>
        <v>4238</v>
      </c>
      <c r="D4" s="116">
        <f>SUM(MemberOfAssemblyAssemblyDistrict79General[[#This Row],[Total Votes by Party]])</f>
        <v>4238</v>
      </c>
    </row>
    <row r="5" spans="1:4" ht="14.25" customHeight="1" x14ac:dyDescent="0.2">
      <c r="A5" s="10" t="s">
        <v>959</v>
      </c>
      <c r="B5" s="11">
        <v>841</v>
      </c>
      <c r="C5" s="12">
        <f>MemberOfAssemblyAssemblyDistrict79General[[#This Row],[Part of Bronx County Vote Results]]</f>
        <v>841</v>
      </c>
      <c r="D5" s="116">
        <f>SUM(MemberOfAssemblyAssemblyDistrict79General[[#This Row],[Total Votes by Party]])</f>
        <v>841</v>
      </c>
    </row>
    <row r="6" spans="1:4" ht="14.25" customHeight="1" x14ac:dyDescent="0.2">
      <c r="A6" s="15" t="s">
        <v>18</v>
      </c>
      <c r="B6" s="11">
        <v>3611</v>
      </c>
      <c r="C6" s="12">
        <f>MemberOfAssemblyAssemblyDistrict79General[[#This Row],[Part of Bronx County Vote Results]]</f>
        <v>3611</v>
      </c>
      <c r="D6" s="14"/>
    </row>
    <row r="7" spans="1:4" ht="14.25" customHeight="1" x14ac:dyDescent="0.2">
      <c r="A7" s="15" t="s">
        <v>19</v>
      </c>
      <c r="B7" s="11">
        <v>18</v>
      </c>
      <c r="C7" s="12">
        <f>MemberOfAssemblyAssemblyDistrict79General[[#This Row],[Part of Bronx County Vote Results]]</f>
        <v>18</v>
      </c>
      <c r="D7" s="14"/>
    </row>
    <row r="8" spans="1:4" ht="14.25" customHeight="1" x14ac:dyDescent="0.2">
      <c r="A8" s="15" t="s">
        <v>20</v>
      </c>
      <c r="B8" s="11">
        <v>39</v>
      </c>
      <c r="C8" s="12">
        <f>MemberOfAssemblyAssemblyDistrict79General[[#This Row],[Part of Bronx County Vote Results]]</f>
        <v>39</v>
      </c>
      <c r="D8" s="14"/>
    </row>
    <row r="9" spans="1:4" ht="14.25" customHeight="1" x14ac:dyDescent="0.2">
      <c r="A9" s="16" t="s">
        <v>21</v>
      </c>
      <c r="B9" s="11">
        <f>SUM(MemberOfAssemblyAssemblyDistrict79General[Part of Bronx County Vote Results])</f>
        <v>29332</v>
      </c>
      <c r="C9" s="12">
        <f>SUM(MemberOfAssemblyAssemblyDistrict79General[Total Votes by Party])</f>
        <v>29332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77C03-AE25-40C3-9D71-8587ADE9FF46}">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960</v>
      </c>
    </row>
    <row r="2" spans="1:4" ht="28.5" customHeight="1" x14ac:dyDescent="0.2">
      <c r="A2" s="6" t="s">
        <v>93</v>
      </c>
      <c r="B2" s="7" t="s">
        <v>281</v>
      </c>
      <c r="C2" s="8" t="s">
        <v>84</v>
      </c>
      <c r="D2" s="9" t="s">
        <v>85</v>
      </c>
    </row>
    <row r="3" spans="1:4" ht="14.25" customHeight="1" x14ac:dyDescent="0.2">
      <c r="A3" s="10" t="s">
        <v>961</v>
      </c>
      <c r="B3" s="11">
        <v>20766</v>
      </c>
      <c r="C3" s="12">
        <f>MemberOfAssemblyAssemblyDistrict80General[[#This Row],[Part of Bronx County Vote Results]]</f>
        <v>20766</v>
      </c>
      <c r="D3" s="116">
        <f>SUM(MemberOfAssemblyAssemblyDistrict80General[[#This Row],[Total Votes by Party]])</f>
        <v>20766</v>
      </c>
    </row>
    <row r="4" spans="1:4" ht="14.25" customHeight="1" x14ac:dyDescent="0.2">
      <c r="A4" s="10" t="s">
        <v>962</v>
      </c>
      <c r="B4" s="11">
        <v>8243</v>
      </c>
      <c r="C4" s="12">
        <f>MemberOfAssemblyAssemblyDistrict80General[[#This Row],[Part of Bronx County Vote Results]]</f>
        <v>8243</v>
      </c>
      <c r="D4" s="116">
        <f>SUM(MemberOfAssemblyAssemblyDistrict80General[[#This Row],[Total Votes by Party]])</f>
        <v>8243</v>
      </c>
    </row>
    <row r="5" spans="1:4" ht="14.25" customHeight="1" x14ac:dyDescent="0.2">
      <c r="A5" s="10" t="s">
        <v>963</v>
      </c>
      <c r="B5" s="11">
        <v>1605</v>
      </c>
      <c r="C5" s="12">
        <f>MemberOfAssemblyAssemblyDistrict80General[[#This Row],[Part of Bronx County Vote Results]]</f>
        <v>1605</v>
      </c>
      <c r="D5" s="116">
        <f>SUM(MemberOfAssemblyAssemblyDistrict80General[[#This Row],[Total Votes by Party]])</f>
        <v>1605</v>
      </c>
    </row>
    <row r="6" spans="1:4" ht="14.25" customHeight="1" x14ac:dyDescent="0.2">
      <c r="A6" s="15" t="s">
        <v>18</v>
      </c>
      <c r="B6" s="11">
        <v>3936</v>
      </c>
      <c r="C6" s="12">
        <f>MemberOfAssemblyAssemblyDistrict80General[[#This Row],[Part of Bronx County Vote Results]]</f>
        <v>3936</v>
      </c>
      <c r="D6" s="14"/>
    </row>
    <row r="7" spans="1:4" ht="14.25" customHeight="1" x14ac:dyDescent="0.2">
      <c r="A7" s="15" t="s">
        <v>19</v>
      </c>
      <c r="B7" s="11">
        <v>82</v>
      </c>
      <c r="C7" s="12">
        <f>MemberOfAssemblyAssemblyDistrict80General[[#This Row],[Part of Bronx County Vote Results]]</f>
        <v>82</v>
      </c>
      <c r="D7" s="14"/>
    </row>
    <row r="8" spans="1:4" ht="14.25" customHeight="1" x14ac:dyDescent="0.2">
      <c r="A8" s="15" t="s">
        <v>20</v>
      </c>
      <c r="B8" s="11">
        <v>123</v>
      </c>
      <c r="C8" s="12">
        <f>MemberOfAssemblyAssemblyDistrict80General[[#This Row],[Part of Bronx County Vote Results]]</f>
        <v>123</v>
      </c>
      <c r="D8" s="14"/>
    </row>
    <row r="9" spans="1:4" ht="14.25" customHeight="1" x14ac:dyDescent="0.2">
      <c r="A9" s="16" t="s">
        <v>21</v>
      </c>
      <c r="B9" s="11">
        <f>SUM(MemberOfAssemblyAssemblyDistrict80General[Part of Bronx County Vote Results])</f>
        <v>34755</v>
      </c>
      <c r="C9" s="12">
        <f>SUM(MemberOfAssemblyAssemblyDistrict80General[Total Votes by Party])</f>
        <v>34755</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BAA6E-6FA2-4FFD-AE4C-FB42E3A950C0}">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258</v>
      </c>
      <c r="B1" s="108"/>
      <c r="C1" s="108"/>
      <c r="D1" s="108"/>
    </row>
    <row r="2" spans="1:4" ht="28.5" customHeight="1" x14ac:dyDescent="0.2">
      <c r="A2" s="6" t="s">
        <v>93</v>
      </c>
      <c r="B2" s="7" t="s">
        <v>253</v>
      </c>
      <c r="C2" s="8" t="s">
        <v>84</v>
      </c>
      <c r="D2" s="9" t="s">
        <v>85</v>
      </c>
    </row>
    <row r="3" spans="1:4" ht="14.25" customHeight="1" x14ac:dyDescent="0.2">
      <c r="A3" s="28" t="s">
        <v>259</v>
      </c>
      <c r="B3" s="118">
        <v>168036</v>
      </c>
      <c r="C3" s="101">
        <f>SUM(RepInCongressCongressionalDistrict8General[[#This Row],[Part of Kings County Vote Results]])</f>
        <v>168036</v>
      </c>
      <c r="D3" s="113">
        <f>SUM(RepInCongressCongressionalDistrict8General[[#This Row],[Total Votes by Party]])</f>
        <v>168036</v>
      </c>
    </row>
    <row r="4" spans="1:4" ht="14.25" customHeight="1" x14ac:dyDescent="0.2">
      <c r="A4" s="28" t="s">
        <v>260</v>
      </c>
      <c r="B4" s="118">
        <v>48369</v>
      </c>
      <c r="C4" s="101">
        <f>SUM(RepInCongressCongressionalDistrict8General[[#This Row],[Part of Kings County Vote Results]])</f>
        <v>48369</v>
      </c>
      <c r="D4" s="113">
        <f>SUM(RepInCongressCongressionalDistrict8General[[#This Row],[Total Votes by Party]],C5)</f>
        <v>54863</v>
      </c>
    </row>
    <row r="5" spans="1:4" ht="14.25" customHeight="1" x14ac:dyDescent="0.2">
      <c r="A5" s="28" t="s">
        <v>261</v>
      </c>
      <c r="B5" s="118">
        <v>6494</v>
      </c>
      <c r="C5" s="101">
        <f>SUM(RepInCongressCongressionalDistrict8General[[#This Row],[Part of Kings County Vote Results]])</f>
        <v>6494</v>
      </c>
      <c r="D5" s="111"/>
    </row>
    <row r="6" spans="1:4" ht="14.25" customHeight="1" x14ac:dyDescent="0.2">
      <c r="A6" s="29" t="s">
        <v>18</v>
      </c>
      <c r="B6" s="118">
        <v>17346</v>
      </c>
      <c r="C6" s="101">
        <f>SUM(RepInCongressCongressionalDistrict8General[[#This Row],[Part of Kings County Vote Results]])</f>
        <v>17346</v>
      </c>
      <c r="D6" s="111"/>
    </row>
    <row r="7" spans="1:4" ht="14.25" customHeight="1" x14ac:dyDescent="0.2">
      <c r="A7" s="29" t="s">
        <v>19</v>
      </c>
      <c r="B7" s="118">
        <v>0</v>
      </c>
      <c r="C7" s="101">
        <f>SUM(RepInCongressCongressionalDistrict8General[[#This Row],[Part of Kings County Vote Results]])</f>
        <v>0</v>
      </c>
      <c r="D7" s="111"/>
    </row>
    <row r="8" spans="1:4" ht="14.25" customHeight="1" x14ac:dyDescent="0.2">
      <c r="A8" s="29" t="s">
        <v>20</v>
      </c>
      <c r="B8" s="118">
        <v>905</v>
      </c>
      <c r="C8" s="101">
        <f>SUM(RepInCongressCongressionalDistrict8General[[#This Row],[Part of Kings County Vote Results]])</f>
        <v>905</v>
      </c>
      <c r="D8" s="111"/>
    </row>
    <row r="9" spans="1:4" ht="14.25" customHeight="1" x14ac:dyDescent="0.2">
      <c r="A9" s="103" t="s">
        <v>21</v>
      </c>
      <c r="B9" s="100">
        <f>SUM(RepInCongressCongressionalDistrict8General[Part of Kings County Vote Results])</f>
        <v>241150</v>
      </c>
      <c r="C9" s="101">
        <f>SUM(RepInCongressCongressionalDistrict8General[Total Votes by Party])</f>
        <v>241150</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13CFB-D674-434D-8C90-0A2F4E25669A}">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964</v>
      </c>
    </row>
    <row r="2" spans="1:4" ht="28.5" customHeight="1" x14ac:dyDescent="0.2">
      <c r="A2" s="6" t="s">
        <v>93</v>
      </c>
      <c r="B2" s="7" t="s">
        <v>281</v>
      </c>
      <c r="C2" s="8" t="s">
        <v>84</v>
      </c>
      <c r="D2" s="9" t="s">
        <v>85</v>
      </c>
    </row>
    <row r="3" spans="1:4" ht="14.25" customHeight="1" x14ac:dyDescent="0.2">
      <c r="A3" s="10" t="s">
        <v>965</v>
      </c>
      <c r="B3" s="11">
        <v>29907</v>
      </c>
      <c r="C3" s="12">
        <f>MemberOfAssemblyAssemblyDistrict81General[[#This Row],[Part of Bronx County Vote Results]]</f>
        <v>29907</v>
      </c>
      <c r="D3" s="116">
        <f>SUM(MemberOfAssemblyAssemblyDistrict81General[[#This Row],[Total Votes by Party]])</f>
        <v>29907</v>
      </c>
    </row>
    <row r="4" spans="1:4" ht="14.25" customHeight="1" x14ac:dyDescent="0.2">
      <c r="A4" s="10" t="s">
        <v>966</v>
      </c>
      <c r="B4" s="11">
        <v>7941</v>
      </c>
      <c r="C4" s="12">
        <f>MemberOfAssemblyAssemblyDistrict81General[[#This Row],[Part of Bronx County Vote Results]]</f>
        <v>7941</v>
      </c>
      <c r="D4" s="116">
        <f>SUM(MemberOfAssemblyAssemblyDistrict81General[[#This Row],[Total Votes by Party]],C5)</f>
        <v>8944</v>
      </c>
    </row>
    <row r="5" spans="1:4" ht="14.25" customHeight="1" x14ac:dyDescent="0.2">
      <c r="A5" s="10" t="s">
        <v>967</v>
      </c>
      <c r="B5" s="11">
        <v>1003</v>
      </c>
      <c r="C5" s="12">
        <f>MemberOfAssemblyAssemblyDistrict81General[[#This Row],[Part of Bronx County Vote Results]]</f>
        <v>1003</v>
      </c>
      <c r="D5" s="23"/>
    </row>
    <row r="6" spans="1:4" ht="14.25" customHeight="1" x14ac:dyDescent="0.2">
      <c r="A6" s="15" t="s">
        <v>18</v>
      </c>
      <c r="B6" s="11">
        <v>3582</v>
      </c>
      <c r="C6" s="12">
        <f>MemberOfAssemblyAssemblyDistrict81General[[#This Row],[Part of Bronx County Vote Results]]</f>
        <v>3582</v>
      </c>
      <c r="D6" s="14"/>
    </row>
    <row r="7" spans="1:4" ht="14.25" customHeight="1" x14ac:dyDescent="0.2">
      <c r="A7" s="15" t="s">
        <v>19</v>
      </c>
      <c r="B7" s="11">
        <v>379</v>
      </c>
      <c r="C7" s="12">
        <f>MemberOfAssemblyAssemblyDistrict81General[[#This Row],[Part of Bronx County Vote Results]]</f>
        <v>379</v>
      </c>
      <c r="D7" s="14"/>
    </row>
    <row r="8" spans="1:4" ht="14.25" customHeight="1" x14ac:dyDescent="0.2">
      <c r="A8" s="15" t="s">
        <v>20</v>
      </c>
      <c r="B8" s="11">
        <v>298</v>
      </c>
      <c r="C8" s="12">
        <f>MemberOfAssemblyAssemblyDistrict81General[[#This Row],[Part of Bronx County Vote Results]]</f>
        <v>298</v>
      </c>
      <c r="D8" s="14"/>
    </row>
    <row r="9" spans="1:4" ht="14.25" customHeight="1" x14ac:dyDescent="0.2">
      <c r="A9" s="16" t="s">
        <v>21</v>
      </c>
      <c r="B9" s="11">
        <f>SUM(MemberOfAssemblyAssemblyDistrict81General[Part of Bronx County Vote Results])</f>
        <v>43110</v>
      </c>
      <c r="C9" s="12">
        <f>SUM(MemberOfAssemblyAssemblyDistrict81General[Total Votes by Party])</f>
        <v>43110</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2ECA-DD24-4ABE-98CE-9BCF4CB3C39E}">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968</v>
      </c>
    </row>
    <row r="2" spans="1:4" ht="28.5" customHeight="1" x14ac:dyDescent="0.2">
      <c r="A2" s="6" t="s">
        <v>93</v>
      </c>
      <c r="B2" s="7" t="s">
        <v>281</v>
      </c>
      <c r="C2" s="8" t="s">
        <v>84</v>
      </c>
      <c r="D2" s="9" t="s">
        <v>85</v>
      </c>
    </row>
    <row r="3" spans="1:4" ht="14.25" customHeight="1" x14ac:dyDescent="0.2">
      <c r="A3" s="10" t="s">
        <v>969</v>
      </c>
      <c r="B3" s="11">
        <v>29668</v>
      </c>
      <c r="C3" s="12">
        <f>MemberOfAssemblyAssemblyDistrict82General[[#This Row],[Part of Bronx County Vote Results]]</f>
        <v>29668</v>
      </c>
      <c r="D3" s="13">
        <f>SUM(MemberOfAssemblyAssemblyDistrict82General[[#This Row],[Total Votes by Party]])</f>
        <v>29668</v>
      </c>
    </row>
    <row r="4" spans="1:4" ht="14.25" customHeight="1" x14ac:dyDescent="0.2">
      <c r="A4" s="10" t="s">
        <v>970</v>
      </c>
      <c r="B4" s="11">
        <v>11957</v>
      </c>
      <c r="C4" s="12">
        <f>MemberOfAssemblyAssemblyDistrict82General[[#This Row],[Part of Bronx County Vote Results]]</f>
        <v>11957</v>
      </c>
      <c r="D4" s="13">
        <f>SUM(MemberOfAssemblyAssemblyDistrict82General[[#This Row],[Total Votes by Party]],C5)</f>
        <v>13362</v>
      </c>
    </row>
    <row r="5" spans="1:4" ht="14.25" customHeight="1" x14ac:dyDescent="0.2">
      <c r="A5" s="10" t="s">
        <v>971</v>
      </c>
      <c r="B5" s="11">
        <v>1405</v>
      </c>
      <c r="C5" s="12">
        <f>MemberOfAssemblyAssemblyDistrict82General[[#This Row],[Part of Bronx County Vote Results]]</f>
        <v>1405</v>
      </c>
      <c r="D5" s="14"/>
    </row>
    <row r="6" spans="1:4" ht="14.25" customHeight="1" x14ac:dyDescent="0.2">
      <c r="A6" s="15" t="s">
        <v>18</v>
      </c>
      <c r="B6" s="11">
        <v>3555</v>
      </c>
      <c r="C6" s="12">
        <f>MemberOfAssemblyAssemblyDistrict82General[[#This Row],[Part of Bronx County Vote Results]]</f>
        <v>3555</v>
      </c>
      <c r="D6" s="14"/>
    </row>
    <row r="7" spans="1:4" ht="14.25" customHeight="1" x14ac:dyDescent="0.2">
      <c r="A7" s="15" t="s">
        <v>19</v>
      </c>
      <c r="B7" s="11">
        <v>76</v>
      </c>
      <c r="C7" s="12">
        <f>MemberOfAssemblyAssemblyDistrict82General[[#This Row],[Part of Bronx County Vote Results]]</f>
        <v>76</v>
      </c>
      <c r="D7" s="14"/>
    </row>
    <row r="8" spans="1:4" ht="14.25" customHeight="1" x14ac:dyDescent="0.2">
      <c r="A8" s="15" t="s">
        <v>20</v>
      </c>
      <c r="B8" s="11">
        <v>87</v>
      </c>
      <c r="C8" s="12">
        <f>MemberOfAssemblyAssemblyDistrict82General[[#This Row],[Part of Bronx County Vote Results]]</f>
        <v>87</v>
      </c>
      <c r="D8" s="14"/>
    </row>
    <row r="9" spans="1:4" ht="14.25" customHeight="1" x14ac:dyDescent="0.2">
      <c r="A9" s="16" t="s">
        <v>21</v>
      </c>
      <c r="B9" s="11">
        <f>SUM(MemberOfAssemblyAssemblyDistrict82General[Part of Bronx County Vote Results])</f>
        <v>46748</v>
      </c>
      <c r="C9" s="12">
        <f>SUM(MemberOfAssemblyAssemblyDistrict82General[Total Votes by Party])</f>
        <v>46748</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EFC8A-AF6F-452E-A140-60AB4261C9A3}">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972</v>
      </c>
    </row>
    <row r="2" spans="1:4" ht="28.5" customHeight="1" x14ac:dyDescent="0.2">
      <c r="A2" s="6" t="s">
        <v>93</v>
      </c>
      <c r="B2" s="7" t="s">
        <v>281</v>
      </c>
      <c r="C2" s="8" t="s">
        <v>84</v>
      </c>
      <c r="D2" s="9" t="s">
        <v>85</v>
      </c>
    </row>
    <row r="3" spans="1:4" ht="14.25" customHeight="1" x14ac:dyDescent="0.2">
      <c r="A3" s="10" t="s">
        <v>973</v>
      </c>
      <c r="B3" s="11">
        <v>30322</v>
      </c>
      <c r="C3" s="12">
        <f>MemberOfAssemblyAssemblyDistrict83General[[#This Row],[Part of Bronx County Vote Results]]</f>
        <v>30322</v>
      </c>
      <c r="D3" s="116">
        <f>SUM(MemberOfAssemblyAssemblyDistrict83General[[#This Row],[Total Votes by Party]])</f>
        <v>30322</v>
      </c>
    </row>
    <row r="4" spans="1:4" ht="14.25" customHeight="1" x14ac:dyDescent="0.2">
      <c r="A4" s="10" t="s">
        <v>974</v>
      </c>
      <c r="B4" s="11">
        <v>3300</v>
      </c>
      <c r="C4" s="12">
        <f>MemberOfAssemblyAssemblyDistrict83General[[#This Row],[Part of Bronx County Vote Results]]</f>
        <v>3300</v>
      </c>
      <c r="D4" s="116">
        <f>SUM(MemberOfAssemblyAssemblyDistrict83General[[#This Row],[Total Votes by Party]],C5)</f>
        <v>3934</v>
      </c>
    </row>
    <row r="5" spans="1:4" ht="14.25" customHeight="1" x14ac:dyDescent="0.2">
      <c r="A5" s="10" t="s">
        <v>975</v>
      </c>
      <c r="B5" s="11">
        <v>634</v>
      </c>
      <c r="C5" s="12">
        <f>MemberOfAssemblyAssemblyDistrict83General[[#This Row],[Part of Bronx County Vote Results]]</f>
        <v>634</v>
      </c>
      <c r="D5" s="14"/>
    </row>
    <row r="6" spans="1:4" ht="14.25" customHeight="1" x14ac:dyDescent="0.2">
      <c r="A6" s="15" t="s">
        <v>18</v>
      </c>
      <c r="B6" s="11">
        <v>2988</v>
      </c>
      <c r="C6" s="12">
        <f>MemberOfAssemblyAssemblyDistrict83General[[#This Row],[Part of Bronx County Vote Results]]</f>
        <v>2988</v>
      </c>
      <c r="D6" s="14"/>
    </row>
    <row r="7" spans="1:4" ht="14.25" customHeight="1" x14ac:dyDescent="0.2">
      <c r="A7" s="15" t="s">
        <v>19</v>
      </c>
      <c r="B7" s="11">
        <v>47</v>
      </c>
      <c r="C7" s="12">
        <f>MemberOfAssemblyAssemblyDistrict83General[[#This Row],[Part of Bronx County Vote Results]]</f>
        <v>47</v>
      </c>
      <c r="D7" s="14"/>
    </row>
    <row r="8" spans="1:4" ht="14.25" customHeight="1" x14ac:dyDescent="0.2">
      <c r="A8" s="15" t="s">
        <v>20</v>
      </c>
      <c r="B8" s="11">
        <v>41</v>
      </c>
      <c r="C8" s="12">
        <f>MemberOfAssemblyAssemblyDistrict83General[[#This Row],[Part of Bronx County Vote Results]]</f>
        <v>41</v>
      </c>
      <c r="D8" s="14"/>
    </row>
    <row r="9" spans="1:4" ht="14.25" customHeight="1" x14ac:dyDescent="0.2">
      <c r="A9" s="16" t="s">
        <v>21</v>
      </c>
      <c r="B9" s="11">
        <f>SUM(MemberOfAssemblyAssemblyDistrict83General[Part of Bronx County Vote Results])</f>
        <v>37332</v>
      </c>
      <c r="C9" s="12">
        <f>SUM(MemberOfAssemblyAssemblyDistrict83General[Total Votes by Party])</f>
        <v>37332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EE893-8586-40B6-82AE-1A884A4F5065}">
  <sheetPr>
    <pageSetUpPr fitToPage="1"/>
  </sheetPr>
  <dimension ref="A1:D10"/>
  <sheetViews>
    <sheetView workbookViewId="0">
      <selection activeCell="A3" sqref="A3:XFD10"/>
    </sheetView>
  </sheetViews>
  <sheetFormatPr defaultRowHeight="12.75" x14ac:dyDescent="0.2"/>
  <cols>
    <col min="1" max="1" width="27.85546875" customWidth="1"/>
    <col min="2" max="4" width="20.5703125" customWidth="1"/>
    <col min="5" max="6" width="23.5703125" customWidth="1"/>
  </cols>
  <sheetData>
    <row r="1" spans="1:4" ht="24.95" customHeight="1" x14ac:dyDescent="0.2">
      <c r="A1" s="71" t="s">
        <v>976</v>
      </c>
    </row>
    <row r="2" spans="1:4" ht="28.5" customHeight="1" x14ac:dyDescent="0.2">
      <c r="A2" s="6" t="s">
        <v>93</v>
      </c>
      <c r="B2" s="7" t="s">
        <v>281</v>
      </c>
      <c r="C2" s="8" t="s">
        <v>84</v>
      </c>
      <c r="D2" s="9" t="s">
        <v>85</v>
      </c>
    </row>
    <row r="3" spans="1:4" ht="14.25" customHeight="1" x14ac:dyDescent="0.2">
      <c r="A3" s="10" t="s">
        <v>977</v>
      </c>
      <c r="B3" s="11">
        <v>18861</v>
      </c>
      <c r="C3" s="12">
        <f>MemberOfAssemblyAssemblyDistrict84General[[#This Row],[Part of Bronx County Vote Results]]</f>
        <v>18861</v>
      </c>
      <c r="D3" s="116">
        <f>SUM(MemberOfAssemblyAssemblyDistrict84General[[#This Row],[Total Votes by Party]],C6)</f>
        <v>20303</v>
      </c>
    </row>
    <row r="4" spans="1:4" ht="14.25" customHeight="1" x14ac:dyDescent="0.2">
      <c r="A4" s="10" t="s">
        <v>978</v>
      </c>
      <c r="B4" s="11">
        <v>5328</v>
      </c>
      <c r="C4" s="12">
        <f>MemberOfAssemblyAssemblyDistrict84General[[#This Row],[Part of Bronx County Vote Results]]</f>
        <v>5328</v>
      </c>
      <c r="D4" s="116">
        <f>SUM(MemberOfAssemblyAssemblyDistrict84General[[#This Row],[Total Votes by Party]])</f>
        <v>5328</v>
      </c>
    </row>
    <row r="5" spans="1:4" ht="14.25" customHeight="1" x14ac:dyDescent="0.2">
      <c r="A5" s="10" t="s">
        <v>979</v>
      </c>
      <c r="B5" s="11">
        <v>760</v>
      </c>
      <c r="C5" s="12">
        <f>MemberOfAssemblyAssemblyDistrict84General[[#This Row],[Part of Bronx County Vote Results]]</f>
        <v>760</v>
      </c>
      <c r="D5" s="116">
        <f>SUM(MemberOfAssemblyAssemblyDistrict84General[[#This Row],[Total Votes by Party]])</f>
        <v>760</v>
      </c>
    </row>
    <row r="6" spans="1:4" ht="14.25" customHeight="1" x14ac:dyDescent="0.2">
      <c r="A6" s="10" t="s">
        <v>980</v>
      </c>
      <c r="B6" s="11">
        <v>1442</v>
      </c>
      <c r="C6" s="12">
        <f>MemberOfAssemblyAssemblyDistrict84General[[#This Row],[Part of Bronx County Vote Results]]</f>
        <v>1442</v>
      </c>
      <c r="D6" s="14"/>
    </row>
    <row r="7" spans="1:4" ht="14.25" customHeight="1" x14ac:dyDescent="0.2">
      <c r="A7" s="15" t="s">
        <v>18</v>
      </c>
      <c r="B7" s="11">
        <v>3769</v>
      </c>
      <c r="C7" s="12">
        <f>MemberOfAssemblyAssemblyDistrict84General[[#This Row],[Part of Bronx County Vote Results]]</f>
        <v>3769</v>
      </c>
      <c r="D7" s="14"/>
    </row>
    <row r="8" spans="1:4" ht="14.25" customHeight="1" x14ac:dyDescent="0.2">
      <c r="A8" s="15" t="s">
        <v>19</v>
      </c>
      <c r="B8" s="11">
        <v>28</v>
      </c>
      <c r="C8" s="12">
        <f>MemberOfAssemblyAssemblyDistrict84General[[#This Row],[Part of Bronx County Vote Results]]</f>
        <v>28</v>
      </c>
      <c r="D8" s="14"/>
    </row>
    <row r="9" spans="1:4" ht="14.25" customHeight="1" x14ac:dyDescent="0.2">
      <c r="A9" s="15" t="s">
        <v>20</v>
      </c>
      <c r="B9" s="11">
        <v>59</v>
      </c>
      <c r="C9" s="12">
        <f>MemberOfAssemblyAssemblyDistrict84General[[#This Row],[Part of Bronx County Vote Results]]</f>
        <v>59</v>
      </c>
      <c r="D9" s="14"/>
    </row>
    <row r="10" spans="1:4" ht="14.25" customHeight="1" x14ac:dyDescent="0.2">
      <c r="A10" s="16" t="s">
        <v>21</v>
      </c>
      <c r="B10" s="11">
        <f>SUM(MemberOfAssemblyAssemblyDistrict84General[Part of Bronx County Vote Results])</f>
        <v>30247</v>
      </c>
      <c r="C10" s="12">
        <f>SUM(MemberOfAssemblyAssemblyDistrict84General[Total Votes by Party])</f>
        <v>30247</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BD41-23C9-4076-BE5A-D46715D74702}">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981</v>
      </c>
    </row>
    <row r="2" spans="1:4" ht="28.5" customHeight="1" x14ac:dyDescent="0.2">
      <c r="A2" s="6" t="s">
        <v>93</v>
      </c>
      <c r="B2" s="7" t="s">
        <v>281</v>
      </c>
      <c r="C2" s="8" t="s">
        <v>84</v>
      </c>
      <c r="D2" s="9" t="s">
        <v>85</v>
      </c>
    </row>
    <row r="3" spans="1:4" ht="14.25" customHeight="1" x14ac:dyDescent="0.2">
      <c r="A3" s="10" t="s">
        <v>982</v>
      </c>
      <c r="B3" s="11">
        <v>20881</v>
      </c>
      <c r="C3" s="12">
        <f>MemberOfAssemblyAssemblyDistrict85General[[#This Row],[Part of Bronx County Vote Results]]</f>
        <v>20881</v>
      </c>
      <c r="D3" s="116">
        <f>SUM(MemberOfAssemblyAssemblyDistrict85General[[#This Row],[Total Votes by Party]])</f>
        <v>20881</v>
      </c>
    </row>
    <row r="4" spans="1:4" ht="14.25" customHeight="1" x14ac:dyDescent="0.2">
      <c r="A4" s="10" t="s">
        <v>983</v>
      </c>
      <c r="B4" s="11">
        <v>4849</v>
      </c>
      <c r="C4" s="12">
        <f>MemberOfAssemblyAssemblyDistrict85General[[#This Row],[Part of Bronx County Vote Results]]</f>
        <v>4849</v>
      </c>
      <c r="D4" s="116">
        <f>SUM(MemberOfAssemblyAssemblyDistrict85General[[#This Row],[Total Votes by Party]])</f>
        <v>4849</v>
      </c>
    </row>
    <row r="5" spans="1:4" ht="14.25" customHeight="1" x14ac:dyDescent="0.2">
      <c r="A5" s="10" t="s">
        <v>984</v>
      </c>
      <c r="B5" s="11">
        <v>685</v>
      </c>
      <c r="C5" s="12">
        <f>MemberOfAssemblyAssemblyDistrict85General[[#This Row],[Part of Bronx County Vote Results]]</f>
        <v>685</v>
      </c>
      <c r="D5" s="116">
        <f>SUM(MemberOfAssemblyAssemblyDistrict85General[[#This Row],[Total Votes by Party]])</f>
        <v>685</v>
      </c>
    </row>
    <row r="6" spans="1:4" ht="14.25" customHeight="1" x14ac:dyDescent="0.2">
      <c r="A6" s="15" t="s">
        <v>18</v>
      </c>
      <c r="B6" s="11">
        <v>3645</v>
      </c>
      <c r="C6" s="12">
        <f>MemberOfAssemblyAssemblyDistrict85General[[#This Row],[Part of Bronx County Vote Results]]</f>
        <v>3645</v>
      </c>
      <c r="D6" s="23"/>
    </row>
    <row r="7" spans="1:4" ht="14.25" customHeight="1" x14ac:dyDescent="0.2">
      <c r="A7" s="15" t="s">
        <v>19</v>
      </c>
      <c r="B7" s="11">
        <v>24</v>
      </c>
      <c r="C7" s="12">
        <f>MemberOfAssemblyAssemblyDistrict85General[[#This Row],[Part of Bronx County Vote Results]]</f>
        <v>24</v>
      </c>
      <c r="D7" s="14"/>
    </row>
    <row r="8" spans="1:4" ht="14.25" customHeight="1" x14ac:dyDescent="0.2">
      <c r="A8" s="15" t="s">
        <v>20</v>
      </c>
      <c r="B8" s="11">
        <v>61</v>
      </c>
      <c r="C8" s="12">
        <f>MemberOfAssemblyAssemblyDistrict85General[[#This Row],[Part of Bronx County Vote Results]]</f>
        <v>61</v>
      </c>
      <c r="D8" s="14"/>
    </row>
    <row r="9" spans="1:4" ht="14.25" customHeight="1" x14ac:dyDescent="0.2">
      <c r="A9" s="16" t="s">
        <v>21</v>
      </c>
      <c r="B9" s="11">
        <f>SUM(MemberOfAssemblyAssemblyDistrict85General[Part of Bronx County Vote Results])</f>
        <v>30145</v>
      </c>
      <c r="C9" s="12">
        <f>SUM(MemberOfAssemblyAssemblyDistrict85General[Total Votes by Party])</f>
        <v>30145</v>
      </c>
      <c r="D9" s="14"/>
    </row>
    <row r="10"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617E-2880-4DD0-801C-107FD479E757}">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985</v>
      </c>
    </row>
    <row r="2" spans="1:4" ht="28.5" customHeight="1" x14ac:dyDescent="0.2">
      <c r="A2" s="6" t="s">
        <v>93</v>
      </c>
      <c r="B2" s="7" t="s">
        <v>281</v>
      </c>
      <c r="C2" s="8" t="s">
        <v>84</v>
      </c>
      <c r="D2" s="9" t="s">
        <v>85</v>
      </c>
    </row>
    <row r="3" spans="1:4" ht="14.25" customHeight="1" x14ac:dyDescent="0.2">
      <c r="A3" s="10" t="s">
        <v>986</v>
      </c>
      <c r="B3" s="11">
        <v>17491</v>
      </c>
      <c r="C3" s="12">
        <f>MemberOfAssemblyAssemblyDistrict86General[[#This Row],[Part of Bronx County Vote Results]]</f>
        <v>17491</v>
      </c>
      <c r="D3" s="116">
        <f>SUM(MemberOfAssemblyAssemblyDistrict86General[[#This Row],[Total Votes by Party]])</f>
        <v>17491</v>
      </c>
    </row>
    <row r="4" spans="1:4" ht="14.25" customHeight="1" x14ac:dyDescent="0.2">
      <c r="A4" s="10" t="s">
        <v>987</v>
      </c>
      <c r="B4" s="11">
        <v>5369</v>
      </c>
      <c r="C4" s="12">
        <f>MemberOfAssemblyAssemblyDistrict86General[[#This Row],[Part of Bronx County Vote Results]]</f>
        <v>5369</v>
      </c>
      <c r="D4" s="116">
        <f>SUM(MemberOfAssemblyAssemblyDistrict86General[[#This Row],[Total Votes by Party]])</f>
        <v>5369</v>
      </c>
    </row>
    <row r="5" spans="1:4" ht="14.25" customHeight="1" x14ac:dyDescent="0.2">
      <c r="A5" s="10" t="s">
        <v>988</v>
      </c>
      <c r="B5" s="11">
        <v>598</v>
      </c>
      <c r="C5" s="12">
        <f>MemberOfAssemblyAssemblyDistrict86General[[#This Row],[Part of Bronx County Vote Results]]</f>
        <v>598</v>
      </c>
      <c r="D5" s="116">
        <f>SUM(MemberOfAssemblyAssemblyDistrict86General[[#This Row],[Total Votes by Party]])</f>
        <v>598</v>
      </c>
    </row>
    <row r="6" spans="1:4" ht="14.25" customHeight="1" x14ac:dyDescent="0.2">
      <c r="A6" s="15" t="s">
        <v>18</v>
      </c>
      <c r="B6" s="11">
        <v>3566</v>
      </c>
      <c r="C6" s="12">
        <f>MemberOfAssemblyAssemblyDistrict86General[[#This Row],[Part of Bronx County Vote Results]]</f>
        <v>3566</v>
      </c>
      <c r="D6" s="14"/>
    </row>
    <row r="7" spans="1:4" ht="14.25" customHeight="1" x14ac:dyDescent="0.2">
      <c r="A7" s="15" t="s">
        <v>19</v>
      </c>
      <c r="B7" s="11">
        <v>31</v>
      </c>
      <c r="C7" s="12">
        <f>MemberOfAssemblyAssemblyDistrict86General[[#This Row],[Part of Bronx County Vote Results]]</f>
        <v>31</v>
      </c>
      <c r="D7" s="14"/>
    </row>
    <row r="8" spans="1:4" ht="14.25" customHeight="1" x14ac:dyDescent="0.2">
      <c r="A8" s="15" t="s">
        <v>20</v>
      </c>
      <c r="B8" s="11">
        <v>47</v>
      </c>
      <c r="C8" s="12">
        <f>MemberOfAssemblyAssemblyDistrict86General[[#This Row],[Part of Bronx County Vote Results]]</f>
        <v>47</v>
      </c>
      <c r="D8" s="14"/>
    </row>
    <row r="9" spans="1:4" ht="14.25" customHeight="1" x14ac:dyDescent="0.2">
      <c r="A9" s="16" t="s">
        <v>21</v>
      </c>
      <c r="B9" s="11">
        <f>SUM(MemberOfAssemblyAssemblyDistrict86General[Part of Bronx County Vote Results])</f>
        <v>27102</v>
      </c>
      <c r="C9" s="12">
        <f>SUM(MemberOfAssemblyAssemblyDistrict86General[Total Votes by Party])</f>
        <v>27102</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106CD-8DEC-40A1-AE21-09F49E33CF2B}">
  <sheetPr>
    <pageSetUpPr fitToPage="1"/>
  </sheetPr>
  <dimension ref="A1:D9"/>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989</v>
      </c>
    </row>
    <row r="2" spans="1:4" ht="28.5" customHeight="1" x14ac:dyDescent="0.2">
      <c r="A2" s="6" t="s">
        <v>93</v>
      </c>
      <c r="B2" s="7" t="s">
        <v>281</v>
      </c>
      <c r="C2" s="8" t="s">
        <v>84</v>
      </c>
      <c r="D2" s="9" t="s">
        <v>85</v>
      </c>
    </row>
    <row r="3" spans="1:4" ht="14.25" customHeight="1" x14ac:dyDescent="0.2">
      <c r="A3" s="10" t="s">
        <v>990</v>
      </c>
      <c r="B3" s="11">
        <v>23224</v>
      </c>
      <c r="C3" s="12">
        <f>MemberOfAssemblyAssemblyDistrict87General[[#This Row],[Part of Bronx County Vote Results]]</f>
        <v>23224</v>
      </c>
      <c r="D3" s="116">
        <f>SUM(MemberOfAssemblyAssemblyDistrict87General[[#This Row],[Total Votes by Party]],C4)</f>
        <v>25635</v>
      </c>
    </row>
    <row r="4" spans="1:4" ht="14.25" customHeight="1" x14ac:dyDescent="0.2">
      <c r="A4" s="10" t="s">
        <v>991</v>
      </c>
      <c r="B4" s="11">
        <v>2411</v>
      </c>
      <c r="C4" s="12">
        <f>MemberOfAssemblyAssemblyDistrict87General[[#This Row],[Part of Bronx County Vote Results]]</f>
        <v>2411</v>
      </c>
      <c r="D4" s="14"/>
    </row>
    <row r="5" spans="1:4" ht="14.25" customHeight="1" x14ac:dyDescent="0.2">
      <c r="A5" s="15" t="s">
        <v>18</v>
      </c>
      <c r="B5" s="11">
        <v>7535</v>
      </c>
      <c r="C5" s="12">
        <f>MemberOfAssemblyAssemblyDistrict87General[[#This Row],[Part of Bronx County Vote Results]]</f>
        <v>7535</v>
      </c>
      <c r="D5" s="14"/>
    </row>
    <row r="6" spans="1:4" ht="14.25" customHeight="1" x14ac:dyDescent="0.2">
      <c r="A6" s="15" t="s">
        <v>19</v>
      </c>
      <c r="B6" s="11">
        <v>42</v>
      </c>
      <c r="C6" s="12">
        <f>MemberOfAssemblyAssemblyDistrict87General[[#This Row],[Part of Bronx County Vote Results]]</f>
        <v>42</v>
      </c>
      <c r="D6" s="14"/>
    </row>
    <row r="7" spans="1:4" ht="14.25" customHeight="1" x14ac:dyDescent="0.2">
      <c r="A7" s="15" t="s">
        <v>20</v>
      </c>
      <c r="B7" s="11">
        <v>208</v>
      </c>
      <c r="C7" s="12">
        <f>MemberOfAssemblyAssemblyDistrict87General[[#This Row],[Part of Bronx County Vote Results]]</f>
        <v>208</v>
      </c>
      <c r="D7" s="14"/>
    </row>
    <row r="8" spans="1:4" ht="14.25" customHeight="1" x14ac:dyDescent="0.2">
      <c r="A8" s="16" t="s">
        <v>21</v>
      </c>
      <c r="B8" s="11">
        <f>SUM(MemberOfAssemblyAssemblyDistrict87General[Part of Bronx County Vote Results])</f>
        <v>33420</v>
      </c>
      <c r="C8" s="12">
        <f>SUM(MemberOfAssemblyAssemblyDistrict87General[Total Votes by Party])</f>
        <v>33420</v>
      </c>
      <c r="D8" s="14"/>
    </row>
    <row r="9" spans="1:4" x14ac:dyDescent="0.2">
      <c r="B9" s="18"/>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19E4A-57A5-454A-8ADE-0537E4E5B87D}">
  <sheetPr>
    <pageSetUpPr fitToPage="1"/>
  </sheetPr>
  <dimension ref="A1:D11"/>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992</v>
      </c>
    </row>
    <row r="2" spans="1:4" ht="28.5" customHeight="1" x14ac:dyDescent="0.2">
      <c r="A2" s="6" t="s">
        <v>93</v>
      </c>
      <c r="B2" s="7" t="s">
        <v>296</v>
      </c>
      <c r="C2" s="8" t="s">
        <v>84</v>
      </c>
      <c r="D2" s="9" t="s">
        <v>85</v>
      </c>
    </row>
    <row r="3" spans="1:4" ht="14.25" customHeight="1" x14ac:dyDescent="0.2">
      <c r="A3" s="10" t="s">
        <v>993</v>
      </c>
      <c r="B3" s="11">
        <v>42979</v>
      </c>
      <c r="C3" s="12">
        <f>MemberOfAssemblyAssemblyDistrict88General[[#This Row],[Part of Westchester County Vote Results]]</f>
        <v>42979</v>
      </c>
      <c r="D3" s="116">
        <f>SUM(MemberOfAssemblyAssemblyDistrict88General[[#This Row],[Total Votes by Party]],C6)</f>
        <v>44946</v>
      </c>
    </row>
    <row r="4" spans="1:4" ht="14.25" customHeight="1" x14ac:dyDescent="0.2">
      <c r="A4" s="10" t="s">
        <v>994</v>
      </c>
      <c r="B4" s="11">
        <v>22341</v>
      </c>
      <c r="C4" s="12">
        <f>MemberOfAssemblyAssemblyDistrict88General[[#This Row],[Part of Westchester County Vote Results]]</f>
        <v>22341</v>
      </c>
      <c r="D4" s="116">
        <f>SUM(MemberOfAssemblyAssemblyDistrict88General[[#This Row],[Total Votes by Party]],C5)</f>
        <v>24065</v>
      </c>
    </row>
    <row r="5" spans="1:4" ht="14.25" customHeight="1" x14ac:dyDescent="0.2">
      <c r="A5" s="10" t="s">
        <v>995</v>
      </c>
      <c r="B5" s="11">
        <v>1724</v>
      </c>
      <c r="C5" s="12">
        <f>MemberOfAssemblyAssemblyDistrict88General[[#This Row],[Part of Westchester County Vote Results]]</f>
        <v>1724</v>
      </c>
      <c r="D5" s="14"/>
    </row>
    <row r="6" spans="1:4" ht="14.25" customHeight="1" x14ac:dyDescent="0.2">
      <c r="A6" s="10" t="s">
        <v>996</v>
      </c>
      <c r="B6" s="11">
        <v>1967</v>
      </c>
      <c r="C6" s="12">
        <f>MemberOfAssemblyAssemblyDistrict88General[[#This Row],[Part of Westchester County Vote Results]]</f>
        <v>1967</v>
      </c>
      <c r="D6" s="14"/>
    </row>
    <row r="7" spans="1:4" ht="14.25" customHeight="1" x14ac:dyDescent="0.2">
      <c r="A7" s="15" t="s">
        <v>18</v>
      </c>
      <c r="B7" s="11">
        <v>4962</v>
      </c>
      <c r="C7" s="12">
        <f>MemberOfAssemblyAssemblyDistrict88General[[#This Row],[Part of Westchester County Vote Results]]</f>
        <v>4962</v>
      </c>
      <c r="D7" s="14"/>
    </row>
    <row r="8" spans="1:4" ht="14.25" customHeight="1" x14ac:dyDescent="0.2">
      <c r="A8" s="15" t="s">
        <v>19</v>
      </c>
      <c r="B8" s="11"/>
      <c r="C8" s="12">
        <f>MemberOfAssemblyAssemblyDistrict88General[[#This Row],[Part of Westchester County Vote Results]]</f>
        <v>0</v>
      </c>
      <c r="D8" s="14"/>
    </row>
    <row r="9" spans="1:4" ht="14.25" customHeight="1" x14ac:dyDescent="0.2">
      <c r="A9" s="15" t="s">
        <v>20</v>
      </c>
      <c r="B9" s="11">
        <v>29</v>
      </c>
      <c r="C9" s="12">
        <f>MemberOfAssemblyAssemblyDistrict88General[[#This Row],[Part of Westchester County Vote Results]]</f>
        <v>29</v>
      </c>
      <c r="D9" s="14"/>
    </row>
    <row r="10" spans="1:4" ht="14.25" customHeight="1" x14ac:dyDescent="0.2">
      <c r="A10" s="16" t="s">
        <v>21</v>
      </c>
      <c r="B10" s="11">
        <f>SUM(MemberOfAssemblyAssemblyDistrict88General[Part of Westchester County Vote Results])</f>
        <v>74002</v>
      </c>
      <c r="C10" s="12">
        <f>SUM(MemberOfAssemblyAssemblyDistrict88General[Total Votes by Party])</f>
        <v>74002</v>
      </c>
      <c r="D10" s="14"/>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BE55B-7660-40A5-81A4-0CCFA1714911}">
  <sheetPr>
    <pageSetUpPr fitToPage="1"/>
  </sheetPr>
  <dimension ref="A1:D8"/>
  <sheetViews>
    <sheetView workbookViewId="0">
      <selection activeCell="A3" sqref="A3:XFD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997</v>
      </c>
    </row>
    <row r="2" spans="1:4" ht="28.5" customHeight="1" x14ac:dyDescent="0.2">
      <c r="A2" s="6" t="s">
        <v>93</v>
      </c>
      <c r="B2" s="7" t="s">
        <v>296</v>
      </c>
      <c r="C2" s="8" t="s">
        <v>84</v>
      </c>
      <c r="D2" s="9" t="s">
        <v>85</v>
      </c>
    </row>
    <row r="3" spans="1:4" ht="14.25" customHeight="1" x14ac:dyDescent="0.2">
      <c r="A3" s="10" t="s">
        <v>998</v>
      </c>
      <c r="B3" s="11">
        <v>31486</v>
      </c>
      <c r="C3" s="12">
        <f>MemberOfAssemblyAssemblyDistrict89General[[#This Row],[Part of Westchester County Vote Results]]</f>
        <v>31486</v>
      </c>
      <c r="D3" s="116">
        <f>SUM(MemberOfAssemblyAssemblyDistrict89General[[#This Row],[Total Votes by Party]])</f>
        <v>31486</v>
      </c>
    </row>
    <row r="4" spans="1:4" ht="14.25" customHeight="1" x14ac:dyDescent="0.2">
      <c r="A4" s="15" t="s">
        <v>18</v>
      </c>
      <c r="B4" s="11">
        <v>13119</v>
      </c>
      <c r="C4" s="12">
        <f>MemberOfAssemblyAssemblyDistrict89General[[#This Row],[Part of Westchester County Vote Results]]</f>
        <v>13119</v>
      </c>
      <c r="D4" s="14"/>
    </row>
    <row r="5" spans="1:4" ht="14.25" customHeight="1" x14ac:dyDescent="0.2">
      <c r="A5" s="15" t="s">
        <v>19</v>
      </c>
      <c r="B5" s="11"/>
      <c r="C5" s="12">
        <f>MemberOfAssemblyAssemblyDistrict89General[[#This Row],[Part of Westchester County Vote Results]]</f>
        <v>0</v>
      </c>
      <c r="D5" s="14"/>
    </row>
    <row r="6" spans="1:4" ht="14.25" customHeight="1" x14ac:dyDescent="0.2">
      <c r="A6" s="15" t="s">
        <v>20</v>
      </c>
      <c r="B6" s="11">
        <v>69</v>
      </c>
      <c r="C6" s="12">
        <f>MemberOfAssemblyAssemblyDistrict89General[[#This Row],[Part of Westchester County Vote Results]]</f>
        <v>69</v>
      </c>
      <c r="D6" s="14"/>
    </row>
    <row r="7" spans="1:4" ht="14.25" customHeight="1" x14ac:dyDescent="0.2">
      <c r="A7" s="16" t="s">
        <v>21</v>
      </c>
      <c r="B7" s="11">
        <f>SUM(MemberOfAssemblyAssemblyDistrict89General[Part of Westchester County Vote Results])</f>
        <v>44674</v>
      </c>
      <c r="C7" s="12">
        <f>SUM(MemberOfAssemblyAssemblyDistrict89General[Total Votes by Party])</f>
        <v>44674</v>
      </c>
      <c r="D7" s="14"/>
    </row>
    <row r="8" spans="1:4" ht="14.25" x14ac:dyDescent="0.2">
      <c r="B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3DD2E-CE78-405C-B1EC-0C32AE768D44}">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999</v>
      </c>
    </row>
    <row r="2" spans="1:4" ht="28.5" customHeight="1" x14ac:dyDescent="0.2">
      <c r="A2" s="6" t="s">
        <v>93</v>
      </c>
      <c r="B2" s="7" t="s">
        <v>296</v>
      </c>
      <c r="C2" s="8" t="s">
        <v>84</v>
      </c>
      <c r="D2" s="9" t="s">
        <v>85</v>
      </c>
    </row>
    <row r="3" spans="1:4" ht="14.25" customHeight="1" x14ac:dyDescent="0.2">
      <c r="A3" s="10" t="s">
        <v>1000</v>
      </c>
      <c r="B3" s="11">
        <v>27146</v>
      </c>
      <c r="C3" s="12">
        <f>MemberOfAssemblyAssemblyDistrict90General[[#This Row],[Part of Westchester County Vote Results]]</f>
        <v>27146</v>
      </c>
      <c r="D3" s="116">
        <f>SUM(MemberOfAssemblyAssemblyDistrict90General[[#This Row],[Total Votes by Party]])</f>
        <v>27146</v>
      </c>
    </row>
    <row r="4" spans="1:4" ht="14.25" customHeight="1" x14ac:dyDescent="0.2">
      <c r="A4" s="10" t="s">
        <v>1001</v>
      </c>
      <c r="B4" s="11">
        <v>19212</v>
      </c>
      <c r="C4" s="12">
        <f>MemberOfAssemblyAssemblyDistrict90General[[#This Row],[Part of Westchester County Vote Results]]</f>
        <v>19212</v>
      </c>
      <c r="D4" s="116">
        <f>SUM(MemberOfAssemblyAssemblyDistrict90General[[#This Row],[Total Votes by Party]],C5)</f>
        <v>20944</v>
      </c>
    </row>
    <row r="5" spans="1:4" ht="14.25" customHeight="1" x14ac:dyDescent="0.2">
      <c r="A5" s="10" t="s">
        <v>1002</v>
      </c>
      <c r="B5" s="11">
        <v>1732</v>
      </c>
      <c r="C5" s="12">
        <f>MemberOfAssemblyAssemblyDistrict90General[[#This Row],[Part of Westchester County Vote Results]]</f>
        <v>1732</v>
      </c>
      <c r="D5" s="14"/>
    </row>
    <row r="6" spans="1:4" ht="14.25" customHeight="1" x14ac:dyDescent="0.2">
      <c r="A6" s="15" t="s">
        <v>18</v>
      </c>
      <c r="B6" s="11">
        <v>4682</v>
      </c>
      <c r="C6" s="12">
        <f>MemberOfAssemblyAssemblyDistrict90General[[#This Row],[Part of Westchester County Vote Results]]</f>
        <v>4682</v>
      </c>
      <c r="D6" s="14"/>
    </row>
    <row r="7" spans="1:4" ht="14.25" customHeight="1" x14ac:dyDescent="0.2">
      <c r="A7" s="15" t="s">
        <v>19</v>
      </c>
      <c r="B7" s="11"/>
      <c r="C7" s="12">
        <f>MemberOfAssemblyAssemblyDistrict90General[[#This Row],[Part of Westchester County Vote Results]]</f>
        <v>0</v>
      </c>
      <c r="D7" s="14"/>
    </row>
    <row r="8" spans="1:4" ht="14.25" customHeight="1" x14ac:dyDescent="0.2">
      <c r="A8" s="15" t="s">
        <v>20</v>
      </c>
      <c r="B8" s="11">
        <v>17</v>
      </c>
      <c r="C8" s="12">
        <f>MemberOfAssemblyAssemblyDistrict90General[[#This Row],[Part of Westchester County Vote Results]]</f>
        <v>17</v>
      </c>
      <c r="D8" s="14"/>
    </row>
    <row r="9" spans="1:4" ht="14.25" customHeight="1" x14ac:dyDescent="0.2">
      <c r="A9" s="16" t="s">
        <v>21</v>
      </c>
      <c r="B9" s="11">
        <f>SUM(MemberOfAssemblyAssemblyDistrict90General[Part of Westchester County Vote Results])</f>
        <v>52789</v>
      </c>
      <c r="C9" s="12">
        <f>SUM(MemberOfAssemblyAssemblyDistrict90General[Total Votes by Party])</f>
        <v>52789</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DEC7D-A62B-4DD6-A3CA-EF3AEE48E844}">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262</v>
      </c>
      <c r="B1" s="108"/>
      <c r="C1" s="108"/>
      <c r="D1" s="108"/>
    </row>
    <row r="2" spans="1:4" ht="28.5" customHeight="1" x14ac:dyDescent="0.2">
      <c r="A2" s="6" t="s">
        <v>93</v>
      </c>
      <c r="B2" s="7" t="s">
        <v>253</v>
      </c>
      <c r="C2" s="8" t="s">
        <v>84</v>
      </c>
      <c r="D2" s="9" t="s">
        <v>85</v>
      </c>
    </row>
    <row r="3" spans="1:4" ht="14.25" customHeight="1" x14ac:dyDescent="0.2">
      <c r="A3" s="28" t="s">
        <v>263</v>
      </c>
      <c r="B3" s="118">
        <v>173207</v>
      </c>
      <c r="C3" s="101">
        <f>RepInCongressCongressionalDistrict9General[[#This Row],[Part of Kings County Vote Results]]</f>
        <v>173207</v>
      </c>
      <c r="D3" s="113">
        <f>SUM(RepInCongressCongressionalDistrict9General[[#This Row],[Total Votes by Party]])</f>
        <v>173207</v>
      </c>
    </row>
    <row r="4" spans="1:4" ht="14.25" customHeight="1" x14ac:dyDescent="0.2">
      <c r="A4" s="28" t="s">
        <v>264</v>
      </c>
      <c r="B4" s="118">
        <v>51458</v>
      </c>
      <c r="C4" s="101">
        <f>RepInCongressCongressionalDistrict9General[[#This Row],[Part of Kings County Vote Results]]</f>
        <v>51458</v>
      </c>
      <c r="D4" s="113">
        <f>SUM(RepInCongressCongressionalDistrict9General[[#This Row],[Total Votes by Party]],C5)</f>
        <v>60064</v>
      </c>
    </row>
    <row r="5" spans="1:4" ht="14.25" customHeight="1" x14ac:dyDescent="0.2">
      <c r="A5" s="28" t="s">
        <v>265</v>
      </c>
      <c r="B5" s="118">
        <v>8606</v>
      </c>
      <c r="C5" s="101">
        <f>RepInCongressCongressionalDistrict9General[[#This Row],[Part of Kings County Vote Results]]</f>
        <v>8606</v>
      </c>
      <c r="D5" s="111"/>
    </row>
    <row r="6" spans="1:4" ht="14.25" customHeight="1" x14ac:dyDescent="0.2">
      <c r="A6" s="29" t="s">
        <v>18</v>
      </c>
      <c r="B6" s="118">
        <v>17562</v>
      </c>
      <c r="C6" s="101">
        <f>RepInCongressCongressionalDistrict9General[[#This Row],[Part of Kings County Vote Results]]</f>
        <v>17562</v>
      </c>
      <c r="D6" s="111"/>
    </row>
    <row r="7" spans="1:4" ht="14.25" customHeight="1" x14ac:dyDescent="0.2">
      <c r="A7" s="29" t="s">
        <v>19</v>
      </c>
      <c r="B7" s="118">
        <v>0</v>
      </c>
      <c r="C7" s="101">
        <f>RepInCongressCongressionalDistrict9General[[#This Row],[Part of Kings County Vote Results]]</f>
        <v>0</v>
      </c>
      <c r="D7" s="111"/>
    </row>
    <row r="8" spans="1:4" ht="14.25" customHeight="1" x14ac:dyDescent="0.2">
      <c r="A8" s="29" t="s">
        <v>20</v>
      </c>
      <c r="B8" s="118">
        <v>2501</v>
      </c>
      <c r="C8" s="101">
        <f>RepInCongressCongressionalDistrict9General[[#This Row],[Part of Kings County Vote Results]]</f>
        <v>2501</v>
      </c>
      <c r="D8" s="111"/>
    </row>
    <row r="9" spans="1:4" ht="14.25" customHeight="1" x14ac:dyDescent="0.2">
      <c r="A9" s="103" t="s">
        <v>21</v>
      </c>
      <c r="B9" s="100">
        <f>SUM(RepInCongressCongressionalDistrict9General[Part of Kings County Vote Results])</f>
        <v>253334</v>
      </c>
      <c r="C9" s="101">
        <f>SUM(RepInCongressCongressionalDistrict9General[Total Votes by Party])</f>
        <v>253334</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69784-4B3A-41EB-8554-4C6BE88C3A42}">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1003</v>
      </c>
    </row>
    <row r="2" spans="1:4" ht="28.5" customHeight="1" x14ac:dyDescent="0.2">
      <c r="A2" s="6" t="s">
        <v>93</v>
      </c>
      <c r="B2" s="7" t="s">
        <v>296</v>
      </c>
      <c r="C2" s="8" t="s">
        <v>84</v>
      </c>
      <c r="D2" s="9" t="s">
        <v>85</v>
      </c>
    </row>
    <row r="3" spans="1:4" ht="14.25" customHeight="1" x14ac:dyDescent="0.2">
      <c r="A3" s="10" t="s">
        <v>1004</v>
      </c>
      <c r="B3" s="11">
        <v>33568</v>
      </c>
      <c r="C3" s="12">
        <f>MemberOfAssemblyAssemblyDistrict91General[[#This Row],[Part of Westchester County Vote Results]]</f>
        <v>33568</v>
      </c>
      <c r="D3" s="116">
        <f>SUM(MemberOfAssemblyAssemblyDistrict91General[[#This Row],[Total Votes by Party]],C5)</f>
        <v>35097</v>
      </c>
    </row>
    <row r="4" spans="1:4" ht="14.25" customHeight="1" x14ac:dyDescent="0.2">
      <c r="A4" s="10" t="s">
        <v>1005</v>
      </c>
      <c r="B4" s="11">
        <v>17333</v>
      </c>
      <c r="C4" s="12">
        <f>MemberOfAssemblyAssemblyDistrict91General[[#This Row],[Part of Westchester County Vote Results]]</f>
        <v>17333</v>
      </c>
      <c r="D4" s="116">
        <f>SUM(MemberOfAssemblyAssemblyDistrict91General[[#This Row],[Total Votes by Party]])</f>
        <v>17333</v>
      </c>
    </row>
    <row r="5" spans="1:4" ht="14.25" customHeight="1" x14ac:dyDescent="0.2">
      <c r="A5" s="10" t="s">
        <v>1006</v>
      </c>
      <c r="B5" s="11">
        <v>1529</v>
      </c>
      <c r="C5" s="12">
        <f>MemberOfAssemblyAssemblyDistrict91General[[#This Row],[Part of Westchester County Vote Results]]</f>
        <v>1529</v>
      </c>
      <c r="D5" s="14"/>
    </row>
    <row r="6" spans="1:4" ht="14.25" customHeight="1" x14ac:dyDescent="0.2">
      <c r="A6" s="15" t="s">
        <v>18</v>
      </c>
      <c r="B6" s="11">
        <v>6118</v>
      </c>
      <c r="C6" s="12">
        <f>MemberOfAssemblyAssemblyDistrict91General[[#This Row],[Part of Westchester County Vote Results]]</f>
        <v>6118</v>
      </c>
      <c r="D6" s="14"/>
    </row>
    <row r="7" spans="1:4" ht="14.25" customHeight="1" x14ac:dyDescent="0.2">
      <c r="A7" s="15" t="s">
        <v>19</v>
      </c>
      <c r="B7" s="11"/>
      <c r="C7" s="12">
        <f>MemberOfAssemblyAssemblyDistrict91General[[#This Row],[Part of Westchester County Vote Results]]</f>
        <v>0</v>
      </c>
      <c r="D7" s="14"/>
    </row>
    <row r="8" spans="1:4" ht="14.25" customHeight="1" x14ac:dyDescent="0.2">
      <c r="A8" s="15" t="s">
        <v>20</v>
      </c>
      <c r="B8" s="11">
        <v>11</v>
      </c>
      <c r="C8" s="12">
        <f>MemberOfAssemblyAssemblyDistrict91General[[#This Row],[Part of Westchester County Vote Results]]</f>
        <v>11</v>
      </c>
      <c r="D8" s="14"/>
    </row>
    <row r="9" spans="1:4" ht="14.25" customHeight="1" x14ac:dyDescent="0.2">
      <c r="A9" s="16" t="s">
        <v>21</v>
      </c>
      <c r="B9" s="11">
        <f>SUM(MemberOfAssemblyAssemblyDistrict91General[Part of Westchester County Vote Results])</f>
        <v>58559</v>
      </c>
      <c r="C9" s="12">
        <f>SUM(MemberOfAssemblyAssemblyDistrict91General[Total Votes by Party])</f>
        <v>58559</v>
      </c>
      <c r="D9" s="14"/>
    </row>
    <row r="10" spans="1:4" ht="14.25" customHeight="1"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78C3A-CFE4-4C90-9B9D-31BFC943A4F7}">
  <sheetPr>
    <pageSetUpPr fitToPage="1"/>
  </sheetPr>
  <dimension ref="A1:D11"/>
  <sheetViews>
    <sheetView workbookViewId="0">
      <selection activeCell="A3" sqref="A3:XFD11"/>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1007</v>
      </c>
    </row>
    <row r="2" spans="1:4" ht="28.5" customHeight="1" x14ac:dyDescent="0.2">
      <c r="A2" s="6" t="s">
        <v>93</v>
      </c>
      <c r="B2" s="7" t="s">
        <v>296</v>
      </c>
      <c r="C2" s="8" t="s">
        <v>84</v>
      </c>
      <c r="D2" s="9" t="s">
        <v>85</v>
      </c>
    </row>
    <row r="3" spans="1:4" ht="14.25" customHeight="1" x14ac:dyDescent="0.2">
      <c r="A3" s="10" t="s">
        <v>1008</v>
      </c>
      <c r="B3" s="11">
        <v>41998</v>
      </c>
      <c r="C3" s="12">
        <f>MemberOfAssemblyAssemblyDistrict92General[[#This Row],[Part of Westchester County Vote Results]]</f>
        <v>41998</v>
      </c>
      <c r="D3" s="116">
        <f>SUM(MemberOfAssemblyAssemblyDistrict92General[[#This Row],[Total Votes by Party]],C6)</f>
        <v>44569</v>
      </c>
    </row>
    <row r="4" spans="1:4" ht="14.25" customHeight="1" x14ac:dyDescent="0.2">
      <c r="A4" s="10" t="s">
        <v>1009</v>
      </c>
      <c r="B4" s="11">
        <v>21477</v>
      </c>
      <c r="C4" s="12">
        <f>MemberOfAssemblyAssemblyDistrict92General[[#This Row],[Part of Westchester County Vote Results]]</f>
        <v>21477</v>
      </c>
      <c r="D4" s="116">
        <f>SUM(MemberOfAssemblyAssemblyDistrict92General[[#This Row],[Total Votes by Party]],C5)</f>
        <v>23200</v>
      </c>
    </row>
    <row r="5" spans="1:4" ht="14.25" customHeight="1" x14ac:dyDescent="0.2">
      <c r="A5" s="10" t="s">
        <v>1010</v>
      </c>
      <c r="B5" s="11">
        <v>1723</v>
      </c>
      <c r="C5" s="12">
        <f>MemberOfAssemblyAssemblyDistrict92General[[#This Row],[Part of Westchester County Vote Results]]</f>
        <v>1723</v>
      </c>
      <c r="D5" s="14"/>
    </row>
    <row r="6" spans="1:4" ht="14.25" customHeight="1" x14ac:dyDescent="0.2">
      <c r="A6" s="10" t="s">
        <v>1011</v>
      </c>
      <c r="B6" s="11">
        <v>2571</v>
      </c>
      <c r="C6" s="12">
        <f>MemberOfAssemblyAssemblyDistrict92General[[#This Row],[Part of Westchester County Vote Results]]</f>
        <v>2571</v>
      </c>
      <c r="D6" s="14"/>
    </row>
    <row r="7" spans="1:4" ht="14.25" customHeight="1" x14ac:dyDescent="0.2">
      <c r="A7" s="15" t="s">
        <v>18</v>
      </c>
      <c r="B7" s="11">
        <v>5430</v>
      </c>
      <c r="C7" s="12">
        <f>MemberOfAssemblyAssemblyDistrict92General[[#This Row],[Part of Westchester County Vote Results]]</f>
        <v>5430</v>
      </c>
      <c r="D7" s="14"/>
    </row>
    <row r="8" spans="1:4" ht="14.25" customHeight="1" x14ac:dyDescent="0.2">
      <c r="A8" s="15" t="s">
        <v>19</v>
      </c>
      <c r="B8" s="11"/>
      <c r="C8" s="12">
        <f>MemberOfAssemblyAssemblyDistrict92General[[#This Row],[Part of Westchester County Vote Results]]</f>
        <v>0</v>
      </c>
      <c r="D8" s="14"/>
    </row>
    <row r="9" spans="1:4" ht="14.25" customHeight="1" x14ac:dyDescent="0.2">
      <c r="A9" s="15" t="s">
        <v>20</v>
      </c>
      <c r="B9" s="11">
        <v>36</v>
      </c>
      <c r="C9" s="12">
        <f>MemberOfAssemblyAssemblyDistrict92General[[#This Row],[Part of Westchester County Vote Results]]</f>
        <v>36</v>
      </c>
      <c r="D9" s="14"/>
    </row>
    <row r="10" spans="1:4" ht="14.25" customHeight="1" x14ac:dyDescent="0.2">
      <c r="A10" s="16" t="s">
        <v>21</v>
      </c>
      <c r="B10" s="11">
        <f>SUM(MemberOfAssemblyAssemblyDistrict92General[Part of Westchester County Vote Results])</f>
        <v>73235</v>
      </c>
      <c r="C10" s="12">
        <f>SUM(MemberOfAssemblyAssemblyDistrict92General[Total Votes by Party])</f>
        <v>73235</v>
      </c>
      <c r="D10" s="14"/>
    </row>
    <row r="11" spans="1:4" ht="14.25" customHeight="1"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CFADD-D869-4FF1-AEB9-19E851009816}">
  <sheetPr>
    <pageSetUpPr fitToPage="1"/>
  </sheetPr>
  <dimension ref="A1:D9"/>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1012</v>
      </c>
    </row>
    <row r="2" spans="1:4" ht="28.5" customHeight="1" x14ac:dyDescent="0.2">
      <c r="A2" s="6" t="s">
        <v>93</v>
      </c>
      <c r="B2" s="7" t="s">
        <v>296</v>
      </c>
      <c r="C2" s="8" t="s">
        <v>84</v>
      </c>
      <c r="D2" s="9" t="s">
        <v>85</v>
      </c>
    </row>
    <row r="3" spans="1:4" ht="14.25" customHeight="1" x14ac:dyDescent="0.2">
      <c r="A3" s="10" t="s">
        <v>1013</v>
      </c>
      <c r="B3" s="11">
        <v>45219</v>
      </c>
      <c r="C3" s="12">
        <f>MemberOfAssemblyAssemblyDistrict93General[[#This Row],[Part of Westchester County Vote Results]]</f>
        <v>45219</v>
      </c>
      <c r="D3" s="116">
        <f>SUM(MemberOfAssemblyAssemblyDistrict93General[[#This Row],[Total Votes by Party]],C4)</f>
        <v>48997</v>
      </c>
    </row>
    <row r="4" spans="1:4" ht="14.25" customHeight="1" x14ac:dyDescent="0.2">
      <c r="A4" s="10" t="s">
        <v>1014</v>
      </c>
      <c r="B4" s="11">
        <v>3778</v>
      </c>
      <c r="C4" s="12">
        <f>MemberOfAssemblyAssemblyDistrict93General[[#This Row],[Part of Westchester County Vote Results]]</f>
        <v>3778</v>
      </c>
      <c r="D4" s="14"/>
    </row>
    <row r="5" spans="1:4" ht="14.25" customHeight="1" x14ac:dyDescent="0.2">
      <c r="A5" s="15" t="s">
        <v>18</v>
      </c>
      <c r="B5" s="11">
        <v>25735</v>
      </c>
      <c r="C5" s="12">
        <f>MemberOfAssemblyAssemblyDistrict93General[[#This Row],[Part of Westchester County Vote Results]]</f>
        <v>25735</v>
      </c>
      <c r="D5" s="14"/>
    </row>
    <row r="6" spans="1:4" ht="14.25" customHeight="1" x14ac:dyDescent="0.2">
      <c r="A6" s="15" t="s">
        <v>19</v>
      </c>
      <c r="B6" s="11"/>
      <c r="C6" s="12">
        <f>MemberOfAssemblyAssemblyDistrict93General[[#This Row],[Part of Westchester County Vote Results]]</f>
        <v>0</v>
      </c>
      <c r="D6" s="14"/>
    </row>
    <row r="7" spans="1:4" ht="14.25" customHeight="1" x14ac:dyDescent="0.2">
      <c r="A7" s="15" t="s">
        <v>20</v>
      </c>
      <c r="B7" s="11">
        <v>161</v>
      </c>
      <c r="C7" s="12">
        <f>MemberOfAssemblyAssemblyDistrict93General[[#This Row],[Part of Westchester County Vote Results]]</f>
        <v>161</v>
      </c>
      <c r="D7" s="14"/>
    </row>
    <row r="8" spans="1:4" ht="14.25" customHeight="1" x14ac:dyDescent="0.2">
      <c r="A8" s="16" t="s">
        <v>21</v>
      </c>
      <c r="B8" s="11">
        <f>SUM(MemberOfAssemblyAssemblyDistrict93General[Part of Westchester County Vote Results])</f>
        <v>74893</v>
      </c>
      <c r="C8" s="12">
        <f>SUM(MemberOfAssemblyAssemblyDistrict93General[Total Votes by Party])</f>
        <v>74893</v>
      </c>
      <c r="D8" s="14"/>
    </row>
    <row r="9" spans="1:4"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9C7D1-7BD2-4C6C-A76E-D84EF279E028}">
  <sheetPr>
    <pageSetUpPr fitToPage="1"/>
  </sheetPr>
  <dimension ref="A1:E10"/>
  <sheetViews>
    <sheetView workbookViewId="0">
      <selection activeCell="A3" sqref="A3:XFD10"/>
    </sheetView>
  </sheetViews>
  <sheetFormatPr defaultRowHeight="12.75" x14ac:dyDescent="0.2"/>
  <cols>
    <col min="1" max="1" width="26.5703125" customWidth="1"/>
    <col min="2" max="5" width="20.5703125" customWidth="1"/>
    <col min="6" max="7" width="23.5703125" customWidth="1"/>
  </cols>
  <sheetData>
    <row r="1" spans="1:5" ht="24.95" customHeight="1" x14ac:dyDescent="0.2">
      <c r="A1" s="71" t="s">
        <v>1015</v>
      </c>
    </row>
    <row r="2" spans="1:5" ht="28.5" customHeight="1" x14ac:dyDescent="0.2">
      <c r="A2" s="6" t="s">
        <v>93</v>
      </c>
      <c r="B2" s="7" t="s">
        <v>548</v>
      </c>
      <c r="C2" s="7" t="s">
        <v>296</v>
      </c>
      <c r="D2" s="8" t="s">
        <v>84</v>
      </c>
      <c r="E2" s="9" t="s">
        <v>85</v>
      </c>
    </row>
    <row r="3" spans="1:5" ht="14.25" customHeight="1" x14ac:dyDescent="0.2">
      <c r="A3" s="10" t="s">
        <v>1016</v>
      </c>
      <c r="B3" s="11">
        <v>17245</v>
      </c>
      <c r="C3" s="11">
        <v>10553</v>
      </c>
      <c r="D3" s="12">
        <f>SUM(MemberOfAssemblyAssemblyDistrict94General[[#This Row],[Part of Putnam County Vote Results]:[Part of Westchester County Vote Results]])</f>
        <v>27798</v>
      </c>
      <c r="E3" s="116">
        <f>SUM(MemberOfAssemblyAssemblyDistrict94General[[#This Row],[Total Votes by Party]])</f>
        <v>27798</v>
      </c>
    </row>
    <row r="4" spans="1:5" ht="14.25" customHeight="1" x14ac:dyDescent="0.2">
      <c r="A4" s="10" t="s">
        <v>1017</v>
      </c>
      <c r="B4" s="11">
        <v>26864</v>
      </c>
      <c r="C4" s="11">
        <v>15208</v>
      </c>
      <c r="D4" s="12">
        <f>SUM(MemberOfAssemblyAssemblyDistrict94General[[#This Row],[Part of Putnam County Vote Results]:[Part of Westchester County Vote Results]])</f>
        <v>42072</v>
      </c>
      <c r="E4" s="116">
        <f>SUM(MemberOfAssemblyAssemblyDistrict94General[[#This Row],[Total Votes by Party]],D5)</f>
        <v>46450</v>
      </c>
    </row>
    <row r="5" spans="1:5" ht="14.25" customHeight="1" x14ac:dyDescent="0.2">
      <c r="A5" s="10" t="s">
        <v>1018</v>
      </c>
      <c r="B5" s="11">
        <v>2950</v>
      </c>
      <c r="C5" s="11">
        <v>1428</v>
      </c>
      <c r="D5" s="12">
        <f>SUM(MemberOfAssemblyAssemblyDistrict94General[[#This Row],[Part of Putnam County Vote Results]:[Part of Westchester County Vote Results]])</f>
        <v>4378</v>
      </c>
      <c r="E5" s="14"/>
    </row>
    <row r="6" spans="1:5" ht="14.25" customHeight="1" x14ac:dyDescent="0.2">
      <c r="A6" s="15" t="s">
        <v>18</v>
      </c>
      <c r="B6" s="11">
        <v>2945</v>
      </c>
      <c r="C6" s="11">
        <v>1442</v>
      </c>
      <c r="D6" s="12">
        <f>SUM(MemberOfAssemblyAssemblyDistrict94General[[#This Row],[Part of Putnam County Vote Results]:[Part of Westchester County Vote Results]])</f>
        <v>4387</v>
      </c>
      <c r="E6" s="14"/>
    </row>
    <row r="7" spans="1:5" ht="14.25" customHeight="1" x14ac:dyDescent="0.2">
      <c r="A7" s="15" t="s">
        <v>19</v>
      </c>
      <c r="B7" s="11">
        <v>13</v>
      </c>
      <c r="C7" s="11"/>
      <c r="D7" s="12">
        <f>SUM(MemberOfAssemblyAssemblyDistrict94General[[#This Row],[Part of Putnam County Vote Results]:[Part of Westchester County Vote Results]])</f>
        <v>13</v>
      </c>
      <c r="E7" s="14"/>
    </row>
    <row r="8" spans="1:5" ht="14.25" customHeight="1" x14ac:dyDescent="0.2">
      <c r="A8" s="15" t="s">
        <v>20</v>
      </c>
      <c r="B8" s="11">
        <v>12</v>
      </c>
      <c r="C8" s="11">
        <v>4</v>
      </c>
      <c r="D8" s="12">
        <f>SUM(MemberOfAssemblyAssemblyDistrict94General[[#This Row],[Part of Putnam County Vote Results]:[Part of Westchester County Vote Results]])</f>
        <v>16</v>
      </c>
      <c r="E8" s="14"/>
    </row>
    <row r="9" spans="1:5" ht="14.25" customHeight="1" x14ac:dyDescent="0.2">
      <c r="A9" s="16" t="s">
        <v>21</v>
      </c>
      <c r="B9" s="11">
        <f>SUM(MemberOfAssemblyAssemblyDistrict94General[Part of Putnam County Vote Results])</f>
        <v>50029</v>
      </c>
      <c r="C9" s="11">
        <f>SUM(MemberOfAssemblyAssemblyDistrict94General[Part of Westchester County Vote Results])</f>
        <v>28635</v>
      </c>
      <c r="D9" s="12">
        <f>SUM(MemberOfAssemblyAssemblyDistrict94General[Total Votes by Party])</f>
        <v>78664</v>
      </c>
      <c r="E9" s="14"/>
    </row>
    <row r="10" spans="1:5" ht="14.25" customHeight="1"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764D-4A15-42F0-8BED-700887EFECBA}">
  <sheetPr>
    <pageSetUpPr fitToPage="1"/>
  </sheetPr>
  <dimension ref="A1:E11"/>
  <sheetViews>
    <sheetView workbookViewId="0">
      <selection activeCell="A3" sqref="A3:XFD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1019</v>
      </c>
    </row>
    <row r="2" spans="1:5" ht="28.5" customHeight="1" x14ac:dyDescent="0.2">
      <c r="A2" s="6" t="s">
        <v>93</v>
      </c>
      <c r="B2" s="7" t="s">
        <v>548</v>
      </c>
      <c r="C2" s="7" t="s">
        <v>296</v>
      </c>
      <c r="D2" s="8" t="s">
        <v>84</v>
      </c>
      <c r="E2" s="9" t="s">
        <v>85</v>
      </c>
    </row>
    <row r="3" spans="1:5" ht="14.25" customHeight="1" x14ac:dyDescent="0.2">
      <c r="A3" s="10" t="s">
        <v>1020</v>
      </c>
      <c r="B3" s="11">
        <v>3698</v>
      </c>
      <c r="C3" s="11">
        <v>32344</v>
      </c>
      <c r="D3" s="12">
        <f>SUM(MemberOfAssemblyAssemblyDistrict95General[[#This Row],[Part of Putnam County Vote Results]:[Part of Westchester County Vote Results]])</f>
        <v>36042</v>
      </c>
      <c r="E3" s="116">
        <f>SUM(MemberOfAssemblyAssemblyDistrict95General[[#This Row],[Total Votes by Party]],D6)</f>
        <v>38472</v>
      </c>
    </row>
    <row r="4" spans="1:5" ht="14.25" customHeight="1" x14ac:dyDescent="0.2">
      <c r="A4" s="10" t="s">
        <v>1021</v>
      </c>
      <c r="B4" s="11">
        <v>1817</v>
      </c>
      <c r="C4" s="11">
        <v>17865</v>
      </c>
      <c r="D4" s="12">
        <f>SUM(MemberOfAssemblyAssemblyDistrict95General[[#This Row],[Part of Putnam County Vote Results]:[Part of Westchester County Vote Results]])</f>
        <v>19682</v>
      </c>
      <c r="E4" s="116">
        <f>SUM(MemberOfAssemblyAssemblyDistrict95General[[#This Row],[Total Votes by Party]],D5)</f>
        <v>21808</v>
      </c>
    </row>
    <row r="5" spans="1:5" ht="14.25" customHeight="1" x14ac:dyDescent="0.2">
      <c r="A5" s="10" t="s">
        <v>1022</v>
      </c>
      <c r="B5" s="11">
        <v>278</v>
      </c>
      <c r="C5" s="11">
        <v>1848</v>
      </c>
      <c r="D5" s="12">
        <f>SUM(MemberOfAssemblyAssemblyDistrict95General[[#This Row],[Part of Putnam County Vote Results]:[Part of Westchester County Vote Results]])</f>
        <v>2126</v>
      </c>
      <c r="E5" s="14"/>
    </row>
    <row r="6" spans="1:5" ht="14.25" customHeight="1" x14ac:dyDescent="0.2">
      <c r="A6" s="15" t="s">
        <v>1023</v>
      </c>
      <c r="B6" s="11">
        <v>265</v>
      </c>
      <c r="C6" s="11">
        <v>2165</v>
      </c>
      <c r="D6" s="12">
        <f>SUM(MemberOfAssemblyAssemblyDistrict95General[[#This Row],[Part of Putnam County Vote Results]:[Part of Westchester County Vote Results]])</f>
        <v>2430</v>
      </c>
      <c r="E6" s="23"/>
    </row>
    <row r="7" spans="1:5" ht="14.25" customHeight="1" x14ac:dyDescent="0.2">
      <c r="A7" s="15" t="s">
        <v>18</v>
      </c>
      <c r="B7" s="11">
        <v>331</v>
      </c>
      <c r="C7" s="11">
        <v>3946</v>
      </c>
      <c r="D7" s="12">
        <f>SUM(MemberOfAssemblyAssemblyDistrict95General[[#This Row],[Part of Putnam County Vote Results]:[Part of Westchester County Vote Results]])</f>
        <v>4277</v>
      </c>
      <c r="E7" s="14"/>
    </row>
    <row r="8" spans="1:5" ht="14.25" customHeight="1" x14ac:dyDescent="0.2">
      <c r="A8" s="15" t="s">
        <v>19</v>
      </c>
      <c r="B8" s="11">
        <v>0</v>
      </c>
      <c r="C8" s="11"/>
      <c r="D8" s="12">
        <f>SUM(MemberOfAssemblyAssemblyDistrict95General[[#This Row],[Part of Putnam County Vote Results]:[Part of Westchester County Vote Results]])</f>
        <v>0</v>
      </c>
      <c r="E8" s="14"/>
    </row>
    <row r="9" spans="1:5" ht="14.25" customHeight="1" x14ac:dyDescent="0.2">
      <c r="A9" s="15" t="s">
        <v>20</v>
      </c>
      <c r="B9" s="11">
        <v>3</v>
      </c>
      <c r="C9" s="11">
        <v>26</v>
      </c>
      <c r="D9" s="12">
        <f>SUM(MemberOfAssemblyAssemblyDistrict95General[[#This Row],[Part of Putnam County Vote Results]:[Part of Westchester County Vote Results]])</f>
        <v>29</v>
      </c>
      <c r="E9" s="14"/>
    </row>
    <row r="10" spans="1:5" ht="14.25" customHeight="1" x14ac:dyDescent="0.2">
      <c r="A10" s="16" t="s">
        <v>21</v>
      </c>
      <c r="B10" s="11">
        <f>SUM(MemberOfAssemblyAssemblyDistrict95General[Part of Putnam County Vote Results])</f>
        <v>6392</v>
      </c>
      <c r="C10" s="11">
        <f>SUM(MemberOfAssemblyAssemblyDistrict95General[Part of Westchester County Vote Results])</f>
        <v>58194</v>
      </c>
      <c r="D10" s="12">
        <f>SUM(MemberOfAssemblyAssemblyDistrict95General[Total Votes by Party])</f>
        <v>64586</v>
      </c>
      <c r="E10" s="14"/>
    </row>
    <row r="11" spans="1:5" ht="14.25" customHeight="1"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F8BCB-46CC-4FD6-9BA9-9709D37705E8}">
  <sheetPr>
    <pageSetUpPr fitToPage="1"/>
  </sheetPr>
  <dimension ref="A1:D10"/>
  <sheetViews>
    <sheetView workbookViewId="0">
      <selection activeCell="A3" sqref="A3:XFD1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1024</v>
      </c>
    </row>
    <row r="2" spans="1:4" ht="28.5" customHeight="1" x14ac:dyDescent="0.2">
      <c r="A2" s="6" t="s">
        <v>93</v>
      </c>
      <c r="B2" s="7" t="s">
        <v>540</v>
      </c>
      <c r="C2" s="8" t="s">
        <v>84</v>
      </c>
      <c r="D2" s="9" t="s">
        <v>85</v>
      </c>
    </row>
    <row r="3" spans="1:4" ht="14.25" customHeight="1" x14ac:dyDescent="0.2">
      <c r="A3" s="10" t="s">
        <v>1025</v>
      </c>
      <c r="B3" s="11">
        <v>34402</v>
      </c>
      <c r="C3" s="12">
        <f>MemberOfAssemblyAssemblyDistrict96General[[#This Row],[Part of Rockland County Vote Results]]</f>
        <v>34402</v>
      </c>
      <c r="D3" s="116">
        <f>SUM(MemberOfAssemblyAssemblyDistrict96General[[#This Row],[Total Votes by Party]],C6)</f>
        <v>36433</v>
      </c>
    </row>
    <row r="4" spans="1:4" ht="14.25" customHeight="1" x14ac:dyDescent="0.2">
      <c r="A4" s="10" t="s">
        <v>1026</v>
      </c>
      <c r="B4" s="11">
        <v>23358</v>
      </c>
      <c r="C4" s="12">
        <f>MemberOfAssemblyAssemblyDistrict96General[[#This Row],[Part of Rockland County Vote Results]]</f>
        <v>23358</v>
      </c>
      <c r="D4" s="116">
        <f>SUM(MemberOfAssemblyAssemblyDistrict96General[[#This Row],[Total Votes by Party]],C5)</f>
        <v>25458</v>
      </c>
    </row>
    <row r="5" spans="1:4" ht="14.25" customHeight="1" x14ac:dyDescent="0.2">
      <c r="A5" s="10" t="s">
        <v>1027</v>
      </c>
      <c r="B5" s="11">
        <v>2100</v>
      </c>
      <c r="C5" s="12">
        <f>MemberOfAssemblyAssemblyDistrict96General[[#This Row],[Part of Rockland County Vote Results]]</f>
        <v>2100</v>
      </c>
      <c r="D5" s="14"/>
    </row>
    <row r="6" spans="1:4" ht="14.25" customHeight="1" x14ac:dyDescent="0.2">
      <c r="A6" s="10" t="s">
        <v>1028</v>
      </c>
      <c r="B6" s="11">
        <v>2031</v>
      </c>
      <c r="C6" s="12">
        <f>MemberOfAssemblyAssemblyDistrict96General[[#This Row],[Part of Rockland County Vote Results]]</f>
        <v>2031</v>
      </c>
      <c r="D6" s="14"/>
    </row>
    <row r="7" spans="1:4" ht="14.25" customHeight="1" x14ac:dyDescent="0.2">
      <c r="A7" s="15" t="s">
        <v>18</v>
      </c>
      <c r="B7" s="11">
        <v>5677</v>
      </c>
      <c r="C7" s="12">
        <f>MemberOfAssemblyAssemblyDistrict96General[[#This Row],[Part of Rockland County Vote Results]]</f>
        <v>5677</v>
      </c>
      <c r="D7" s="14"/>
    </row>
    <row r="8" spans="1:4" ht="14.25" customHeight="1" x14ac:dyDescent="0.2">
      <c r="A8" s="15" t="s">
        <v>19</v>
      </c>
      <c r="B8" s="11">
        <v>54</v>
      </c>
      <c r="C8" s="12">
        <f>MemberOfAssemblyAssemblyDistrict96General[[#This Row],[Part of Rockland County Vote Results]]</f>
        <v>54</v>
      </c>
      <c r="D8" s="14"/>
    </row>
    <row r="9" spans="1:4" ht="14.25" customHeight="1" x14ac:dyDescent="0.2">
      <c r="A9" s="15" t="s">
        <v>20</v>
      </c>
      <c r="B9" s="11">
        <v>47</v>
      </c>
      <c r="C9" s="12">
        <f>MemberOfAssemblyAssemblyDistrict96General[[#This Row],[Part of Rockland County Vote Results]]</f>
        <v>47</v>
      </c>
      <c r="D9" s="14"/>
    </row>
    <row r="10" spans="1:4" ht="14.25" customHeight="1" x14ac:dyDescent="0.2">
      <c r="A10" s="16" t="s">
        <v>21</v>
      </c>
      <c r="B10" s="11">
        <f>SUM(MemberOfAssemblyAssemblyDistrict96General[Part of Rockland County Vote Results])</f>
        <v>67669</v>
      </c>
      <c r="C10" s="12">
        <f>SUM(MemberOfAssemblyAssemblyDistrict96General[Total Votes by Party])</f>
        <v>67669</v>
      </c>
      <c r="D10"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8A6AF-9C93-4DC0-9DFC-B151E8DCA98C}">
  <sheetPr>
    <pageSetUpPr fitToPage="1"/>
  </sheetPr>
  <dimension ref="A1:D9"/>
  <sheetViews>
    <sheetView workbookViewId="0">
      <selection activeCell="A3" sqref="A3:XFD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1029</v>
      </c>
    </row>
    <row r="2" spans="1:4" ht="28.5" customHeight="1" x14ac:dyDescent="0.2">
      <c r="A2" s="6" t="s">
        <v>93</v>
      </c>
      <c r="B2" s="7" t="s">
        <v>540</v>
      </c>
      <c r="C2" s="8" t="s">
        <v>84</v>
      </c>
      <c r="D2" s="9" t="s">
        <v>85</v>
      </c>
    </row>
    <row r="3" spans="1:4" ht="14.25" customHeight="1" x14ac:dyDescent="0.2">
      <c r="A3" s="10" t="s">
        <v>1030</v>
      </c>
      <c r="B3" s="11">
        <v>24749</v>
      </c>
      <c r="C3" s="12">
        <f>MemberOfAssemblyAssemblyDistrict97General[[#This Row],[Part of Rockland County Vote Results]]</f>
        <v>24749</v>
      </c>
      <c r="D3" s="116">
        <f>SUM(MemberOfAssemblyAssemblyDistrict97General[[#This Row],[Total Votes by Party]])</f>
        <v>24749</v>
      </c>
    </row>
    <row r="4" spans="1:4" ht="14.25" customHeight="1" x14ac:dyDescent="0.2">
      <c r="A4" s="10" t="s">
        <v>1031</v>
      </c>
      <c r="B4" s="11">
        <v>21098</v>
      </c>
      <c r="C4" s="12">
        <f>MemberOfAssemblyAssemblyDistrict97General[[#This Row],[Part of Rockland County Vote Results]]</f>
        <v>21098</v>
      </c>
      <c r="D4" s="116">
        <f>SUM(MemberOfAssemblyAssemblyDistrict97General[[#This Row],[Total Votes by Party]])</f>
        <v>21098</v>
      </c>
    </row>
    <row r="5" spans="1:4" ht="14.25" customHeight="1" x14ac:dyDescent="0.2">
      <c r="A5" s="10" t="s">
        <v>1032</v>
      </c>
      <c r="B5" s="11">
        <v>1715</v>
      </c>
      <c r="C5" s="12">
        <f>MemberOfAssemblyAssemblyDistrict97General[[#This Row],[Part of Rockland County Vote Results]]</f>
        <v>1715</v>
      </c>
      <c r="D5" s="116">
        <f>SUM(MemberOfAssemblyAssemblyDistrict97General[[#This Row],[Total Votes by Party]])</f>
        <v>1715</v>
      </c>
    </row>
    <row r="6" spans="1:4" ht="14.25" customHeight="1" x14ac:dyDescent="0.2">
      <c r="A6" s="15" t="s">
        <v>18</v>
      </c>
      <c r="B6" s="11">
        <v>4587</v>
      </c>
      <c r="C6" s="12">
        <f>MemberOfAssemblyAssemblyDistrict97General[[#This Row],[Part of Rockland County Vote Results]]</f>
        <v>4587</v>
      </c>
      <c r="D6" s="14"/>
    </row>
    <row r="7" spans="1:4" ht="14.25" customHeight="1" x14ac:dyDescent="0.2">
      <c r="A7" s="15" t="s">
        <v>19</v>
      </c>
      <c r="B7" s="11">
        <v>153</v>
      </c>
      <c r="C7" s="12">
        <f>MemberOfAssemblyAssemblyDistrict97General[[#This Row],[Part of Rockland County Vote Results]]</f>
        <v>153</v>
      </c>
      <c r="D7" s="14"/>
    </row>
    <row r="8" spans="1:4" ht="14.25" customHeight="1" x14ac:dyDescent="0.2">
      <c r="A8" s="15" t="s">
        <v>20</v>
      </c>
      <c r="B8" s="11">
        <v>118</v>
      </c>
      <c r="C8" s="12">
        <f>MemberOfAssemblyAssemblyDistrict97General[[#This Row],[Part of Rockland County Vote Results]]</f>
        <v>118</v>
      </c>
      <c r="D8" s="14"/>
    </row>
    <row r="9" spans="1:4" ht="14.25" customHeight="1" x14ac:dyDescent="0.2">
      <c r="A9" s="16" t="s">
        <v>21</v>
      </c>
      <c r="B9" s="11">
        <f>SUM(MemberOfAssemblyAssemblyDistrict97General[Part of Rockland County Vote Results])</f>
        <v>52420</v>
      </c>
      <c r="C9" s="12">
        <f>SUM(MemberOfAssemblyAssemblyDistrict97General[Total Votes by Party])</f>
        <v>52420</v>
      </c>
      <c r="D9"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20056-3D9C-4F29-88D0-760C80B1B08E}">
  <sheetPr>
    <pageSetUpPr fitToPage="1"/>
  </sheetPr>
  <dimension ref="A1:E9"/>
  <sheetViews>
    <sheetView workbookViewId="0">
      <selection activeCell="A3" sqref="A3:XFD8"/>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1033</v>
      </c>
    </row>
    <row r="2" spans="1:5" ht="28.5" customHeight="1" x14ac:dyDescent="0.2">
      <c r="A2" s="6" t="s">
        <v>93</v>
      </c>
      <c r="B2" s="7" t="s">
        <v>547</v>
      </c>
      <c r="C2" s="7" t="s">
        <v>540</v>
      </c>
      <c r="D2" s="8" t="s">
        <v>84</v>
      </c>
      <c r="E2" s="9" t="s">
        <v>85</v>
      </c>
    </row>
    <row r="3" spans="1:5" ht="14.25" customHeight="1" x14ac:dyDescent="0.2">
      <c r="A3" s="10" t="s">
        <v>1034</v>
      </c>
      <c r="B3" s="11">
        <v>25375</v>
      </c>
      <c r="C3" s="11">
        <v>11653</v>
      </c>
      <c r="D3" s="12">
        <f>SUM(MemberOfAssemblyAssemblyDistrict98General[[#This Row],[Part of Orange County Vote Results]:[Part of Rockland County Vote Results]])</f>
        <v>37028</v>
      </c>
      <c r="E3" s="116">
        <f>SUM(MemberOfAssemblyAssemblyDistrict98General[[#This Row],[Total Votes by Party]],D4)</f>
        <v>42063</v>
      </c>
    </row>
    <row r="4" spans="1:5" ht="14.25" customHeight="1" x14ac:dyDescent="0.2">
      <c r="A4" s="10" t="s">
        <v>1035</v>
      </c>
      <c r="B4" s="11">
        <v>3373</v>
      </c>
      <c r="C4" s="11">
        <v>1662</v>
      </c>
      <c r="D4" s="12">
        <f>SUM(MemberOfAssemblyAssemblyDistrict98General[[#This Row],[Part of Orange County Vote Results]:[Part of Rockland County Vote Results]])</f>
        <v>5035</v>
      </c>
      <c r="E4" s="14"/>
    </row>
    <row r="5" spans="1:5" ht="14.25" customHeight="1" x14ac:dyDescent="0.2">
      <c r="A5" s="15" t="s">
        <v>18</v>
      </c>
      <c r="B5" s="11">
        <v>14443</v>
      </c>
      <c r="C5" s="11">
        <v>9263</v>
      </c>
      <c r="D5" s="12">
        <f>SUM(MemberOfAssemblyAssemblyDistrict98General[[#This Row],[Part of Orange County Vote Results]:[Part of Rockland County Vote Results]])</f>
        <v>23706</v>
      </c>
      <c r="E5" s="14"/>
    </row>
    <row r="6" spans="1:5" ht="14.25" customHeight="1" x14ac:dyDescent="0.2">
      <c r="A6" s="15" t="s">
        <v>19</v>
      </c>
      <c r="B6" s="11">
        <v>3</v>
      </c>
      <c r="C6" s="11">
        <v>4</v>
      </c>
      <c r="D6" s="12">
        <f>SUM(MemberOfAssemblyAssemblyDistrict98General[[#This Row],[Part of Orange County Vote Results]:[Part of Rockland County Vote Results]])</f>
        <v>7</v>
      </c>
      <c r="E6" s="14"/>
    </row>
    <row r="7" spans="1:5" ht="14.25" customHeight="1" x14ac:dyDescent="0.2">
      <c r="A7" s="15" t="s">
        <v>20</v>
      </c>
      <c r="B7" s="11">
        <v>242</v>
      </c>
      <c r="C7" s="11">
        <v>185</v>
      </c>
      <c r="D7" s="12">
        <f>SUM(MemberOfAssemblyAssemblyDistrict98General[[#This Row],[Part of Orange County Vote Results]:[Part of Rockland County Vote Results]])</f>
        <v>427</v>
      </c>
      <c r="E7" s="14"/>
    </row>
    <row r="8" spans="1:5" ht="14.25" customHeight="1" x14ac:dyDescent="0.2">
      <c r="A8" s="16" t="s">
        <v>21</v>
      </c>
      <c r="B8" s="11">
        <f>SUM(MemberOfAssemblyAssemblyDistrict98General[Part of Orange County Vote Results])</f>
        <v>43436</v>
      </c>
      <c r="C8" s="11">
        <f>SUM(MemberOfAssemblyAssemblyDistrict98General[Part of Rockland County Vote Results])</f>
        <v>22767</v>
      </c>
      <c r="D8" s="12">
        <f>SUM(MemberOfAssemblyAssemblyDistrict98General[Total Votes by Party])</f>
        <v>66203</v>
      </c>
      <c r="E8" s="14"/>
    </row>
    <row r="9" spans="1:5" ht="14.25" x14ac:dyDescent="0.2">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1649-2795-4DC4-9785-87F592D4DE0D}">
  <sheetPr>
    <pageSetUpPr fitToPage="1"/>
  </sheetPr>
  <dimension ref="A1:E11"/>
  <sheetViews>
    <sheetView workbookViewId="0">
      <selection activeCell="A3" sqref="A3:XFD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1036</v>
      </c>
    </row>
    <row r="2" spans="1:5" ht="28.5" customHeight="1" x14ac:dyDescent="0.2">
      <c r="A2" s="6" t="s">
        <v>93</v>
      </c>
      <c r="B2" s="7" t="s">
        <v>547</v>
      </c>
      <c r="C2" s="7" t="s">
        <v>540</v>
      </c>
      <c r="D2" s="8" t="s">
        <v>84</v>
      </c>
      <c r="E2" s="9" t="s">
        <v>85</v>
      </c>
    </row>
    <row r="3" spans="1:5" ht="14.25" customHeight="1" x14ac:dyDescent="0.2">
      <c r="A3" s="10" t="s">
        <v>1037</v>
      </c>
      <c r="B3" s="11">
        <v>24173</v>
      </c>
      <c r="C3" s="11">
        <v>2828</v>
      </c>
      <c r="D3" s="12">
        <f>SUM(MemberOfAssemblyAssemblyDistrict99General[[#This Row],[Part of Orange County Vote Results]:[Part of Rockland County Vote Results]])</f>
        <v>27001</v>
      </c>
      <c r="E3" s="116">
        <f>SUM(MemberOfAssemblyAssemblyDistrict99General[[#This Row],[Total Votes by Party]],D6)</f>
        <v>28346</v>
      </c>
    </row>
    <row r="4" spans="1:5" ht="14.25" customHeight="1" x14ac:dyDescent="0.2">
      <c r="A4" s="10" t="s">
        <v>1038</v>
      </c>
      <c r="B4" s="11">
        <v>15183</v>
      </c>
      <c r="C4" s="11">
        <v>4333</v>
      </c>
      <c r="D4" s="12">
        <f>SUM(MemberOfAssemblyAssemblyDistrict99General[[#This Row],[Part of Orange County Vote Results]:[Part of Rockland County Vote Results]])</f>
        <v>19516</v>
      </c>
      <c r="E4" s="116">
        <f>SUM(MemberOfAssemblyAssemblyDistrict99General[[#This Row],[Total Votes by Party]],D5)</f>
        <v>21683</v>
      </c>
    </row>
    <row r="5" spans="1:5" ht="14.25" customHeight="1" x14ac:dyDescent="0.2">
      <c r="A5" s="10" t="s">
        <v>1039</v>
      </c>
      <c r="B5" s="11">
        <v>1687</v>
      </c>
      <c r="C5" s="11">
        <v>480</v>
      </c>
      <c r="D5" s="12">
        <f>SUM(MemberOfAssemblyAssemblyDistrict99General[[#This Row],[Part of Orange County Vote Results]:[Part of Rockland County Vote Results]])</f>
        <v>2167</v>
      </c>
      <c r="E5" s="14"/>
    </row>
    <row r="6" spans="1:5" ht="14.25" customHeight="1" x14ac:dyDescent="0.2">
      <c r="A6" s="10" t="s">
        <v>1040</v>
      </c>
      <c r="B6" s="11">
        <v>1203</v>
      </c>
      <c r="C6" s="11">
        <v>142</v>
      </c>
      <c r="D6" s="12">
        <f>SUM(MemberOfAssemblyAssemblyDistrict99General[[#This Row],[Part of Orange County Vote Results]:[Part of Rockland County Vote Results]])</f>
        <v>1345</v>
      </c>
      <c r="E6" s="14"/>
    </row>
    <row r="7" spans="1:5" ht="14.25" customHeight="1" x14ac:dyDescent="0.2">
      <c r="A7" s="15" t="s">
        <v>18</v>
      </c>
      <c r="B7" s="11">
        <v>2730</v>
      </c>
      <c r="C7" s="11">
        <v>659</v>
      </c>
      <c r="D7" s="12">
        <f>SUM(MemberOfAssemblyAssemblyDistrict99General[[#This Row],[Part of Orange County Vote Results]:[Part of Rockland County Vote Results]])</f>
        <v>3389</v>
      </c>
      <c r="E7" s="14"/>
    </row>
    <row r="8" spans="1:5" ht="14.25" customHeight="1" x14ac:dyDescent="0.2">
      <c r="A8" s="15" t="s">
        <v>19</v>
      </c>
      <c r="B8" s="11">
        <v>16</v>
      </c>
      <c r="C8" s="11">
        <v>2</v>
      </c>
      <c r="D8" s="12">
        <f>SUM(MemberOfAssemblyAssemblyDistrict99General[[#This Row],[Part of Orange County Vote Results]:[Part of Rockland County Vote Results]])</f>
        <v>18</v>
      </c>
      <c r="E8" s="14"/>
    </row>
    <row r="9" spans="1:5" ht="14.25" customHeight="1" x14ac:dyDescent="0.2">
      <c r="A9" s="15" t="s">
        <v>20</v>
      </c>
      <c r="B9" s="11">
        <v>23</v>
      </c>
      <c r="C9" s="11">
        <v>3</v>
      </c>
      <c r="D9" s="12">
        <f>SUM(MemberOfAssemblyAssemblyDistrict99General[[#This Row],[Part of Orange County Vote Results]:[Part of Rockland County Vote Results]])</f>
        <v>26</v>
      </c>
      <c r="E9" s="14"/>
    </row>
    <row r="10" spans="1:5" ht="14.25" customHeight="1" x14ac:dyDescent="0.2">
      <c r="A10" s="16" t="s">
        <v>21</v>
      </c>
      <c r="B10" s="11">
        <f>SUM(MemberOfAssemblyAssemblyDistrict99General[Part of Orange County Vote Results])</f>
        <v>45015</v>
      </c>
      <c r="C10" s="11">
        <f>SUM(MemberOfAssemblyAssemblyDistrict99General[Part of Rockland County Vote Results])</f>
        <v>8447</v>
      </c>
      <c r="D10" s="12">
        <f>SUM(MemberOfAssemblyAssemblyDistrict99General[Total Votes by Party])</f>
        <v>53462</v>
      </c>
      <c r="E10" s="14"/>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E631-3644-4FFB-9BB5-30823331CA95}">
  <sheetPr>
    <pageSetUpPr fitToPage="1"/>
  </sheetPr>
  <dimension ref="A1:E11"/>
  <sheetViews>
    <sheetView workbookViewId="0">
      <selection activeCell="A3" sqref="A3:XFD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1041</v>
      </c>
    </row>
    <row r="2" spans="1:5" ht="28.5" customHeight="1" x14ac:dyDescent="0.2">
      <c r="A2" s="6" t="s">
        <v>93</v>
      </c>
      <c r="B2" s="7" t="s">
        <v>547</v>
      </c>
      <c r="C2" s="7" t="s">
        <v>1042</v>
      </c>
      <c r="D2" s="8" t="s">
        <v>84</v>
      </c>
      <c r="E2" s="9" t="s">
        <v>85</v>
      </c>
    </row>
    <row r="3" spans="1:5" ht="14.25" customHeight="1" x14ac:dyDescent="0.2">
      <c r="A3" s="10" t="s">
        <v>1043</v>
      </c>
      <c r="B3" s="11">
        <v>11905</v>
      </c>
      <c r="C3" s="11">
        <v>12611</v>
      </c>
      <c r="D3" s="12">
        <f>SUM(MemberOfAssemblyAssemblyDistrict100General[[#This Row],[Part of Orange County Vote Results]:[Part of Sullivan County Vote Results]])</f>
        <v>24516</v>
      </c>
      <c r="E3" s="116">
        <f>SUM(MemberOfAssemblyAssemblyDistrict100General[[#This Row],[Total Votes by Party]],D6)</f>
        <v>27073</v>
      </c>
    </row>
    <row r="4" spans="1:5" ht="14.25" customHeight="1" x14ac:dyDescent="0.2">
      <c r="A4" s="10" t="s">
        <v>1044</v>
      </c>
      <c r="B4" s="11">
        <v>8592</v>
      </c>
      <c r="C4" s="11">
        <v>12991</v>
      </c>
      <c r="D4" s="12">
        <f>SUM(MemberOfAssemblyAssemblyDistrict100General[[#This Row],[Part of Orange County Vote Results]:[Part of Sullivan County Vote Results]])</f>
        <v>21583</v>
      </c>
      <c r="E4" s="116">
        <f>SUM(MemberOfAssemblyAssemblyDistrict100General[[#This Row],[Total Votes by Party]],D5)</f>
        <v>24395</v>
      </c>
    </row>
    <row r="5" spans="1:5" ht="14.25" customHeight="1" x14ac:dyDescent="0.2">
      <c r="A5" s="10" t="s">
        <v>1045</v>
      </c>
      <c r="B5" s="11">
        <v>1058</v>
      </c>
      <c r="C5" s="11">
        <v>1754</v>
      </c>
      <c r="D5" s="12">
        <f>SUM(MemberOfAssemblyAssemblyDistrict100General[[#This Row],[Part of Orange County Vote Results]:[Part of Sullivan County Vote Results]])</f>
        <v>2812</v>
      </c>
      <c r="E5" s="23"/>
    </row>
    <row r="6" spans="1:5" ht="14.25" customHeight="1" x14ac:dyDescent="0.2">
      <c r="A6" s="15" t="s">
        <v>1046</v>
      </c>
      <c r="B6" s="11">
        <v>210</v>
      </c>
      <c r="C6" s="53">
        <v>2347</v>
      </c>
      <c r="D6" s="12">
        <f>SUM(MemberOfAssemblyAssemblyDistrict100General[[#This Row],[Part of Orange County Vote Results]:[Part of Sullivan County Vote Results]])</f>
        <v>2557</v>
      </c>
      <c r="E6" s="23"/>
    </row>
    <row r="7" spans="1:5" ht="14.25" customHeight="1" x14ac:dyDescent="0.2">
      <c r="A7" s="15" t="s">
        <v>18</v>
      </c>
      <c r="B7" s="11">
        <v>1512</v>
      </c>
      <c r="C7" s="11">
        <v>1368</v>
      </c>
      <c r="D7" s="12">
        <f>SUM(MemberOfAssemblyAssemblyDistrict100General[[#This Row],[Part of Orange County Vote Results]:[Part of Sullivan County Vote Results]])</f>
        <v>2880</v>
      </c>
      <c r="E7" s="14"/>
    </row>
    <row r="8" spans="1:5" ht="14.25" customHeight="1" x14ac:dyDescent="0.2">
      <c r="A8" s="15" t="s">
        <v>19</v>
      </c>
      <c r="B8" s="11">
        <v>33</v>
      </c>
      <c r="C8" s="11">
        <v>68</v>
      </c>
      <c r="D8" s="12">
        <f>SUM(MemberOfAssemblyAssemblyDistrict100General[[#This Row],[Part of Orange County Vote Results]:[Part of Sullivan County Vote Results]])</f>
        <v>101</v>
      </c>
      <c r="E8" s="14"/>
    </row>
    <row r="9" spans="1:5" ht="14.25" customHeight="1" x14ac:dyDescent="0.2">
      <c r="A9" s="15" t="s">
        <v>20</v>
      </c>
      <c r="B9" s="11">
        <v>7</v>
      </c>
      <c r="C9" s="11">
        <v>17</v>
      </c>
      <c r="D9" s="12">
        <f>SUM(MemberOfAssemblyAssemblyDistrict100General[[#This Row],[Part of Orange County Vote Results]:[Part of Sullivan County Vote Results]])</f>
        <v>24</v>
      </c>
      <c r="E9" s="14"/>
    </row>
    <row r="10" spans="1:5" ht="14.25" customHeight="1" x14ac:dyDescent="0.2">
      <c r="A10" s="16" t="s">
        <v>21</v>
      </c>
      <c r="B10" s="11">
        <f>SUM(MemberOfAssemblyAssemblyDistrict100General[Part of Orange County Vote Results])</f>
        <v>23317</v>
      </c>
      <c r="C10" s="11">
        <f>SUM(MemberOfAssemblyAssemblyDistrict100General[Part of Sullivan County Vote Results])</f>
        <v>31156</v>
      </c>
      <c r="D10" s="12">
        <f>SUM(MemberOfAssemblyAssemblyDistrict100General[Total Votes by Party])</f>
        <v>54473</v>
      </c>
      <c r="E10" s="14"/>
    </row>
    <row r="11" spans="1:5" ht="14.25" customHeight="1" x14ac:dyDescent="0.2">
      <c r="C11" s="70"/>
    </row>
  </sheetData>
  <pageMargins left="0.25" right="0.25" top="0.25" bottom="0.25" header="0.25" footer="0.25"/>
  <pageSetup paperSize="5" fitToHeight="0" orientation="landscape" r:id="rId1"/>
  <headerFooter alignWithMargins="0">
    <oddFooter>&amp;RPage &amp;P of &amp;N</oddFooter>
  </headerFooter>
  <ignoredErrors>
    <ignoredError sqref="E3:E4" calculatedColum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CADDB-6E51-45C7-B329-43E3C326CF10}">
  <sheetPr>
    <pageSetUpPr fitToPage="1"/>
  </sheetPr>
  <dimension ref="A1:K66"/>
  <sheetViews>
    <sheetView zoomScaleNormal="100" zoomScaleSheetLayoutView="100" workbookViewId="0">
      <pane xSplit="1" ySplit="2" topLeftCell="B31" activePane="bottomRight" state="frozen"/>
      <selection pane="topRight" activeCell="A30" sqref="A30"/>
      <selection pane="bottomLeft" activeCell="A30" sqref="A30"/>
      <selection pane="bottomRight" activeCell="A2" sqref="A2:XFD2"/>
    </sheetView>
  </sheetViews>
  <sheetFormatPr defaultRowHeight="12.75" x14ac:dyDescent="0.2"/>
  <cols>
    <col min="1" max="1" width="38.7109375" style="2" customWidth="1"/>
    <col min="2" max="10" width="20.5703125" style="2" customWidth="1"/>
    <col min="11" max="16384" width="9.140625" style="2"/>
  </cols>
  <sheetData>
    <row r="1" spans="1:11" ht="24.95" customHeight="1" x14ac:dyDescent="0.2">
      <c r="A1" s="146" t="s">
        <v>86</v>
      </c>
      <c r="B1" s="146"/>
    </row>
    <row r="2" spans="1:11" ht="39" customHeight="1" x14ac:dyDescent="0.2">
      <c r="A2" s="3" t="s">
        <v>1</v>
      </c>
      <c r="B2" s="1" t="s">
        <v>87</v>
      </c>
      <c r="C2" s="1" t="s">
        <v>88</v>
      </c>
      <c r="D2" s="1" t="s">
        <v>89</v>
      </c>
      <c r="E2" s="1" t="s">
        <v>90</v>
      </c>
      <c r="F2" s="1" t="s">
        <v>91</v>
      </c>
      <c r="G2" s="1" t="s">
        <v>18</v>
      </c>
      <c r="H2" s="1" t="s">
        <v>19</v>
      </c>
      <c r="I2" s="1" t="s">
        <v>20</v>
      </c>
      <c r="J2" s="4" t="s">
        <v>21</v>
      </c>
    </row>
    <row r="3" spans="1:11" ht="14.25" customHeight="1" x14ac:dyDescent="0.2">
      <c r="A3" s="75" t="s">
        <v>22</v>
      </c>
      <c r="B3" s="76">
        <v>85896</v>
      </c>
      <c r="C3" s="76">
        <v>43153</v>
      </c>
      <c r="D3" s="76">
        <v>6352</v>
      </c>
      <c r="E3" s="76">
        <v>9335</v>
      </c>
      <c r="F3" s="76">
        <v>805</v>
      </c>
      <c r="G3" s="76">
        <v>5142</v>
      </c>
      <c r="H3" s="76">
        <v>93</v>
      </c>
      <c r="I3" s="76">
        <v>229</v>
      </c>
      <c r="J3" s="77">
        <f t="shared" ref="J3:J34" si="0">SUM(B3:I3)</f>
        <v>151005</v>
      </c>
      <c r="K3" s="70"/>
    </row>
    <row r="4" spans="1:11" ht="14.25" customHeight="1" x14ac:dyDescent="0.2">
      <c r="A4" s="75" t="s">
        <v>23</v>
      </c>
      <c r="B4" s="76">
        <v>5264</v>
      </c>
      <c r="C4" s="76">
        <v>11740</v>
      </c>
      <c r="D4" s="76">
        <v>1326</v>
      </c>
      <c r="E4" s="76">
        <v>598</v>
      </c>
      <c r="F4" s="76">
        <v>72</v>
      </c>
      <c r="G4" s="76">
        <v>650</v>
      </c>
      <c r="H4" s="76">
        <v>0</v>
      </c>
      <c r="I4" s="76">
        <v>19</v>
      </c>
      <c r="J4" s="77">
        <f t="shared" si="0"/>
        <v>19669</v>
      </c>
      <c r="K4" s="70"/>
    </row>
    <row r="5" spans="1:11" ht="14.25" customHeight="1" x14ac:dyDescent="0.2">
      <c r="A5" s="75" t="s">
        <v>24</v>
      </c>
      <c r="B5" s="76">
        <v>42415</v>
      </c>
      <c r="C5" s="76">
        <v>36636</v>
      </c>
      <c r="D5" s="76">
        <v>3721</v>
      </c>
      <c r="E5" s="76">
        <v>4634</v>
      </c>
      <c r="F5" s="76">
        <v>472</v>
      </c>
      <c r="G5" s="76">
        <v>3800</v>
      </c>
      <c r="H5" s="76">
        <v>43</v>
      </c>
      <c r="I5" s="76">
        <v>102</v>
      </c>
      <c r="J5" s="77">
        <f t="shared" si="0"/>
        <v>91823</v>
      </c>
      <c r="K5" s="70"/>
    </row>
    <row r="6" spans="1:11" ht="14.25" customHeight="1" x14ac:dyDescent="0.2">
      <c r="A6" s="75" t="s">
        <v>25</v>
      </c>
      <c r="B6" s="76">
        <v>10926</v>
      </c>
      <c r="C6" s="76">
        <v>18557</v>
      </c>
      <c r="D6" s="76">
        <v>2218</v>
      </c>
      <c r="E6" s="76">
        <v>1246</v>
      </c>
      <c r="F6" s="76">
        <v>139</v>
      </c>
      <c r="G6" s="76">
        <v>1396</v>
      </c>
      <c r="H6" s="76">
        <v>40</v>
      </c>
      <c r="I6" s="76">
        <v>1</v>
      </c>
      <c r="J6" s="77">
        <f t="shared" si="0"/>
        <v>34523</v>
      </c>
      <c r="K6" s="70"/>
    </row>
    <row r="7" spans="1:11" ht="14.25" customHeight="1" x14ac:dyDescent="0.2">
      <c r="A7" s="75" t="s">
        <v>26</v>
      </c>
      <c r="B7" s="76">
        <v>14774</v>
      </c>
      <c r="C7" s="76">
        <v>16677</v>
      </c>
      <c r="D7" s="76">
        <v>2296</v>
      </c>
      <c r="E7" s="76">
        <v>1578</v>
      </c>
      <c r="F7" s="76">
        <v>151</v>
      </c>
      <c r="G7" s="76">
        <v>1266</v>
      </c>
      <c r="H7" s="76">
        <v>21</v>
      </c>
      <c r="I7" s="76">
        <v>22</v>
      </c>
      <c r="J7" s="77">
        <f t="shared" si="0"/>
        <v>36785</v>
      </c>
      <c r="K7" s="70"/>
    </row>
    <row r="8" spans="1:11" ht="14.25" customHeight="1" x14ac:dyDescent="0.2">
      <c r="A8" s="75" t="s">
        <v>27</v>
      </c>
      <c r="B8" s="76">
        <v>20949</v>
      </c>
      <c r="C8" s="76">
        <v>27668</v>
      </c>
      <c r="D8" s="76">
        <v>3954</v>
      </c>
      <c r="E8" s="76">
        <v>2489</v>
      </c>
      <c r="F8" s="76">
        <v>191</v>
      </c>
      <c r="G8" s="76">
        <v>2200</v>
      </c>
      <c r="H8" s="76">
        <v>41</v>
      </c>
      <c r="I8" s="76">
        <v>26</v>
      </c>
      <c r="J8" s="77">
        <f t="shared" si="0"/>
        <v>57518</v>
      </c>
      <c r="K8" s="70"/>
    </row>
    <row r="9" spans="1:11" ht="14.25" customHeight="1" x14ac:dyDescent="0.2">
      <c r="A9" s="75" t="s">
        <v>28</v>
      </c>
      <c r="B9" s="76">
        <v>14632</v>
      </c>
      <c r="C9" s="76">
        <v>18449</v>
      </c>
      <c r="D9" s="76">
        <v>2029</v>
      </c>
      <c r="E9" s="76">
        <v>1203</v>
      </c>
      <c r="F9" s="76">
        <v>145</v>
      </c>
      <c r="G9" s="76">
        <v>1492</v>
      </c>
      <c r="H9" s="76">
        <v>34</v>
      </c>
      <c r="I9" s="76">
        <v>16</v>
      </c>
      <c r="J9" s="77">
        <f t="shared" si="0"/>
        <v>38000</v>
      </c>
      <c r="K9" s="70"/>
    </row>
    <row r="10" spans="1:11" ht="14.25" customHeight="1" x14ac:dyDescent="0.2">
      <c r="A10" s="75" t="s">
        <v>29</v>
      </c>
      <c r="B10" s="76">
        <v>7748</v>
      </c>
      <c r="C10" s="76">
        <v>12062</v>
      </c>
      <c r="D10" s="76">
        <v>988</v>
      </c>
      <c r="E10" s="76">
        <v>905</v>
      </c>
      <c r="F10" s="76">
        <v>102</v>
      </c>
      <c r="G10" s="76">
        <v>933</v>
      </c>
      <c r="H10" s="76">
        <v>23</v>
      </c>
      <c r="I10" s="76">
        <v>15</v>
      </c>
      <c r="J10" s="77">
        <f t="shared" si="0"/>
        <v>22776</v>
      </c>
      <c r="K10" s="70"/>
    </row>
    <row r="11" spans="1:11" ht="14.25" customHeight="1" x14ac:dyDescent="0.2">
      <c r="A11" s="75" t="s">
        <v>30</v>
      </c>
      <c r="B11" s="76">
        <v>16900</v>
      </c>
      <c r="C11" s="76">
        <v>14718</v>
      </c>
      <c r="D11" s="76">
        <v>1391</v>
      </c>
      <c r="E11" s="76">
        <v>1714</v>
      </c>
      <c r="F11" s="76">
        <v>143</v>
      </c>
      <c r="G11" s="76">
        <v>1324</v>
      </c>
      <c r="H11" s="76">
        <v>31</v>
      </c>
      <c r="I11" s="76">
        <v>17</v>
      </c>
      <c r="J11" s="77">
        <f t="shared" si="0"/>
        <v>36238</v>
      </c>
      <c r="K11" s="70"/>
    </row>
    <row r="12" spans="1:11" ht="14.25" customHeight="1" x14ac:dyDescent="0.2">
      <c r="A12" s="75" t="s">
        <v>31</v>
      </c>
      <c r="B12" s="76">
        <v>18715</v>
      </c>
      <c r="C12" s="76">
        <v>12020</v>
      </c>
      <c r="D12" s="76">
        <v>1870</v>
      </c>
      <c r="E12" s="76">
        <v>2630</v>
      </c>
      <c r="F12" s="76">
        <v>177</v>
      </c>
      <c r="G12" s="76">
        <v>845</v>
      </c>
      <c r="H12" s="76">
        <v>18</v>
      </c>
      <c r="I12" s="76">
        <v>51</v>
      </c>
      <c r="J12" s="77">
        <f t="shared" si="0"/>
        <v>36326</v>
      </c>
      <c r="K12" s="70"/>
    </row>
    <row r="13" spans="1:11" ht="14.25" customHeight="1" x14ac:dyDescent="0.2">
      <c r="A13" s="75" t="s">
        <v>32</v>
      </c>
      <c r="B13" s="76">
        <v>9454</v>
      </c>
      <c r="C13" s="76">
        <v>9873</v>
      </c>
      <c r="D13" s="76">
        <v>1068</v>
      </c>
      <c r="E13" s="76">
        <v>1015</v>
      </c>
      <c r="F13" s="76">
        <v>124</v>
      </c>
      <c r="G13" s="76">
        <v>784</v>
      </c>
      <c r="H13" s="76">
        <v>0</v>
      </c>
      <c r="I13" s="76">
        <v>12</v>
      </c>
      <c r="J13" s="77">
        <f t="shared" si="0"/>
        <v>22330</v>
      </c>
      <c r="K13" s="70"/>
    </row>
    <row r="14" spans="1:11" ht="14.25" customHeight="1" x14ac:dyDescent="0.2">
      <c r="A14" s="75" t="s">
        <v>33</v>
      </c>
      <c r="B14" s="76">
        <v>8769</v>
      </c>
      <c r="C14" s="76">
        <v>11586</v>
      </c>
      <c r="D14" s="76">
        <v>1034</v>
      </c>
      <c r="E14" s="76">
        <v>1083</v>
      </c>
      <c r="F14" s="76">
        <v>111</v>
      </c>
      <c r="G14" s="76">
        <v>786</v>
      </c>
      <c r="H14" s="76">
        <v>15</v>
      </c>
      <c r="I14" s="76">
        <v>17</v>
      </c>
      <c r="J14" s="77">
        <f t="shared" si="0"/>
        <v>23401</v>
      </c>
      <c r="K14" s="70"/>
    </row>
    <row r="15" spans="1:11" ht="14.25" customHeight="1" x14ac:dyDescent="0.2">
      <c r="A15" s="75" t="s">
        <v>34</v>
      </c>
      <c r="B15" s="76">
        <v>75540</v>
      </c>
      <c r="C15" s="76">
        <v>58673</v>
      </c>
      <c r="D15" s="76">
        <v>7198</v>
      </c>
      <c r="E15" s="76">
        <v>7446</v>
      </c>
      <c r="F15" s="76">
        <v>633</v>
      </c>
      <c r="G15" s="76">
        <v>4807</v>
      </c>
      <c r="H15" s="76">
        <v>169</v>
      </c>
      <c r="I15" s="76">
        <v>109</v>
      </c>
      <c r="J15" s="77">
        <f t="shared" si="0"/>
        <v>154575</v>
      </c>
      <c r="K15" s="70"/>
    </row>
    <row r="16" spans="1:11" ht="14.25" customHeight="1" x14ac:dyDescent="0.2">
      <c r="A16" s="75" t="s">
        <v>35</v>
      </c>
      <c r="B16" s="76">
        <v>231473</v>
      </c>
      <c r="C16" s="76">
        <v>158669</v>
      </c>
      <c r="D16" s="76">
        <v>28878</v>
      </c>
      <c r="E16" s="76">
        <v>21309</v>
      </c>
      <c r="F16" s="76">
        <v>1926</v>
      </c>
      <c r="G16" s="76">
        <v>20401</v>
      </c>
      <c r="H16" s="76">
        <v>350</v>
      </c>
      <c r="I16" s="76">
        <v>569</v>
      </c>
      <c r="J16" s="77">
        <f t="shared" si="0"/>
        <v>463575</v>
      </c>
      <c r="K16" s="70"/>
    </row>
    <row r="17" spans="1:11" ht="14.25" customHeight="1" x14ac:dyDescent="0.2">
      <c r="A17" s="75" t="s">
        <v>36</v>
      </c>
      <c r="B17" s="76">
        <v>9149</v>
      </c>
      <c r="C17" s="76">
        <v>7671</v>
      </c>
      <c r="D17" s="76">
        <v>680</v>
      </c>
      <c r="E17" s="76">
        <v>883</v>
      </c>
      <c r="F17" s="76">
        <v>65</v>
      </c>
      <c r="G17" s="76">
        <v>1059</v>
      </c>
      <c r="H17" s="76">
        <v>19</v>
      </c>
      <c r="I17" s="76">
        <v>3</v>
      </c>
      <c r="J17" s="77">
        <f t="shared" si="0"/>
        <v>19529</v>
      </c>
      <c r="K17" s="70"/>
    </row>
    <row r="18" spans="1:11" ht="14.25" customHeight="1" x14ac:dyDescent="0.2">
      <c r="A18" s="75" t="s">
        <v>37</v>
      </c>
      <c r="B18" s="76">
        <v>8519</v>
      </c>
      <c r="C18" s="76">
        <v>8713</v>
      </c>
      <c r="D18" s="76">
        <v>768</v>
      </c>
      <c r="E18" s="76">
        <v>838</v>
      </c>
      <c r="F18" s="76">
        <v>64</v>
      </c>
      <c r="G18" s="76">
        <v>738</v>
      </c>
      <c r="H18" s="76">
        <v>16</v>
      </c>
      <c r="I18" s="76">
        <v>6</v>
      </c>
      <c r="J18" s="77">
        <f t="shared" si="0"/>
        <v>19662</v>
      </c>
      <c r="K18" s="70"/>
    </row>
    <row r="19" spans="1:11" ht="14.25" customHeight="1" x14ac:dyDescent="0.2">
      <c r="A19" s="75" t="s">
        <v>38</v>
      </c>
      <c r="B19" s="76">
        <v>7446</v>
      </c>
      <c r="C19" s="76">
        <v>13178</v>
      </c>
      <c r="D19" s="76">
        <v>1271</v>
      </c>
      <c r="E19" s="76">
        <v>845</v>
      </c>
      <c r="F19" s="76">
        <v>85</v>
      </c>
      <c r="G19" s="76">
        <v>1326</v>
      </c>
      <c r="H19" s="76">
        <v>28</v>
      </c>
      <c r="I19" s="76">
        <v>12</v>
      </c>
      <c r="J19" s="77">
        <f t="shared" si="0"/>
        <v>24191</v>
      </c>
      <c r="K19" s="70"/>
    </row>
    <row r="20" spans="1:11" ht="14.25" customHeight="1" x14ac:dyDescent="0.2">
      <c r="A20" s="75" t="s">
        <v>39</v>
      </c>
      <c r="B20" s="76">
        <v>8711</v>
      </c>
      <c r="C20" s="76">
        <v>15698</v>
      </c>
      <c r="D20" s="76">
        <v>2173</v>
      </c>
      <c r="E20" s="76">
        <v>1025</v>
      </c>
      <c r="F20" s="76">
        <v>113</v>
      </c>
      <c r="G20" s="76">
        <v>1060</v>
      </c>
      <c r="H20" s="76">
        <v>28</v>
      </c>
      <c r="I20" s="76">
        <v>13</v>
      </c>
      <c r="J20" s="77">
        <f t="shared" si="0"/>
        <v>28821</v>
      </c>
      <c r="K20" s="70"/>
    </row>
    <row r="21" spans="1:11" ht="14.25" customHeight="1" x14ac:dyDescent="0.2">
      <c r="A21" s="75" t="s">
        <v>40</v>
      </c>
      <c r="B21" s="76">
        <v>9650</v>
      </c>
      <c r="C21" s="76">
        <v>11751</v>
      </c>
      <c r="D21" s="76">
        <v>1684</v>
      </c>
      <c r="E21" s="76">
        <v>1483</v>
      </c>
      <c r="F21" s="76">
        <v>123</v>
      </c>
      <c r="G21" s="76">
        <v>966</v>
      </c>
      <c r="H21" s="76">
        <v>10</v>
      </c>
      <c r="I21" s="76">
        <v>21</v>
      </c>
      <c r="J21" s="77">
        <f t="shared" si="0"/>
        <v>25688</v>
      </c>
      <c r="K21" s="70"/>
    </row>
    <row r="22" spans="1:11" ht="14.25" customHeight="1" x14ac:dyDescent="0.2">
      <c r="A22" s="75" t="s">
        <v>41</v>
      </c>
      <c r="B22" s="76">
        <v>1168</v>
      </c>
      <c r="C22" s="76">
        <v>1873</v>
      </c>
      <c r="D22" s="76">
        <v>180</v>
      </c>
      <c r="E22" s="76">
        <v>115</v>
      </c>
      <c r="F22" s="76">
        <v>13</v>
      </c>
      <c r="G22" s="76">
        <v>90</v>
      </c>
      <c r="H22" s="76">
        <v>3</v>
      </c>
      <c r="I22" s="76">
        <v>0</v>
      </c>
      <c r="J22" s="77">
        <f t="shared" si="0"/>
        <v>3442</v>
      </c>
      <c r="K22" s="70"/>
    </row>
    <row r="23" spans="1:11" ht="14.25" customHeight="1" x14ac:dyDescent="0.2">
      <c r="A23" s="75" t="s">
        <v>42</v>
      </c>
      <c r="B23" s="76">
        <v>8591</v>
      </c>
      <c r="C23" s="76">
        <v>15960</v>
      </c>
      <c r="D23" s="76">
        <v>1806</v>
      </c>
      <c r="E23" s="76">
        <v>1080</v>
      </c>
      <c r="F23" s="76">
        <v>109</v>
      </c>
      <c r="G23" s="76">
        <v>1450</v>
      </c>
      <c r="H23" s="76">
        <v>15</v>
      </c>
      <c r="I23" s="76">
        <v>13</v>
      </c>
      <c r="J23" s="77">
        <f t="shared" si="0"/>
        <v>29024</v>
      </c>
      <c r="K23" s="70"/>
    </row>
    <row r="24" spans="1:11" ht="14.25" customHeight="1" x14ac:dyDescent="0.2">
      <c r="A24" s="75" t="s">
        <v>43</v>
      </c>
      <c r="B24" s="76">
        <v>15832</v>
      </c>
      <c r="C24" s="76">
        <v>21574</v>
      </c>
      <c r="D24" s="76">
        <v>1903</v>
      </c>
      <c r="E24" s="76">
        <v>1679</v>
      </c>
      <c r="F24" s="76">
        <v>127</v>
      </c>
      <c r="G24" s="76">
        <v>2088</v>
      </c>
      <c r="H24" s="76">
        <v>84</v>
      </c>
      <c r="I24" s="76">
        <v>23</v>
      </c>
      <c r="J24" s="77">
        <f t="shared" si="0"/>
        <v>43310</v>
      </c>
      <c r="K24" s="70"/>
    </row>
    <row r="25" spans="1:11" ht="14.25" customHeight="1" x14ac:dyDescent="0.2">
      <c r="A25" s="75" t="s">
        <v>44</v>
      </c>
      <c r="B25" s="76">
        <v>3676</v>
      </c>
      <c r="C25" s="76">
        <v>7430</v>
      </c>
      <c r="D25" s="76">
        <v>669</v>
      </c>
      <c r="E25" s="76">
        <v>487</v>
      </c>
      <c r="F25" s="76">
        <v>57</v>
      </c>
      <c r="G25" s="76">
        <v>909</v>
      </c>
      <c r="H25" s="76">
        <v>12</v>
      </c>
      <c r="I25" s="76">
        <v>6</v>
      </c>
      <c r="J25" s="77">
        <f t="shared" si="0"/>
        <v>13246</v>
      </c>
      <c r="K25" s="70"/>
    </row>
    <row r="26" spans="1:11" ht="14.25" customHeight="1" x14ac:dyDescent="0.2">
      <c r="A26" s="75" t="s">
        <v>45</v>
      </c>
      <c r="B26" s="76">
        <v>11550</v>
      </c>
      <c r="C26" s="76">
        <v>15282</v>
      </c>
      <c r="D26" s="76">
        <v>2088</v>
      </c>
      <c r="E26" s="76">
        <v>1280</v>
      </c>
      <c r="F26" s="76">
        <v>127</v>
      </c>
      <c r="G26" s="76">
        <v>1106</v>
      </c>
      <c r="H26" s="76">
        <v>11</v>
      </c>
      <c r="I26" s="76">
        <v>17</v>
      </c>
      <c r="J26" s="77">
        <f t="shared" si="0"/>
        <v>31461</v>
      </c>
      <c r="K26" s="70"/>
    </row>
    <row r="27" spans="1:11" ht="14.25" customHeight="1" x14ac:dyDescent="0.2">
      <c r="A27" s="75" t="s">
        <v>46</v>
      </c>
      <c r="B27" s="76">
        <v>13633</v>
      </c>
      <c r="C27" s="76">
        <v>15700</v>
      </c>
      <c r="D27" s="76">
        <v>2027</v>
      </c>
      <c r="E27" s="76">
        <v>1505</v>
      </c>
      <c r="F27" s="76">
        <v>157</v>
      </c>
      <c r="G27" s="76">
        <v>1173</v>
      </c>
      <c r="H27" s="76">
        <v>35</v>
      </c>
      <c r="I27" s="76">
        <v>35</v>
      </c>
      <c r="J27" s="77">
        <f t="shared" si="0"/>
        <v>34265</v>
      </c>
      <c r="K27" s="70"/>
    </row>
    <row r="28" spans="1:11" ht="14.25" customHeight="1" x14ac:dyDescent="0.2">
      <c r="A28" s="75" t="s">
        <v>47</v>
      </c>
      <c r="B28" s="76">
        <v>195663</v>
      </c>
      <c r="C28" s="76">
        <v>119791</v>
      </c>
      <c r="D28" s="76">
        <v>20973</v>
      </c>
      <c r="E28" s="76">
        <v>17769</v>
      </c>
      <c r="F28" s="76">
        <v>1661</v>
      </c>
      <c r="G28" s="76">
        <v>12046</v>
      </c>
      <c r="H28" s="76">
        <v>245</v>
      </c>
      <c r="I28" s="76">
        <v>193</v>
      </c>
      <c r="J28" s="77">
        <f t="shared" si="0"/>
        <v>368341</v>
      </c>
      <c r="K28" s="70"/>
    </row>
    <row r="29" spans="1:11" ht="14.25" customHeight="1" x14ac:dyDescent="0.2">
      <c r="A29" s="75" t="s">
        <v>48</v>
      </c>
      <c r="B29" s="78">
        <v>7352</v>
      </c>
      <c r="C29" s="78">
        <v>10151</v>
      </c>
      <c r="D29" s="78">
        <v>1232</v>
      </c>
      <c r="E29" s="78">
        <v>911</v>
      </c>
      <c r="F29" s="78">
        <v>82</v>
      </c>
      <c r="G29" s="78">
        <v>1169</v>
      </c>
      <c r="H29" s="78">
        <v>14</v>
      </c>
      <c r="I29" s="78">
        <v>11</v>
      </c>
      <c r="J29" s="79">
        <f t="shared" si="0"/>
        <v>20922</v>
      </c>
      <c r="K29" s="70"/>
    </row>
    <row r="30" spans="1:11" ht="14.25" customHeight="1" x14ac:dyDescent="0.2">
      <c r="A30" s="75" t="s">
        <v>49</v>
      </c>
      <c r="B30" s="76">
        <v>329197</v>
      </c>
      <c r="C30" s="76">
        <v>319875</v>
      </c>
      <c r="D30" s="76">
        <v>25450</v>
      </c>
      <c r="E30" s="76">
        <v>15590</v>
      </c>
      <c r="F30" s="76">
        <v>2216</v>
      </c>
      <c r="G30" s="76">
        <v>28252</v>
      </c>
      <c r="H30" s="76">
        <v>915</v>
      </c>
      <c r="I30" s="76">
        <v>1082</v>
      </c>
      <c r="J30" s="77">
        <f t="shared" si="0"/>
        <v>722577</v>
      </c>
      <c r="K30" s="70"/>
    </row>
    <row r="31" spans="1:11" ht="14.25" customHeight="1" x14ac:dyDescent="0.2">
      <c r="A31" s="75" t="s">
        <v>50</v>
      </c>
      <c r="B31" s="76">
        <v>40688</v>
      </c>
      <c r="C31" s="76">
        <v>46442</v>
      </c>
      <c r="D31" s="76">
        <v>7409</v>
      </c>
      <c r="E31" s="76">
        <v>3953</v>
      </c>
      <c r="F31" s="76">
        <v>409</v>
      </c>
      <c r="G31" s="76">
        <v>4578</v>
      </c>
      <c r="H31" s="76">
        <v>41</v>
      </c>
      <c r="I31" s="76">
        <v>53</v>
      </c>
      <c r="J31" s="77">
        <f t="shared" si="0"/>
        <v>103573</v>
      </c>
      <c r="K31" s="70"/>
    </row>
    <row r="32" spans="1:11" ht="14.25" customHeight="1" x14ac:dyDescent="0.2">
      <c r="A32" s="75" t="s">
        <v>51</v>
      </c>
      <c r="B32" s="76">
        <v>37674</v>
      </c>
      <c r="C32" s="76">
        <v>48984</v>
      </c>
      <c r="D32" s="76">
        <v>5072</v>
      </c>
      <c r="E32" s="76">
        <v>4186</v>
      </c>
      <c r="F32" s="76">
        <v>429</v>
      </c>
      <c r="G32" s="76">
        <v>5043</v>
      </c>
      <c r="H32" s="76">
        <v>94</v>
      </c>
      <c r="I32" s="76">
        <v>45</v>
      </c>
      <c r="J32" s="77">
        <f t="shared" si="0"/>
        <v>101527</v>
      </c>
      <c r="K32" s="70"/>
    </row>
    <row r="33" spans="1:11" ht="14.25" customHeight="1" x14ac:dyDescent="0.2">
      <c r="A33" s="75" t="s">
        <v>52</v>
      </c>
      <c r="B33" s="76">
        <v>123629</v>
      </c>
      <c r="C33" s="76">
        <v>76752</v>
      </c>
      <c r="D33" s="76">
        <v>11795</v>
      </c>
      <c r="E33" s="76">
        <v>11078</v>
      </c>
      <c r="F33" s="76">
        <v>1073</v>
      </c>
      <c r="G33" s="76">
        <v>7041</v>
      </c>
      <c r="H33" s="76">
        <v>130</v>
      </c>
      <c r="I33" s="76">
        <v>209</v>
      </c>
      <c r="J33" s="77">
        <f t="shared" si="0"/>
        <v>231707</v>
      </c>
      <c r="K33" s="70"/>
    </row>
    <row r="34" spans="1:11" ht="14.25" customHeight="1" x14ac:dyDescent="0.2">
      <c r="A34" s="75" t="s">
        <v>53</v>
      </c>
      <c r="B34" s="76">
        <v>27615</v>
      </c>
      <c r="C34" s="76">
        <v>25159</v>
      </c>
      <c r="D34" s="76">
        <v>3765</v>
      </c>
      <c r="E34" s="76">
        <v>2309</v>
      </c>
      <c r="F34" s="76">
        <v>226</v>
      </c>
      <c r="G34" s="76">
        <v>1687</v>
      </c>
      <c r="H34" s="76">
        <v>31</v>
      </c>
      <c r="I34" s="76">
        <v>22</v>
      </c>
      <c r="J34" s="77">
        <f t="shared" si="0"/>
        <v>60814</v>
      </c>
      <c r="K34" s="70"/>
    </row>
    <row r="35" spans="1:11" ht="14.25" customHeight="1" x14ac:dyDescent="0.2">
      <c r="A35" s="75" t="s">
        <v>54</v>
      </c>
      <c r="B35" s="76">
        <v>83236</v>
      </c>
      <c r="C35" s="76">
        <v>70686</v>
      </c>
      <c r="D35" s="76">
        <v>7623</v>
      </c>
      <c r="E35" s="76">
        <v>5878</v>
      </c>
      <c r="F35" s="76">
        <v>762</v>
      </c>
      <c r="G35" s="76">
        <v>9960</v>
      </c>
      <c r="H35" s="76">
        <v>232</v>
      </c>
      <c r="I35" s="76">
        <v>125</v>
      </c>
      <c r="J35" s="77">
        <f t="shared" ref="J35:J65" si="1">SUM(B35:I35)</f>
        <v>178502</v>
      </c>
      <c r="K35" s="70"/>
    </row>
    <row r="36" spans="1:11" ht="14.25" customHeight="1" x14ac:dyDescent="0.2">
      <c r="A36" s="75" t="s">
        <v>55</v>
      </c>
      <c r="B36" s="76">
        <v>4911</v>
      </c>
      <c r="C36" s="76">
        <v>10276</v>
      </c>
      <c r="D36" s="76">
        <v>1292</v>
      </c>
      <c r="E36" s="76">
        <v>569</v>
      </c>
      <c r="F36" s="76">
        <v>54</v>
      </c>
      <c r="G36" s="76">
        <v>1179</v>
      </c>
      <c r="H36" s="76">
        <v>14</v>
      </c>
      <c r="I36" s="76">
        <v>6</v>
      </c>
      <c r="J36" s="77">
        <f t="shared" si="1"/>
        <v>18301</v>
      </c>
      <c r="K36" s="70"/>
    </row>
    <row r="37" spans="1:11" ht="14.25" customHeight="1" x14ac:dyDescent="0.2">
      <c r="A37" s="75" t="s">
        <v>56</v>
      </c>
      <c r="B37" s="76">
        <v>18967</v>
      </c>
      <c r="C37" s="76">
        <v>28016</v>
      </c>
      <c r="D37" s="76">
        <v>3200</v>
      </c>
      <c r="E37" s="76">
        <v>2069</v>
      </c>
      <c r="F37" s="76">
        <v>250</v>
      </c>
      <c r="G37" s="76">
        <v>2124</v>
      </c>
      <c r="H37" s="76">
        <v>49</v>
      </c>
      <c r="I37" s="76">
        <v>35</v>
      </c>
      <c r="J37" s="77">
        <f t="shared" si="1"/>
        <v>54710</v>
      </c>
      <c r="K37" s="70"/>
    </row>
    <row r="38" spans="1:11" ht="14.25" customHeight="1" x14ac:dyDescent="0.2">
      <c r="A38" s="75" t="s">
        <v>57</v>
      </c>
      <c r="B38" s="76">
        <v>12103</v>
      </c>
      <c r="C38" s="76">
        <v>12400</v>
      </c>
      <c r="D38" s="76">
        <v>1556</v>
      </c>
      <c r="E38" s="76">
        <v>1242</v>
      </c>
      <c r="F38" s="76">
        <v>198</v>
      </c>
      <c r="G38" s="76">
        <v>1240</v>
      </c>
      <c r="H38" s="76">
        <v>20</v>
      </c>
      <c r="I38" s="76">
        <v>24</v>
      </c>
      <c r="J38" s="77">
        <f t="shared" si="1"/>
        <v>28783</v>
      </c>
      <c r="K38" s="70"/>
    </row>
    <row r="39" spans="1:11" ht="14.25" customHeight="1" x14ac:dyDescent="0.2">
      <c r="A39" s="75" t="s">
        <v>58</v>
      </c>
      <c r="B39" s="76">
        <v>23138</v>
      </c>
      <c r="C39" s="76">
        <v>26529</v>
      </c>
      <c r="D39" s="76">
        <v>2781</v>
      </c>
      <c r="E39" s="76">
        <v>1782</v>
      </c>
      <c r="F39" s="76">
        <v>202</v>
      </c>
      <c r="G39" s="76">
        <v>1918</v>
      </c>
      <c r="H39" s="76">
        <v>42</v>
      </c>
      <c r="I39" s="76">
        <v>29</v>
      </c>
      <c r="J39" s="77">
        <f t="shared" si="1"/>
        <v>56421</v>
      </c>
      <c r="K39" s="70"/>
    </row>
    <row r="40" spans="1:11" ht="14.25" customHeight="1" x14ac:dyDescent="0.2">
      <c r="A40" s="75" t="s">
        <v>59</v>
      </c>
      <c r="B40" s="76">
        <v>36983</v>
      </c>
      <c r="C40" s="76">
        <v>29614</v>
      </c>
      <c r="D40" s="76">
        <v>5451</v>
      </c>
      <c r="E40" s="76">
        <v>4967</v>
      </c>
      <c r="F40" s="76">
        <v>417</v>
      </c>
      <c r="G40" s="76">
        <v>2189</v>
      </c>
      <c r="H40" s="76">
        <v>41</v>
      </c>
      <c r="I40" s="76">
        <v>90</v>
      </c>
      <c r="J40" s="77">
        <f t="shared" si="1"/>
        <v>79752</v>
      </c>
      <c r="K40" s="70"/>
    </row>
    <row r="41" spans="1:11" ht="14.25" customHeight="1" x14ac:dyDescent="0.2">
      <c r="A41" s="75" t="s">
        <v>60</v>
      </c>
      <c r="B41" s="76">
        <v>68480</v>
      </c>
      <c r="C41" s="76">
        <v>58634</v>
      </c>
      <c r="D41" s="76">
        <v>5448</v>
      </c>
      <c r="E41" s="76">
        <v>3523</v>
      </c>
      <c r="F41" s="76">
        <v>397</v>
      </c>
      <c r="G41" s="76">
        <v>15366</v>
      </c>
      <c r="H41" s="76">
        <v>199</v>
      </c>
      <c r="I41" s="76">
        <v>202</v>
      </c>
      <c r="J41" s="77">
        <f t="shared" si="1"/>
        <v>152249</v>
      </c>
      <c r="K41" s="70"/>
    </row>
    <row r="42" spans="1:11" ht="14.25" customHeight="1" x14ac:dyDescent="0.2">
      <c r="A42" s="75" t="s">
        <v>61</v>
      </c>
      <c r="B42" s="76">
        <v>17437</v>
      </c>
      <c r="C42" s="76">
        <v>20600</v>
      </c>
      <c r="D42" s="76">
        <v>2127</v>
      </c>
      <c r="E42" s="76">
        <v>1885</v>
      </c>
      <c r="F42" s="76">
        <v>155</v>
      </c>
      <c r="G42" s="76">
        <v>2330</v>
      </c>
      <c r="H42" s="76">
        <v>0</v>
      </c>
      <c r="I42" s="76">
        <v>15</v>
      </c>
      <c r="J42" s="77">
        <f t="shared" si="1"/>
        <v>44549</v>
      </c>
      <c r="K42" s="70"/>
    </row>
    <row r="43" spans="1:11" ht="14.25" customHeight="1" x14ac:dyDescent="0.2">
      <c r="A43" s="75" t="s">
        <v>62</v>
      </c>
      <c r="B43" s="76">
        <v>63038</v>
      </c>
      <c r="C43" s="76">
        <v>52585</v>
      </c>
      <c r="D43" s="76">
        <v>6989</v>
      </c>
      <c r="E43" s="76">
        <v>5441</v>
      </c>
      <c r="F43" s="76">
        <v>582</v>
      </c>
      <c r="G43" s="76">
        <v>4099</v>
      </c>
      <c r="H43" s="76">
        <v>32</v>
      </c>
      <c r="I43" s="76">
        <v>51</v>
      </c>
      <c r="J43" s="77">
        <f t="shared" si="1"/>
        <v>132817</v>
      </c>
      <c r="K43" s="70"/>
    </row>
    <row r="44" spans="1:11" ht="14.25" customHeight="1" x14ac:dyDescent="0.2">
      <c r="A44" s="75" t="s">
        <v>63</v>
      </c>
      <c r="B44" s="76">
        <v>37060</v>
      </c>
      <c r="C44" s="76">
        <v>23932</v>
      </c>
      <c r="D44" s="76">
        <v>4749</v>
      </c>
      <c r="E44" s="76">
        <v>3566</v>
      </c>
      <c r="F44" s="76">
        <v>416</v>
      </c>
      <c r="G44" s="76">
        <v>3264</v>
      </c>
      <c r="H44" s="76">
        <v>50</v>
      </c>
      <c r="I44" s="76">
        <v>75</v>
      </c>
      <c r="J44" s="77">
        <f t="shared" si="1"/>
        <v>73112</v>
      </c>
      <c r="K44" s="70"/>
    </row>
    <row r="45" spans="1:11" ht="14.25" customHeight="1" x14ac:dyDescent="0.2">
      <c r="A45" s="75" t="s">
        <v>64</v>
      </c>
      <c r="B45" s="76">
        <v>5356</v>
      </c>
      <c r="C45" s="76">
        <v>8421</v>
      </c>
      <c r="D45" s="76">
        <v>1074</v>
      </c>
      <c r="E45" s="76">
        <v>800</v>
      </c>
      <c r="F45" s="76">
        <v>79</v>
      </c>
      <c r="G45" s="76">
        <v>476</v>
      </c>
      <c r="H45" s="76">
        <v>16</v>
      </c>
      <c r="I45" s="76">
        <v>9</v>
      </c>
      <c r="J45" s="77">
        <f t="shared" si="1"/>
        <v>16231</v>
      </c>
      <c r="K45" s="70"/>
    </row>
    <row r="46" spans="1:11" ht="14.25" customHeight="1" x14ac:dyDescent="0.2">
      <c r="A46" s="75" t="s">
        <v>65</v>
      </c>
      <c r="B46" s="76">
        <v>3418</v>
      </c>
      <c r="C46" s="76">
        <v>4919</v>
      </c>
      <c r="D46" s="76">
        <v>521</v>
      </c>
      <c r="E46" s="76">
        <v>397</v>
      </c>
      <c r="F46" s="76">
        <v>33</v>
      </c>
      <c r="G46" s="76">
        <v>278</v>
      </c>
      <c r="H46" s="76">
        <v>9</v>
      </c>
      <c r="I46" s="76">
        <v>4</v>
      </c>
      <c r="J46" s="77">
        <f t="shared" si="1"/>
        <v>9579</v>
      </c>
      <c r="K46" s="70"/>
    </row>
    <row r="47" spans="1:11" ht="14.25" customHeight="1" x14ac:dyDescent="0.2">
      <c r="A47" s="75" t="s">
        <v>66</v>
      </c>
      <c r="B47" s="76">
        <v>6160</v>
      </c>
      <c r="C47" s="76">
        <v>6965</v>
      </c>
      <c r="D47" s="76">
        <v>804</v>
      </c>
      <c r="E47" s="76">
        <v>643</v>
      </c>
      <c r="F47" s="76">
        <v>53</v>
      </c>
      <c r="G47" s="76">
        <v>579</v>
      </c>
      <c r="H47" s="76">
        <v>18</v>
      </c>
      <c r="I47" s="76">
        <v>5</v>
      </c>
      <c r="J47" s="77">
        <f t="shared" si="1"/>
        <v>15227</v>
      </c>
      <c r="K47" s="70"/>
    </row>
    <row r="48" spans="1:11" ht="14.25" customHeight="1" x14ac:dyDescent="0.2">
      <c r="A48" s="75" t="s">
        <v>67</v>
      </c>
      <c r="B48" s="76">
        <v>14439</v>
      </c>
      <c r="C48" s="76">
        <v>25889</v>
      </c>
      <c r="D48" s="76">
        <v>2478</v>
      </c>
      <c r="E48" s="76">
        <v>1418</v>
      </c>
      <c r="F48" s="76">
        <v>117</v>
      </c>
      <c r="G48" s="76">
        <v>1408</v>
      </c>
      <c r="H48" s="76">
        <v>51</v>
      </c>
      <c r="I48" s="76">
        <v>22</v>
      </c>
      <c r="J48" s="77">
        <f t="shared" si="1"/>
        <v>45822</v>
      </c>
      <c r="K48" s="70"/>
    </row>
    <row r="49" spans="1:11" ht="14.25" customHeight="1" x14ac:dyDescent="0.2">
      <c r="A49" s="75" t="s">
        <v>68</v>
      </c>
      <c r="B49" s="76">
        <v>327905</v>
      </c>
      <c r="C49" s="76">
        <v>347327</v>
      </c>
      <c r="D49" s="76">
        <v>42104</v>
      </c>
      <c r="E49" s="76">
        <v>21043</v>
      </c>
      <c r="F49" s="76">
        <v>2273</v>
      </c>
      <c r="G49" s="76">
        <v>28859</v>
      </c>
      <c r="H49" s="76">
        <v>1215</v>
      </c>
      <c r="I49" s="76">
        <v>487</v>
      </c>
      <c r="J49" s="77">
        <f t="shared" si="1"/>
        <v>771213</v>
      </c>
      <c r="K49" s="70"/>
    </row>
    <row r="50" spans="1:11" ht="14.25" customHeight="1" x14ac:dyDescent="0.2">
      <c r="A50" s="75" t="s">
        <v>69</v>
      </c>
      <c r="B50" s="76">
        <v>13970</v>
      </c>
      <c r="C50" s="76">
        <v>15192</v>
      </c>
      <c r="D50" s="76">
        <v>1930</v>
      </c>
      <c r="E50" s="76">
        <v>1785</v>
      </c>
      <c r="F50" s="76">
        <v>148</v>
      </c>
      <c r="G50" s="76">
        <v>2573</v>
      </c>
      <c r="H50" s="76">
        <v>18</v>
      </c>
      <c r="I50" s="76">
        <v>28</v>
      </c>
      <c r="J50" s="77">
        <f t="shared" si="1"/>
        <v>35644</v>
      </c>
      <c r="K50" s="70"/>
    </row>
    <row r="51" spans="1:11" ht="14.25" customHeight="1" x14ac:dyDescent="0.2">
      <c r="A51" s="75" t="s">
        <v>70</v>
      </c>
      <c r="B51" s="76">
        <v>9002</v>
      </c>
      <c r="C51" s="76">
        <v>12881</v>
      </c>
      <c r="D51" s="76">
        <v>1155</v>
      </c>
      <c r="E51" s="76">
        <v>753</v>
      </c>
      <c r="F51" s="76">
        <v>86</v>
      </c>
      <c r="G51" s="76">
        <v>925</v>
      </c>
      <c r="H51" s="76">
        <v>33</v>
      </c>
      <c r="I51" s="76">
        <v>4</v>
      </c>
      <c r="J51" s="77">
        <f t="shared" si="1"/>
        <v>24839</v>
      </c>
      <c r="K51" s="70"/>
    </row>
    <row r="52" spans="1:11" ht="14.25" customHeight="1" x14ac:dyDescent="0.2">
      <c r="A52" s="75" t="s">
        <v>71</v>
      </c>
      <c r="B52" s="76">
        <v>29380</v>
      </c>
      <c r="C52" s="76">
        <v>9723</v>
      </c>
      <c r="D52" s="76">
        <v>1015</v>
      </c>
      <c r="E52" s="76">
        <v>5104</v>
      </c>
      <c r="F52" s="76">
        <v>289</v>
      </c>
      <c r="G52" s="76">
        <v>1709</v>
      </c>
      <c r="H52" s="76">
        <v>26</v>
      </c>
      <c r="I52" s="76">
        <v>61</v>
      </c>
      <c r="J52" s="77">
        <f t="shared" si="1"/>
        <v>47307</v>
      </c>
      <c r="K52" s="70"/>
    </row>
    <row r="53" spans="1:11" ht="14.25" customHeight="1" x14ac:dyDescent="0.2">
      <c r="A53" s="75" t="s">
        <v>72</v>
      </c>
      <c r="B53" s="76">
        <v>51499</v>
      </c>
      <c r="C53" s="76">
        <v>30984</v>
      </c>
      <c r="D53" s="76">
        <v>4905</v>
      </c>
      <c r="E53" s="76">
        <v>8865</v>
      </c>
      <c r="F53" s="76">
        <v>565</v>
      </c>
      <c r="G53" s="76">
        <v>3079</v>
      </c>
      <c r="H53" s="76">
        <v>63</v>
      </c>
      <c r="I53" s="76">
        <v>64</v>
      </c>
      <c r="J53" s="77">
        <f t="shared" si="1"/>
        <v>100024</v>
      </c>
      <c r="K53" s="70"/>
    </row>
    <row r="54" spans="1:11" ht="14.25" customHeight="1" x14ac:dyDescent="0.2">
      <c r="A54" s="75" t="s">
        <v>73</v>
      </c>
      <c r="B54" s="76">
        <v>16545</v>
      </c>
      <c r="C54" s="76">
        <v>14997</v>
      </c>
      <c r="D54" s="76">
        <v>1731</v>
      </c>
      <c r="E54" s="76">
        <v>1617</v>
      </c>
      <c r="F54" s="76">
        <v>139</v>
      </c>
      <c r="G54" s="76">
        <v>1222</v>
      </c>
      <c r="H54" s="76">
        <v>39</v>
      </c>
      <c r="I54" s="76">
        <v>28</v>
      </c>
      <c r="J54" s="77">
        <f t="shared" si="1"/>
        <v>36318</v>
      </c>
      <c r="K54" s="70"/>
    </row>
    <row r="55" spans="1:11" ht="14.25" customHeight="1" x14ac:dyDescent="0.2">
      <c r="A55" s="75" t="s">
        <v>74</v>
      </c>
      <c r="B55" s="76">
        <v>11116</v>
      </c>
      <c r="C55" s="76">
        <v>13490</v>
      </c>
      <c r="D55" s="76">
        <v>1731</v>
      </c>
      <c r="E55" s="76">
        <v>1423</v>
      </c>
      <c r="F55" s="76">
        <v>132</v>
      </c>
      <c r="G55" s="76">
        <v>941</v>
      </c>
      <c r="H55" s="76">
        <v>45</v>
      </c>
      <c r="I55" s="76">
        <v>19</v>
      </c>
      <c r="J55" s="77">
        <f t="shared" si="1"/>
        <v>28897</v>
      </c>
      <c r="K55" s="70"/>
    </row>
    <row r="56" spans="1:11" ht="14.25" customHeight="1" x14ac:dyDescent="0.2">
      <c r="A56" s="75" t="s">
        <v>75</v>
      </c>
      <c r="B56" s="76">
        <v>15973</v>
      </c>
      <c r="C56" s="76">
        <v>22108</v>
      </c>
      <c r="D56" s="76">
        <v>3578</v>
      </c>
      <c r="E56" s="76">
        <v>1674</v>
      </c>
      <c r="F56" s="76">
        <v>149</v>
      </c>
      <c r="G56" s="76">
        <v>1485</v>
      </c>
      <c r="H56" s="76">
        <v>37</v>
      </c>
      <c r="I56" s="76">
        <v>11</v>
      </c>
      <c r="J56" s="77">
        <f t="shared" si="1"/>
        <v>45015</v>
      </c>
      <c r="K56" s="70"/>
    </row>
    <row r="57" spans="1:11" ht="14.25" customHeight="1" x14ac:dyDescent="0.2">
      <c r="A57" s="75" t="s">
        <v>76</v>
      </c>
      <c r="B57" s="76">
        <v>272404</v>
      </c>
      <c r="C57" s="76">
        <v>141331</v>
      </c>
      <c r="D57" s="76">
        <v>12956</v>
      </c>
      <c r="E57" s="76">
        <v>15203</v>
      </c>
      <c r="F57" s="76">
        <v>1899</v>
      </c>
      <c r="G57" s="76">
        <v>20885</v>
      </c>
      <c r="H57" s="76"/>
      <c r="I57" s="76">
        <v>303</v>
      </c>
      <c r="J57" s="77">
        <f t="shared" si="1"/>
        <v>464981</v>
      </c>
      <c r="K57" s="70"/>
    </row>
    <row r="58" spans="1:11" ht="14.25" customHeight="1" x14ac:dyDescent="0.2">
      <c r="A58" s="75" t="s">
        <v>77</v>
      </c>
      <c r="B58" s="76">
        <v>4718</v>
      </c>
      <c r="C58" s="76">
        <v>11829</v>
      </c>
      <c r="D58" s="76">
        <v>1439</v>
      </c>
      <c r="E58" s="76">
        <v>612</v>
      </c>
      <c r="F58" s="76">
        <v>79</v>
      </c>
      <c r="G58" s="76">
        <v>708</v>
      </c>
      <c r="H58" s="76">
        <v>24</v>
      </c>
      <c r="I58" s="76">
        <v>6</v>
      </c>
      <c r="J58" s="77">
        <f t="shared" si="1"/>
        <v>19415</v>
      </c>
      <c r="K58" s="70"/>
    </row>
    <row r="59" spans="1:11" ht="14.25" customHeight="1" x14ac:dyDescent="0.2">
      <c r="A59" s="75" t="s">
        <v>78</v>
      </c>
      <c r="B59" s="76">
        <v>4170</v>
      </c>
      <c r="C59" s="76">
        <v>5074</v>
      </c>
      <c r="D59" s="76">
        <v>713</v>
      </c>
      <c r="E59" s="76">
        <v>301</v>
      </c>
      <c r="F59" s="76">
        <v>36</v>
      </c>
      <c r="G59" s="76">
        <v>379</v>
      </c>
      <c r="H59" s="76">
        <v>13</v>
      </c>
      <c r="I59" s="76">
        <v>12</v>
      </c>
      <c r="J59" s="77">
        <f t="shared" si="1"/>
        <v>10698</v>
      </c>
      <c r="K59" s="70"/>
    </row>
    <row r="60" spans="1:11" ht="14.25" customHeight="1" x14ac:dyDescent="0.2">
      <c r="A60" s="75" t="s">
        <v>79</v>
      </c>
      <c r="B60" s="76">
        <v>245444</v>
      </c>
      <c r="C60" s="80">
        <v>74118</v>
      </c>
      <c r="D60" s="76">
        <v>6451</v>
      </c>
      <c r="E60" s="76">
        <v>15549</v>
      </c>
      <c r="F60" s="76">
        <v>2459</v>
      </c>
      <c r="G60" s="76">
        <v>22515</v>
      </c>
      <c r="H60" s="76">
        <v>0</v>
      </c>
      <c r="I60" s="81">
        <v>810</v>
      </c>
      <c r="J60" s="77">
        <f t="shared" si="1"/>
        <v>367346</v>
      </c>
      <c r="K60" s="70"/>
    </row>
    <row r="61" spans="1:11" ht="14.25" customHeight="1" x14ac:dyDescent="0.2">
      <c r="A61" s="75" t="s">
        <v>80</v>
      </c>
      <c r="B61" s="76">
        <v>532534</v>
      </c>
      <c r="C61" s="76">
        <v>177888</v>
      </c>
      <c r="D61" s="76">
        <v>16743</v>
      </c>
      <c r="E61" s="76">
        <v>75537</v>
      </c>
      <c r="F61" s="76">
        <v>5631</v>
      </c>
      <c r="G61" s="76">
        <v>50132</v>
      </c>
      <c r="H61" s="76">
        <v>0</v>
      </c>
      <c r="I61" s="76">
        <v>3445</v>
      </c>
      <c r="J61" s="77">
        <f t="shared" si="1"/>
        <v>861910</v>
      </c>
      <c r="K61" s="70"/>
    </row>
    <row r="62" spans="1:11" ht="14.25" customHeight="1" x14ac:dyDescent="0.2">
      <c r="A62" s="75" t="s">
        <v>81</v>
      </c>
      <c r="B62" s="76">
        <v>484235</v>
      </c>
      <c r="C62" s="76">
        <v>99546</v>
      </c>
      <c r="D62" s="76">
        <v>7518</v>
      </c>
      <c r="E62" s="76">
        <v>41081</v>
      </c>
      <c r="F62" s="76">
        <v>3872</v>
      </c>
      <c r="G62" s="76">
        <v>28505</v>
      </c>
      <c r="H62" s="76">
        <v>0</v>
      </c>
      <c r="I62" s="76">
        <v>1842</v>
      </c>
      <c r="J62" s="77">
        <f t="shared" si="1"/>
        <v>666599</v>
      </c>
      <c r="K62" s="70"/>
    </row>
    <row r="63" spans="1:11" ht="14.25" customHeight="1" x14ac:dyDescent="0.2">
      <c r="A63" s="75" t="s">
        <v>82</v>
      </c>
      <c r="B63" s="80">
        <v>413547</v>
      </c>
      <c r="C63" s="80">
        <v>216552</v>
      </c>
      <c r="D63" s="80">
        <v>15855</v>
      </c>
      <c r="E63" s="80">
        <v>37813</v>
      </c>
      <c r="F63" s="80">
        <v>4565</v>
      </c>
      <c r="G63" s="80">
        <v>31467</v>
      </c>
      <c r="H63" s="80">
        <v>0</v>
      </c>
      <c r="I63" s="76">
        <v>2138</v>
      </c>
      <c r="J63" s="77">
        <f t="shared" si="1"/>
        <v>721937</v>
      </c>
      <c r="K63" s="70"/>
    </row>
    <row r="64" spans="1:11" ht="14.25" customHeight="1" x14ac:dyDescent="0.2">
      <c r="A64" s="75" t="s">
        <v>83</v>
      </c>
      <c r="B64" s="76">
        <v>68537</v>
      </c>
      <c r="C64" s="76">
        <v>112073</v>
      </c>
      <c r="D64" s="76">
        <v>7885</v>
      </c>
      <c r="E64" s="76">
        <v>5654</v>
      </c>
      <c r="F64" s="76">
        <v>1049</v>
      </c>
      <c r="G64" s="76">
        <v>5813</v>
      </c>
      <c r="H64" s="76">
        <v>0</v>
      </c>
      <c r="I64" s="76">
        <v>573</v>
      </c>
      <c r="J64" s="77">
        <f t="shared" si="1"/>
        <v>201584</v>
      </c>
      <c r="K64" s="70"/>
    </row>
    <row r="65" spans="1:10" ht="14.25" customHeight="1" x14ac:dyDescent="0.2">
      <c r="A65" s="82" t="s">
        <v>84</v>
      </c>
      <c r="B65" s="83">
        <f>SUM(B3:B64)</f>
        <v>4318903</v>
      </c>
      <c r="C65" s="83">
        <f t="shared" ref="C65:I65" si="2">SUM(C3:C64)</f>
        <v>2917044</v>
      </c>
      <c r="D65" s="83">
        <f t="shared" si="2"/>
        <v>329070</v>
      </c>
      <c r="E65" s="83">
        <f t="shared" si="2"/>
        <v>392395</v>
      </c>
      <c r="F65" s="83">
        <f t="shared" si="2"/>
        <v>39413</v>
      </c>
      <c r="G65" s="83">
        <f t="shared" si="2"/>
        <v>365214</v>
      </c>
      <c r="H65" s="83">
        <f t="shared" si="2"/>
        <v>4895</v>
      </c>
      <c r="I65" s="83">
        <f t="shared" si="2"/>
        <v>13492</v>
      </c>
      <c r="J65" s="84">
        <f t="shared" si="1"/>
        <v>8380426</v>
      </c>
    </row>
    <row r="66" spans="1:10" ht="14.25" customHeight="1" x14ac:dyDescent="0.2">
      <c r="A66" s="85" t="s">
        <v>85</v>
      </c>
      <c r="B66" s="86">
        <f>SUM(B65, E65)</f>
        <v>4711298</v>
      </c>
      <c r="C66" s="86">
        <f>SUM(C65,D65)</f>
        <v>3246114</v>
      </c>
      <c r="D66" s="87"/>
      <c r="E66" s="87"/>
      <c r="F66" s="86">
        <f>F65</f>
        <v>39413</v>
      </c>
      <c r="G66" s="86">
        <f>G65</f>
        <v>365214</v>
      </c>
      <c r="H66" s="86">
        <f>H65</f>
        <v>4895</v>
      </c>
      <c r="I66" s="87"/>
      <c r="J66" s="87"/>
    </row>
  </sheetData>
  <mergeCells count="1">
    <mergeCell ref="A1:B1"/>
  </mergeCells>
  <pageMargins left="0.25" right="0.25" top="0.25" bottom="0.25" header="0.25" footer="0.25"/>
  <pageSetup paperSize="119" scale="79" fitToWidth="0" orientation="landscape" r:id="rId1"/>
  <headerFooter alignWithMargins="0">
    <oddFooter xml:space="preserve">&amp;RPage &amp;P of &amp;N   </oddFooter>
  </headerFooter>
  <colBreaks count="2" manualBreakCount="2">
    <brk id="10" max="65" man="1"/>
    <brk id="18" max="65" man="1"/>
  </colBreaks>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E86E-9B67-4B28-AD2E-77A8EECF0A64}">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266</v>
      </c>
      <c r="B1" s="108"/>
      <c r="C1" s="108"/>
      <c r="D1" s="108"/>
      <c r="E1" s="108"/>
    </row>
    <row r="2" spans="1:5" ht="28.5" customHeight="1" x14ac:dyDescent="0.2">
      <c r="A2" s="6" t="s">
        <v>93</v>
      </c>
      <c r="B2" s="7" t="s">
        <v>253</v>
      </c>
      <c r="C2" s="7" t="s">
        <v>267</v>
      </c>
      <c r="D2" s="8" t="s">
        <v>84</v>
      </c>
      <c r="E2" s="9" t="s">
        <v>85</v>
      </c>
    </row>
    <row r="3" spans="1:5" ht="14.25" customHeight="1" x14ac:dyDescent="0.2">
      <c r="A3" s="28" t="s">
        <v>268</v>
      </c>
      <c r="B3" s="118">
        <v>112600</v>
      </c>
      <c r="C3" s="100">
        <v>93606</v>
      </c>
      <c r="D3" s="101">
        <f>SUM(RepInCongressCongressionalDistrict10General[[#This Row],[Part of Kings County Vote Results]:[Part of New York County Vote Results]])</f>
        <v>206206</v>
      </c>
      <c r="E3" s="113">
        <f>SUM(RepInCongressCongressionalDistrict10General[[#This Row],[Total Votes by Party]])</f>
        <v>206206</v>
      </c>
    </row>
    <row r="4" spans="1:5" ht="14.25" customHeight="1" x14ac:dyDescent="0.2">
      <c r="A4" s="28" t="s">
        <v>269</v>
      </c>
      <c r="B4" s="118">
        <v>18258</v>
      </c>
      <c r="C4" s="100">
        <v>19297</v>
      </c>
      <c r="D4" s="101">
        <f>SUM(RepInCongressCongressionalDistrict10General[[#This Row],[Part of Kings County Vote Results]:[Part of New York County Vote Results]])</f>
        <v>37555</v>
      </c>
      <c r="E4" s="113">
        <f>SUM(RepInCongressCongressionalDistrict10General[[#This Row],[Total Votes by Party]])</f>
        <v>37555</v>
      </c>
    </row>
    <row r="5" spans="1:5" ht="14.25" customHeight="1" x14ac:dyDescent="0.2">
      <c r="A5" s="28" t="s">
        <v>270</v>
      </c>
      <c r="B5" s="118">
        <v>3833</v>
      </c>
      <c r="C5" s="100">
        <v>2914</v>
      </c>
      <c r="D5" s="101">
        <f>SUM(RepInCongressCongressionalDistrict10General[[#This Row],[Part of Kings County Vote Results]:[Part of New York County Vote Results]])</f>
        <v>6747</v>
      </c>
      <c r="E5" s="113">
        <f>SUM(RepInCongressCongressionalDistrict10General[[#This Row],[Total Votes by Party]])</f>
        <v>6747</v>
      </c>
    </row>
    <row r="6" spans="1:5" ht="14.25" customHeight="1" x14ac:dyDescent="0.2">
      <c r="A6" s="29" t="s">
        <v>18</v>
      </c>
      <c r="B6" s="118">
        <v>12980</v>
      </c>
      <c r="C6" s="100">
        <v>11738</v>
      </c>
      <c r="D6" s="101">
        <f>SUM(RepInCongressCongressionalDistrict10General[[#This Row],[Part of Kings County Vote Results]:[Part of New York County Vote Results]])</f>
        <v>24718</v>
      </c>
      <c r="E6" s="111"/>
    </row>
    <row r="7" spans="1:5" ht="14.25" customHeight="1" x14ac:dyDescent="0.2">
      <c r="A7" s="29" t="s">
        <v>19</v>
      </c>
      <c r="B7" s="118">
        <v>0</v>
      </c>
      <c r="C7" s="100">
        <v>0</v>
      </c>
      <c r="D7" s="101">
        <f>SUM(RepInCongressCongressionalDistrict10General[[#This Row],[Part of Kings County Vote Results]:[Part of New York County Vote Results]])</f>
        <v>0</v>
      </c>
      <c r="E7" s="111"/>
    </row>
    <row r="8" spans="1:5" ht="14.25" customHeight="1" x14ac:dyDescent="0.2">
      <c r="A8" s="29" t="s">
        <v>20</v>
      </c>
      <c r="B8" s="118">
        <v>3152</v>
      </c>
      <c r="C8" s="100">
        <v>896</v>
      </c>
      <c r="D8" s="101">
        <f>SUM(RepInCongressCongressionalDistrict10General[[#This Row],[Part of Kings County Vote Results]:[Part of New York County Vote Results]])</f>
        <v>4048</v>
      </c>
      <c r="E8" s="111"/>
    </row>
    <row r="9" spans="1:5" ht="14.25" customHeight="1" x14ac:dyDescent="0.2">
      <c r="A9" s="103" t="s">
        <v>21</v>
      </c>
      <c r="B9" s="100">
        <f>SUM(RepInCongressCongressionalDistrict10General[Part of Kings County Vote Results])</f>
        <v>150823</v>
      </c>
      <c r="C9" s="100">
        <f>SUM(RepInCongressCongressionalDistrict10General[Part of New York County Vote Results])</f>
        <v>128451</v>
      </c>
      <c r="D9" s="101">
        <f>SUM(RepInCongressCongressionalDistrict10General[Total Votes by Party])</f>
        <v>279274</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48D6F-CE17-4F2B-847D-0346A10B58A6}">
  <sheetPr>
    <pageSetUpPr fitToPage="1"/>
  </sheetPr>
  <dimension ref="A1:G9"/>
  <sheetViews>
    <sheetView workbookViewId="0">
      <pane xSplit="1" topLeftCell="B1" activePane="topRight" state="frozen"/>
      <selection activeCell="A30" sqref="A30"/>
      <selection pane="topRight" activeCell="A3" sqref="A3:XFD9"/>
    </sheetView>
  </sheetViews>
  <sheetFormatPr defaultRowHeight="12.75" x14ac:dyDescent="0.2"/>
  <cols>
    <col min="1" max="1" width="25.5703125" customWidth="1"/>
    <col min="2" max="7" width="17.7109375" customWidth="1"/>
    <col min="8" max="9" width="23.5703125" customWidth="1"/>
  </cols>
  <sheetData>
    <row r="1" spans="1:7" ht="24.95" customHeight="1" x14ac:dyDescent="0.2">
      <c r="A1" s="74" t="s">
        <v>1047</v>
      </c>
      <c r="B1" s="74"/>
      <c r="C1" s="74"/>
      <c r="D1" s="74"/>
    </row>
    <row r="2" spans="1:7" ht="37.5" customHeight="1" x14ac:dyDescent="0.2">
      <c r="A2" s="19" t="s">
        <v>93</v>
      </c>
      <c r="B2" s="7" t="s">
        <v>1048</v>
      </c>
      <c r="C2" s="7" t="s">
        <v>547</v>
      </c>
      <c r="D2" s="7" t="s">
        <v>1042</v>
      </c>
      <c r="E2" s="7" t="s">
        <v>561</v>
      </c>
      <c r="F2" s="20" t="s">
        <v>84</v>
      </c>
      <c r="G2" s="21" t="s">
        <v>85</v>
      </c>
    </row>
    <row r="3" spans="1:7" ht="14.25" customHeight="1" x14ac:dyDescent="0.2">
      <c r="A3" s="10" t="s">
        <v>1049</v>
      </c>
      <c r="B3" s="11">
        <v>3095</v>
      </c>
      <c r="C3" s="11">
        <v>24280</v>
      </c>
      <c r="D3" s="11">
        <v>2506</v>
      </c>
      <c r="E3" s="11">
        <v>8961</v>
      </c>
      <c r="F3" s="12">
        <f>SUM(MemberOfAssemblyAssemblyDistrict101General[[#This Row],[Part of Delaware County Vote Results]:[Part of Ulster County Vote Results]])</f>
        <v>38842</v>
      </c>
      <c r="G3" s="116">
        <f>SUM(MemberOfAssemblyAssemblyDistrict101General[[#This Row],[Total Votes by Party]],F4)</f>
        <v>44817</v>
      </c>
    </row>
    <row r="4" spans="1:7" ht="14.25" customHeight="1" x14ac:dyDescent="0.2">
      <c r="A4" s="10" t="s">
        <v>1050</v>
      </c>
      <c r="B4" s="11">
        <v>365</v>
      </c>
      <c r="C4" s="11">
        <v>3651</v>
      </c>
      <c r="D4" s="11">
        <v>423</v>
      </c>
      <c r="E4" s="11">
        <v>1536</v>
      </c>
      <c r="F4" s="12">
        <f>SUM(MemberOfAssemblyAssemblyDistrict101General[[#This Row],[Part of Delaware County Vote Results]:[Part of Ulster County Vote Results]])</f>
        <v>5975</v>
      </c>
      <c r="G4" s="14"/>
    </row>
    <row r="5" spans="1:7" ht="14.25" customHeight="1" x14ac:dyDescent="0.2">
      <c r="A5" s="15" t="s">
        <v>18</v>
      </c>
      <c r="B5" s="11">
        <v>1828</v>
      </c>
      <c r="C5" s="11">
        <v>15051</v>
      </c>
      <c r="D5" s="11">
        <v>1463</v>
      </c>
      <c r="E5" s="11">
        <v>6964</v>
      </c>
      <c r="F5" s="12">
        <f>SUM(MemberOfAssemblyAssemblyDistrict101General[[#This Row],[Part of Delaware County Vote Results]:[Part of Ulster County Vote Results]])</f>
        <v>25306</v>
      </c>
      <c r="G5" s="14"/>
    </row>
    <row r="6" spans="1:7" ht="14.25" customHeight="1" x14ac:dyDescent="0.2">
      <c r="A6" s="15" t="s">
        <v>19</v>
      </c>
      <c r="B6" s="11">
        <v>0</v>
      </c>
      <c r="C6" s="11">
        <v>3</v>
      </c>
      <c r="D6" s="11">
        <v>0</v>
      </c>
      <c r="E6" s="11">
        <v>3</v>
      </c>
      <c r="F6" s="12">
        <f>SUM(MemberOfAssemblyAssemblyDistrict101General[[#This Row],[Part of Delaware County Vote Results]:[Part of Ulster County Vote Results]])</f>
        <v>6</v>
      </c>
      <c r="G6" s="14"/>
    </row>
    <row r="7" spans="1:7" ht="14.25" customHeight="1" x14ac:dyDescent="0.2">
      <c r="A7" s="15" t="s">
        <v>20</v>
      </c>
      <c r="B7" s="11">
        <v>35</v>
      </c>
      <c r="C7" s="11">
        <v>211</v>
      </c>
      <c r="D7" s="11">
        <v>25</v>
      </c>
      <c r="E7" s="11">
        <v>157</v>
      </c>
      <c r="F7" s="12">
        <f>SUM(MemberOfAssemblyAssemblyDistrict101General[[#This Row],[Part of Delaware County Vote Results]:[Part of Ulster County Vote Results]])</f>
        <v>428</v>
      </c>
      <c r="G7" s="14"/>
    </row>
    <row r="8" spans="1:7" ht="14.25" customHeight="1" x14ac:dyDescent="0.2">
      <c r="A8" s="16" t="s">
        <v>21</v>
      </c>
      <c r="B8" s="11">
        <f>SUM(MemberOfAssemblyAssemblyDistrict101General[Part of Delaware County Vote Results])</f>
        <v>5323</v>
      </c>
      <c r="C8" s="11">
        <f>SUM(MemberOfAssemblyAssemblyDistrict101General[Part of Orange County Vote Results])</f>
        <v>43196</v>
      </c>
      <c r="D8" s="11">
        <f>SUM(MemberOfAssemblyAssemblyDistrict101General[Part of Sullivan County Vote Results])</f>
        <v>4417</v>
      </c>
      <c r="E8" s="11">
        <f>SUM(MemberOfAssemblyAssemblyDistrict101General[Part of Ulster County Vote Results])</f>
        <v>17621</v>
      </c>
      <c r="F8" s="12">
        <f>SUM(MemberOfAssemblyAssemblyDistrict101General[Total Votes by Party])</f>
        <v>70557</v>
      </c>
      <c r="G8" s="14"/>
    </row>
    <row r="9" spans="1:7" ht="14.25" customHeight="1" x14ac:dyDescent="0.2">
      <c r="B9" s="70"/>
      <c r="D9" s="70"/>
      <c r="E9" s="70"/>
    </row>
  </sheetData>
  <pageMargins left="0.25" right="0.25" top="0.25" bottom="0.25" header="0.25" footer="0.25"/>
  <pageSetup paperSize="5" scale="94" fitToHeight="0" orientation="landscape" r:id="rId1"/>
  <headerFooter alignWithMargins="0">
    <oddFooter>&amp;RPage &amp;P of &amp;N</oddFooter>
  </headerFooter>
  <tableParts count="1">
    <tablePart r:id="rId2"/>
  </tableParts>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6EA1D-6035-4406-9CA0-71B9859E7DD3}">
  <sheetPr>
    <pageSetUpPr fitToPage="1"/>
  </sheetPr>
  <dimension ref="A1:H11"/>
  <sheetViews>
    <sheetView workbookViewId="0">
      <pane xSplit="1" topLeftCell="B1" activePane="topRight" state="frozen"/>
      <selection activeCell="A30" sqref="A30"/>
      <selection pane="topRight" activeCell="A3" sqref="A3:XFD11"/>
    </sheetView>
  </sheetViews>
  <sheetFormatPr defaultRowHeight="12.75" x14ac:dyDescent="0.2"/>
  <cols>
    <col min="1" max="1" width="25.5703125" customWidth="1"/>
    <col min="2" max="8" width="17.7109375" customWidth="1"/>
    <col min="9" max="10" width="23.5703125" customWidth="1"/>
  </cols>
  <sheetData>
    <row r="1" spans="1:8" ht="24.95" customHeight="1" x14ac:dyDescent="0.2">
      <c r="A1" s="146" t="s">
        <v>1051</v>
      </c>
      <c r="B1" s="146"/>
      <c r="C1" s="146"/>
      <c r="D1" s="146"/>
      <c r="E1" s="146"/>
      <c r="F1" s="146"/>
    </row>
    <row r="2" spans="1:8" ht="28.5" customHeight="1" x14ac:dyDescent="0.2">
      <c r="A2" s="19" t="s">
        <v>93</v>
      </c>
      <c r="B2" s="7" t="s">
        <v>572</v>
      </c>
      <c r="C2" s="7" t="s">
        <v>1048</v>
      </c>
      <c r="D2" s="7" t="s">
        <v>1052</v>
      </c>
      <c r="E2" s="7" t="s">
        <v>1053</v>
      </c>
      <c r="F2" s="7" t="s">
        <v>623</v>
      </c>
      <c r="G2" s="20" t="s">
        <v>84</v>
      </c>
      <c r="H2" s="21" t="s">
        <v>85</v>
      </c>
    </row>
    <row r="3" spans="1:8" ht="14.25" customHeight="1" x14ac:dyDescent="0.2">
      <c r="A3" s="10" t="s">
        <v>1054</v>
      </c>
      <c r="B3" s="11">
        <v>3695</v>
      </c>
      <c r="C3" s="11">
        <v>4662</v>
      </c>
      <c r="D3" s="11">
        <v>8017</v>
      </c>
      <c r="E3" s="11">
        <v>3010</v>
      </c>
      <c r="F3" s="11">
        <v>4048</v>
      </c>
      <c r="G3" s="12">
        <f>SUM(MemberOfAssemblyAssemblyDistrict102General[[#This Row],[Part of Albany County Vote Results]:[Schoharie County Vote Results]])</f>
        <v>23432</v>
      </c>
      <c r="H3" s="116">
        <f>SUM(MemberOfAssemblyAssemblyDistrict102General[[#This Row],[Total Votes by Party]],G6)</f>
        <v>26423</v>
      </c>
    </row>
    <row r="4" spans="1:8" ht="14.25" customHeight="1" x14ac:dyDescent="0.2">
      <c r="A4" s="10" t="s">
        <v>1055</v>
      </c>
      <c r="B4" s="11">
        <v>5994</v>
      </c>
      <c r="C4" s="11">
        <v>7179</v>
      </c>
      <c r="D4" s="11">
        <v>13433</v>
      </c>
      <c r="E4" s="11">
        <v>3835</v>
      </c>
      <c r="F4" s="11">
        <v>9912</v>
      </c>
      <c r="G4" s="12">
        <f>SUM(MemberOfAssemblyAssemblyDistrict102General[[#This Row],[Part of Albany County Vote Results]:[Schoharie County Vote Results]])</f>
        <v>40353</v>
      </c>
      <c r="H4" s="116">
        <f>SUM(MemberOfAssemblyAssemblyDistrict102General[[#This Row],[Total Votes by Party]],G5)</f>
        <v>46038</v>
      </c>
    </row>
    <row r="5" spans="1:8" ht="14.25" customHeight="1" x14ac:dyDescent="0.2">
      <c r="A5" s="10" t="s">
        <v>1056</v>
      </c>
      <c r="B5" s="11">
        <v>1142</v>
      </c>
      <c r="C5" s="11">
        <v>698</v>
      </c>
      <c r="D5" s="11">
        <v>1982</v>
      </c>
      <c r="E5" s="11">
        <v>505</v>
      </c>
      <c r="F5" s="11">
        <v>1358</v>
      </c>
      <c r="G5" s="12">
        <f>SUM(MemberOfAssemblyAssemblyDistrict102General[[#This Row],[Part of Albany County Vote Results]:[Schoharie County Vote Results]])</f>
        <v>5685</v>
      </c>
      <c r="H5" s="14"/>
    </row>
    <row r="6" spans="1:8" ht="14.25" customHeight="1" x14ac:dyDescent="0.2">
      <c r="A6" s="10" t="s">
        <v>1057</v>
      </c>
      <c r="B6" s="11">
        <v>505</v>
      </c>
      <c r="C6" s="11">
        <v>557</v>
      </c>
      <c r="D6" s="11">
        <v>1193</v>
      </c>
      <c r="E6" s="11">
        <v>272</v>
      </c>
      <c r="F6" s="11">
        <v>464</v>
      </c>
      <c r="G6" s="12">
        <f>SUM(MemberOfAssemblyAssemblyDistrict102General[[#This Row],[Part of Albany County Vote Results]:[Schoharie County Vote Results]])</f>
        <v>2991</v>
      </c>
      <c r="H6" s="14"/>
    </row>
    <row r="7" spans="1:8" ht="14.25" customHeight="1" x14ac:dyDescent="0.2">
      <c r="A7" s="15" t="s">
        <v>18</v>
      </c>
      <c r="B7" s="11">
        <v>560</v>
      </c>
      <c r="C7" s="11">
        <v>525</v>
      </c>
      <c r="D7" s="11">
        <v>967</v>
      </c>
      <c r="E7" s="11">
        <v>403</v>
      </c>
      <c r="F7" s="11">
        <v>404</v>
      </c>
      <c r="G7" s="12">
        <f>SUM(MemberOfAssemblyAssemblyDistrict102General[[#This Row],[Part of Albany County Vote Results]:[Schoharie County Vote Results]])</f>
        <v>2859</v>
      </c>
      <c r="H7" s="14"/>
    </row>
    <row r="8" spans="1:8" ht="14.25" customHeight="1" x14ac:dyDescent="0.2">
      <c r="A8" s="15" t="s">
        <v>19</v>
      </c>
      <c r="B8" s="11">
        <v>3</v>
      </c>
      <c r="C8" s="11">
        <v>3</v>
      </c>
      <c r="D8" s="11">
        <v>5</v>
      </c>
      <c r="E8" s="11">
        <v>2</v>
      </c>
      <c r="F8" s="11">
        <v>15</v>
      </c>
      <c r="G8" s="12">
        <f>SUM(MemberOfAssemblyAssemblyDistrict102General[[#This Row],[Part of Albany County Vote Results]:[Schoharie County Vote Results]])</f>
        <v>28</v>
      </c>
      <c r="H8" s="14"/>
    </row>
    <row r="9" spans="1:8" ht="14.25" customHeight="1" x14ac:dyDescent="0.2">
      <c r="A9" s="15" t="s">
        <v>20</v>
      </c>
      <c r="B9" s="11">
        <v>4</v>
      </c>
      <c r="C9" s="11">
        <v>8</v>
      </c>
      <c r="D9" s="11">
        <v>12</v>
      </c>
      <c r="E9" s="11">
        <v>5</v>
      </c>
      <c r="F9" s="11">
        <v>7</v>
      </c>
      <c r="G9" s="12">
        <f>SUM(MemberOfAssemblyAssemblyDistrict102General[[#This Row],[Part of Albany County Vote Results]:[Schoharie County Vote Results]])</f>
        <v>36</v>
      </c>
      <c r="H9" s="14"/>
    </row>
    <row r="10" spans="1:8" ht="14.25" customHeight="1" x14ac:dyDescent="0.2">
      <c r="A10" s="16" t="s">
        <v>21</v>
      </c>
      <c r="B10" s="11">
        <f>SUM(MemberOfAssemblyAssemblyDistrict102General[Part of Albany County Vote Results])</f>
        <v>11903</v>
      </c>
      <c r="C10" s="11">
        <f>SUM(MemberOfAssemblyAssemblyDistrict102General[Part of Delaware County Vote Results])</f>
        <v>13632</v>
      </c>
      <c r="D10" s="11">
        <f>SUM(MemberOfAssemblyAssemblyDistrict102General[Greene County Vote Results])</f>
        <v>25609</v>
      </c>
      <c r="E10" s="11">
        <f>SUM(MemberOfAssemblyAssemblyDistrict102General[Part of Otsego County Vote Results])</f>
        <v>8032</v>
      </c>
      <c r="F10" s="11">
        <f>SUM(MemberOfAssemblyAssemblyDistrict102General[Schoharie County Vote Results])</f>
        <v>16208</v>
      </c>
      <c r="G10" s="12">
        <f>SUM(MemberOfAssemblyAssemblyDistrict102General[Total Votes by Party])</f>
        <v>75384</v>
      </c>
      <c r="H10" s="14"/>
    </row>
    <row r="11" spans="1:8" ht="14.25" customHeight="1" x14ac:dyDescent="0.2">
      <c r="B11" s="70"/>
      <c r="C11" s="70"/>
      <c r="D11" s="70"/>
      <c r="F11" s="70"/>
    </row>
  </sheetData>
  <mergeCells count="1">
    <mergeCell ref="A1:F1"/>
  </mergeCells>
  <pageMargins left="0.25" right="0.25" top="0.25" bottom="0.25" header="0.25" footer="0.25"/>
  <pageSetup paperSize="5" scale="94" fitToHeight="0" orientation="landscape" r:id="rId1"/>
  <headerFooter alignWithMargins="0">
    <oddFooter>&amp;RPage &amp;P of &amp;N</oddFooter>
  </headerFooter>
  <tableParts count="1">
    <tablePart r:id="rId2"/>
  </tableParts>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7288-A6C6-4B70-90F9-520DD1CB78B0}">
  <sheetPr>
    <pageSetUpPr fitToPage="1"/>
  </sheetPr>
  <dimension ref="A1:E11"/>
  <sheetViews>
    <sheetView workbookViewId="0">
      <selection activeCell="A3" sqref="A3:XFD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1058</v>
      </c>
    </row>
    <row r="2" spans="1:5" ht="28.5" customHeight="1" x14ac:dyDescent="0.2">
      <c r="A2" s="6" t="s">
        <v>93</v>
      </c>
      <c r="B2" s="7" t="s">
        <v>546</v>
      </c>
      <c r="C2" s="7" t="s">
        <v>561</v>
      </c>
      <c r="D2" s="8" t="s">
        <v>84</v>
      </c>
      <c r="E2" s="9" t="s">
        <v>85</v>
      </c>
    </row>
    <row r="3" spans="1:5" ht="14.25" customHeight="1" x14ac:dyDescent="0.2">
      <c r="A3" s="10" t="s">
        <v>1059</v>
      </c>
      <c r="B3" s="11">
        <v>6362</v>
      </c>
      <c r="C3" s="11">
        <v>33360</v>
      </c>
      <c r="D3" s="12">
        <f>SUM(MemberOfAssemblyAssemblyDistrict103General[[#This Row],[Part of Dutchess County Vote Results]:[Part of Ulster County Vote Results]])</f>
        <v>39722</v>
      </c>
      <c r="E3" s="116">
        <f>SUM(MemberOfAssemblyAssemblyDistrict103General[[#This Row],[Total Votes by Party]],D6)</f>
        <v>46993</v>
      </c>
    </row>
    <row r="4" spans="1:5" ht="14.25" customHeight="1" x14ac:dyDescent="0.2">
      <c r="A4" s="15" t="s">
        <v>1060</v>
      </c>
      <c r="B4" s="11">
        <v>3096</v>
      </c>
      <c r="C4" s="11">
        <v>19107</v>
      </c>
      <c r="D4" s="12">
        <f>SUM(MemberOfAssemblyAssemblyDistrict103General[[#This Row],[Part of Dutchess County Vote Results]:[Part of Ulster County Vote Results]])</f>
        <v>22203</v>
      </c>
      <c r="E4" s="116">
        <f>SUM(MemberOfAssemblyAssemblyDistrict103General[[#This Row],[Total Votes by Party]],D5)</f>
        <v>26176</v>
      </c>
    </row>
    <row r="5" spans="1:5" ht="14.25" customHeight="1" x14ac:dyDescent="0.2">
      <c r="A5" s="15" t="s">
        <v>1061</v>
      </c>
      <c r="B5" s="11">
        <v>430</v>
      </c>
      <c r="C5" s="11">
        <v>3543</v>
      </c>
      <c r="D5" s="12">
        <f>SUM(MemberOfAssemblyAssemblyDistrict103General[[#This Row],[Part of Dutchess County Vote Results]:[Part of Ulster County Vote Results]])</f>
        <v>3973</v>
      </c>
      <c r="E5" s="23"/>
    </row>
    <row r="6" spans="1:5" ht="14.25" customHeight="1" x14ac:dyDescent="0.2">
      <c r="A6" s="15" t="s">
        <v>1062</v>
      </c>
      <c r="B6" s="11">
        <v>808</v>
      </c>
      <c r="C6" s="11">
        <v>6463</v>
      </c>
      <c r="D6" s="12">
        <f>SUM(MemberOfAssemblyAssemblyDistrict103General[[#This Row],[Part of Dutchess County Vote Results]:[Part of Ulster County Vote Results]])</f>
        <v>7271</v>
      </c>
      <c r="E6" s="23"/>
    </row>
    <row r="7" spans="1:5" ht="14.25" customHeight="1" x14ac:dyDescent="0.2">
      <c r="A7" s="15" t="s">
        <v>18</v>
      </c>
      <c r="B7" s="11">
        <v>547</v>
      </c>
      <c r="C7" s="11">
        <v>3299</v>
      </c>
      <c r="D7" s="12">
        <f>SUM(MemberOfAssemblyAssemblyDistrict103General[[#This Row],[Part of Dutchess County Vote Results]:[Part of Ulster County Vote Results]])</f>
        <v>3846</v>
      </c>
      <c r="E7" s="14"/>
    </row>
    <row r="8" spans="1:5" ht="14.25" customHeight="1" x14ac:dyDescent="0.2">
      <c r="A8" s="15" t="s">
        <v>19</v>
      </c>
      <c r="B8" s="11">
        <v>0</v>
      </c>
      <c r="C8" s="11">
        <v>25</v>
      </c>
      <c r="D8" s="12">
        <f>SUM(MemberOfAssemblyAssemblyDistrict103General[[#This Row],[Part of Dutchess County Vote Results]:[Part of Ulster County Vote Results]])</f>
        <v>25</v>
      </c>
      <c r="E8" s="14"/>
    </row>
    <row r="9" spans="1:5" ht="14.25" customHeight="1" x14ac:dyDescent="0.2">
      <c r="A9" s="15" t="s">
        <v>20</v>
      </c>
      <c r="B9" s="11">
        <v>3</v>
      </c>
      <c r="C9" s="11">
        <v>104</v>
      </c>
      <c r="D9" s="12">
        <f>SUM(MemberOfAssemblyAssemblyDistrict103General[[#This Row],[Part of Dutchess County Vote Results]:[Part of Ulster County Vote Results]])</f>
        <v>107</v>
      </c>
      <c r="E9" s="14"/>
    </row>
    <row r="10" spans="1:5" ht="14.25" customHeight="1" x14ac:dyDescent="0.2">
      <c r="A10" s="16" t="s">
        <v>21</v>
      </c>
      <c r="B10" s="11">
        <f>SUM(MemberOfAssemblyAssemblyDistrict103General[Part of Dutchess County Vote Results])</f>
        <v>11246</v>
      </c>
      <c r="C10" s="11">
        <f>SUM(MemberOfAssemblyAssemblyDistrict103General[Part of Ulster County Vote Results])</f>
        <v>65901</v>
      </c>
      <c r="D10" s="12">
        <f>SUM(MemberOfAssemblyAssemblyDistrict103General[Total Votes by Party])</f>
        <v>77147</v>
      </c>
      <c r="E10" s="14"/>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ignoredErrors>
    <ignoredError sqref="E3:E4" calculatedColumn="1"/>
  </ignoredErrors>
  <tableParts count="1">
    <tablePart r:id="rId2"/>
  </tableParts>
</worksheet>
</file>

<file path=xl/worksheets/sheet2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989E-4A4D-4916-9597-8B211C1B8CEB}">
  <sheetPr>
    <pageSetUpPr fitToPage="1"/>
  </sheetPr>
  <dimension ref="A1:F9"/>
  <sheetViews>
    <sheetView workbookViewId="0">
      <selection activeCell="A3" sqref="A3:XFD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1063</v>
      </c>
    </row>
    <row r="2" spans="1:6" ht="28.5" customHeight="1" x14ac:dyDescent="0.2">
      <c r="A2" s="6" t="s">
        <v>93</v>
      </c>
      <c r="B2" s="7" t="s">
        <v>546</v>
      </c>
      <c r="C2" s="7" t="s">
        <v>547</v>
      </c>
      <c r="D2" s="7" t="s">
        <v>561</v>
      </c>
      <c r="E2" s="8" t="s">
        <v>84</v>
      </c>
      <c r="F2" s="9" t="s">
        <v>85</v>
      </c>
    </row>
    <row r="3" spans="1:6" ht="14.25" customHeight="1" x14ac:dyDescent="0.2">
      <c r="A3" s="10" t="s">
        <v>1064</v>
      </c>
      <c r="B3" s="11">
        <v>11666</v>
      </c>
      <c r="C3" s="11">
        <v>12195</v>
      </c>
      <c r="D3" s="11">
        <v>7779</v>
      </c>
      <c r="E3" s="12">
        <f>SUM(MemberOfAssemblyAssemblyDistrict104General[[#This Row],[Part of Dutchess County Vote Results]:[Part of Ulster County Vote Results]])</f>
        <v>31640</v>
      </c>
      <c r="F3" s="116">
        <f>SUM(MemberOfAssemblyAssemblyDistrict104General[[#This Row],[Total Votes by Party]],E4)</f>
        <v>37275</v>
      </c>
    </row>
    <row r="4" spans="1:6" ht="14.25" customHeight="1" x14ac:dyDescent="0.2">
      <c r="A4" s="10" t="s">
        <v>1065</v>
      </c>
      <c r="B4" s="11">
        <v>1872</v>
      </c>
      <c r="C4" s="11">
        <v>1882</v>
      </c>
      <c r="D4" s="11">
        <v>1881</v>
      </c>
      <c r="E4" s="12">
        <f>SUM(MemberOfAssemblyAssemblyDistrict104General[[#This Row],[Part of Dutchess County Vote Results]:[Part of Ulster County Vote Results]])</f>
        <v>5635</v>
      </c>
      <c r="F4" s="14"/>
    </row>
    <row r="5" spans="1:6" ht="14.25" customHeight="1" x14ac:dyDescent="0.2">
      <c r="A5" s="15" t="s">
        <v>18</v>
      </c>
      <c r="B5" s="11">
        <v>4614</v>
      </c>
      <c r="C5" s="11">
        <v>9102</v>
      </c>
      <c r="D5" s="11">
        <v>6764</v>
      </c>
      <c r="E5" s="12">
        <f>SUM(MemberOfAssemblyAssemblyDistrict104General[[#This Row],[Part of Dutchess County Vote Results]:[Part of Ulster County Vote Results]])</f>
        <v>20480</v>
      </c>
      <c r="F5" s="14"/>
    </row>
    <row r="6" spans="1:6" ht="14.25" customHeight="1" x14ac:dyDescent="0.2">
      <c r="A6" s="15" t="s">
        <v>19</v>
      </c>
      <c r="B6" s="11">
        <v>2</v>
      </c>
      <c r="C6" s="11">
        <v>3</v>
      </c>
      <c r="D6" s="11">
        <v>1</v>
      </c>
      <c r="E6" s="12">
        <f>SUM(MemberOfAssemblyAssemblyDistrict104General[[#This Row],[Part of Dutchess County Vote Results]:[Part of Ulster County Vote Results]])</f>
        <v>6</v>
      </c>
      <c r="F6" s="14"/>
    </row>
    <row r="7" spans="1:6" ht="14.25" customHeight="1" x14ac:dyDescent="0.2">
      <c r="A7" s="15" t="s">
        <v>20</v>
      </c>
      <c r="B7" s="11">
        <v>71</v>
      </c>
      <c r="C7" s="11">
        <v>89</v>
      </c>
      <c r="D7" s="11">
        <v>77</v>
      </c>
      <c r="E7" s="12">
        <f>SUM(MemberOfAssemblyAssemblyDistrict104General[[#This Row],[Part of Dutchess County Vote Results]:[Part of Ulster County Vote Results]])</f>
        <v>237</v>
      </c>
      <c r="F7" s="14"/>
    </row>
    <row r="8" spans="1:6" ht="14.25" customHeight="1" x14ac:dyDescent="0.2">
      <c r="A8" s="16" t="s">
        <v>21</v>
      </c>
      <c r="B8" s="11">
        <f>SUM(MemberOfAssemblyAssemblyDistrict104General[Part of Dutchess County Vote Results])</f>
        <v>18225</v>
      </c>
      <c r="C8" s="11">
        <f>SUM(MemberOfAssemblyAssemblyDistrict104General[Part of Orange County Vote Results])</f>
        <v>23271</v>
      </c>
      <c r="D8" s="11">
        <f>SUM(MemberOfAssemblyAssemblyDistrict104General[Part of Ulster County Vote Results])</f>
        <v>16502</v>
      </c>
      <c r="E8" s="12">
        <f>SUM(MemberOfAssemblyAssemblyDistrict104General[Total Votes by Party])</f>
        <v>57998</v>
      </c>
      <c r="F8" s="14"/>
    </row>
    <row r="9" spans="1:6" ht="14.25" customHeight="1" x14ac:dyDescent="0.2">
      <c r="B9" s="70"/>
      <c r="D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3E9D9-FD5B-4284-B6F9-AF315E83A750}">
  <sheetPr>
    <pageSetUpPr fitToPage="1"/>
  </sheetPr>
  <dimension ref="A1:D8"/>
  <sheetViews>
    <sheetView workbookViewId="0">
      <selection activeCell="A3" sqref="A3:XFD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1066</v>
      </c>
    </row>
    <row r="2" spans="1:4" ht="28.5" customHeight="1" x14ac:dyDescent="0.2">
      <c r="A2" s="6" t="s">
        <v>93</v>
      </c>
      <c r="B2" s="7" t="s">
        <v>546</v>
      </c>
      <c r="C2" s="8" t="s">
        <v>84</v>
      </c>
      <c r="D2" s="9" t="s">
        <v>85</v>
      </c>
    </row>
    <row r="3" spans="1:4" ht="14.25" customHeight="1" x14ac:dyDescent="0.2">
      <c r="A3" s="10" t="s">
        <v>1067</v>
      </c>
      <c r="B3" s="11">
        <v>41926</v>
      </c>
      <c r="C3" s="12">
        <f>MemberOfAssemblyAssemblyDistrict105General[[#This Row],[Part of Dutchess County Vote Results]]</f>
        <v>41926</v>
      </c>
      <c r="D3" s="116">
        <f>SUM(MemberOfAssemblyAssemblyDistrict105General[[#This Row],[Total Votes by Party]],C4)</f>
        <v>48958</v>
      </c>
    </row>
    <row r="4" spans="1:4" ht="14.25" customHeight="1" x14ac:dyDescent="0.2">
      <c r="A4" s="10" t="s">
        <v>1068</v>
      </c>
      <c r="B4" s="11">
        <v>7032</v>
      </c>
      <c r="C4" s="12">
        <f>MemberOfAssemblyAssemblyDistrict105General[[#This Row],[Part of Dutchess County Vote Results]]</f>
        <v>7032</v>
      </c>
      <c r="D4" s="14"/>
    </row>
    <row r="5" spans="1:4" ht="14.25" customHeight="1" x14ac:dyDescent="0.2">
      <c r="A5" s="15" t="s">
        <v>18</v>
      </c>
      <c r="B5" s="11">
        <v>25477</v>
      </c>
      <c r="C5" s="12">
        <f>MemberOfAssemblyAssemblyDistrict105General[[#This Row],[Part of Dutchess County Vote Results]]</f>
        <v>25477</v>
      </c>
      <c r="D5" s="14"/>
    </row>
    <row r="6" spans="1:4" ht="14.25" customHeight="1" x14ac:dyDescent="0.2">
      <c r="A6" s="15" t="s">
        <v>19</v>
      </c>
      <c r="B6" s="11">
        <v>5</v>
      </c>
      <c r="C6" s="12">
        <f>MemberOfAssemblyAssemblyDistrict105General[[#This Row],[Part of Dutchess County Vote Results]]</f>
        <v>5</v>
      </c>
      <c r="D6" s="14"/>
    </row>
    <row r="7" spans="1:4" ht="14.25" customHeight="1" x14ac:dyDescent="0.2">
      <c r="A7" s="15" t="s">
        <v>20</v>
      </c>
      <c r="B7" s="11">
        <v>515</v>
      </c>
      <c r="C7" s="12">
        <f>MemberOfAssemblyAssemblyDistrict105General[[#This Row],[Part of Dutchess County Vote Results]]</f>
        <v>515</v>
      </c>
      <c r="D7" s="14"/>
    </row>
    <row r="8" spans="1:4" ht="14.25" customHeight="1" x14ac:dyDescent="0.2">
      <c r="A8" s="16" t="s">
        <v>21</v>
      </c>
      <c r="B8" s="11">
        <f>SUM(MemberOfAssemblyAssemblyDistrict105General[Part of Dutchess County Vote Results])</f>
        <v>74955</v>
      </c>
      <c r="C8" s="12">
        <f>SUM(MemberOfAssemblyAssemblyDistrict105General[Total Votes by Party])</f>
        <v>74955</v>
      </c>
      <c r="D8" s="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52291-0B24-430C-B384-4FA2878BA5B7}">
  <sheetPr>
    <pageSetUpPr fitToPage="1"/>
  </sheetPr>
  <dimension ref="A1:E10"/>
  <sheetViews>
    <sheetView workbookViewId="0">
      <selection activeCell="A3" sqref="A3:XFD9"/>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1069</v>
      </c>
    </row>
    <row r="2" spans="1:5" ht="28.5" customHeight="1" x14ac:dyDescent="0.2">
      <c r="A2" s="6" t="s">
        <v>93</v>
      </c>
      <c r="B2" s="7" t="s">
        <v>1070</v>
      </c>
      <c r="C2" s="7" t="s">
        <v>546</v>
      </c>
      <c r="D2" s="8" t="s">
        <v>84</v>
      </c>
      <c r="E2" s="9" t="s">
        <v>85</v>
      </c>
    </row>
    <row r="3" spans="1:5" ht="14.25" customHeight="1" x14ac:dyDescent="0.2">
      <c r="A3" s="10" t="s">
        <v>1071</v>
      </c>
      <c r="B3" s="11">
        <v>14700</v>
      </c>
      <c r="C3" s="11">
        <v>25841</v>
      </c>
      <c r="D3" s="12">
        <f>SUM(MemberOfAssemblyAssemblyDistrict106General[[#This Row],[Part of Columbia County Vote Results]:[Part of Dutchess County Vote Results]])</f>
        <v>40541</v>
      </c>
      <c r="E3" s="116">
        <f>SUM(MemberOfAssemblyAssemblyDistrict106General[[#This Row],[Total Votes by Party]])</f>
        <v>40541</v>
      </c>
    </row>
    <row r="4" spans="1:5" ht="14.25" customHeight="1" x14ac:dyDescent="0.2">
      <c r="A4" s="10" t="s">
        <v>1072</v>
      </c>
      <c r="B4" s="11">
        <v>7889</v>
      </c>
      <c r="C4" s="11">
        <v>18642</v>
      </c>
      <c r="D4" s="12">
        <f>SUM(MemberOfAssemblyAssemblyDistrict106General[[#This Row],[Part of Columbia County Vote Results]:[Part of Dutchess County Vote Results]])</f>
        <v>26531</v>
      </c>
      <c r="E4" s="116">
        <f>SUM(MemberOfAssemblyAssemblyDistrict106General[[#This Row],[Total Votes by Party]],D5)</f>
        <v>30219</v>
      </c>
    </row>
    <row r="5" spans="1:5" ht="14.25" customHeight="1" x14ac:dyDescent="0.2">
      <c r="A5" s="10" t="s">
        <v>1073</v>
      </c>
      <c r="B5" s="11">
        <v>1164</v>
      </c>
      <c r="C5" s="11">
        <v>2524</v>
      </c>
      <c r="D5" s="12">
        <f>SUM(MemberOfAssemblyAssemblyDistrict106General[[#This Row],[Part of Columbia County Vote Results]:[Part of Dutchess County Vote Results]])</f>
        <v>3688</v>
      </c>
      <c r="E5" s="14"/>
    </row>
    <row r="6" spans="1:5" ht="14.25" customHeight="1" x14ac:dyDescent="0.2">
      <c r="A6" s="15" t="s">
        <v>18</v>
      </c>
      <c r="B6" s="11">
        <v>945</v>
      </c>
      <c r="C6" s="11">
        <v>2543</v>
      </c>
      <c r="D6" s="12">
        <f>SUM(MemberOfAssemblyAssemblyDistrict106General[[#This Row],[Part of Columbia County Vote Results]:[Part of Dutchess County Vote Results]])</f>
        <v>3488</v>
      </c>
      <c r="E6" s="14"/>
    </row>
    <row r="7" spans="1:5" ht="14.25" customHeight="1" x14ac:dyDescent="0.2">
      <c r="A7" s="15" t="s">
        <v>19</v>
      </c>
      <c r="B7" s="11">
        <v>8</v>
      </c>
      <c r="C7" s="11">
        <v>16</v>
      </c>
      <c r="D7" s="12">
        <f>SUM(MemberOfAssemblyAssemblyDistrict106General[[#This Row],[Part of Columbia County Vote Results]:[Part of Dutchess County Vote Results]])</f>
        <v>24</v>
      </c>
      <c r="E7" s="14"/>
    </row>
    <row r="8" spans="1:5" ht="14.25" customHeight="1" x14ac:dyDescent="0.2">
      <c r="A8" s="15" t="s">
        <v>20</v>
      </c>
      <c r="B8" s="11">
        <v>54</v>
      </c>
      <c r="C8" s="11">
        <v>46</v>
      </c>
      <c r="D8" s="12">
        <f>SUM(MemberOfAssemblyAssemblyDistrict106General[[#This Row],[Part of Columbia County Vote Results]:[Part of Dutchess County Vote Results]])</f>
        <v>100</v>
      </c>
      <c r="E8" s="14"/>
    </row>
    <row r="9" spans="1:5" ht="14.25" customHeight="1" x14ac:dyDescent="0.2">
      <c r="A9" s="16" t="s">
        <v>21</v>
      </c>
      <c r="B9" s="11">
        <f>SUM(MemberOfAssemblyAssemblyDistrict106General[Part of Columbia County Vote Results])</f>
        <v>24760</v>
      </c>
      <c r="C9" s="11">
        <f>SUM(MemberOfAssemblyAssemblyDistrict106General[Part of Dutchess County Vote Results])</f>
        <v>49612</v>
      </c>
      <c r="D9" s="12">
        <f>SUM(MemberOfAssemblyAssemblyDistrict106General[Total Votes by Party])</f>
        <v>74372</v>
      </c>
      <c r="E9" s="14"/>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CE3B-9F9B-4666-9850-E3601DE3B0B5}">
  <sheetPr>
    <pageSetUpPr fitToPage="1"/>
  </sheetPr>
  <dimension ref="A1:G10"/>
  <sheetViews>
    <sheetView workbookViewId="0">
      <selection activeCell="A3" sqref="A3:XFD10"/>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1" t="s">
        <v>1074</v>
      </c>
    </row>
    <row r="2" spans="1:7" ht="28.5" customHeight="1" x14ac:dyDescent="0.2">
      <c r="A2" s="6" t="s">
        <v>93</v>
      </c>
      <c r="B2" s="7" t="s">
        <v>572</v>
      </c>
      <c r="C2" s="7" t="s">
        <v>1070</v>
      </c>
      <c r="D2" s="7" t="s">
        <v>1075</v>
      </c>
      <c r="E2" s="7" t="s">
        <v>574</v>
      </c>
      <c r="F2" s="8" t="s">
        <v>84</v>
      </c>
      <c r="G2" s="9" t="s">
        <v>85</v>
      </c>
    </row>
    <row r="3" spans="1:7" ht="14.25" customHeight="1" x14ac:dyDescent="0.2">
      <c r="A3" s="10" t="s">
        <v>1076</v>
      </c>
      <c r="B3" s="11">
        <v>12401</v>
      </c>
      <c r="C3" s="11">
        <v>5423</v>
      </c>
      <c r="D3" s="11">
        <v>15935</v>
      </c>
      <c r="E3" s="11">
        <v>1674</v>
      </c>
      <c r="F3" s="12">
        <f>SUM(MemberOfAssemblyAssemblyDistrict107General[[#This Row],[Part of Albany County Vote Results]:[Part of Washington County Vote Results]])</f>
        <v>35433</v>
      </c>
      <c r="G3" s="116">
        <f>SUM(MemberOfAssemblyAssemblyDistrict107General[[#This Row],[Total Votes by Party]])</f>
        <v>35433</v>
      </c>
    </row>
    <row r="4" spans="1:7" ht="14.25" customHeight="1" x14ac:dyDescent="0.2">
      <c r="A4" s="10" t="s">
        <v>1077</v>
      </c>
      <c r="B4" s="11">
        <v>6173</v>
      </c>
      <c r="C4" s="11">
        <v>4746</v>
      </c>
      <c r="D4" s="11">
        <v>20875</v>
      </c>
      <c r="E4" s="11">
        <v>1952</v>
      </c>
      <c r="F4" s="12">
        <f>SUM(MemberOfAssemblyAssemblyDistrict107General[[#This Row],[Part of Albany County Vote Results]:[Part of Washington County Vote Results]])</f>
        <v>33746</v>
      </c>
      <c r="G4" s="116">
        <f>SUM(MemberOfAssemblyAssemblyDistrict107General[[#This Row],[Total Votes by Party]],F5)</f>
        <v>39770</v>
      </c>
    </row>
    <row r="5" spans="1:7" ht="14.25" customHeight="1" x14ac:dyDescent="0.2">
      <c r="A5" s="10" t="s">
        <v>1078</v>
      </c>
      <c r="B5" s="11">
        <v>935</v>
      </c>
      <c r="C5" s="11">
        <v>861</v>
      </c>
      <c r="D5" s="11">
        <v>3856</v>
      </c>
      <c r="E5" s="11">
        <v>372</v>
      </c>
      <c r="F5" s="12">
        <f>SUM(MemberOfAssemblyAssemblyDistrict107General[[#This Row],[Part of Albany County Vote Results]:[Part of Washington County Vote Results]])</f>
        <v>6024</v>
      </c>
      <c r="G5" s="14"/>
    </row>
    <row r="6" spans="1:7" ht="14.25" customHeight="1" x14ac:dyDescent="0.2">
      <c r="A6" s="15" t="s">
        <v>18</v>
      </c>
      <c r="B6" s="11">
        <v>1085</v>
      </c>
      <c r="C6" s="11">
        <v>380</v>
      </c>
      <c r="D6" s="11">
        <v>1542</v>
      </c>
      <c r="E6" s="11">
        <v>182</v>
      </c>
      <c r="F6" s="12">
        <f>SUM(MemberOfAssemblyAssemblyDistrict107General[[#This Row],[Part of Albany County Vote Results]:[Part of Washington County Vote Results]])</f>
        <v>3189</v>
      </c>
      <c r="G6" s="14"/>
    </row>
    <row r="7" spans="1:7" ht="14.25" customHeight="1" x14ac:dyDescent="0.2">
      <c r="A7" s="15" t="s">
        <v>19</v>
      </c>
      <c r="B7" s="11">
        <v>6</v>
      </c>
      <c r="C7" s="11">
        <v>1</v>
      </c>
      <c r="D7" s="11">
        <v>4</v>
      </c>
      <c r="E7" s="11">
        <v>2</v>
      </c>
      <c r="F7" s="12">
        <f>SUM(MemberOfAssemblyAssemblyDistrict107General[[#This Row],[Part of Albany County Vote Results]:[Part of Washington County Vote Results]])</f>
        <v>13</v>
      </c>
      <c r="G7" s="14"/>
    </row>
    <row r="8" spans="1:7" ht="14.25" customHeight="1" x14ac:dyDescent="0.2">
      <c r="A8" s="15" t="s">
        <v>20</v>
      </c>
      <c r="B8" s="11">
        <v>32</v>
      </c>
      <c r="C8" s="11">
        <v>9</v>
      </c>
      <c r="D8" s="11">
        <v>22</v>
      </c>
      <c r="E8" s="11">
        <v>4</v>
      </c>
      <c r="F8" s="12">
        <f>SUM(MemberOfAssemblyAssemblyDistrict107General[[#This Row],[Part of Albany County Vote Results]:[Part of Washington County Vote Results]])</f>
        <v>67</v>
      </c>
      <c r="G8" s="14"/>
    </row>
    <row r="9" spans="1:7" ht="14.25" customHeight="1" x14ac:dyDescent="0.2">
      <c r="A9" s="16" t="s">
        <v>21</v>
      </c>
      <c r="B9" s="11">
        <f>SUM(MemberOfAssemblyAssemblyDistrict107General[Part of Albany County Vote Results])</f>
        <v>20632</v>
      </c>
      <c r="C9" s="11">
        <f>SUM(MemberOfAssemblyAssemblyDistrict107General[Part of Columbia County Vote Results])</f>
        <v>11420</v>
      </c>
      <c r="D9" s="11">
        <f>SUM(MemberOfAssemblyAssemblyDistrict107General[Part of Rensselaer County Vote Results])</f>
        <v>42234</v>
      </c>
      <c r="E9" s="11">
        <f>SUM(MemberOfAssemblyAssemblyDistrict107General[Part of Washington County Vote Results])</f>
        <v>4186</v>
      </c>
      <c r="F9" s="12">
        <f>SUM(MemberOfAssemblyAssemblyDistrict107General[Total Votes by Party])</f>
        <v>78472</v>
      </c>
      <c r="G9" s="14"/>
    </row>
    <row r="10" spans="1:7" ht="14.25" customHeight="1" x14ac:dyDescent="0.2">
      <c r="B10" s="70"/>
      <c r="C10" s="70"/>
      <c r="E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B356-E609-4C26-B993-E154EF5E2DFB}">
  <sheetPr>
    <pageSetUpPr fitToPage="1"/>
  </sheetPr>
  <dimension ref="A1:F8"/>
  <sheetViews>
    <sheetView workbookViewId="0">
      <selection activeCell="A3" sqref="A3:XFD7"/>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1079</v>
      </c>
    </row>
    <row r="2" spans="1:6" ht="28.5" customHeight="1" x14ac:dyDescent="0.2">
      <c r="A2" s="6" t="s">
        <v>93</v>
      </c>
      <c r="B2" s="7" t="s">
        <v>572</v>
      </c>
      <c r="C2" s="7" t="s">
        <v>1075</v>
      </c>
      <c r="D2" s="7" t="s">
        <v>1080</v>
      </c>
      <c r="E2" s="8" t="s">
        <v>84</v>
      </c>
      <c r="F2" s="9" t="s">
        <v>85</v>
      </c>
    </row>
    <row r="3" spans="1:6" ht="14.25" customHeight="1" x14ac:dyDescent="0.2">
      <c r="A3" s="10" t="s">
        <v>1081</v>
      </c>
      <c r="B3" s="11">
        <v>8334</v>
      </c>
      <c r="C3" s="11">
        <v>25138</v>
      </c>
      <c r="D3" s="11">
        <v>2379</v>
      </c>
      <c r="E3" s="12">
        <f>SUM(MemberOfAssemblyAssemblyDistrict108General[[#This Row],[Part of Albany County Vote Results]:[Part of Saratoga County Vote Results]])</f>
        <v>35851</v>
      </c>
      <c r="F3" s="116">
        <f>SUM(MemberOfAssemblyAssemblyDistrict108General[[#This Row],[Total Votes by Party]])</f>
        <v>35851</v>
      </c>
    </row>
    <row r="4" spans="1:6" ht="14.25" customHeight="1" x14ac:dyDescent="0.2">
      <c r="A4" s="15" t="s">
        <v>18</v>
      </c>
      <c r="B4" s="11">
        <v>3485</v>
      </c>
      <c r="C4" s="11">
        <v>11915</v>
      </c>
      <c r="D4" s="11">
        <v>1734</v>
      </c>
      <c r="E4" s="12">
        <f>SUM(MemberOfAssemblyAssemblyDistrict108General[[#This Row],[Part of Albany County Vote Results]:[Part of Saratoga County Vote Results]])</f>
        <v>17134</v>
      </c>
      <c r="F4" s="14"/>
    </row>
    <row r="5" spans="1:6" ht="14.25" customHeight="1" x14ac:dyDescent="0.2">
      <c r="A5" s="15" t="s">
        <v>19</v>
      </c>
      <c r="B5" s="11">
        <v>1</v>
      </c>
      <c r="C5" s="11">
        <v>1</v>
      </c>
      <c r="D5" s="11">
        <v>0</v>
      </c>
      <c r="E5" s="12">
        <f>SUM(MemberOfAssemblyAssemblyDistrict108General[[#This Row],[Part of Albany County Vote Results]:[Part of Saratoga County Vote Results]])</f>
        <v>2</v>
      </c>
      <c r="F5" s="14"/>
    </row>
    <row r="6" spans="1:6" ht="14.25" customHeight="1" x14ac:dyDescent="0.2">
      <c r="A6" s="15" t="s">
        <v>20</v>
      </c>
      <c r="B6" s="11">
        <v>97</v>
      </c>
      <c r="C6" s="11">
        <v>324</v>
      </c>
      <c r="D6" s="11">
        <v>11</v>
      </c>
      <c r="E6" s="12">
        <f>SUM(MemberOfAssemblyAssemblyDistrict108General[[#This Row],[Part of Albany County Vote Results]:[Part of Saratoga County Vote Results]])</f>
        <v>432</v>
      </c>
      <c r="F6" s="14"/>
    </row>
    <row r="7" spans="1:6" ht="14.25" customHeight="1" x14ac:dyDescent="0.2">
      <c r="A7" s="16" t="s">
        <v>21</v>
      </c>
      <c r="B7" s="11">
        <f>SUM(MemberOfAssemblyAssemblyDistrict108General[Part of Albany County Vote Results])</f>
        <v>11917</v>
      </c>
      <c r="C7" s="11">
        <f>SUM(MemberOfAssemblyAssemblyDistrict108General[Part of Rensselaer County Vote Results])</f>
        <v>37378</v>
      </c>
      <c r="D7" s="11">
        <f>SUM(MemberOfAssemblyAssemblyDistrict108General[Part of Saratoga County Vote Results])</f>
        <v>4124</v>
      </c>
      <c r="E7" s="12">
        <f>SUM(MemberOfAssemblyAssemblyDistrict108General[Total Votes by Party])</f>
        <v>53419</v>
      </c>
      <c r="F7" s="14"/>
    </row>
    <row r="8" spans="1:6" ht="14.25" x14ac:dyDescent="0.2">
      <c r="B8" s="70"/>
      <c r="D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A7209-EE51-4307-B577-64E0A864C9E8}">
  <sheetPr>
    <pageSetUpPr fitToPage="1"/>
  </sheetPr>
  <dimension ref="A1:D11"/>
  <sheetViews>
    <sheetView workbookViewId="0">
      <selection activeCell="A3" sqref="A3:XFD11"/>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1082</v>
      </c>
    </row>
    <row r="2" spans="1:4" ht="28.5" customHeight="1" x14ac:dyDescent="0.2">
      <c r="A2" s="6" t="s">
        <v>93</v>
      </c>
      <c r="B2" s="7" t="s">
        <v>572</v>
      </c>
      <c r="C2" s="8" t="s">
        <v>84</v>
      </c>
      <c r="D2" s="9" t="s">
        <v>85</v>
      </c>
    </row>
    <row r="3" spans="1:4" ht="14.25" customHeight="1" x14ac:dyDescent="0.2">
      <c r="A3" s="10" t="s">
        <v>1083</v>
      </c>
      <c r="B3" s="11">
        <v>31488</v>
      </c>
      <c r="C3" s="12">
        <f>MemberOfAssemblyAssemblyDistrict109General[[#This Row],[Part of Albany County Vote Results]]</f>
        <v>31488</v>
      </c>
      <c r="D3" s="116">
        <f>SUM(MemberOfAssemblyAssemblyDistrict109General[[#This Row],[Total Votes by Party]],C6)</f>
        <v>35870</v>
      </c>
    </row>
    <row r="4" spans="1:4" ht="14.25" customHeight="1" x14ac:dyDescent="0.2">
      <c r="A4" s="10" t="s">
        <v>1084</v>
      </c>
      <c r="B4" s="11">
        <v>11837</v>
      </c>
      <c r="C4" s="12">
        <f>MemberOfAssemblyAssemblyDistrict109General[[#This Row],[Part of Albany County Vote Results]]</f>
        <v>11837</v>
      </c>
      <c r="D4" s="116">
        <f>SUM(MemberOfAssemblyAssemblyDistrict109General[[#This Row],[Total Votes by Party]],C5)</f>
        <v>13671</v>
      </c>
    </row>
    <row r="5" spans="1:4" ht="14.25" customHeight="1" x14ac:dyDescent="0.2">
      <c r="A5" s="10" t="s">
        <v>1085</v>
      </c>
      <c r="B5" s="11">
        <v>1834</v>
      </c>
      <c r="C5" s="12">
        <f>MemberOfAssemblyAssemblyDistrict109General[[#This Row],[Part of Albany County Vote Results]]</f>
        <v>1834</v>
      </c>
      <c r="D5" s="14"/>
    </row>
    <row r="6" spans="1:4" ht="14.25" customHeight="1" x14ac:dyDescent="0.2">
      <c r="A6" s="10" t="s">
        <v>1086</v>
      </c>
      <c r="B6" s="11">
        <v>4382</v>
      </c>
      <c r="C6" s="12">
        <f>MemberOfAssemblyAssemblyDistrict109General[[#This Row],[Part of Albany County Vote Results]]</f>
        <v>4382</v>
      </c>
      <c r="D6" s="14"/>
    </row>
    <row r="7" spans="1:4" ht="14.25" customHeight="1" x14ac:dyDescent="0.2">
      <c r="A7" s="15" t="s">
        <v>18</v>
      </c>
      <c r="B7" s="11">
        <v>3263</v>
      </c>
      <c r="C7" s="12">
        <f>MemberOfAssemblyAssemblyDistrict109General[[#This Row],[Part of Albany County Vote Results]]</f>
        <v>3263</v>
      </c>
      <c r="D7" s="14"/>
    </row>
    <row r="8" spans="1:4" ht="14.25" customHeight="1" x14ac:dyDescent="0.2">
      <c r="A8" s="15" t="s">
        <v>19</v>
      </c>
      <c r="B8" s="11">
        <v>22</v>
      </c>
      <c r="C8" s="12">
        <f>MemberOfAssemblyAssemblyDistrict109General[[#This Row],[Part of Albany County Vote Results]]</f>
        <v>22</v>
      </c>
      <c r="D8" s="14"/>
    </row>
    <row r="9" spans="1:4" ht="14.25" customHeight="1" x14ac:dyDescent="0.2">
      <c r="A9" s="15" t="s">
        <v>20</v>
      </c>
      <c r="B9" s="11">
        <v>206</v>
      </c>
      <c r="C9" s="12">
        <f>MemberOfAssemblyAssemblyDistrict109General[[#This Row],[Part of Albany County Vote Results]]</f>
        <v>206</v>
      </c>
      <c r="D9" s="14"/>
    </row>
    <row r="10" spans="1:4" ht="14.25" customHeight="1" x14ac:dyDescent="0.2">
      <c r="A10" s="16" t="s">
        <v>21</v>
      </c>
      <c r="B10" s="11">
        <f>SUM(MemberOfAssemblyAssemblyDistrict109General[Part of Albany County Vote Results])</f>
        <v>53032</v>
      </c>
      <c r="C10" s="12">
        <f>SUM(MemberOfAssemblyAssemblyDistrict109General[Total Votes by Party])</f>
        <v>53032</v>
      </c>
      <c r="D10" s="14"/>
    </row>
    <row r="11"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CC86-5EB6-4A9F-A477-6634B7090A15}">
  <sheetPr>
    <pageSetUpPr fitToPage="1"/>
  </sheetPr>
  <dimension ref="A1:E11"/>
  <sheetViews>
    <sheetView workbookViewId="0">
      <selection activeCell="A3" sqref="A3:XFD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1087</v>
      </c>
    </row>
    <row r="2" spans="1:5" ht="28.5" customHeight="1" x14ac:dyDescent="0.2">
      <c r="A2" s="6" t="s">
        <v>93</v>
      </c>
      <c r="B2" s="7" t="s">
        <v>572</v>
      </c>
      <c r="C2" s="7" t="s">
        <v>580</v>
      </c>
      <c r="D2" s="8" t="s">
        <v>84</v>
      </c>
      <c r="E2" s="9" t="s">
        <v>85</v>
      </c>
    </row>
    <row r="3" spans="1:5" ht="14.25" customHeight="1" x14ac:dyDescent="0.2">
      <c r="A3" s="10" t="s">
        <v>1088</v>
      </c>
      <c r="B3" s="11">
        <v>26369</v>
      </c>
      <c r="C3" s="11">
        <v>10055</v>
      </c>
      <c r="D3" s="12">
        <f>SUM(MemberOfAssemblyAssemblyDistrict110General[[#This Row],[Part of Albany County Vote Results]:[Part of Schenectady County Vote Results]])</f>
        <v>36424</v>
      </c>
      <c r="E3" s="116">
        <f>SUM(MemberOfAssemblyAssemblyDistrict110General[[#This Row],[Total Votes by Party]],D6)</f>
        <v>39715</v>
      </c>
    </row>
    <row r="4" spans="1:5" ht="14.25" customHeight="1" x14ac:dyDescent="0.2">
      <c r="A4" s="10" t="s">
        <v>1089</v>
      </c>
      <c r="B4" s="11">
        <v>19640</v>
      </c>
      <c r="C4" s="11">
        <v>5228</v>
      </c>
      <c r="D4" s="12">
        <f>SUM(MemberOfAssemblyAssemblyDistrict110General[[#This Row],[Part of Albany County Vote Results]:[Part of Schenectady County Vote Results]])</f>
        <v>24868</v>
      </c>
      <c r="E4" s="116">
        <f>SUM(MemberOfAssemblyAssemblyDistrict110General[[#This Row],[Total Votes by Party]],D5)</f>
        <v>28381</v>
      </c>
    </row>
    <row r="5" spans="1:5" ht="14.25" customHeight="1" x14ac:dyDescent="0.2">
      <c r="A5" s="10" t="s">
        <v>1090</v>
      </c>
      <c r="B5" s="11">
        <v>2584</v>
      </c>
      <c r="C5" s="11">
        <v>929</v>
      </c>
      <c r="D5" s="12">
        <f>SUM(MemberOfAssemblyAssemblyDistrict110General[[#This Row],[Part of Albany County Vote Results]:[Part of Schenectady County Vote Results]])</f>
        <v>3513</v>
      </c>
      <c r="E5" s="14"/>
    </row>
    <row r="6" spans="1:5" ht="14.25" customHeight="1" x14ac:dyDescent="0.2">
      <c r="A6" s="10" t="s">
        <v>1091</v>
      </c>
      <c r="B6" s="11">
        <v>2422</v>
      </c>
      <c r="C6" s="11">
        <v>869</v>
      </c>
      <c r="D6" s="12">
        <f>SUM(MemberOfAssemblyAssemblyDistrict110General[[#This Row],[Part of Albany County Vote Results]:[Part of Schenectady County Vote Results]])</f>
        <v>3291</v>
      </c>
      <c r="E6" s="14"/>
    </row>
    <row r="7" spans="1:5" ht="14.25" customHeight="1" x14ac:dyDescent="0.2">
      <c r="A7" s="15" t="s">
        <v>18</v>
      </c>
      <c r="B7" s="11">
        <v>2280</v>
      </c>
      <c r="C7" s="11">
        <v>911</v>
      </c>
      <c r="D7" s="12">
        <f>SUM(MemberOfAssemblyAssemblyDistrict110General[[#This Row],[Part of Albany County Vote Results]:[Part of Schenectady County Vote Results]])</f>
        <v>3191</v>
      </c>
      <c r="E7" s="14"/>
    </row>
    <row r="8" spans="1:5" ht="14.25" customHeight="1" x14ac:dyDescent="0.2">
      <c r="A8" s="15" t="s">
        <v>19</v>
      </c>
      <c r="B8" s="11">
        <v>28</v>
      </c>
      <c r="C8" s="11">
        <v>5</v>
      </c>
      <c r="D8" s="12">
        <f>SUM(MemberOfAssemblyAssemblyDistrict110General[[#This Row],[Part of Albany County Vote Results]:[Part of Schenectady County Vote Results]])</f>
        <v>33</v>
      </c>
      <c r="E8" s="14"/>
    </row>
    <row r="9" spans="1:5" ht="14.25" customHeight="1" x14ac:dyDescent="0.2">
      <c r="A9" s="15" t="s">
        <v>20</v>
      </c>
      <c r="B9" s="11">
        <v>65</v>
      </c>
      <c r="C9" s="11">
        <v>23</v>
      </c>
      <c r="D9" s="12">
        <f>SUM(MemberOfAssemblyAssemblyDistrict110General[[#This Row],[Part of Albany County Vote Results]:[Part of Schenectady County Vote Results]])</f>
        <v>88</v>
      </c>
      <c r="E9" s="14"/>
    </row>
    <row r="10" spans="1:5" ht="14.25" customHeight="1" x14ac:dyDescent="0.2">
      <c r="A10" s="16" t="s">
        <v>21</v>
      </c>
      <c r="B10" s="11">
        <f>SUM(MemberOfAssemblyAssemblyDistrict110General[Part of Albany County Vote Results])</f>
        <v>53388</v>
      </c>
      <c r="C10" s="11">
        <f>SUM(MemberOfAssemblyAssemblyDistrict110General[Part of Schenectady County Vote Results])</f>
        <v>18020</v>
      </c>
      <c r="D10" s="12">
        <f>SUM(MemberOfAssemblyAssemblyDistrict110General[Total Votes by Party])</f>
        <v>71408</v>
      </c>
      <c r="E10" s="14"/>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49650-14ED-45BD-9647-522ADC90AAFA}">
  <sheetPr>
    <pageSetUpPr fitToPage="1"/>
  </sheetPr>
  <dimension ref="A1:E10"/>
  <sheetViews>
    <sheetView workbookViewId="0"/>
  </sheetViews>
  <sheetFormatPr defaultRowHeight="12.75" x14ac:dyDescent="0.2"/>
  <cols>
    <col min="1" max="1" width="25.5703125" customWidth="1"/>
    <col min="2" max="6" width="20.5703125" customWidth="1"/>
    <col min="7" max="8" width="23.5703125" customWidth="1"/>
  </cols>
  <sheetData>
    <row r="1" spans="1:5" ht="24.75" customHeight="1" x14ac:dyDescent="0.2">
      <c r="A1" s="72" t="s">
        <v>271</v>
      </c>
      <c r="B1" s="108"/>
      <c r="C1" s="108"/>
      <c r="D1" s="108"/>
      <c r="E1" s="108"/>
    </row>
    <row r="2" spans="1:5" ht="28.5" customHeight="1" x14ac:dyDescent="0.2">
      <c r="A2" s="6" t="s">
        <v>93</v>
      </c>
      <c r="B2" s="7" t="s">
        <v>253</v>
      </c>
      <c r="C2" s="7" t="s">
        <v>272</v>
      </c>
      <c r="D2" s="8" t="s">
        <v>84</v>
      </c>
      <c r="E2" s="9" t="s">
        <v>85</v>
      </c>
    </row>
    <row r="3" spans="1:5" ht="14.25" customHeight="1" x14ac:dyDescent="0.2">
      <c r="A3" s="28" t="s">
        <v>273</v>
      </c>
      <c r="B3" s="118">
        <v>28720</v>
      </c>
      <c r="C3" s="100">
        <v>64866</v>
      </c>
      <c r="D3" s="101">
        <f>SUM(RepInCongressCongressionalDistrict11General[[#This Row],[Richmond County
Vote Results]:[Part of Kings County Vote Results]])</f>
        <v>93586</v>
      </c>
      <c r="E3" s="113">
        <f>SUM(RepInCongressCongressionalDistrict11General[[#This Row],[Total Votes by Party]])</f>
        <v>93586</v>
      </c>
    </row>
    <row r="4" spans="1:5" ht="14.25" customHeight="1" x14ac:dyDescent="0.2">
      <c r="A4" s="28" t="s">
        <v>274</v>
      </c>
      <c r="B4" s="118">
        <v>31957</v>
      </c>
      <c r="C4" s="100">
        <v>121148</v>
      </c>
      <c r="D4" s="101">
        <f>SUM(RepInCongressCongressionalDistrict11General[[#This Row],[Richmond County
Vote Results]:[Part of Kings County Vote Results]])</f>
        <v>153105</v>
      </c>
      <c r="E4" s="113">
        <f>SUM(RepInCongressCongressionalDistrict11General[[#This Row],[Total Votes by Party]],D5)</f>
        <v>167099</v>
      </c>
    </row>
    <row r="5" spans="1:5" ht="14.25" customHeight="1" x14ac:dyDescent="0.2">
      <c r="A5" s="28" t="s">
        <v>275</v>
      </c>
      <c r="B5" s="118">
        <v>4414</v>
      </c>
      <c r="C5" s="100">
        <v>9580</v>
      </c>
      <c r="D5" s="101">
        <f>SUM(RepInCongressCongressionalDistrict11General[[#This Row],[Richmond County
Vote Results]:[Part of Kings County Vote Results]])</f>
        <v>13994</v>
      </c>
      <c r="E5" s="111"/>
    </row>
    <row r="6" spans="1:5" ht="14.25" customHeight="1" x14ac:dyDescent="0.2">
      <c r="A6" s="29" t="s">
        <v>18</v>
      </c>
      <c r="B6" s="118">
        <v>7577</v>
      </c>
      <c r="C6" s="100">
        <v>5284</v>
      </c>
      <c r="D6" s="101">
        <f>SUM(RepInCongressCongressionalDistrict11General[[#This Row],[Richmond County
Vote Results]:[Part of Kings County Vote Results]])</f>
        <v>12861</v>
      </c>
      <c r="E6" s="111"/>
    </row>
    <row r="7" spans="1:5" ht="14.25" customHeight="1" x14ac:dyDescent="0.2">
      <c r="A7" s="29" t="s">
        <v>19</v>
      </c>
      <c r="B7" s="118">
        <v>0</v>
      </c>
      <c r="C7" s="100">
        <v>0</v>
      </c>
      <c r="D7" s="101">
        <f>SUM(RepInCongressCongressionalDistrict11General[[#This Row],[Richmond County
Vote Results]:[Part of Kings County Vote Results]])</f>
        <v>0</v>
      </c>
      <c r="E7" s="111"/>
    </row>
    <row r="8" spans="1:5" ht="14.25" customHeight="1" x14ac:dyDescent="0.2">
      <c r="A8" s="29" t="s">
        <v>20</v>
      </c>
      <c r="B8" s="118">
        <v>337</v>
      </c>
      <c r="C8" s="100">
        <v>706</v>
      </c>
      <c r="D8" s="101">
        <f>SUM(RepInCongressCongressionalDistrict11General[[#This Row],[Richmond County
Vote Results]:[Part of Kings County Vote Results]])</f>
        <v>1043</v>
      </c>
      <c r="E8" s="111"/>
    </row>
    <row r="9" spans="1:5" ht="14.25" customHeight="1" x14ac:dyDescent="0.2">
      <c r="A9" s="103" t="s">
        <v>21</v>
      </c>
      <c r="B9" s="100">
        <f>SUM(RepInCongressCongressionalDistrict11General[Part of Kings County Vote Results])</f>
        <v>73005</v>
      </c>
      <c r="C9" s="100">
        <f>SUM(RepInCongressCongressionalDistrict11General[Richmond County
Vote Results])</f>
        <v>201584</v>
      </c>
      <c r="D9" s="101">
        <f>SUM(RepInCongressCongressionalDistrict11General[Total Votes by Party])</f>
        <v>274589</v>
      </c>
      <c r="E9" s="111"/>
    </row>
    <row r="10" spans="1:5" ht="14.25" x14ac:dyDescent="0.2">
      <c r="B10" s="70"/>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3DE64-DB8B-4E51-B6DB-9D3F032DBE4C}">
  <sheetPr>
    <pageSetUpPr fitToPage="1"/>
  </sheetPr>
  <dimension ref="A1:E11"/>
  <sheetViews>
    <sheetView workbookViewId="0">
      <selection activeCell="A3" sqref="A3:XFD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1092</v>
      </c>
    </row>
    <row r="2" spans="1:5" ht="28.5" customHeight="1" x14ac:dyDescent="0.2">
      <c r="A2" s="6" t="s">
        <v>93</v>
      </c>
      <c r="B2" s="7" t="s">
        <v>1093</v>
      </c>
      <c r="C2" s="7" t="s">
        <v>580</v>
      </c>
      <c r="D2" s="8" t="s">
        <v>84</v>
      </c>
      <c r="E2" s="9" t="s">
        <v>85</v>
      </c>
    </row>
    <row r="3" spans="1:5" ht="14.25" customHeight="1" x14ac:dyDescent="0.2">
      <c r="A3" s="10" t="s">
        <v>1094</v>
      </c>
      <c r="B3" s="22">
        <v>5868</v>
      </c>
      <c r="C3" s="11">
        <v>23980</v>
      </c>
      <c r="D3" s="12">
        <f>SUM(MemberOfAssemblyAssemblyDistrict111General[[#This Row],[Part of Montgomery County Vote Results]:[Part of Schenectady County Vote Results]])</f>
        <v>29848</v>
      </c>
      <c r="E3" s="116">
        <f>SUM(MemberOfAssemblyAssemblyDistrict111General[[#This Row],[Total Votes by Party]],D6)</f>
        <v>30842</v>
      </c>
    </row>
    <row r="4" spans="1:5" ht="14.25" customHeight="1" x14ac:dyDescent="0.2">
      <c r="A4" s="10" t="s">
        <v>1095</v>
      </c>
      <c r="B4" s="22">
        <v>3642</v>
      </c>
      <c r="C4" s="11">
        <v>12063</v>
      </c>
      <c r="D4" s="12">
        <f>SUM(MemberOfAssemblyAssemblyDistrict111General[[#This Row],[Part of Montgomery County Vote Results]:[Part of Schenectady County Vote Results]])</f>
        <v>15705</v>
      </c>
      <c r="E4" s="116">
        <f>SUM(MemberOfAssemblyAssemblyDistrict111General[[#This Row],[Total Votes by Party]],D5)</f>
        <v>18689</v>
      </c>
    </row>
    <row r="5" spans="1:5" ht="14.25" customHeight="1" x14ac:dyDescent="0.2">
      <c r="A5" s="10" t="s">
        <v>1096</v>
      </c>
      <c r="B5" s="22">
        <v>488</v>
      </c>
      <c r="C5" s="11">
        <v>2496</v>
      </c>
      <c r="D5" s="12">
        <f>SUM(MemberOfAssemblyAssemblyDistrict111General[[#This Row],[Part of Montgomery County Vote Results]:[Part of Schenectady County Vote Results]])</f>
        <v>2984</v>
      </c>
      <c r="E5" s="23"/>
    </row>
    <row r="6" spans="1:5" ht="14.25" customHeight="1" x14ac:dyDescent="0.2">
      <c r="A6" s="10" t="s">
        <v>1097</v>
      </c>
      <c r="B6" s="22">
        <v>158</v>
      </c>
      <c r="C6" s="11">
        <v>836</v>
      </c>
      <c r="D6" s="12">
        <f>SUM(MemberOfAssemblyAssemblyDistrict111General[[#This Row],[Part of Montgomery County Vote Results]:[Part of Schenectady County Vote Results]])</f>
        <v>994</v>
      </c>
      <c r="E6" s="14"/>
    </row>
    <row r="7" spans="1:5" ht="14.25" customHeight="1" x14ac:dyDescent="0.2">
      <c r="A7" s="15" t="s">
        <v>18</v>
      </c>
      <c r="B7" s="22">
        <v>460</v>
      </c>
      <c r="C7" s="11">
        <v>1908</v>
      </c>
      <c r="D7" s="12">
        <f>SUM(MemberOfAssemblyAssemblyDistrict111General[[#This Row],[Part of Montgomery County Vote Results]:[Part of Schenectady County Vote Results]])</f>
        <v>2368</v>
      </c>
      <c r="E7" s="14"/>
    </row>
    <row r="8" spans="1:5" ht="14.25" customHeight="1" x14ac:dyDescent="0.2">
      <c r="A8" s="15" t="s">
        <v>19</v>
      </c>
      <c r="B8" s="22">
        <v>25</v>
      </c>
      <c r="C8" s="11">
        <v>81</v>
      </c>
      <c r="D8" s="12">
        <f>SUM(MemberOfAssemblyAssemblyDistrict111General[[#This Row],[Part of Montgomery County Vote Results]:[Part of Schenectady County Vote Results]])</f>
        <v>106</v>
      </c>
      <c r="E8" s="14"/>
    </row>
    <row r="9" spans="1:5" ht="14.25" customHeight="1" x14ac:dyDescent="0.2">
      <c r="A9" s="15" t="s">
        <v>20</v>
      </c>
      <c r="B9" s="22">
        <v>11</v>
      </c>
      <c r="C9" s="11">
        <v>62</v>
      </c>
      <c r="D9" s="12">
        <f>SUM(MemberOfAssemblyAssemblyDistrict111General[[#This Row],[Part of Montgomery County Vote Results]:[Part of Schenectady County Vote Results]])</f>
        <v>73</v>
      </c>
      <c r="E9" s="14"/>
    </row>
    <row r="10" spans="1:5" ht="14.25" customHeight="1" x14ac:dyDescent="0.2">
      <c r="A10" s="16" t="s">
        <v>21</v>
      </c>
      <c r="B10" s="22">
        <f>SUM(MemberOfAssemblyAssemblyDistrict111General[Part of Montgomery County Vote Results])</f>
        <v>10652</v>
      </c>
      <c r="C10" s="11">
        <f>SUM(MemberOfAssemblyAssemblyDistrict111General[Part of Schenectady County Vote Results])</f>
        <v>41426</v>
      </c>
      <c r="D10" s="12">
        <f>SUM(MemberOfAssemblyAssemblyDistrict111General[Total Votes by Party])</f>
        <v>52078</v>
      </c>
      <c r="E10" s="14"/>
    </row>
    <row r="11" spans="1:5" ht="14.25" customHeight="1"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A705-63B1-49CA-B91D-DA473F1A6FFE}">
  <sheetPr>
    <pageSetUpPr fitToPage="1"/>
  </sheetPr>
  <dimension ref="A1:F11"/>
  <sheetViews>
    <sheetView workbookViewId="0">
      <selection activeCell="A3" sqref="A3:XFD10"/>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1098</v>
      </c>
    </row>
    <row r="2" spans="1:6" ht="28.5" customHeight="1" x14ac:dyDescent="0.2">
      <c r="A2" s="6" t="s">
        <v>93</v>
      </c>
      <c r="B2" s="7" t="s">
        <v>1099</v>
      </c>
      <c r="C2" s="7" t="s">
        <v>1080</v>
      </c>
      <c r="D2" s="7" t="s">
        <v>580</v>
      </c>
      <c r="E2" s="8" t="s">
        <v>84</v>
      </c>
      <c r="F2" s="9" t="s">
        <v>85</v>
      </c>
    </row>
    <row r="3" spans="1:6" ht="14.25" customHeight="1" x14ac:dyDescent="0.2">
      <c r="A3" s="10" t="s">
        <v>1100</v>
      </c>
      <c r="B3" s="11">
        <v>1110</v>
      </c>
      <c r="C3" s="11">
        <v>22402</v>
      </c>
      <c r="D3" s="11">
        <v>5105</v>
      </c>
      <c r="E3" s="12">
        <f>SUM(MemberOfAssemblyAssemblyDistrict112General[[#This Row],[Part of Fulton County Vote Results]:[Part of Schenectady County Vote Results]])</f>
        <v>28617</v>
      </c>
      <c r="F3" s="116">
        <f>SUM(MemberOfAssemblyAssemblyDistrict112General[[#This Row],[Total Votes by Party]],E6)</f>
        <v>30956</v>
      </c>
    </row>
    <row r="4" spans="1:6" ht="14.25" customHeight="1" x14ac:dyDescent="0.2">
      <c r="A4" s="10" t="s">
        <v>1101</v>
      </c>
      <c r="B4" s="11">
        <v>2843</v>
      </c>
      <c r="C4" s="11">
        <v>29554</v>
      </c>
      <c r="D4" s="11">
        <v>6197</v>
      </c>
      <c r="E4" s="12">
        <f>SUM(MemberOfAssemblyAssemblyDistrict112General[[#This Row],[Part of Fulton County Vote Results]:[Part of Schenectady County Vote Results]])</f>
        <v>38594</v>
      </c>
      <c r="F4" s="116">
        <f>SUM(MemberOfAssemblyAssemblyDistrict112General[[#This Row],[Total Votes by Party]],E5)</f>
        <v>44288</v>
      </c>
    </row>
    <row r="5" spans="1:6" ht="14.25" customHeight="1" x14ac:dyDescent="0.2">
      <c r="A5" s="10" t="s">
        <v>1102</v>
      </c>
      <c r="B5" s="11">
        <v>309</v>
      </c>
      <c r="C5" s="11">
        <v>4133</v>
      </c>
      <c r="D5" s="11">
        <v>1252</v>
      </c>
      <c r="E5" s="12">
        <f>SUM(MemberOfAssemblyAssemblyDistrict112General[[#This Row],[Part of Fulton County Vote Results]:[Part of Schenectady County Vote Results]])</f>
        <v>5694</v>
      </c>
      <c r="F5" s="14"/>
    </row>
    <row r="6" spans="1:6" ht="14.25" customHeight="1" x14ac:dyDescent="0.2">
      <c r="A6" s="15" t="s">
        <v>1103</v>
      </c>
      <c r="B6" s="11">
        <v>89</v>
      </c>
      <c r="C6" s="11">
        <v>1805</v>
      </c>
      <c r="D6" s="11">
        <v>445</v>
      </c>
      <c r="E6" s="12">
        <f>SUM(MemberOfAssemblyAssemblyDistrict112General[[#This Row],[Part of Fulton County Vote Results]:[Part of Schenectady County Vote Results]])</f>
        <v>2339</v>
      </c>
      <c r="F6" s="23"/>
    </row>
    <row r="7" spans="1:6" ht="14.25" customHeight="1" x14ac:dyDescent="0.2">
      <c r="A7" s="15" t="s">
        <v>18</v>
      </c>
      <c r="B7" s="11">
        <v>259</v>
      </c>
      <c r="C7" s="11">
        <v>2633</v>
      </c>
      <c r="D7" s="11">
        <v>658</v>
      </c>
      <c r="E7" s="12">
        <f>SUM(MemberOfAssemblyAssemblyDistrict112General[[#This Row],[Part of Fulton County Vote Results]:[Part of Schenectady County Vote Results]])</f>
        <v>3550</v>
      </c>
      <c r="F7" s="14"/>
    </row>
    <row r="8" spans="1:6" ht="14.25" customHeight="1" x14ac:dyDescent="0.2">
      <c r="A8" s="15" t="s">
        <v>19</v>
      </c>
      <c r="B8" s="11">
        <v>4</v>
      </c>
      <c r="C8" s="11">
        <v>3</v>
      </c>
      <c r="D8" s="11">
        <v>2</v>
      </c>
      <c r="E8" s="12">
        <f>SUM(MemberOfAssemblyAssemblyDistrict112General[[#This Row],[Part of Fulton County Vote Results]:[Part of Schenectady County Vote Results]])</f>
        <v>9</v>
      </c>
      <c r="F8" s="14"/>
    </row>
    <row r="9" spans="1:6" ht="14.25" customHeight="1" x14ac:dyDescent="0.2">
      <c r="A9" s="15" t="s">
        <v>20</v>
      </c>
      <c r="B9" s="11">
        <v>1</v>
      </c>
      <c r="C9" s="11">
        <v>22</v>
      </c>
      <c r="D9" s="11">
        <v>7</v>
      </c>
      <c r="E9" s="12">
        <f>SUM(MemberOfAssemblyAssemblyDistrict112General[[#This Row],[Part of Fulton County Vote Results]:[Part of Schenectady County Vote Results]])</f>
        <v>30</v>
      </c>
      <c r="F9" s="14"/>
    </row>
    <row r="10" spans="1:6" ht="14.25" customHeight="1" x14ac:dyDescent="0.2">
      <c r="A10" s="16" t="s">
        <v>21</v>
      </c>
      <c r="B10" s="11">
        <f>SUM(MemberOfAssemblyAssemblyDistrict112General[Part of Fulton County Vote Results])</f>
        <v>4615</v>
      </c>
      <c r="C10" s="11">
        <f>SUM(MemberOfAssemblyAssemblyDistrict112General[Part of Saratoga County Vote Results])</f>
        <v>60552</v>
      </c>
      <c r="D10" s="11">
        <f>SUM(MemberOfAssemblyAssemblyDistrict112General[Part of Schenectady County Vote Results])</f>
        <v>13666</v>
      </c>
      <c r="E10" s="12">
        <f>SUM(MemberOfAssemblyAssemblyDistrict112General[Total Votes by Party])</f>
        <v>78833</v>
      </c>
      <c r="F10" s="14"/>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6BDED-111A-4485-929D-5B6FCC1E83FE}">
  <sheetPr>
    <pageSetUpPr fitToPage="1"/>
  </sheetPr>
  <dimension ref="A1:F10"/>
  <sheetViews>
    <sheetView workbookViewId="0">
      <selection activeCell="A3" sqref="A3:XFD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1104</v>
      </c>
    </row>
    <row r="2" spans="1:6" ht="28.5" customHeight="1" x14ac:dyDescent="0.2">
      <c r="A2" s="6" t="s">
        <v>93</v>
      </c>
      <c r="B2" s="7" t="s">
        <v>1080</v>
      </c>
      <c r="C2" s="7" t="s">
        <v>1105</v>
      </c>
      <c r="D2" s="7" t="s">
        <v>574</v>
      </c>
      <c r="E2" s="8" t="s">
        <v>84</v>
      </c>
      <c r="F2" s="9" t="s">
        <v>85</v>
      </c>
    </row>
    <row r="3" spans="1:6" ht="14.25" customHeight="1" x14ac:dyDescent="0.2">
      <c r="A3" s="10" t="s">
        <v>1106</v>
      </c>
      <c r="B3" s="11">
        <v>30381</v>
      </c>
      <c r="C3" s="11">
        <v>4090</v>
      </c>
      <c r="D3" s="11">
        <v>3877</v>
      </c>
      <c r="E3" s="12">
        <f>SUM(MemberOfAssemblyAssemblyDistrict113General[[#This Row],[Part of Saratoga County Vote Results]:[Part of Washington County Vote Results]])</f>
        <v>38348</v>
      </c>
      <c r="F3" s="116">
        <f>SUM(MemberOfAssemblyAssemblyDistrict113General[[#This Row],[Total Votes by Party]])</f>
        <v>38348</v>
      </c>
    </row>
    <row r="4" spans="1:6" ht="14.25" customHeight="1" x14ac:dyDescent="0.2">
      <c r="A4" s="10" t="s">
        <v>1107</v>
      </c>
      <c r="B4" s="11">
        <v>22190</v>
      </c>
      <c r="C4" s="11">
        <v>2207</v>
      </c>
      <c r="D4" s="11">
        <v>3426</v>
      </c>
      <c r="E4" s="12">
        <f>SUM(MemberOfAssemblyAssemblyDistrict113General[[#This Row],[Part of Saratoga County Vote Results]:[Part of Washington County Vote Results]])</f>
        <v>27823</v>
      </c>
      <c r="F4" s="116">
        <f>SUM(MemberOfAssemblyAssemblyDistrict113General[[#This Row],[Total Votes by Party]],E5)</f>
        <v>31540</v>
      </c>
    </row>
    <row r="5" spans="1:6" ht="14.25" customHeight="1" x14ac:dyDescent="0.2">
      <c r="A5" s="10" t="s">
        <v>1108</v>
      </c>
      <c r="B5" s="11">
        <v>2970</v>
      </c>
      <c r="C5" s="11">
        <v>308</v>
      </c>
      <c r="D5" s="11">
        <v>439</v>
      </c>
      <c r="E5" s="12">
        <f>SUM(MemberOfAssemblyAssemblyDistrict113General[[#This Row],[Part of Saratoga County Vote Results]:[Part of Washington County Vote Results]])</f>
        <v>3717</v>
      </c>
      <c r="F5" s="14"/>
    </row>
    <row r="6" spans="1:6" ht="14.25" customHeight="1" x14ac:dyDescent="0.2">
      <c r="A6" s="15" t="s">
        <v>18</v>
      </c>
      <c r="B6" s="11">
        <v>2390</v>
      </c>
      <c r="C6" s="11">
        <v>236</v>
      </c>
      <c r="D6" s="11">
        <v>254</v>
      </c>
      <c r="E6" s="12">
        <f>SUM(MemberOfAssemblyAssemblyDistrict113General[[#This Row],[Part of Saratoga County Vote Results]:[Part of Washington County Vote Results]])</f>
        <v>2880</v>
      </c>
      <c r="F6" s="14"/>
    </row>
    <row r="7" spans="1:6" ht="14.25" customHeight="1" x14ac:dyDescent="0.2">
      <c r="A7" s="15" t="s">
        <v>19</v>
      </c>
      <c r="B7" s="11">
        <v>10</v>
      </c>
      <c r="C7" s="11">
        <v>2</v>
      </c>
      <c r="D7" s="11">
        <v>14</v>
      </c>
      <c r="E7" s="12">
        <f>SUM(MemberOfAssemblyAssemblyDistrict113General[[#This Row],[Part of Saratoga County Vote Results]:[Part of Washington County Vote Results]])</f>
        <v>26</v>
      </c>
      <c r="F7" s="14"/>
    </row>
    <row r="8" spans="1:6" ht="14.25" customHeight="1" x14ac:dyDescent="0.2">
      <c r="A8" s="15" t="s">
        <v>20</v>
      </c>
      <c r="B8" s="11">
        <v>19</v>
      </c>
      <c r="C8" s="11">
        <v>8</v>
      </c>
      <c r="D8" s="11">
        <v>2</v>
      </c>
      <c r="E8" s="12">
        <f>SUM(MemberOfAssemblyAssemblyDistrict113General[[#This Row],[Part of Saratoga County Vote Results]:[Part of Washington County Vote Results]])</f>
        <v>29</v>
      </c>
      <c r="F8" s="14"/>
    </row>
    <row r="9" spans="1:6" ht="14.25" customHeight="1" x14ac:dyDescent="0.2">
      <c r="A9" s="16" t="s">
        <v>21</v>
      </c>
      <c r="B9" s="11">
        <f>SUM(MemberOfAssemblyAssemblyDistrict113General[Part of Saratoga County Vote Results])</f>
        <v>57960</v>
      </c>
      <c r="C9" s="11">
        <f>SUM(MemberOfAssemblyAssemblyDistrict113General[Part of Warren County Vote Results])</f>
        <v>6851</v>
      </c>
      <c r="D9" s="11">
        <f>SUM(MemberOfAssemblyAssemblyDistrict113General[Part of Washington County Vote Results])</f>
        <v>8012</v>
      </c>
      <c r="E9" s="12">
        <f>SUM(MemberOfAssemblyAssemblyDistrict113General[Total Votes by Party])</f>
        <v>72823</v>
      </c>
      <c r="F9" s="14"/>
    </row>
    <row r="10" spans="1:6" ht="14.25" x14ac:dyDescent="0.2">
      <c r="C10" s="70"/>
      <c r="D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FF09A-4F66-41E9-9EA9-9C6537C416E3}">
  <sheetPr>
    <pageSetUpPr fitToPage="1"/>
  </sheetPr>
  <dimension ref="A1:H9"/>
  <sheetViews>
    <sheetView workbookViewId="0">
      <selection activeCell="A3" sqref="A3:XFD8"/>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1" t="s">
        <v>1109</v>
      </c>
    </row>
    <row r="2" spans="1:8" ht="28.5" customHeight="1" x14ac:dyDescent="0.2">
      <c r="A2" s="6" t="s">
        <v>93</v>
      </c>
      <c r="B2" s="7" t="s">
        <v>1110</v>
      </c>
      <c r="C2" s="7" t="s">
        <v>1099</v>
      </c>
      <c r="D2" s="7" t="s">
        <v>1080</v>
      </c>
      <c r="E2" s="7" t="s">
        <v>1105</v>
      </c>
      <c r="F2" s="7" t="s">
        <v>574</v>
      </c>
      <c r="G2" s="8" t="s">
        <v>84</v>
      </c>
      <c r="H2" s="9" t="s">
        <v>85</v>
      </c>
    </row>
    <row r="3" spans="1:8" ht="14.25" customHeight="1" x14ac:dyDescent="0.2">
      <c r="A3" s="10" t="s">
        <v>1111</v>
      </c>
      <c r="B3" s="11">
        <v>7546</v>
      </c>
      <c r="C3" s="11">
        <v>981</v>
      </c>
      <c r="D3" s="11">
        <v>6328</v>
      </c>
      <c r="E3" s="11">
        <v>17954</v>
      </c>
      <c r="F3" s="11">
        <v>10835</v>
      </c>
      <c r="G3" s="12">
        <f>SUM(MemberOfAssemblyAssemblyDistrict114General[[#This Row],[Part of Essex County Vote Results]:[Part of Washington County Vote Results]])</f>
        <v>43644</v>
      </c>
      <c r="H3" s="116">
        <f>SUM(MemberOfAssemblyAssemblyDistrict114General[[#This Row],[Total Votes by Party]],G4)</f>
        <v>50550</v>
      </c>
    </row>
    <row r="4" spans="1:8" ht="14.25" customHeight="1" x14ac:dyDescent="0.2">
      <c r="A4" s="10" t="s">
        <v>1112</v>
      </c>
      <c r="B4" s="11">
        <v>998</v>
      </c>
      <c r="C4" s="11">
        <v>144</v>
      </c>
      <c r="D4" s="11">
        <v>942</v>
      </c>
      <c r="E4" s="11">
        <v>3086</v>
      </c>
      <c r="F4" s="11">
        <v>1736</v>
      </c>
      <c r="G4" s="12">
        <f>SUM(MemberOfAssemblyAssemblyDistrict114General[[#This Row],[Part of Essex County Vote Results]:[Part of Washington County Vote Results]])</f>
        <v>6906</v>
      </c>
      <c r="H4" s="14"/>
    </row>
    <row r="5" spans="1:8" ht="14.25" customHeight="1" x14ac:dyDescent="0.2">
      <c r="A5" s="15" t="s">
        <v>18</v>
      </c>
      <c r="B5" s="11">
        <v>3612</v>
      </c>
      <c r="C5" s="11">
        <v>371</v>
      </c>
      <c r="D5" s="11">
        <v>2886</v>
      </c>
      <c r="E5" s="11">
        <v>8194</v>
      </c>
      <c r="F5" s="11">
        <v>3994</v>
      </c>
      <c r="G5" s="12">
        <f>SUM(MemberOfAssemblyAssemblyDistrict114General[[#This Row],[Part of Essex County Vote Results]:[Part of Washington County Vote Results]])</f>
        <v>19057</v>
      </c>
      <c r="H5" s="14"/>
    </row>
    <row r="6" spans="1:8" ht="14.25" customHeight="1" x14ac:dyDescent="0.2">
      <c r="A6" s="15" t="s">
        <v>19</v>
      </c>
      <c r="B6" s="11">
        <v>12</v>
      </c>
      <c r="C6" s="11">
        <v>0</v>
      </c>
      <c r="D6" s="11">
        <v>1</v>
      </c>
      <c r="E6" s="11">
        <v>0</v>
      </c>
      <c r="F6" s="11">
        <v>4</v>
      </c>
      <c r="G6" s="12">
        <f>SUM(MemberOfAssemblyAssemblyDistrict114General[[#This Row],[Part of Essex County Vote Results]:[Part of Washington County Vote Results]])</f>
        <v>17</v>
      </c>
      <c r="H6" s="14"/>
    </row>
    <row r="7" spans="1:8" ht="14.25" customHeight="1" x14ac:dyDescent="0.2">
      <c r="A7" s="15" t="s">
        <v>20</v>
      </c>
      <c r="B7" s="11">
        <v>36</v>
      </c>
      <c r="C7" s="11">
        <v>6</v>
      </c>
      <c r="D7" s="11">
        <v>24</v>
      </c>
      <c r="E7" s="11">
        <v>233</v>
      </c>
      <c r="F7" s="11">
        <v>88</v>
      </c>
      <c r="G7" s="12">
        <f>SUM(MemberOfAssemblyAssemblyDistrict114General[[#This Row],[Part of Essex County Vote Results]:[Part of Washington County Vote Results]])</f>
        <v>387</v>
      </c>
      <c r="H7" s="14"/>
    </row>
    <row r="8" spans="1:8" ht="14.25" customHeight="1" x14ac:dyDescent="0.2">
      <c r="A8" s="16" t="s">
        <v>21</v>
      </c>
      <c r="B8" s="11">
        <f>SUM(MemberOfAssemblyAssemblyDistrict114General[Part of Essex County Vote Results])</f>
        <v>12204</v>
      </c>
      <c r="C8" s="11">
        <f>SUM(MemberOfAssemblyAssemblyDistrict114General[Part of Fulton County Vote Results])</f>
        <v>1502</v>
      </c>
      <c r="D8" s="11">
        <f>SUM(MemberOfAssemblyAssemblyDistrict114General[Part of Saratoga County Vote Results])</f>
        <v>10181</v>
      </c>
      <c r="E8" s="11">
        <f>SUM(MemberOfAssemblyAssemblyDistrict114General[Part of Warren County Vote Results])</f>
        <v>29467</v>
      </c>
      <c r="F8" s="11">
        <f>SUM(MemberOfAssemblyAssemblyDistrict114General[Part of Washington County Vote Results])</f>
        <v>16657</v>
      </c>
      <c r="G8" s="12">
        <f>SUM(MemberOfAssemblyAssemblyDistrict114General[Total Votes by Party])</f>
        <v>70011</v>
      </c>
      <c r="H8" s="14"/>
    </row>
    <row r="9" spans="1:8" ht="14.25" x14ac:dyDescent="0.2">
      <c r="B9" s="70"/>
      <c r="C9" s="70"/>
      <c r="E9" s="70"/>
      <c r="F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B74EA-68E4-4616-8884-4DF20DEDF073}">
  <sheetPr>
    <pageSetUpPr fitToPage="1"/>
  </sheetPr>
  <dimension ref="A1:F8"/>
  <sheetViews>
    <sheetView workbookViewId="0">
      <selection activeCell="A3" sqref="A3:XFD7"/>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1" t="s">
        <v>1113</v>
      </c>
    </row>
    <row r="2" spans="1:6" ht="28.5" customHeight="1" x14ac:dyDescent="0.2">
      <c r="A2" s="6" t="s">
        <v>93</v>
      </c>
      <c r="B2" s="7" t="s">
        <v>586</v>
      </c>
      <c r="C2" s="7" t="s">
        <v>1110</v>
      </c>
      <c r="D2" s="7" t="s">
        <v>587</v>
      </c>
      <c r="E2" s="8" t="s">
        <v>84</v>
      </c>
      <c r="F2" s="9" t="s">
        <v>85</v>
      </c>
    </row>
    <row r="3" spans="1:6" ht="14.25" customHeight="1" x14ac:dyDescent="0.2">
      <c r="A3" s="10" t="s">
        <v>1114</v>
      </c>
      <c r="B3" s="11">
        <v>26626</v>
      </c>
      <c r="C3" s="11">
        <v>4967</v>
      </c>
      <c r="D3" s="11">
        <v>13278</v>
      </c>
      <c r="E3" s="12">
        <f>SUM(MemberOfAssemblyAssemblyDistrict115General[[#This Row],[Clinton County Vote Results]:[Franklin County Vote Results]])</f>
        <v>44871</v>
      </c>
      <c r="F3" s="116">
        <f>SUM(MemberOfAssemblyAssemblyDistrict115General[[#This Row],[Total Votes by Party]])</f>
        <v>44871</v>
      </c>
    </row>
    <row r="4" spans="1:6" ht="14.25" customHeight="1" x14ac:dyDescent="0.2">
      <c r="A4" s="15" t="s">
        <v>18</v>
      </c>
      <c r="B4" s="11">
        <v>9422</v>
      </c>
      <c r="C4" s="11">
        <v>2351</v>
      </c>
      <c r="D4" s="11">
        <v>6223</v>
      </c>
      <c r="E4" s="12">
        <f>SUM(MemberOfAssemblyAssemblyDistrict115General[[#This Row],[Clinton County Vote Results]:[Franklin County Vote Results]])</f>
        <v>17996</v>
      </c>
      <c r="F4" s="14"/>
    </row>
    <row r="5" spans="1:6" ht="14.25" customHeight="1" x14ac:dyDescent="0.2">
      <c r="A5" s="15" t="s">
        <v>19</v>
      </c>
      <c r="B5" s="11">
        <v>6</v>
      </c>
      <c r="C5" s="11">
        <v>1</v>
      </c>
      <c r="D5" s="11">
        <v>4</v>
      </c>
      <c r="E5" s="12">
        <f>SUM(MemberOfAssemblyAssemblyDistrict115General[[#This Row],[Clinton County Vote Results]:[Franklin County Vote Results]])</f>
        <v>11</v>
      </c>
      <c r="F5" s="14"/>
    </row>
    <row r="6" spans="1:6" ht="14.25" customHeight="1" x14ac:dyDescent="0.2">
      <c r="A6" s="15" t="s">
        <v>20</v>
      </c>
      <c r="B6" s="11">
        <v>184</v>
      </c>
      <c r="C6" s="11">
        <v>6</v>
      </c>
      <c r="D6" s="11">
        <v>85</v>
      </c>
      <c r="E6" s="12">
        <f>SUM(MemberOfAssemblyAssemblyDistrict115General[[#This Row],[Clinton County Vote Results]:[Franklin County Vote Results]])</f>
        <v>275</v>
      </c>
      <c r="F6" s="14"/>
    </row>
    <row r="7" spans="1:6" ht="14.25" customHeight="1" x14ac:dyDescent="0.2">
      <c r="A7" s="16" t="s">
        <v>21</v>
      </c>
      <c r="B7" s="11">
        <f>SUM(MemberOfAssemblyAssemblyDistrict115General[Clinton County Vote Results])</f>
        <v>36238</v>
      </c>
      <c r="C7" s="11">
        <f>SUM(MemberOfAssemblyAssemblyDistrict115General[Part of Essex County Vote Results])</f>
        <v>7325</v>
      </c>
      <c r="D7" s="11">
        <f>SUM(MemberOfAssemblyAssemblyDistrict115General[Franklin County Vote Results])</f>
        <v>19590</v>
      </c>
      <c r="E7" s="12">
        <f>SUM(MemberOfAssemblyAssemblyDistrict115General[Total Votes by Party])</f>
        <v>63153</v>
      </c>
      <c r="F7" s="14"/>
    </row>
    <row r="8" spans="1:6" ht="14.25" x14ac:dyDescent="0.2">
      <c r="B8" s="70"/>
      <c r="C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C469-4818-43C4-BC3A-03BA73238174}">
  <sheetPr>
    <pageSetUpPr fitToPage="1"/>
  </sheetPr>
  <dimension ref="A1:E9"/>
  <sheetViews>
    <sheetView workbookViewId="0">
      <selection activeCell="A3" sqref="A3:XFD8"/>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1" t="s">
        <v>1115</v>
      </c>
    </row>
    <row r="2" spans="1:5" ht="28.5" customHeight="1" x14ac:dyDescent="0.2">
      <c r="A2" s="6" t="s">
        <v>93</v>
      </c>
      <c r="B2" s="7" t="s">
        <v>1116</v>
      </c>
      <c r="C2" s="7" t="s">
        <v>588</v>
      </c>
      <c r="D2" s="8" t="s">
        <v>84</v>
      </c>
      <c r="E2" s="9" t="s">
        <v>85</v>
      </c>
    </row>
    <row r="3" spans="1:5" ht="14.25" customHeight="1" x14ac:dyDescent="0.2">
      <c r="A3" s="10" t="s">
        <v>1117</v>
      </c>
      <c r="B3" s="11">
        <v>20027</v>
      </c>
      <c r="C3" s="11">
        <v>17386</v>
      </c>
      <c r="D3" s="12">
        <f>SUM(MemberOfAssemblyAssemblyDistrict116General[[#This Row],[Part of Jefferson County Vote Results]:[Part of St. Lawrence County Vote Results]])</f>
        <v>37413</v>
      </c>
      <c r="E3" s="116">
        <f>SUM(MemberOfAssemblyAssemblyDistrict116General[[#This Row],[Total Votes by Party]],D4)</f>
        <v>43672</v>
      </c>
    </row>
    <row r="4" spans="1:5" ht="14.25" customHeight="1" x14ac:dyDescent="0.2">
      <c r="A4" s="10" t="s">
        <v>1118</v>
      </c>
      <c r="B4" s="11">
        <v>3197</v>
      </c>
      <c r="C4" s="11">
        <v>3062</v>
      </c>
      <c r="D4" s="12">
        <f>SUM(MemberOfAssemblyAssemblyDistrict116General[[#This Row],[Part of Jefferson County Vote Results]:[Part of St. Lawrence County Vote Results]])</f>
        <v>6259</v>
      </c>
      <c r="E4" s="14"/>
    </row>
    <row r="5" spans="1:5" ht="14.25" customHeight="1" x14ac:dyDescent="0.2">
      <c r="A5" s="15" t="s">
        <v>18</v>
      </c>
      <c r="B5" s="11">
        <v>6063</v>
      </c>
      <c r="C5" s="11">
        <v>7203</v>
      </c>
      <c r="D5" s="12">
        <f>SUM(MemberOfAssemblyAssemblyDistrict116General[[#This Row],[Part of Jefferson County Vote Results]:[Part of St. Lawrence County Vote Results]])</f>
        <v>13266</v>
      </c>
      <c r="E5" s="14"/>
    </row>
    <row r="6" spans="1:5" ht="14.25" customHeight="1" x14ac:dyDescent="0.2">
      <c r="A6" s="15" t="s">
        <v>19</v>
      </c>
      <c r="B6" s="11">
        <v>2</v>
      </c>
      <c r="C6" s="11">
        <v>0</v>
      </c>
      <c r="D6" s="12">
        <f>SUM(MemberOfAssemblyAssemblyDistrict116General[[#This Row],[Part of Jefferson County Vote Results]:[Part of St. Lawrence County Vote Results]])</f>
        <v>2</v>
      </c>
      <c r="E6" s="14"/>
    </row>
    <row r="7" spans="1:5" ht="14.25" customHeight="1" x14ac:dyDescent="0.2">
      <c r="A7" s="15" t="s">
        <v>20</v>
      </c>
      <c r="B7" s="11">
        <v>189</v>
      </c>
      <c r="C7" s="11">
        <v>126</v>
      </c>
      <c r="D7" s="12">
        <f>SUM(MemberOfAssemblyAssemblyDistrict116General[[#This Row],[Part of Jefferson County Vote Results]:[Part of St. Lawrence County Vote Results]])</f>
        <v>315</v>
      </c>
      <c r="E7" s="14"/>
    </row>
    <row r="8" spans="1:5" ht="14.25" customHeight="1" x14ac:dyDescent="0.2">
      <c r="A8" s="16" t="s">
        <v>21</v>
      </c>
      <c r="B8" s="11">
        <f>SUM(MemberOfAssemblyAssemblyDistrict116General[Part of Jefferson County Vote Results])</f>
        <v>29478</v>
      </c>
      <c r="C8" s="11">
        <f>SUM(MemberOfAssemblyAssemblyDistrict116General[Part of St. Lawrence County Vote Results])</f>
        <v>27777</v>
      </c>
      <c r="D8" s="12">
        <f>SUM(MemberOfAssemblyAssemblyDistrict116General[Total Votes by Party])</f>
        <v>57255</v>
      </c>
      <c r="E8" s="14"/>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1EBA7-6DED-42DB-BA35-D27BBF68601F}">
  <sheetPr>
    <pageSetUpPr fitToPage="1"/>
  </sheetPr>
  <dimension ref="A1:G9"/>
  <sheetViews>
    <sheetView workbookViewId="0">
      <selection activeCell="A3" sqref="A3:XFD8"/>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1" t="s">
        <v>1119</v>
      </c>
    </row>
    <row r="2" spans="1:7" ht="28.5" customHeight="1" x14ac:dyDescent="0.2">
      <c r="A2" s="6" t="s">
        <v>93</v>
      </c>
      <c r="B2" s="7" t="s">
        <v>1116</v>
      </c>
      <c r="C2" s="7" t="s">
        <v>1120</v>
      </c>
      <c r="D2" s="7" t="s">
        <v>1121</v>
      </c>
      <c r="E2" s="7" t="s">
        <v>588</v>
      </c>
      <c r="F2" s="8" t="s">
        <v>84</v>
      </c>
      <c r="G2" s="9" t="s">
        <v>85</v>
      </c>
    </row>
    <row r="3" spans="1:7" ht="14.25" customHeight="1" x14ac:dyDescent="0.2">
      <c r="A3" s="10" t="s">
        <v>1122</v>
      </c>
      <c r="B3" s="11">
        <v>6235</v>
      </c>
      <c r="C3" s="11">
        <v>9664</v>
      </c>
      <c r="D3" s="11">
        <v>9310</v>
      </c>
      <c r="E3" s="11">
        <v>11013</v>
      </c>
      <c r="F3" s="12">
        <f>SUM(MemberOfAssemblyAssemblyDistrict117General[[#This Row],[Part of Jefferson County Vote Results]:[Part of St. Lawrence County Vote Results]])</f>
        <v>36222</v>
      </c>
      <c r="G3" s="116">
        <f>SUM(MemberOfAssemblyAssemblyDistrict117General[[#This Row],[Total Votes by Party]],F4)</f>
        <v>41447</v>
      </c>
    </row>
    <row r="4" spans="1:7" ht="14.25" customHeight="1" x14ac:dyDescent="0.2">
      <c r="A4" s="10" t="s">
        <v>1123</v>
      </c>
      <c r="B4" s="11">
        <v>892</v>
      </c>
      <c r="C4" s="11">
        <v>1216</v>
      </c>
      <c r="D4" s="11">
        <v>1328</v>
      </c>
      <c r="E4" s="11">
        <v>1789</v>
      </c>
      <c r="F4" s="12">
        <f>SUM(MemberOfAssemblyAssemblyDistrict117General[[#This Row],[Part of Jefferson County Vote Results]:[Part of St. Lawrence County Vote Results]])</f>
        <v>5225</v>
      </c>
      <c r="G4" s="14"/>
    </row>
    <row r="5" spans="1:7" ht="14.25" customHeight="1" x14ac:dyDescent="0.2">
      <c r="A5" s="15" t="s">
        <v>18</v>
      </c>
      <c r="B5" s="11">
        <v>1772</v>
      </c>
      <c r="C5" s="11">
        <v>2318</v>
      </c>
      <c r="D5" s="11">
        <v>2707</v>
      </c>
      <c r="E5" s="11">
        <v>3934</v>
      </c>
      <c r="F5" s="12">
        <f>SUM(MemberOfAssemblyAssemblyDistrict117General[[#This Row],[Part of Jefferson County Vote Results]:[Part of St. Lawrence County Vote Results]])</f>
        <v>10731</v>
      </c>
      <c r="G5" s="14"/>
    </row>
    <row r="6" spans="1:7" ht="14.25" customHeight="1" x14ac:dyDescent="0.2">
      <c r="A6" s="15" t="s">
        <v>19</v>
      </c>
      <c r="B6" s="11">
        <v>0</v>
      </c>
      <c r="C6" s="11">
        <v>2</v>
      </c>
      <c r="D6" s="11">
        <v>1</v>
      </c>
      <c r="E6" s="11">
        <v>0</v>
      </c>
      <c r="F6" s="12">
        <f>SUM(MemberOfAssemblyAssemblyDistrict117General[[#This Row],[Part of Jefferson County Vote Results]:[Part of St. Lawrence County Vote Results]])</f>
        <v>3</v>
      </c>
      <c r="G6" s="14"/>
    </row>
    <row r="7" spans="1:7" ht="14.25" customHeight="1" x14ac:dyDescent="0.2">
      <c r="A7" s="15" t="s">
        <v>20</v>
      </c>
      <c r="B7" s="11">
        <v>39</v>
      </c>
      <c r="C7" s="11">
        <v>46</v>
      </c>
      <c r="D7" s="11">
        <v>34</v>
      </c>
      <c r="E7" s="11">
        <v>36</v>
      </c>
      <c r="F7" s="12">
        <f>SUM(MemberOfAssemblyAssemblyDistrict117General[[#This Row],[Part of Jefferson County Vote Results]:[Part of St. Lawrence County Vote Results]])</f>
        <v>155</v>
      </c>
      <c r="G7" s="14"/>
    </row>
    <row r="8" spans="1:7" ht="14.25" customHeight="1" x14ac:dyDescent="0.2">
      <c r="A8" s="16" t="s">
        <v>21</v>
      </c>
      <c r="B8" s="11">
        <f>SUM(MemberOfAssemblyAssemblyDistrict117General[Part of Jefferson County Vote Results])</f>
        <v>8938</v>
      </c>
      <c r="C8" s="11">
        <f>SUM(MemberOfAssemblyAssemblyDistrict117General[Lewis County Vote Results])</f>
        <v>13246</v>
      </c>
      <c r="D8" s="11">
        <f>SUM(MemberOfAssemblyAssemblyDistrict117General[Part of Oneida County Vote Results])</f>
        <v>13380</v>
      </c>
      <c r="E8" s="11">
        <f>SUM(MemberOfAssemblyAssemblyDistrict117General[Part of St. Lawrence County Vote Results])</f>
        <v>16772</v>
      </c>
      <c r="F8" s="12">
        <f>SUM(MemberOfAssemblyAssemblyDistrict117General[Total Votes by Party])</f>
        <v>52336</v>
      </c>
      <c r="G8" s="14"/>
    </row>
    <row r="9" spans="1:7" ht="14.25" x14ac:dyDescent="0.2">
      <c r="B9" s="70"/>
      <c r="C9" s="70"/>
      <c r="E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0E86-56B7-4BEF-B7A1-FC59C271BC50}">
  <sheetPr>
    <pageSetUpPr fitToPage="1"/>
  </sheetPr>
  <dimension ref="A1:I9"/>
  <sheetViews>
    <sheetView workbookViewId="0">
      <selection activeCell="A3" sqref="A3:XFD8"/>
    </sheetView>
  </sheetViews>
  <sheetFormatPr defaultRowHeight="12.75" x14ac:dyDescent="0.2"/>
  <cols>
    <col min="1" max="1" width="25.5703125" customWidth="1"/>
    <col min="2" max="9" width="20.5703125" customWidth="1"/>
    <col min="10" max="11" width="23.5703125" customWidth="1"/>
  </cols>
  <sheetData>
    <row r="1" spans="1:9" ht="24.95" customHeight="1" x14ac:dyDescent="0.2">
      <c r="A1" s="71" t="s">
        <v>1124</v>
      </c>
    </row>
    <row r="2" spans="1:9" ht="28.5" customHeight="1" x14ac:dyDescent="0.2">
      <c r="A2" s="6" t="s">
        <v>93</v>
      </c>
      <c r="B2" s="7" t="s">
        <v>1099</v>
      </c>
      <c r="C2" s="7" t="s">
        <v>608</v>
      </c>
      <c r="D2" s="7" t="s">
        <v>609</v>
      </c>
      <c r="E2" s="7" t="s">
        <v>1093</v>
      </c>
      <c r="F2" s="7" t="s">
        <v>1121</v>
      </c>
      <c r="G2" s="7" t="s">
        <v>1125</v>
      </c>
      <c r="H2" s="8" t="s">
        <v>84</v>
      </c>
      <c r="I2" s="9" t="s">
        <v>85</v>
      </c>
    </row>
    <row r="3" spans="1:9" ht="14.25" customHeight="1" x14ac:dyDescent="0.2">
      <c r="A3" s="10" t="s">
        <v>1126</v>
      </c>
      <c r="B3" s="11">
        <v>12100</v>
      </c>
      <c r="C3" s="11">
        <v>2362</v>
      </c>
      <c r="D3" s="11">
        <v>18027</v>
      </c>
      <c r="E3" s="11">
        <v>6893</v>
      </c>
      <c r="F3" s="11">
        <v>3742</v>
      </c>
      <c r="G3" s="11">
        <v>749</v>
      </c>
      <c r="H3" s="12">
        <f>SUM(MemberOfAssemblyAssemblyDistrict118General[[#This Row],[Part of Fulton County Vote Results]:[Part of Otsego Vote Results]])</f>
        <v>43873</v>
      </c>
      <c r="I3" s="116">
        <f>SUM(MemberOfAssemblyAssemblyDistrict118General[[#This Row],[Total Votes by Party]],H4)</f>
        <v>50250</v>
      </c>
    </row>
    <row r="4" spans="1:9" ht="14.25" customHeight="1" x14ac:dyDescent="0.2">
      <c r="A4" s="10" t="s">
        <v>1127</v>
      </c>
      <c r="B4" s="11">
        <v>1618</v>
      </c>
      <c r="C4" s="11">
        <v>310</v>
      </c>
      <c r="D4" s="11">
        <v>2811</v>
      </c>
      <c r="E4" s="11">
        <v>1051</v>
      </c>
      <c r="F4" s="11">
        <v>481</v>
      </c>
      <c r="G4" s="11">
        <v>106</v>
      </c>
      <c r="H4" s="12">
        <f>SUM(MemberOfAssemblyAssemblyDistrict118General[[#This Row],[Part of Fulton County Vote Results]:[Part of Otsego Vote Results]])</f>
        <v>6377</v>
      </c>
      <c r="I4" s="14"/>
    </row>
    <row r="5" spans="1:9" ht="14.25" customHeight="1" x14ac:dyDescent="0.2">
      <c r="A5" s="15" t="s">
        <v>18</v>
      </c>
      <c r="B5" s="11">
        <v>4076</v>
      </c>
      <c r="C5" s="11">
        <v>755</v>
      </c>
      <c r="D5" s="11">
        <v>6266</v>
      </c>
      <c r="E5" s="11">
        <v>2260</v>
      </c>
      <c r="F5" s="11">
        <v>1000</v>
      </c>
      <c r="G5" s="11">
        <v>293</v>
      </c>
      <c r="H5" s="12">
        <f>SUM(MemberOfAssemblyAssemblyDistrict118General[[#This Row],[Part of Fulton County Vote Results]:[Part of Otsego Vote Results]])</f>
        <v>14650</v>
      </c>
      <c r="I5" s="14"/>
    </row>
    <row r="6" spans="1:9" ht="14.25" customHeight="1" x14ac:dyDescent="0.2">
      <c r="A6" s="15" t="s">
        <v>19</v>
      </c>
      <c r="B6" s="11">
        <v>5</v>
      </c>
      <c r="C6" s="11">
        <v>0</v>
      </c>
      <c r="D6" s="11">
        <v>24</v>
      </c>
      <c r="E6" s="11">
        <v>0</v>
      </c>
      <c r="F6" s="11">
        <v>1</v>
      </c>
      <c r="G6" s="11">
        <v>0</v>
      </c>
      <c r="H6" s="12">
        <f>SUM(MemberOfAssemblyAssemblyDistrict118General[[#This Row],[Part of Fulton County Vote Results]:[Part of Otsego Vote Results]])</f>
        <v>30</v>
      </c>
      <c r="I6" s="14"/>
    </row>
    <row r="7" spans="1:9" ht="14.25" customHeight="1" x14ac:dyDescent="0.2">
      <c r="A7" s="15" t="s">
        <v>20</v>
      </c>
      <c r="B7" s="11">
        <v>242</v>
      </c>
      <c r="C7" s="11">
        <v>15</v>
      </c>
      <c r="D7" s="11">
        <v>89</v>
      </c>
      <c r="E7" s="11">
        <v>66</v>
      </c>
      <c r="F7" s="11">
        <v>15</v>
      </c>
      <c r="G7" s="11">
        <v>5</v>
      </c>
      <c r="H7" s="12">
        <f>SUM(MemberOfAssemblyAssemblyDistrict118General[[#This Row],[Part of Fulton County Vote Results]:[Part of Otsego Vote Results]])</f>
        <v>432</v>
      </c>
      <c r="I7" s="14"/>
    </row>
    <row r="8" spans="1:9" ht="14.25" customHeight="1" x14ac:dyDescent="0.2">
      <c r="A8" s="16" t="s">
        <v>21</v>
      </c>
      <c r="B8" s="11">
        <f>SUM(MemberOfAssemblyAssemblyDistrict118General[Part of Fulton County Vote Results])</f>
        <v>18041</v>
      </c>
      <c r="C8" s="11">
        <f>SUM(MemberOfAssemblyAssemblyDistrict118General[Hamilton County Vote Results])</f>
        <v>3442</v>
      </c>
      <c r="D8" s="11">
        <f>SUBTOTAL(109,D3:D7)</f>
        <v>27217</v>
      </c>
      <c r="E8" s="11">
        <f>SUM(MemberOfAssemblyAssemblyDistrict118General[Part of Montgomery County Vote Results])</f>
        <v>10270</v>
      </c>
      <c r="F8" s="11">
        <f>SUM(MemberOfAssemblyAssemblyDistrict118General[Part of Oneida County Vote Results])</f>
        <v>5239</v>
      </c>
      <c r="G8" s="11">
        <f>SUM(MemberOfAssemblyAssemblyDistrict118General[Part of Otsego Vote Results])</f>
        <v>1153</v>
      </c>
      <c r="H8" s="12">
        <f>SUM(MemberOfAssemblyAssemblyDistrict118General[Total Votes by Party])</f>
        <v>65362</v>
      </c>
      <c r="I8" s="14"/>
    </row>
    <row r="9" spans="1:9" ht="14.25" x14ac:dyDescent="0.2">
      <c r="B9" s="70"/>
      <c r="C9" s="70"/>
      <c r="D9" s="70"/>
      <c r="E9" s="70"/>
      <c r="G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38033-D9E2-40F8-B49A-EE4862380449}">
  <sheetPr>
    <pageSetUpPr fitToPage="1"/>
  </sheetPr>
  <dimension ref="A1:D11"/>
  <sheetViews>
    <sheetView workbookViewId="0">
      <selection activeCell="A3" sqref="A3:XFD11"/>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1" t="s">
        <v>1128</v>
      </c>
    </row>
    <row r="2" spans="1:4" ht="28.5" customHeight="1" x14ac:dyDescent="0.2">
      <c r="A2" s="6" t="s">
        <v>93</v>
      </c>
      <c r="B2" s="7" t="s">
        <v>1121</v>
      </c>
      <c r="C2" s="8" t="s">
        <v>84</v>
      </c>
      <c r="D2" s="9" t="s">
        <v>85</v>
      </c>
    </row>
    <row r="3" spans="1:4" ht="14.25" customHeight="1" x14ac:dyDescent="0.2">
      <c r="A3" s="10" t="s">
        <v>1129</v>
      </c>
      <c r="B3" s="11">
        <v>22227</v>
      </c>
      <c r="C3" s="12">
        <f>SUM(MemberOfAssemblyAssemblyDistrict119General[[#This Row],[Part of Oneida County Vote Results]])</f>
        <v>22227</v>
      </c>
      <c r="D3" s="116">
        <f>SUM(MemberOfAssemblyAssemblyDistrict119General[[#This Row],[Total Votes by Party]],C6)</f>
        <v>23337</v>
      </c>
    </row>
    <row r="4" spans="1:4" ht="14.25" customHeight="1" x14ac:dyDescent="0.2">
      <c r="A4" s="10" t="s">
        <v>1130</v>
      </c>
      <c r="B4" s="11">
        <v>20409</v>
      </c>
      <c r="C4" s="12">
        <f>SUM(MemberOfAssemblyAssemblyDistrict119General[[#This Row],[Part of Oneida County Vote Results]])</f>
        <v>20409</v>
      </c>
      <c r="D4" s="116">
        <f>SUM(MemberOfAssemblyAssemblyDistrict119General[[#This Row],[Total Votes by Party]],C5)</f>
        <v>22629</v>
      </c>
    </row>
    <row r="5" spans="1:4" ht="14.25" customHeight="1" x14ac:dyDescent="0.2">
      <c r="A5" s="10" t="s">
        <v>1131</v>
      </c>
      <c r="B5" s="11">
        <v>2220</v>
      </c>
      <c r="C5" s="12">
        <f>SUM(MemberOfAssemblyAssemblyDistrict119General[[#This Row],[Part of Oneida County Vote Results]])</f>
        <v>2220</v>
      </c>
      <c r="D5" s="14"/>
    </row>
    <row r="6" spans="1:4" ht="14.25" customHeight="1" x14ac:dyDescent="0.2">
      <c r="A6" s="10" t="s">
        <v>1132</v>
      </c>
      <c r="B6" s="11">
        <v>1110</v>
      </c>
      <c r="C6" s="12">
        <f>SUM(MemberOfAssemblyAssemblyDistrict119General[[#This Row],[Part of Oneida County Vote Results]])</f>
        <v>1110</v>
      </c>
      <c r="D6" s="14"/>
    </row>
    <row r="7" spans="1:4" ht="14.25" customHeight="1" x14ac:dyDescent="0.2">
      <c r="A7" s="15" t="s">
        <v>18</v>
      </c>
      <c r="B7" s="11">
        <v>1860</v>
      </c>
      <c r="C7" s="12">
        <f>SUM(MemberOfAssemblyAssemblyDistrict119General[[#This Row],[Part of Oneida County Vote Results]])</f>
        <v>1860</v>
      </c>
      <c r="D7" s="14"/>
    </row>
    <row r="8" spans="1:4" ht="14.25" customHeight="1" x14ac:dyDescent="0.2">
      <c r="A8" s="15" t="s">
        <v>19</v>
      </c>
      <c r="B8" s="11">
        <v>135</v>
      </c>
      <c r="C8" s="12">
        <f>SUM(MemberOfAssemblyAssemblyDistrict119General[[#This Row],[Part of Oneida County Vote Results]])</f>
        <v>135</v>
      </c>
      <c r="D8" s="14"/>
    </row>
    <row r="9" spans="1:4" ht="14.25" customHeight="1" x14ac:dyDescent="0.2">
      <c r="A9" s="15" t="s">
        <v>20</v>
      </c>
      <c r="B9" s="11">
        <v>26</v>
      </c>
      <c r="C9" s="12">
        <f>SUM(MemberOfAssemblyAssemblyDistrict119General[[#This Row],[Part of Oneida County Vote Results]])</f>
        <v>26</v>
      </c>
      <c r="D9" s="14"/>
    </row>
    <row r="10" spans="1:4" ht="14.25" customHeight="1" x14ac:dyDescent="0.2">
      <c r="A10" s="16" t="s">
        <v>21</v>
      </c>
      <c r="B10" s="11">
        <f>SUM(MemberOfAssemblyAssemblyDistrict119General[Part of Oneida County Vote Results])</f>
        <v>47987</v>
      </c>
      <c r="C10" s="12">
        <f>SUM(MemberOfAssemblyAssemblyDistrict119General[Total Votes by Party])</f>
        <v>47987</v>
      </c>
      <c r="D10" s="14"/>
    </row>
    <row r="11" spans="1:4" ht="14.25" customHeight="1" x14ac:dyDescent="0.2"/>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175C4-57BC-4057-807E-B3EFD28791BD}">
  <sheetPr>
    <pageSetUpPr fitToPage="1"/>
  </sheetPr>
  <dimension ref="A1:F9"/>
  <sheetViews>
    <sheetView tabSelected="1" workbookViewId="0">
      <selection activeCell="C9" sqref="C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4" t="s">
        <v>1133</v>
      </c>
      <c r="B1" s="108"/>
      <c r="C1" s="108"/>
      <c r="D1" s="108"/>
      <c r="E1" s="108"/>
      <c r="F1" s="108"/>
    </row>
    <row r="2" spans="1:6" ht="28.5" customHeight="1" x14ac:dyDescent="0.2">
      <c r="A2" s="6" t="s">
        <v>93</v>
      </c>
      <c r="B2" s="7" t="s">
        <v>1134</v>
      </c>
      <c r="C2" s="7" t="s">
        <v>1116</v>
      </c>
      <c r="D2" s="7" t="s">
        <v>1301</v>
      </c>
      <c r="E2" s="8" t="s">
        <v>84</v>
      </c>
      <c r="F2" s="9" t="s">
        <v>85</v>
      </c>
    </row>
    <row r="3" spans="1:6" ht="14.25" customHeight="1" x14ac:dyDescent="0.2">
      <c r="A3" s="28" t="s">
        <v>1135</v>
      </c>
      <c r="B3" s="100">
        <v>2322</v>
      </c>
      <c r="C3" s="100">
        <v>3369</v>
      </c>
      <c r="D3" s="100">
        <v>36028</v>
      </c>
      <c r="E3" s="101">
        <f>SUM(MemberOfAssemblyAssemblyDistrict120General[[#This Row],[Part of Cayuga County Vote Results]:[Oswego County
Vote Results]])</f>
        <v>41719</v>
      </c>
      <c r="F3" s="113">
        <f>SUM(MemberOfAssemblyAssemblyDistrict120General[[#This Row],[Total Votes by Party]],E4)</f>
        <v>48550</v>
      </c>
    </row>
    <row r="4" spans="1:6" ht="14.25" customHeight="1" x14ac:dyDescent="0.2">
      <c r="A4" s="28" t="s">
        <v>1136</v>
      </c>
      <c r="B4" s="100">
        <v>429</v>
      </c>
      <c r="C4" s="100">
        <v>432</v>
      </c>
      <c r="D4" s="100">
        <v>5970</v>
      </c>
      <c r="E4" s="101">
        <f>SUM(MemberOfAssemblyAssemblyDistrict120General[[#This Row],[Part of Cayuga County Vote Results]:[Oswego County
Vote Results]])</f>
        <v>6831</v>
      </c>
      <c r="F4" s="111"/>
    </row>
    <row r="5" spans="1:6" ht="14.25" customHeight="1" x14ac:dyDescent="0.2">
      <c r="A5" s="29" t="s">
        <v>18</v>
      </c>
      <c r="B5" s="100">
        <v>771</v>
      </c>
      <c r="C5" s="100">
        <v>970</v>
      </c>
      <c r="D5" s="100">
        <v>12086</v>
      </c>
      <c r="E5" s="101">
        <f>SUM(MemberOfAssemblyAssemblyDistrict120General[[#This Row],[Part of Cayuga County Vote Results]:[Oswego County
Vote Results]])</f>
        <v>13827</v>
      </c>
      <c r="F5" s="111"/>
    </row>
    <row r="6" spans="1:6" ht="14.25" customHeight="1" x14ac:dyDescent="0.2">
      <c r="A6" s="29" t="s">
        <v>19</v>
      </c>
      <c r="B6" s="100">
        <v>0</v>
      </c>
      <c r="C6" s="100">
        <v>0</v>
      </c>
      <c r="D6" s="100">
        <v>3</v>
      </c>
      <c r="E6" s="101">
        <f>SUM(MemberOfAssemblyAssemblyDistrict120General[[#This Row],[Part of Cayuga County Vote Results]:[Oswego County
Vote Results]])</f>
        <v>3</v>
      </c>
      <c r="F6" s="111"/>
    </row>
    <row r="7" spans="1:6" ht="14.25" customHeight="1" x14ac:dyDescent="0.2">
      <c r="A7" s="29" t="s">
        <v>20</v>
      </c>
      <c r="B7" s="100">
        <v>32</v>
      </c>
      <c r="C7" s="100">
        <v>15</v>
      </c>
      <c r="D7" s="100">
        <v>541</v>
      </c>
      <c r="E7" s="101">
        <f>SUM(MemberOfAssemblyAssemblyDistrict120General[[#This Row],[Part of Cayuga County Vote Results]:[Oswego County
Vote Results]])</f>
        <v>588</v>
      </c>
      <c r="F7" s="111"/>
    </row>
    <row r="8" spans="1:6" ht="14.25" customHeight="1" x14ac:dyDescent="0.2">
      <c r="A8" s="103" t="s">
        <v>21</v>
      </c>
      <c r="B8" s="100">
        <f>SUM(MemberOfAssemblyAssemblyDistrict120General[Part of Cayuga County Vote Results])</f>
        <v>3554</v>
      </c>
      <c r="C8" s="100">
        <f>SUM(MemberOfAssemblyAssemblyDistrict120General[Part of Jefferson County Vote Results])</f>
        <v>4786</v>
      </c>
      <c r="D8" s="100">
        <f>SUM(MemberOfAssemblyAssemblyDistrict120General[Oswego County
Vote Results])</f>
        <v>54628</v>
      </c>
      <c r="E8" s="101">
        <f>SUM(MemberOfAssemblyAssemblyDistrict120General[Total Votes by Party])</f>
        <v>62968</v>
      </c>
      <c r="F8" s="111"/>
    </row>
    <row r="9" spans="1:6" ht="14.25" x14ac:dyDescent="0.2">
      <c r="B9" s="70"/>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3E23-6CDD-48D5-907F-EEBC6D265CC4}">
  <sheetPr>
    <pageSetUpPr fitToPage="1"/>
  </sheetPr>
  <dimension ref="A1:D9"/>
  <sheetViews>
    <sheetView zoomScaleNormal="100" zoomScaleSheetLayoutView="110"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276</v>
      </c>
      <c r="B1" s="108"/>
      <c r="C1" s="108"/>
      <c r="D1" s="108"/>
    </row>
    <row r="2" spans="1:4" ht="28.5" customHeight="1" x14ac:dyDescent="0.2">
      <c r="A2" s="6" t="s">
        <v>93</v>
      </c>
      <c r="B2" s="7" t="s">
        <v>267</v>
      </c>
      <c r="C2" s="8" t="s">
        <v>84</v>
      </c>
      <c r="D2" s="9" t="s">
        <v>85</v>
      </c>
    </row>
    <row r="3" spans="1:4" ht="14.25" customHeight="1" x14ac:dyDescent="0.2">
      <c r="A3" s="28" t="s">
        <v>277</v>
      </c>
      <c r="B3" s="100">
        <v>243111</v>
      </c>
      <c r="C3" s="101">
        <f>SUM(RepInCongressCongressionalDistrict12General[[#This Row],[Part of New York County Vote Results]])</f>
        <v>243111</v>
      </c>
      <c r="D3" s="113">
        <f>SUM(RepInCongressCongressionalDistrict12General[[#This Row],[Total Votes by Party]],C5)</f>
        <v>260165</v>
      </c>
    </row>
    <row r="4" spans="1:4" ht="14.25" customHeight="1" x14ac:dyDescent="0.2">
      <c r="A4" s="28" t="s">
        <v>278</v>
      </c>
      <c r="B4" s="100">
        <v>62989</v>
      </c>
      <c r="C4" s="101">
        <f>SUM(RepInCongressCongressionalDistrict12General[[#This Row],[Part of New York County Vote Results]])</f>
        <v>62989</v>
      </c>
      <c r="D4" s="113">
        <f>SUM(RepInCongressCongressionalDistrict12General[[#This Row],[Total Votes by Party]])</f>
        <v>62989</v>
      </c>
    </row>
    <row r="5" spans="1:4" ht="14.25" customHeight="1" x14ac:dyDescent="0.2">
      <c r="A5" s="28" t="s">
        <v>279</v>
      </c>
      <c r="B5" s="100">
        <v>17054</v>
      </c>
      <c r="C5" s="101">
        <f>SUM(RepInCongressCongressionalDistrict12General[[#This Row],[Part of New York County Vote Results]])</f>
        <v>17054</v>
      </c>
      <c r="D5" s="111"/>
    </row>
    <row r="6" spans="1:4" ht="14.25" customHeight="1" x14ac:dyDescent="0.2">
      <c r="A6" s="29" t="s">
        <v>18</v>
      </c>
      <c r="B6" s="100">
        <v>17949</v>
      </c>
      <c r="C6" s="101">
        <f>SUM(RepInCongressCongressionalDistrict12General[[#This Row],[Part of New York County Vote Results]])</f>
        <v>17949</v>
      </c>
      <c r="D6" s="111"/>
    </row>
    <row r="7" spans="1:4" ht="14.25" customHeight="1" x14ac:dyDescent="0.2">
      <c r="A7" s="29" t="s">
        <v>19</v>
      </c>
      <c r="B7" s="100">
        <v>0</v>
      </c>
      <c r="C7" s="101">
        <f>SUM(RepInCongressCongressionalDistrict12General[[#This Row],[Part of New York County Vote Results]])</f>
        <v>0</v>
      </c>
      <c r="D7" s="111"/>
    </row>
    <row r="8" spans="1:4" ht="14.25" customHeight="1" x14ac:dyDescent="0.2">
      <c r="A8" s="29" t="s">
        <v>20</v>
      </c>
      <c r="B8" s="100">
        <v>866</v>
      </c>
      <c r="C8" s="101">
        <f>SUM(RepInCongressCongressionalDistrict12General[[#This Row],[Part of New York County Vote Results]])</f>
        <v>866</v>
      </c>
      <c r="D8" s="111"/>
    </row>
    <row r="9" spans="1:4" ht="14.25" customHeight="1" x14ac:dyDescent="0.2">
      <c r="A9" s="103" t="s">
        <v>21</v>
      </c>
      <c r="B9" s="100">
        <f>SUM(RepInCongressCongressionalDistrict12General[Part of New York County Vote Results])</f>
        <v>341969</v>
      </c>
      <c r="C9" s="101">
        <f>SUM(RepInCongressCongressionalDistrict12General[Total Votes by Party])</f>
        <v>341969</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D7194-B86F-42E3-A067-04FB8664FD8C}">
  <sheetPr>
    <pageSetUpPr fitToPage="1"/>
  </sheetPr>
  <dimension ref="A1:H10"/>
  <sheetViews>
    <sheetView workbookViewId="0">
      <selection activeCell="E10" sqref="E10"/>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4" t="s">
        <v>1137</v>
      </c>
      <c r="B1" s="108"/>
      <c r="C1" s="108"/>
      <c r="D1" s="108"/>
      <c r="E1" s="108"/>
      <c r="F1" s="108"/>
      <c r="G1" s="108"/>
      <c r="H1" s="108"/>
    </row>
    <row r="2" spans="1:8" ht="28.5" customHeight="1" x14ac:dyDescent="0.2">
      <c r="A2" s="6" t="s">
        <v>93</v>
      </c>
      <c r="B2" s="7" t="s">
        <v>620</v>
      </c>
      <c r="C2" s="7" t="s">
        <v>621</v>
      </c>
      <c r="D2" s="7" t="s">
        <v>1048</v>
      </c>
      <c r="E2" s="7" t="s">
        <v>1138</v>
      </c>
      <c r="F2" s="7" t="s">
        <v>1053</v>
      </c>
      <c r="G2" s="8" t="s">
        <v>84</v>
      </c>
      <c r="H2" s="9" t="s">
        <v>85</v>
      </c>
    </row>
    <row r="3" spans="1:8" ht="14.25" customHeight="1" x14ac:dyDescent="0.2">
      <c r="A3" s="28" t="s">
        <v>1139</v>
      </c>
      <c r="B3" s="100">
        <v>8733</v>
      </c>
      <c r="C3" s="100">
        <v>5327</v>
      </c>
      <c r="D3" s="100">
        <v>1333</v>
      </c>
      <c r="E3" s="100">
        <v>2828</v>
      </c>
      <c r="F3" s="100">
        <v>2104</v>
      </c>
      <c r="G3" s="101">
        <f t="shared" ref="G3:G8" si="0">SUM(B3,C3,D3,E3,F3)</f>
        <v>20325</v>
      </c>
      <c r="H3" s="113">
        <f>SUM(MemberOfAssemblyAssemblyDistrict121General[[#This Row],[Total Votes by Party]])</f>
        <v>20325</v>
      </c>
    </row>
    <row r="4" spans="1:8" ht="14.25" customHeight="1" x14ac:dyDescent="0.2">
      <c r="A4" s="28" t="s">
        <v>1140</v>
      </c>
      <c r="B4" s="100">
        <v>15310</v>
      </c>
      <c r="C4" s="100">
        <v>12978</v>
      </c>
      <c r="D4" s="100">
        <v>2684</v>
      </c>
      <c r="E4" s="100">
        <v>3527</v>
      </c>
      <c r="F4" s="100">
        <v>3874</v>
      </c>
      <c r="G4" s="101">
        <f t="shared" si="0"/>
        <v>38373</v>
      </c>
      <c r="H4" s="113">
        <f>SUM(MemberOfAssemblyAssemblyDistrict121General[[#This Row],[Total Votes by Party]],G5)</f>
        <v>42259</v>
      </c>
    </row>
    <row r="5" spans="1:8" ht="14.25" customHeight="1" x14ac:dyDescent="0.2">
      <c r="A5" s="29" t="s">
        <v>1141</v>
      </c>
      <c r="B5" s="100">
        <v>1434</v>
      </c>
      <c r="C5" s="100">
        <v>1260</v>
      </c>
      <c r="D5" s="100">
        <v>235</v>
      </c>
      <c r="E5" s="100">
        <v>508</v>
      </c>
      <c r="F5" s="100">
        <v>449</v>
      </c>
      <c r="G5" s="101">
        <f t="shared" si="0"/>
        <v>3886</v>
      </c>
      <c r="H5" s="111"/>
    </row>
    <row r="6" spans="1:8" ht="14.25" customHeight="1" x14ac:dyDescent="0.2">
      <c r="A6" s="29" t="s">
        <v>18</v>
      </c>
      <c r="B6" s="100">
        <v>1532</v>
      </c>
      <c r="C6" s="100">
        <v>730</v>
      </c>
      <c r="D6" s="100">
        <v>183</v>
      </c>
      <c r="E6" s="100">
        <v>384</v>
      </c>
      <c r="F6" s="100">
        <v>306</v>
      </c>
      <c r="G6" s="101">
        <f t="shared" si="0"/>
        <v>3135</v>
      </c>
      <c r="H6" s="111"/>
    </row>
    <row r="7" spans="1:8" ht="14.25" customHeight="1" x14ac:dyDescent="0.2">
      <c r="A7" s="29" t="s">
        <v>19</v>
      </c>
      <c r="B7" s="100">
        <v>4</v>
      </c>
      <c r="C7" s="100">
        <v>4</v>
      </c>
      <c r="D7" s="100">
        <v>4</v>
      </c>
      <c r="E7" s="100">
        <v>2</v>
      </c>
      <c r="F7" s="100">
        <v>3</v>
      </c>
      <c r="G7" s="101">
        <f t="shared" si="0"/>
        <v>17</v>
      </c>
      <c r="H7" s="111"/>
    </row>
    <row r="8" spans="1:8" ht="14.25" customHeight="1" x14ac:dyDescent="0.2">
      <c r="A8" s="29" t="s">
        <v>20</v>
      </c>
      <c r="B8" s="100">
        <v>18</v>
      </c>
      <c r="C8" s="100">
        <v>22</v>
      </c>
      <c r="D8" s="100">
        <v>7</v>
      </c>
      <c r="E8" s="100">
        <v>5</v>
      </c>
      <c r="F8" s="100">
        <v>4</v>
      </c>
      <c r="G8" s="101">
        <f t="shared" si="0"/>
        <v>56</v>
      </c>
      <c r="H8" s="111"/>
    </row>
    <row r="9" spans="1:8" ht="14.25" customHeight="1" x14ac:dyDescent="0.2">
      <c r="A9" s="103" t="s">
        <v>21</v>
      </c>
      <c r="B9" s="100">
        <f>SUM(MemberOfAssemblyAssemblyDistrict121General[Part of Broome County Vote Results])</f>
        <v>27031</v>
      </c>
      <c r="C9" s="100">
        <f>SUM(MemberOfAssemblyAssemblyDistrict121General[Part of Chenango County Vote Results])</f>
        <v>20321</v>
      </c>
      <c r="D9" s="100">
        <f>SUM(MemberOfAssemblyAssemblyDistrict121General[Part of Delaware County Vote Results])</f>
        <v>4446</v>
      </c>
      <c r="E9" s="100">
        <f>SUM(MemberOfAssemblyAssemblyDistrict121General[Part of Madison County Vote Results])</f>
        <v>7254</v>
      </c>
      <c r="F9" s="100">
        <f>SUM(MemberOfAssemblyAssemblyDistrict121General[Part of Otsego County Vote Results])</f>
        <v>6740</v>
      </c>
      <c r="G9" s="101">
        <f>SUM(MemberOfAssemblyAssemblyDistrict121General[Total Votes by Party])</f>
        <v>65792</v>
      </c>
      <c r="H9" s="111"/>
    </row>
    <row r="10" spans="1:8" ht="14.25" x14ac:dyDescent="0.2">
      <c r="B10" s="70"/>
      <c r="C10" s="70"/>
      <c r="D10" s="70"/>
      <c r="E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E0C6-6A85-420C-B198-99F35CAD82F9}">
  <sheetPr>
    <pageSetUpPr fitToPage="1"/>
  </sheetPr>
  <dimension ref="A1:G11"/>
  <sheetViews>
    <sheetView workbookViewId="0">
      <selection activeCell="B15" sqref="B15"/>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4" t="s">
        <v>1142</v>
      </c>
      <c r="B1" s="108"/>
      <c r="C1" s="108"/>
      <c r="D1" s="108"/>
      <c r="E1" s="108"/>
      <c r="F1" s="108"/>
      <c r="G1" s="108"/>
    </row>
    <row r="2" spans="1:7" ht="28.5" customHeight="1" x14ac:dyDescent="0.2">
      <c r="A2" s="6" t="s">
        <v>93</v>
      </c>
      <c r="B2" s="7" t="s">
        <v>609</v>
      </c>
      <c r="C2" s="7" t="s">
        <v>1138</v>
      </c>
      <c r="D2" s="7" t="s">
        <v>1121</v>
      </c>
      <c r="E2" s="7" t="s">
        <v>1053</v>
      </c>
      <c r="F2" s="8" t="s">
        <v>84</v>
      </c>
      <c r="G2" s="9" t="s">
        <v>85</v>
      </c>
    </row>
    <row r="3" spans="1:7" ht="14.25" customHeight="1" x14ac:dyDescent="0.2">
      <c r="A3" s="28" t="s">
        <v>1143</v>
      </c>
      <c r="B3" s="100">
        <v>276</v>
      </c>
      <c r="C3" s="100">
        <v>6372</v>
      </c>
      <c r="D3" s="100">
        <v>10432</v>
      </c>
      <c r="E3" s="100">
        <v>5335</v>
      </c>
      <c r="F3" s="101">
        <f>SUM(MemberOfAssemblyAssemblyDistrict122General[[#This Row],[Part of Herkimer County Vote Results]:[Part of Otsego County Vote Results]])</f>
        <v>22415</v>
      </c>
      <c r="G3" s="113">
        <f>SUM(MemberOfAssemblyAssemblyDistrict122General[[#This Row],[Total Votes by Party]],F6)</f>
        <v>24630</v>
      </c>
    </row>
    <row r="4" spans="1:7" ht="14.25" customHeight="1" x14ac:dyDescent="0.2">
      <c r="A4" s="28" t="s">
        <v>1144</v>
      </c>
      <c r="B4" s="100">
        <v>1247</v>
      </c>
      <c r="C4" s="100">
        <v>11015</v>
      </c>
      <c r="D4" s="100">
        <v>19428</v>
      </c>
      <c r="E4" s="100">
        <v>5482</v>
      </c>
      <c r="F4" s="101">
        <f>SUM(MemberOfAssemblyAssemblyDistrict122General[[#This Row],[Part of Herkimer County Vote Results]:[Part of Otsego County Vote Results]])</f>
        <v>37172</v>
      </c>
      <c r="G4" s="113">
        <f>SUM(MemberOfAssemblyAssemblyDistrict122General[[#This Row],[Total Votes by Party]],F5)</f>
        <v>41705</v>
      </c>
    </row>
    <row r="5" spans="1:7" ht="14.25" customHeight="1" x14ac:dyDescent="0.2">
      <c r="A5" s="29" t="s">
        <v>1145</v>
      </c>
      <c r="B5" s="100">
        <v>159</v>
      </c>
      <c r="C5" s="100">
        <v>1380</v>
      </c>
      <c r="D5" s="100">
        <v>2229</v>
      </c>
      <c r="E5" s="100">
        <v>765</v>
      </c>
      <c r="F5" s="101">
        <f>SUM(MemberOfAssemblyAssemblyDistrict122General[[#This Row],[Part of Herkimer County Vote Results]:[Part of Otsego County Vote Results]])</f>
        <v>4533</v>
      </c>
      <c r="G5" s="111"/>
    </row>
    <row r="6" spans="1:7" ht="14.25" customHeight="1" x14ac:dyDescent="0.2">
      <c r="A6" s="28" t="s">
        <v>1146</v>
      </c>
      <c r="B6" s="100">
        <v>38</v>
      </c>
      <c r="C6" s="100">
        <v>673</v>
      </c>
      <c r="D6" s="100">
        <v>948</v>
      </c>
      <c r="E6" s="100">
        <v>556</v>
      </c>
      <c r="F6" s="101">
        <f>SUM(MemberOfAssemblyAssemblyDistrict122General[[#This Row],[Part of Herkimer County Vote Results]:[Part of Otsego County Vote Results]])</f>
        <v>2215</v>
      </c>
      <c r="G6" s="111"/>
    </row>
    <row r="7" spans="1:7" ht="14.25" customHeight="1" x14ac:dyDescent="0.2">
      <c r="A7" s="29" t="s">
        <v>18</v>
      </c>
      <c r="B7" s="100">
        <v>59</v>
      </c>
      <c r="C7" s="100">
        <v>959</v>
      </c>
      <c r="D7" s="100">
        <v>1674</v>
      </c>
      <c r="E7" s="100">
        <v>605</v>
      </c>
      <c r="F7" s="101">
        <f>SUM(MemberOfAssemblyAssemblyDistrict122General[[#This Row],[Part of Herkimer County Vote Results]:[Part of Otsego County Vote Results]])</f>
        <v>3297</v>
      </c>
      <c r="G7" s="111"/>
    </row>
    <row r="8" spans="1:7" ht="14.25" customHeight="1" x14ac:dyDescent="0.2">
      <c r="A8" s="29" t="s">
        <v>19</v>
      </c>
      <c r="B8" s="100">
        <v>28</v>
      </c>
      <c r="C8" s="100">
        <v>10</v>
      </c>
      <c r="D8" s="100">
        <v>11</v>
      </c>
      <c r="E8" s="100">
        <v>2</v>
      </c>
      <c r="F8" s="101">
        <f>SUM(MemberOfAssemblyAssemblyDistrict122General[[#This Row],[Part of Herkimer County Vote Results]:[Part of Otsego County Vote Results]])</f>
        <v>51</v>
      </c>
      <c r="G8" s="111"/>
    </row>
    <row r="9" spans="1:7" ht="14.25" customHeight="1" x14ac:dyDescent="0.2">
      <c r="A9" s="29" t="s">
        <v>20</v>
      </c>
      <c r="B9" s="100">
        <v>0</v>
      </c>
      <c r="C9" s="100">
        <v>13</v>
      </c>
      <c r="D9" s="100">
        <v>14</v>
      </c>
      <c r="E9" s="100">
        <v>8</v>
      </c>
      <c r="F9" s="101">
        <f>SUM(MemberOfAssemblyAssemblyDistrict122General[[#This Row],[Part of Herkimer County Vote Results]:[Part of Otsego County Vote Results]])</f>
        <v>35</v>
      </c>
      <c r="G9" s="111"/>
    </row>
    <row r="10" spans="1:7" ht="14.25" customHeight="1" x14ac:dyDescent="0.2">
      <c r="A10" s="103" t="s">
        <v>21</v>
      </c>
      <c r="B10" s="100">
        <f>SUM(MemberOfAssemblyAssemblyDistrict122General[Part of Herkimer County Vote Results])</f>
        <v>1807</v>
      </c>
      <c r="C10" s="100">
        <f>SUM(MemberOfAssemblyAssemblyDistrict122General[Part of Madison County Vote Results])</f>
        <v>20422</v>
      </c>
      <c r="D10" s="100">
        <f>SUM(MemberOfAssemblyAssemblyDistrict122General[Part of Oneida County Vote Results])</f>
        <v>34736</v>
      </c>
      <c r="E10" s="100">
        <f>SUM(MemberOfAssemblyAssemblyDistrict122General[Part of Otsego County Vote Results])</f>
        <v>12753</v>
      </c>
      <c r="F10" s="101">
        <f>SUM(MemberOfAssemblyAssemblyDistrict122General[Total Votes by Party])</f>
        <v>69718</v>
      </c>
      <c r="G10" s="111"/>
    </row>
    <row r="11" spans="1:7" ht="14.25" x14ac:dyDescent="0.2">
      <c r="B11" s="70"/>
      <c r="C11" s="70"/>
      <c r="E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3439A-3A85-4E97-B3B9-AE9E17C80226}">
  <sheetPr>
    <pageSetUpPr fitToPage="1"/>
  </sheetPr>
  <dimension ref="A1:D11"/>
  <sheetViews>
    <sheetView workbookViewId="0">
      <selection activeCell="C7" sqref="C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1147</v>
      </c>
      <c r="B1" s="108"/>
      <c r="C1" s="108"/>
      <c r="D1" s="108"/>
    </row>
    <row r="2" spans="1:4" ht="28.5" customHeight="1" x14ac:dyDescent="0.2">
      <c r="A2" s="6" t="s">
        <v>93</v>
      </c>
      <c r="B2" s="7" t="s">
        <v>620</v>
      </c>
      <c r="C2" s="8" t="s">
        <v>84</v>
      </c>
      <c r="D2" s="9" t="s">
        <v>85</v>
      </c>
    </row>
    <row r="3" spans="1:4" ht="14.25" customHeight="1" x14ac:dyDescent="0.2">
      <c r="A3" s="28" t="s">
        <v>1148</v>
      </c>
      <c r="B3" s="100">
        <v>29295</v>
      </c>
      <c r="C3" s="30">
        <f>MemberOfAssemblyAssemblyDistrict123General[[#This Row],[Part of Broome County Vote Results]]</f>
        <v>29295</v>
      </c>
      <c r="D3" s="113">
        <f>SUM(MemberOfAssemblyAssemblyDistrict123General[[#This Row],[Total Votes by Party]],C6)</f>
        <v>32441</v>
      </c>
    </row>
    <row r="4" spans="1:4" ht="14.25" customHeight="1" x14ac:dyDescent="0.2">
      <c r="A4" s="28" t="s">
        <v>1149</v>
      </c>
      <c r="B4" s="100">
        <v>19735</v>
      </c>
      <c r="C4" s="101">
        <f>MemberOfAssemblyAssemblyDistrict123General[[#This Row],[Part of Broome County Vote Results]]</f>
        <v>19735</v>
      </c>
      <c r="D4" s="113">
        <f>SUM(MemberOfAssemblyAssemblyDistrict123General[[#This Row],[Total Votes by Party]],C5,C7)</f>
        <v>22149</v>
      </c>
    </row>
    <row r="5" spans="1:4" ht="14.25" customHeight="1" x14ac:dyDescent="0.2">
      <c r="A5" s="28" t="s">
        <v>1150</v>
      </c>
      <c r="B5" s="100">
        <v>2139</v>
      </c>
      <c r="C5" s="101">
        <f>MemberOfAssemblyAssemblyDistrict123General[[#This Row],[Part of Broome County Vote Results]]</f>
        <v>2139</v>
      </c>
      <c r="D5" s="111"/>
    </row>
    <row r="6" spans="1:4" ht="14.25" customHeight="1" x14ac:dyDescent="0.2">
      <c r="A6" s="28" t="s">
        <v>1151</v>
      </c>
      <c r="B6" s="100">
        <v>3146</v>
      </c>
      <c r="C6" s="101">
        <f>MemberOfAssemblyAssemblyDistrict123General[[#This Row],[Part of Broome County Vote Results]]</f>
        <v>3146</v>
      </c>
      <c r="D6" s="111"/>
    </row>
    <row r="7" spans="1:4" ht="14.25" customHeight="1" x14ac:dyDescent="0.2">
      <c r="A7" s="28" t="s">
        <v>1152</v>
      </c>
      <c r="B7" s="100">
        <v>275</v>
      </c>
      <c r="C7" s="101">
        <f>MemberOfAssemblyAssemblyDistrict123General[[#This Row],[Part of Broome County Vote Results]]</f>
        <v>275</v>
      </c>
      <c r="D7" s="111"/>
    </row>
    <row r="8" spans="1:4" ht="14.25" customHeight="1" x14ac:dyDescent="0.2">
      <c r="A8" s="29" t="s">
        <v>18</v>
      </c>
      <c r="B8" s="100">
        <v>2203</v>
      </c>
      <c r="C8" s="101">
        <f>MemberOfAssemblyAssemblyDistrict123General[[#This Row],[Part of Broome County Vote Results]]</f>
        <v>2203</v>
      </c>
      <c r="D8" s="111"/>
    </row>
    <row r="9" spans="1:4" ht="14.25" customHeight="1" x14ac:dyDescent="0.2">
      <c r="A9" s="29" t="s">
        <v>19</v>
      </c>
      <c r="B9" s="100">
        <v>64</v>
      </c>
      <c r="C9" s="101">
        <f>MemberOfAssemblyAssemblyDistrict123General[[#This Row],[Part of Broome County Vote Results]]</f>
        <v>64</v>
      </c>
      <c r="D9" s="111"/>
    </row>
    <row r="10" spans="1:4" ht="14.25" customHeight="1" x14ac:dyDescent="0.2">
      <c r="A10" s="29" t="s">
        <v>20</v>
      </c>
      <c r="B10" s="100">
        <v>64</v>
      </c>
      <c r="C10" s="101">
        <f>MemberOfAssemblyAssemblyDistrict123General[[#This Row],[Part of Broome County Vote Results]]</f>
        <v>64</v>
      </c>
      <c r="D10" s="111"/>
    </row>
    <row r="11" spans="1:4" ht="14.25" customHeight="1" x14ac:dyDescent="0.2">
      <c r="A11" s="103" t="s">
        <v>21</v>
      </c>
      <c r="B11" s="100">
        <f>SUM(MemberOfAssemblyAssemblyDistrict123General[Part of Broome County Vote Results])</f>
        <v>56921</v>
      </c>
      <c r="C11" s="101">
        <f>SUM(MemberOfAssemblyAssemblyDistrict123General[Total Votes by Party])</f>
        <v>56921</v>
      </c>
      <c r="D11"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DF3B0-8AB0-42BE-88E2-E3B4D6DE27F1}">
  <sheetPr>
    <pageSetUpPr fitToPage="1"/>
  </sheetPr>
  <dimension ref="A1:F9"/>
  <sheetViews>
    <sheetView workbookViewId="0">
      <selection activeCell="C9" sqref="C9"/>
    </sheetView>
  </sheetViews>
  <sheetFormatPr defaultRowHeight="12.75" x14ac:dyDescent="0.2"/>
  <cols>
    <col min="1" max="1" width="25.5703125" customWidth="1"/>
    <col min="2" max="6" width="20.5703125" customWidth="1"/>
    <col min="7" max="8" width="23.5703125" customWidth="1"/>
  </cols>
  <sheetData>
    <row r="1" spans="1:6" ht="24.95" customHeight="1" x14ac:dyDescent="0.2">
      <c r="A1" s="74" t="s">
        <v>1153</v>
      </c>
      <c r="B1" s="108"/>
      <c r="C1" s="108"/>
      <c r="D1" s="108"/>
      <c r="E1" s="108"/>
      <c r="F1" s="108"/>
    </row>
    <row r="2" spans="1:6" ht="28.5" customHeight="1" x14ac:dyDescent="0.2">
      <c r="A2" s="6" t="s">
        <v>93</v>
      </c>
      <c r="B2" s="7" t="s">
        <v>620</v>
      </c>
      <c r="C2" s="7" t="s">
        <v>1188</v>
      </c>
      <c r="D2" s="7" t="s">
        <v>1297</v>
      </c>
      <c r="E2" s="8" t="s">
        <v>84</v>
      </c>
      <c r="F2" s="9" t="s">
        <v>85</v>
      </c>
    </row>
    <row r="3" spans="1:6" ht="14.25" customHeight="1" x14ac:dyDescent="0.2">
      <c r="A3" s="28" t="s">
        <v>1154</v>
      </c>
      <c r="B3" s="100">
        <v>4149</v>
      </c>
      <c r="C3" s="100">
        <v>20701</v>
      </c>
      <c r="D3" s="100">
        <v>15584</v>
      </c>
      <c r="E3" s="101">
        <f>SUM(MemberOfAssemblyAssemblyDistrict124General[[#This Row],[Part of Broome County Vote Results]:[Tioga County
Vote Results]])</f>
        <v>40434</v>
      </c>
      <c r="F3" s="113">
        <f>SUM(MemberOfAssemblyAssemblyDistrict124General[[#This Row],[Total Votes by Party]],E4)</f>
        <v>46573</v>
      </c>
    </row>
    <row r="4" spans="1:6" ht="14.25" customHeight="1" x14ac:dyDescent="0.2">
      <c r="A4" s="28" t="s">
        <v>1155</v>
      </c>
      <c r="B4" s="100">
        <v>540</v>
      </c>
      <c r="C4" s="100">
        <v>3492</v>
      </c>
      <c r="D4" s="100">
        <v>2107</v>
      </c>
      <c r="E4" s="101">
        <f>SUM(MemberOfAssemblyAssemblyDistrict124General[[#This Row],[Part of Broome County Vote Results]:[Tioga County
Vote Results]])</f>
        <v>6139</v>
      </c>
      <c r="F4" s="111"/>
    </row>
    <row r="5" spans="1:6" ht="14.25" customHeight="1" x14ac:dyDescent="0.2">
      <c r="A5" s="29" t="s">
        <v>18</v>
      </c>
      <c r="B5" s="100">
        <v>1537</v>
      </c>
      <c r="C5" s="100">
        <v>8714</v>
      </c>
      <c r="D5" s="100">
        <v>6954</v>
      </c>
      <c r="E5" s="101">
        <f>SUM(MemberOfAssemblyAssemblyDistrict124General[[#This Row],[Part of Broome County Vote Results]:[Tioga County
Vote Results]])</f>
        <v>17205</v>
      </c>
      <c r="F5" s="111"/>
    </row>
    <row r="6" spans="1:6" ht="14.25" customHeight="1" x14ac:dyDescent="0.2">
      <c r="A6" s="29" t="s">
        <v>19</v>
      </c>
      <c r="B6" s="100">
        <v>0</v>
      </c>
      <c r="C6" s="100">
        <v>2</v>
      </c>
      <c r="D6" s="100">
        <v>1</v>
      </c>
      <c r="E6" s="101">
        <f>SUM(MemberOfAssemblyAssemblyDistrict124General[[#This Row],[Part of Broome County Vote Results]:[Tioga County
Vote Results]])</f>
        <v>3</v>
      </c>
      <c r="F6" s="111"/>
    </row>
    <row r="7" spans="1:6" ht="14.25" customHeight="1" x14ac:dyDescent="0.2">
      <c r="A7" s="29" t="s">
        <v>20</v>
      </c>
      <c r="B7" s="100">
        <v>16</v>
      </c>
      <c r="C7" s="100">
        <v>162</v>
      </c>
      <c r="D7" s="100">
        <v>166</v>
      </c>
      <c r="E7" s="101">
        <f>SUM(MemberOfAssemblyAssemblyDistrict124General[[#This Row],[Part of Broome County Vote Results]:[Tioga County
Vote Results]])</f>
        <v>344</v>
      </c>
      <c r="F7" s="111"/>
    </row>
    <row r="8" spans="1:6" ht="14.25" customHeight="1" x14ac:dyDescent="0.2">
      <c r="A8" s="103" t="s">
        <v>21</v>
      </c>
      <c r="B8" s="100">
        <f>SUM(MemberOfAssemblyAssemblyDistrict124General[Part of Broome County Vote Results])</f>
        <v>6242</v>
      </c>
      <c r="C8" s="100">
        <f>SUM(MemberOfAssemblyAssemblyDistrict124General[Part of Chemung County Vote Results])</f>
        <v>33071</v>
      </c>
      <c r="D8" s="100">
        <f>SUM(MemberOfAssemblyAssemblyDistrict124General[Tioga County
Vote Results])</f>
        <v>24812</v>
      </c>
      <c r="E8" s="101">
        <f>SUM(MemberOfAssemblyAssemblyDistrict124General[Total Votes by Party])</f>
        <v>64125</v>
      </c>
      <c r="F8" s="111"/>
    </row>
    <row r="9" spans="1:6" ht="14.25" x14ac:dyDescent="0.2">
      <c r="B9" s="70"/>
      <c r="C9" s="70"/>
      <c r="D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4B72-2F7D-445C-8C73-C9021E93477E}">
  <sheetPr>
    <pageSetUpPr fitToPage="1"/>
  </sheetPr>
  <dimension ref="A1:E9"/>
  <sheetViews>
    <sheetView workbookViewId="0">
      <selection activeCell="A30" sqref="A3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1156</v>
      </c>
      <c r="B1" s="108"/>
      <c r="C1" s="108"/>
      <c r="D1" s="108"/>
      <c r="E1" s="108"/>
    </row>
    <row r="2" spans="1:5" ht="28.5" customHeight="1" x14ac:dyDescent="0.2">
      <c r="A2" s="6" t="s">
        <v>93</v>
      </c>
      <c r="B2" s="7" t="s">
        <v>1157</v>
      </c>
      <c r="C2" s="7" t="s">
        <v>1292</v>
      </c>
      <c r="D2" s="8" t="s">
        <v>84</v>
      </c>
      <c r="E2" s="9" t="s">
        <v>85</v>
      </c>
    </row>
    <row r="3" spans="1:5" ht="14.25" customHeight="1" x14ac:dyDescent="0.2">
      <c r="A3" s="29" t="s">
        <v>1158</v>
      </c>
      <c r="B3" s="100">
        <v>6582</v>
      </c>
      <c r="C3" s="100">
        <v>29091</v>
      </c>
      <c r="D3" s="30">
        <f>SUM(MemberOfAssemblyAssemblyDistrict125General[[#This Row],[Part of Courtland County Vote Results]:[Tompkins County
Vote Results]])</f>
        <v>35673</v>
      </c>
      <c r="E3" s="113">
        <f>SUM(MemberOfAssemblyAssemblyDistrict125General[[#This Row],[Total Votes by Party]],D4)</f>
        <v>44304</v>
      </c>
    </row>
    <row r="4" spans="1:5" ht="14.25" customHeight="1" x14ac:dyDescent="0.2">
      <c r="A4" s="29" t="s">
        <v>1159</v>
      </c>
      <c r="B4" s="100">
        <v>1636</v>
      </c>
      <c r="C4" s="100">
        <v>6995</v>
      </c>
      <c r="D4" s="30">
        <f>SUM(MemberOfAssemblyAssemblyDistrict125General[[#This Row],[Part of Courtland County Vote Results]:[Tompkins County
Vote Results]])</f>
        <v>8631</v>
      </c>
      <c r="E4" s="111"/>
    </row>
    <row r="5" spans="1:5" ht="14.25" customHeight="1" x14ac:dyDescent="0.2">
      <c r="A5" s="29" t="s">
        <v>18</v>
      </c>
      <c r="B5" s="100">
        <v>5008</v>
      </c>
      <c r="C5" s="100">
        <v>9520</v>
      </c>
      <c r="D5" s="101">
        <f>SUM(MemberOfAssemblyAssemblyDistrict125General[[#This Row],[Part of Courtland County Vote Results]:[Tompkins County
Vote Results]])</f>
        <v>14528</v>
      </c>
      <c r="E5" s="111"/>
    </row>
    <row r="6" spans="1:5" ht="14.25" customHeight="1" x14ac:dyDescent="0.2">
      <c r="A6" s="29" t="s">
        <v>19</v>
      </c>
      <c r="B6" s="100">
        <v>0</v>
      </c>
      <c r="C6" s="100">
        <v>6</v>
      </c>
      <c r="D6" s="101">
        <f>SUM(MemberOfAssemblyAssemblyDistrict125General[[#This Row],[Part of Courtland County Vote Results]:[Tompkins County
Vote Results]])</f>
        <v>6</v>
      </c>
      <c r="E6" s="111"/>
    </row>
    <row r="7" spans="1:5" ht="14.25" customHeight="1" x14ac:dyDescent="0.2">
      <c r="A7" s="29" t="s">
        <v>20</v>
      </c>
      <c r="B7" s="100">
        <v>66</v>
      </c>
      <c r="C7" s="100">
        <v>1065</v>
      </c>
      <c r="D7" s="101">
        <f>SUM(MemberOfAssemblyAssemblyDistrict125General[[#This Row],[Part of Courtland County Vote Results]:[Tompkins County
Vote Results]])</f>
        <v>1131</v>
      </c>
      <c r="E7" s="111"/>
    </row>
    <row r="8" spans="1:5" ht="14.25" customHeight="1" x14ac:dyDescent="0.2">
      <c r="A8" s="103" t="s">
        <v>21</v>
      </c>
      <c r="B8" s="100">
        <f>SUM(MemberOfAssemblyAssemblyDistrict125General[Part of Courtland County Vote Results])</f>
        <v>13292</v>
      </c>
      <c r="C8" s="100">
        <f>SUM(MemberOfAssemblyAssemblyDistrict125General[Tompkins County
Vote Results])</f>
        <v>46677</v>
      </c>
      <c r="D8" s="101">
        <f>SUM(MemberOfAssemblyAssemblyDistrict125General[Total Votes by Party])</f>
        <v>59969</v>
      </c>
      <c r="E8" s="111"/>
    </row>
    <row r="9" spans="1:5" ht="14.25" x14ac:dyDescent="0.2">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82439-1584-4EAE-91D4-0F3CD84E0396}">
  <sheetPr>
    <pageSetUpPr fitToPage="1"/>
  </sheetPr>
  <dimension ref="A1:E11"/>
  <sheetViews>
    <sheetView workbookViewId="0">
      <selection activeCell="B11" sqref="B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1160</v>
      </c>
      <c r="B1" s="108"/>
      <c r="C1" s="108"/>
      <c r="D1" s="108"/>
      <c r="E1" s="108"/>
    </row>
    <row r="2" spans="1:5" ht="28.5" customHeight="1" x14ac:dyDescent="0.2">
      <c r="A2" s="6" t="s">
        <v>93</v>
      </c>
      <c r="B2" s="7" t="s">
        <v>1134</v>
      </c>
      <c r="C2" s="7" t="s">
        <v>603</v>
      </c>
      <c r="D2" s="8" t="s">
        <v>84</v>
      </c>
      <c r="E2" s="9" t="s">
        <v>85</v>
      </c>
    </row>
    <row r="3" spans="1:5" ht="14.25" customHeight="1" x14ac:dyDescent="0.2">
      <c r="A3" s="28" t="s">
        <v>1161</v>
      </c>
      <c r="B3" s="100">
        <v>8079</v>
      </c>
      <c r="C3" s="100">
        <v>22222</v>
      </c>
      <c r="D3" s="101">
        <f>SUM(MemberOfAssemblyAssemblyDistrict126General[[#This Row],[Part of Cayuga County Vote Results]:[Part of Onondaga County Vote Results]])</f>
        <v>30301</v>
      </c>
      <c r="E3" s="113">
        <f>SUM(MemberOfAssemblyAssemblyDistrict126General[[#This Row],[Total Votes by Party]],D6)</f>
        <v>32842</v>
      </c>
    </row>
    <row r="4" spans="1:5" ht="14.25" customHeight="1" x14ac:dyDescent="0.2">
      <c r="A4" s="28" t="s">
        <v>1162</v>
      </c>
      <c r="B4" s="100">
        <v>10187</v>
      </c>
      <c r="C4" s="100">
        <v>24982</v>
      </c>
      <c r="D4" s="101">
        <f>SUM(MemberOfAssemblyAssemblyDistrict126General[[#This Row],[Part of Cayuga County Vote Results]:[Part of Onondaga County Vote Results]])</f>
        <v>35169</v>
      </c>
      <c r="E4" s="113">
        <f>SUM(MemberOfAssemblyAssemblyDistrict126General[[#This Row],[Total Votes by Party]],D5)</f>
        <v>40164</v>
      </c>
    </row>
    <row r="5" spans="1:5" ht="14.25" customHeight="1" x14ac:dyDescent="0.2">
      <c r="A5" s="28" t="s">
        <v>1163</v>
      </c>
      <c r="B5" s="100">
        <v>1405</v>
      </c>
      <c r="C5" s="100">
        <v>3590</v>
      </c>
      <c r="D5" s="101">
        <f>SUM(MemberOfAssemblyAssemblyDistrict126General[[#This Row],[Part of Cayuga County Vote Results]:[Part of Onondaga County Vote Results]])</f>
        <v>4995</v>
      </c>
      <c r="E5" s="111"/>
    </row>
    <row r="6" spans="1:5" ht="14.25" customHeight="1" x14ac:dyDescent="0.2">
      <c r="A6" s="28" t="s">
        <v>1164</v>
      </c>
      <c r="B6" s="100">
        <v>756</v>
      </c>
      <c r="C6" s="100">
        <v>1785</v>
      </c>
      <c r="D6" s="101">
        <f>SUM(MemberOfAssemblyAssemblyDistrict126General[[#This Row],[Part of Cayuga County Vote Results]:[Part of Onondaga County Vote Results]])</f>
        <v>2541</v>
      </c>
      <c r="E6" s="111"/>
    </row>
    <row r="7" spans="1:5" ht="14.25" customHeight="1" x14ac:dyDescent="0.2">
      <c r="A7" s="29" t="s">
        <v>18</v>
      </c>
      <c r="B7" s="100">
        <v>1074</v>
      </c>
      <c r="C7" s="100">
        <v>2209</v>
      </c>
      <c r="D7" s="101">
        <f>SUM(MemberOfAssemblyAssemblyDistrict126General[[#This Row],[Part of Cayuga County Vote Results]:[Part of Onondaga County Vote Results]])</f>
        <v>3283</v>
      </c>
      <c r="E7" s="111"/>
    </row>
    <row r="8" spans="1:5" ht="14.25" customHeight="1" x14ac:dyDescent="0.2">
      <c r="A8" s="29" t="s">
        <v>19</v>
      </c>
      <c r="B8" s="100">
        <v>10</v>
      </c>
      <c r="C8" s="100">
        <v>5</v>
      </c>
      <c r="D8" s="101">
        <f>SUM(MemberOfAssemblyAssemblyDistrict126General[[#This Row],[Part of Cayuga County Vote Results]:[Part of Onondaga County Vote Results]])</f>
        <v>15</v>
      </c>
      <c r="E8" s="111"/>
    </row>
    <row r="9" spans="1:5" ht="14.25" customHeight="1" x14ac:dyDescent="0.2">
      <c r="A9" s="29" t="s">
        <v>20</v>
      </c>
      <c r="B9" s="100">
        <v>18</v>
      </c>
      <c r="C9" s="100">
        <v>13</v>
      </c>
      <c r="D9" s="101">
        <f>SUM(MemberOfAssemblyAssemblyDistrict126General[[#This Row],[Part of Cayuga County Vote Results]:[Part of Onondaga County Vote Results]])</f>
        <v>31</v>
      </c>
      <c r="E9" s="111"/>
    </row>
    <row r="10" spans="1:5" ht="14.25" customHeight="1" x14ac:dyDescent="0.2">
      <c r="A10" s="103" t="s">
        <v>21</v>
      </c>
      <c r="B10" s="100">
        <f>SUM(MemberOfAssemblyAssemblyDistrict126General[Part of Cayuga County Vote Results])</f>
        <v>21529</v>
      </c>
      <c r="C10" s="100">
        <f>SUM(MemberOfAssemblyAssemblyDistrict126General[Part of Onondaga County Vote Results])</f>
        <v>54806</v>
      </c>
      <c r="D10" s="101">
        <f>SUM(MemberOfAssemblyAssemblyDistrict126General[Total Votes by Party])</f>
        <v>76335</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CA38F-DC89-4CA2-AF64-EDA8559F4E6B}">
  <sheetPr>
    <pageSetUpPr fitToPage="1"/>
  </sheetPr>
  <dimension ref="A1:E11"/>
  <sheetViews>
    <sheetView workbookViewId="0">
      <selection activeCell="B11" sqref="B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1165</v>
      </c>
      <c r="B1" s="108"/>
      <c r="C1" s="108"/>
      <c r="D1" s="108"/>
      <c r="E1" s="108"/>
    </row>
    <row r="2" spans="1:5" ht="28.5" customHeight="1" x14ac:dyDescent="0.2">
      <c r="A2" s="6" t="s">
        <v>93</v>
      </c>
      <c r="B2" s="7" t="s">
        <v>1138</v>
      </c>
      <c r="C2" s="7" t="s">
        <v>603</v>
      </c>
      <c r="D2" s="8" t="s">
        <v>84</v>
      </c>
      <c r="E2" s="9" t="s">
        <v>85</v>
      </c>
    </row>
    <row r="3" spans="1:5" ht="14.25" customHeight="1" x14ac:dyDescent="0.2">
      <c r="A3" s="28" t="s">
        <v>1166</v>
      </c>
      <c r="B3" s="100">
        <v>2146</v>
      </c>
      <c r="C3" s="100">
        <v>36000</v>
      </c>
      <c r="D3" s="101">
        <f>SUM(MemberOfAssemblyAssemblyDistrict127General[[#This Row],[Part of Madison County Vote Results]:[Part of Onondaga County Vote Results]])</f>
        <v>38146</v>
      </c>
      <c r="E3" s="113">
        <f>SUM(MemberOfAssemblyAssemblyDistrict127General[[#This Row],[Total Votes by Party]],D6)</f>
        <v>41280</v>
      </c>
    </row>
    <row r="4" spans="1:5" ht="14.25" customHeight="1" x14ac:dyDescent="0.2">
      <c r="A4" s="28" t="s">
        <v>1167</v>
      </c>
      <c r="B4" s="100">
        <v>1610</v>
      </c>
      <c r="C4" s="100">
        <v>25985</v>
      </c>
      <c r="D4" s="101">
        <f>SUM(MemberOfAssemblyAssemblyDistrict127General[[#This Row],[Part of Madison County Vote Results]:[Part of Onondaga County Vote Results]])</f>
        <v>27595</v>
      </c>
      <c r="E4" s="113">
        <f>SUM(MemberOfAssemblyAssemblyDistrict127General[[#This Row],[Total Votes by Party]],D5)</f>
        <v>31710</v>
      </c>
    </row>
    <row r="5" spans="1:5" ht="14.25" customHeight="1" x14ac:dyDescent="0.2">
      <c r="A5" s="28" t="s">
        <v>1168</v>
      </c>
      <c r="B5" s="100">
        <v>220</v>
      </c>
      <c r="C5" s="100">
        <v>3895</v>
      </c>
      <c r="D5" s="101">
        <f>SUM(MemberOfAssemblyAssemblyDistrict127General[[#This Row],[Part of Madison County Vote Results]:[Part of Onondaga County Vote Results]])</f>
        <v>4115</v>
      </c>
      <c r="E5" s="111"/>
    </row>
    <row r="6" spans="1:5" ht="14.25" customHeight="1" x14ac:dyDescent="0.2">
      <c r="A6" s="28" t="s">
        <v>1169</v>
      </c>
      <c r="B6" s="100">
        <v>157</v>
      </c>
      <c r="C6" s="100">
        <v>2977</v>
      </c>
      <c r="D6" s="101">
        <f>SUM(MemberOfAssemblyAssemblyDistrict127General[[#This Row],[Part of Madison County Vote Results]:[Part of Onondaga County Vote Results]])</f>
        <v>3134</v>
      </c>
      <c r="E6" s="111"/>
    </row>
    <row r="7" spans="1:5" ht="14.25" customHeight="1" x14ac:dyDescent="0.2">
      <c r="A7" s="29" t="s">
        <v>18</v>
      </c>
      <c r="B7" s="100">
        <v>105</v>
      </c>
      <c r="C7" s="100">
        <v>2048</v>
      </c>
      <c r="D7" s="101">
        <f>SUM(MemberOfAssemblyAssemblyDistrict127General[[#This Row],[Part of Madison County Vote Results]:[Part of Onondaga County Vote Results]])</f>
        <v>2153</v>
      </c>
      <c r="E7" s="111"/>
    </row>
    <row r="8" spans="1:5" ht="14.25" customHeight="1" x14ac:dyDescent="0.2">
      <c r="A8" s="29" t="s">
        <v>19</v>
      </c>
      <c r="B8" s="100">
        <v>1</v>
      </c>
      <c r="C8" s="100">
        <v>17</v>
      </c>
      <c r="D8" s="101">
        <f>SUM(MemberOfAssemblyAssemblyDistrict127General[[#This Row],[Part of Madison County Vote Results]:[Part of Onondaga County Vote Results]])</f>
        <v>18</v>
      </c>
      <c r="E8" s="111"/>
    </row>
    <row r="9" spans="1:5" ht="14.25" customHeight="1" x14ac:dyDescent="0.2">
      <c r="A9" s="29" t="s">
        <v>20</v>
      </c>
      <c r="B9" s="100">
        <v>3</v>
      </c>
      <c r="C9" s="100">
        <v>38</v>
      </c>
      <c r="D9" s="101">
        <f>SUM(MemberOfAssemblyAssemblyDistrict127General[[#This Row],[Part of Madison County Vote Results]:[Part of Onondaga County Vote Results]])</f>
        <v>41</v>
      </c>
      <c r="E9" s="111"/>
    </row>
    <row r="10" spans="1:5" ht="14.25" customHeight="1" x14ac:dyDescent="0.2">
      <c r="A10" s="103" t="s">
        <v>21</v>
      </c>
      <c r="B10" s="100">
        <f>SUM(MemberOfAssemblyAssemblyDistrict127General[Part of Madison County Vote Results])</f>
        <v>4242</v>
      </c>
      <c r="C10" s="100">
        <f>SUM(MemberOfAssemblyAssemblyDistrict127General[Part of Onondaga County Vote Results])</f>
        <v>70960</v>
      </c>
      <c r="D10" s="101">
        <f>SUM(MemberOfAssemblyAssemblyDistrict127General[Total Votes by Party])</f>
        <v>75202</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828-D745-45D9-AF36-70D32B7C932C}">
  <sheetPr>
    <pageSetUpPr fitToPage="1"/>
  </sheetPr>
  <dimension ref="A1:D10"/>
  <sheetViews>
    <sheetView workbookViewId="0">
      <selection activeCell="B8" sqref="B8"/>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1170</v>
      </c>
      <c r="B1" s="108"/>
      <c r="C1" s="108"/>
      <c r="D1" s="108"/>
    </row>
    <row r="2" spans="1:4" ht="28.5" customHeight="1" x14ac:dyDescent="0.2">
      <c r="A2" s="6" t="s">
        <v>93</v>
      </c>
      <c r="B2" s="7" t="s">
        <v>603</v>
      </c>
      <c r="C2" s="8" t="s">
        <v>84</v>
      </c>
      <c r="D2" s="9" t="s">
        <v>85</v>
      </c>
    </row>
    <row r="3" spans="1:4" ht="14.25" customHeight="1" x14ac:dyDescent="0.2">
      <c r="A3" s="28" t="s">
        <v>1171</v>
      </c>
      <c r="B3" s="100">
        <v>31864</v>
      </c>
      <c r="C3" s="101">
        <f>MemberOfAssemblyAssemblyDistrict128General[[#This Row],[Part of Onondaga County Vote Results]]</f>
        <v>31864</v>
      </c>
      <c r="D3" s="113">
        <f>SUM(MemberOfAssemblyAssemblyDistrict128General[[#This Row],[Total Votes by Party]],C6)</f>
        <v>34748</v>
      </c>
    </row>
    <row r="4" spans="1:4" ht="14.25" customHeight="1" x14ac:dyDescent="0.2">
      <c r="A4" s="28" t="s">
        <v>1172</v>
      </c>
      <c r="B4" s="100">
        <v>17555</v>
      </c>
      <c r="C4" s="101">
        <f>MemberOfAssemblyAssemblyDistrict128General[[#This Row],[Part of Onondaga County Vote Results]]</f>
        <v>17555</v>
      </c>
      <c r="D4" s="113">
        <f>SUM(MemberOfAssemblyAssemblyDistrict128General[[#This Row],[Total Votes by Party]],C5)</f>
        <v>20382</v>
      </c>
    </row>
    <row r="5" spans="1:4" ht="14.25" customHeight="1" x14ac:dyDescent="0.2">
      <c r="A5" s="28" t="s">
        <v>1173</v>
      </c>
      <c r="B5" s="100">
        <v>2827</v>
      </c>
      <c r="C5" s="101">
        <f>MemberOfAssemblyAssemblyDistrict128General[[#This Row],[Part of Onondaga County Vote Results]]</f>
        <v>2827</v>
      </c>
      <c r="D5" s="111"/>
    </row>
    <row r="6" spans="1:4" ht="14.25" customHeight="1" x14ac:dyDescent="0.2">
      <c r="A6" s="28" t="s">
        <v>1174</v>
      </c>
      <c r="B6" s="100">
        <v>2884</v>
      </c>
      <c r="C6" s="101">
        <f>MemberOfAssemblyAssemblyDistrict128General[[#This Row],[Part of Onondaga County Vote Results]]</f>
        <v>2884</v>
      </c>
      <c r="D6" s="111"/>
    </row>
    <row r="7" spans="1:4" ht="14.25" customHeight="1" x14ac:dyDescent="0.2">
      <c r="A7" s="29" t="s">
        <v>18</v>
      </c>
      <c r="B7" s="100">
        <v>2296</v>
      </c>
      <c r="C7" s="101">
        <f>MemberOfAssemblyAssemblyDistrict128General[[#This Row],[Part of Onondaga County Vote Results]]</f>
        <v>2296</v>
      </c>
      <c r="D7" s="111"/>
    </row>
    <row r="8" spans="1:4" ht="14.25" customHeight="1" x14ac:dyDescent="0.2">
      <c r="A8" s="29" t="s">
        <v>19</v>
      </c>
      <c r="B8" s="100">
        <v>22</v>
      </c>
      <c r="C8" s="101">
        <f>MemberOfAssemblyAssemblyDistrict128General[[#This Row],[Part of Onondaga County Vote Results]]</f>
        <v>22</v>
      </c>
      <c r="D8" s="111"/>
    </row>
    <row r="9" spans="1:4" ht="14.25" customHeight="1" x14ac:dyDescent="0.2">
      <c r="A9" s="29" t="s">
        <v>20</v>
      </c>
      <c r="B9" s="100">
        <v>47</v>
      </c>
      <c r="C9" s="101">
        <f>MemberOfAssemblyAssemblyDistrict128General[[#This Row],[Part of Onondaga County Vote Results]]</f>
        <v>47</v>
      </c>
      <c r="D9" s="111"/>
    </row>
    <row r="10" spans="1:4" ht="14.25" customHeight="1" x14ac:dyDescent="0.2">
      <c r="A10" s="103" t="s">
        <v>21</v>
      </c>
      <c r="B10" s="100">
        <f>SUM(MemberOfAssemblyAssemblyDistrict128General[Part of Onondaga County Vote Results])</f>
        <v>57495</v>
      </c>
      <c r="C10" s="101">
        <f>SUM(MemberOfAssemblyAssemblyDistrict128General[Total Votes by Party])</f>
        <v>57495</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06845-6D0C-45A6-BFA3-8EF66D36A397}">
  <sheetPr>
    <pageSetUpPr fitToPage="1"/>
  </sheetPr>
  <dimension ref="A1:D7"/>
  <sheetViews>
    <sheetView workbookViewId="0">
      <selection activeCell="B5" sqref="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1175</v>
      </c>
      <c r="B1" s="108"/>
      <c r="C1" s="108"/>
      <c r="D1" s="108"/>
    </row>
    <row r="2" spans="1:4" ht="28.5" customHeight="1" x14ac:dyDescent="0.2">
      <c r="A2" s="6" t="s">
        <v>93</v>
      </c>
      <c r="B2" s="7" t="s">
        <v>603</v>
      </c>
      <c r="C2" s="8" t="s">
        <v>84</v>
      </c>
      <c r="D2" s="9" t="s">
        <v>85</v>
      </c>
    </row>
    <row r="3" spans="1:4" ht="14.25" customHeight="1" x14ac:dyDescent="0.2">
      <c r="A3" s="28" t="s">
        <v>1176</v>
      </c>
      <c r="B3" s="100">
        <v>35165</v>
      </c>
      <c r="C3" s="101">
        <f>MemberOfAssemblyAssemblyDistrict129General[[#This Row],[Part of Onondaga County Vote Results]]</f>
        <v>35165</v>
      </c>
      <c r="D3" s="113">
        <f>SUM(MemberOfAssemblyAssemblyDistrict129General[[#This Row],[Total Votes by Party]])</f>
        <v>35165</v>
      </c>
    </row>
    <row r="4" spans="1:4" ht="14.25" customHeight="1" x14ac:dyDescent="0.2">
      <c r="A4" s="29" t="s">
        <v>18</v>
      </c>
      <c r="B4" s="100">
        <v>12754</v>
      </c>
      <c r="C4" s="101">
        <f>MemberOfAssemblyAssemblyDistrict129General[[#This Row],[Part of Onondaga County Vote Results]]</f>
        <v>12754</v>
      </c>
      <c r="D4" s="111"/>
    </row>
    <row r="5" spans="1:4" ht="14.25" customHeight="1" x14ac:dyDescent="0.2">
      <c r="A5" s="29" t="s">
        <v>19</v>
      </c>
      <c r="B5" s="100">
        <v>0</v>
      </c>
      <c r="C5" s="101">
        <f>MemberOfAssemblyAssemblyDistrict129General[[#This Row],[Part of Onondaga County Vote Results]]</f>
        <v>0</v>
      </c>
      <c r="D5" s="111"/>
    </row>
    <row r="6" spans="1:4" ht="14.25" customHeight="1" x14ac:dyDescent="0.2">
      <c r="A6" s="29" t="s">
        <v>20</v>
      </c>
      <c r="B6" s="100">
        <v>527</v>
      </c>
      <c r="C6" s="101">
        <f>MemberOfAssemblyAssemblyDistrict129General[[#This Row],[Part of Onondaga County Vote Results]]</f>
        <v>527</v>
      </c>
      <c r="D6" s="111"/>
    </row>
    <row r="7" spans="1:4" ht="14.25" customHeight="1" x14ac:dyDescent="0.2">
      <c r="A7" s="103" t="s">
        <v>21</v>
      </c>
      <c r="B7" s="100">
        <f>SUM(MemberOfAssemblyAssemblyDistrict129General[Part of Onondaga County Vote Results])</f>
        <v>48446</v>
      </c>
      <c r="C7" s="101">
        <f>SUM(MemberOfAssemblyAssemblyDistrict129General[Total Votes by Party])</f>
        <v>48446</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1E33-DAC2-4EFB-86DB-8D0DDD5B43CD}">
  <sheetPr>
    <pageSetUpPr fitToPage="1"/>
  </sheetPr>
  <dimension ref="A1:E10"/>
  <sheetViews>
    <sheetView workbookViewId="0">
      <selection activeCell="C10" sqref="C10"/>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1177</v>
      </c>
      <c r="B1" s="108"/>
      <c r="C1" s="108"/>
      <c r="D1" s="108"/>
      <c r="E1" s="108"/>
    </row>
    <row r="2" spans="1:5" ht="28.5" customHeight="1" x14ac:dyDescent="0.2">
      <c r="A2" s="6" t="s">
        <v>93</v>
      </c>
      <c r="B2" s="7" t="s">
        <v>640</v>
      </c>
      <c r="C2" s="7" t="s">
        <v>118</v>
      </c>
      <c r="D2" s="8" t="s">
        <v>84</v>
      </c>
      <c r="E2" s="9" t="s">
        <v>85</v>
      </c>
    </row>
    <row r="3" spans="1:5" ht="14.25" customHeight="1" x14ac:dyDescent="0.2">
      <c r="A3" s="28" t="s">
        <v>1178</v>
      </c>
      <c r="B3" s="100">
        <v>12225</v>
      </c>
      <c r="C3" s="100">
        <v>12846</v>
      </c>
      <c r="D3" s="101">
        <f>SUM(MemberOfAssemblyAssemblyDistrict130General[[#This Row],[Part of Monroe County Vote Results]:[Wayne County
Vote Results]])</f>
        <v>25071</v>
      </c>
      <c r="E3" s="113">
        <f>SUM(MemberOfAssemblyAssemblyDistrict130General[[#This Row],[Total Votes by Party]])</f>
        <v>25071</v>
      </c>
    </row>
    <row r="4" spans="1:5" ht="14.25" customHeight="1" x14ac:dyDescent="0.2">
      <c r="A4" s="28" t="s">
        <v>1179</v>
      </c>
      <c r="B4" s="100">
        <v>12027</v>
      </c>
      <c r="C4" s="100">
        <v>25619</v>
      </c>
      <c r="D4" s="101">
        <f>SUM(MemberOfAssemblyAssemblyDistrict130General[[#This Row],[Part of Monroe County Vote Results]:[Wayne County
Vote Results]])</f>
        <v>37646</v>
      </c>
      <c r="E4" s="113">
        <f>SUM(MemberOfAssemblyAssemblyDistrict130General[[#This Row],[Total Votes by Party]],D5)</f>
        <v>44001</v>
      </c>
    </row>
    <row r="5" spans="1:5" ht="14.25" customHeight="1" x14ac:dyDescent="0.2">
      <c r="A5" s="28" t="s">
        <v>1180</v>
      </c>
      <c r="B5" s="100">
        <v>1965</v>
      </c>
      <c r="C5" s="100">
        <v>4390</v>
      </c>
      <c r="D5" s="101">
        <f>SUM(MemberOfAssemblyAssemblyDistrict130General[[#This Row],[Part of Monroe County Vote Results]:[Wayne County
Vote Results]])</f>
        <v>6355</v>
      </c>
      <c r="E5" s="111"/>
    </row>
    <row r="6" spans="1:5" ht="14.25" customHeight="1" x14ac:dyDescent="0.2">
      <c r="A6" s="29" t="s">
        <v>18</v>
      </c>
      <c r="B6" s="100">
        <v>1642</v>
      </c>
      <c r="C6" s="100">
        <v>2134</v>
      </c>
      <c r="D6" s="101">
        <f>SUM(MemberOfAssemblyAssemblyDistrict130General[[#This Row],[Part of Monroe County Vote Results]:[Wayne County
Vote Results]])</f>
        <v>3776</v>
      </c>
      <c r="E6" s="111"/>
    </row>
    <row r="7" spans="1:5" ht="14.25" customHeight="1" x14ac:dyDescent="0.2">
      <c r="A7" s="29" t="s">
        <v>19</v>
      </c>
      <c r="B7" s="100">
        <v>3</v>
      </c>
      <c r="C7" s="100">
        <v>14</v>
      </c>
      <c r="D7" s="101">
        <f>SUM(MemberOfAssemblyAssemblyDistrict130General[[#This Row],[Part of Monroe County Vote Results]:[Wayne County
Vote Results]])</f>
        <v>17</v>
      </c>
      <c r="E7" s="111"/>
    </row>
    <row r="8" spans="1:5" ht="14.25" customHeight="1" x14ac:dyDescent="0.2">
      <c r="A8" s="29" t="s">
        <v>20</v>
      </c>
      <c r="B8" s="100">
        <v>4</v>
      </c>
      <c r="C8" s="100">
        <v>12</v>
      </c>
      <c r="D8" s="101">
        <f>SUM(MemberOfAssemblyAssemblyDistrict130General[[#This Row],[Part of Monroe County Vote Results]:[Wayne County
Vote Results]])</f>
        <v>16</v>
      </c>
      <c r="E8" s="111"/>
    </row>
    <row r="9" spans="1:5" ht="14.25" customHeight="1" x14ac:dyDescent="0.2">
      <c r="A9" s="103" t="s">
        <v>21</v>
      </c>
      <c r="B9" s="100">
        <f>SUM(MemberOfAssemblyAssemblyDistrict130General[Part of Monroe County Vote Results])</f>
        <v>27866</v>
      </c>
      <c r="C9" s="100">
        <f>SUM(MemberOfAssemblyAssemblyDistrict130General[Wayne County
Vote Results])</f>
        <v>45015</v>
      </c>
      <c r="D9" s="101">
        <f>SUM(MemberOfAssemblyAssemblyDistrict130General[Total Votes by Party])</f>
        <v>72881</v>
      </c>
      <c r="E9" s="111"/>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9C56-D81C-4DF2-825A-65F15AE7CF9C}">
  <sheetPr>
    <pageSetUpPr fitToPage="1"/>
  </sheetPr>
  <dimension ref="A1:E10"/>
  <sheetViews>
    <sheetView zoomScaleNormal="100"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280</v>
      </c>
      <c r="B1" s="108"/>
      <c r="C1" s="108"/>
      <c r="D1" s="108"/>
      <c r="E1" s="108"/>
    </row>
    <row r="2" spans="1:5" ht="28.5" customHeight="1" x14ac:dyDescent="0.2">
      <c r="A2" s="6" t="s">
        <v>93</v>
      </c>
      <c r="B2" s="7" t="s">
        <v>281</v>
      </c>
      <c r="C2" s="7" t="s">
        <v>267</v>
      </c>
      <c r="D2" s="8" t="s">
        <v>84</v>
      </c>
      <c r="E2" s="9" t="s">
        <v>85</v>
      </c>
    </row>
    <row r="3" spans="1:5" ht="14.25" customHeight="1" x14ac:dyDescent="0.2">
      <c r="A3" s="28" t="s">
        <v>282</v>
      </c>
      <c r="B3" s="100">
        <v>30045</v>
      </c>
      <c r="C3" s="118">
        <v>151755</v>
      </c>
      <c r="D3" s="101">
        <f>SUM(RepInCongressCongressionalDistrict13General[[#This Row],[Part of Bronx County Vote Results]:[Part of New York County Vote Results]])</f>
        <v>181800</v>
      </c>
      <c r="E3" s="113">
        <f>SUM(RepInCongressCongressionalDistrict13General[[#This Row],[Total Votes by Party]])</f>
        <v>181800</v>
      </c>
    </row>
    <row r="4" spans="1:5" ht="14.25" customHeight="1" x14ac:dyDescent="0.2">
      <c r="A4" s="28" t="s">
        <v>283</v>
      </c>
      <c r="B4" s="100">
        <v>9957</v>
      </c>
      <c r="C4" s="118">
        <v>22114</v>
      </c>
      <c r="D4" s="101">
        <f>SUM(RepInCongressCongressionalDistrict13General[[#This Row],[Part of Bronx County Vote Results]:[Part of New York County Vote Results]])</f>
        <v>32071</v>
      </c>
      <c r="E4" s="113">
        <f>SUM(RepInCongressCongressionalDistrict13General[[#This Row],[Total Votes by Party]],D5)</f>
        <v>35822</v>
      </c>
    </row>
    <row r="5" spans="1:5" ht="14.25" customHeight="1" x14ac:dyDescent="0.2">
      <c r="A5" s="28" t="s">
        <v>284</v>
      </c>
      <c r="B5" s="100">
        <v>935</v>
      </c>
      <c r="C5" s="118">
        <v>2816</v>
      </c>
      <c r="D5" s="101">
        <f>SUM(RepInCongressCongressionalDistrict13General[[#This Row],[Part of Bronx County Vote Results]:[Part of New York County Vote Results]])</f>
        <v>3751</v>
      </c>
      <c r="E5" s="111"/>
    </row>
    <row r="6" spans="1:5" ht="14.25" customHeight="1" x14ac:dyDescent="0.2">
      <c r="A6" s="29" t="s">
        <v>18</v>
      </c>
      <c r="B6" s="100">
        <v>4622</v>
      </c>
      <c r="C6" s="118">
        <v>18295</v>
      </c>
      <c r="D6" s="101">
        <f>SUM(RepInCongressCongressionalDistrict13General[[#This Row],[Part of Bronx County Vote Results]:[Part of New York County Vote Results]])</f>
        <v>22917</v>
      </c>
      <c r="E6" s="111"/>
    </row>
    <row r="7" spans="1:5" ht="14.25" customHeight="1" x14ac:dyDescent="0.2">
      <c r="A7" s="29" t="s">
        <v>19</v>
      </c>
      <c r="B7" s="100">
        <v>0</v>
      </c>
      <c r="C7" s="118">
        <v>0</v>
      </c>
      <c r="D7" s="101">
        <f>SUM(RepInCongressCongressionalDistrict13General[[#This Row],[Part of Bronx County Vote Results]:[Part of New York County Vote Results]])</f>
        <v>0</v>
      </c>
      <c r="E7" s="111"/>
    </row>
    <row r="8" spans="1:5" ht="14.25" customHeight="1" x14ac:dyDescent="0.2">
      <c r="A8" s="29" t="s">
        <v>20</v>
      </c>
      <c r="B8" s="100">
        <v>152</v>
      </c>
      <c r="C8" s="118">
        <v>1199</v>
      </c>
      <c r="D8" s="101">
        <f>SUM(RepInCongressCongressionalDistrict13General[[#This Row],[Part of Bronx County Vote Results]:[Part of New York County Vote Results]])</f>
        <v>1351</v>
      </c>
      <c r="E8" s="111"/>
    </row>
    <row r="9" spans="1:5" ht="14.25" customHeight="1" x14ac:dyDescent="0.2">
      <c r="A9" s="103" t="s">
        <v>21</v>
      </c>
      <c r="B9" s="100">
        <f>SUM(RepInCongressCongressionalDistrict13General[Part of Bronx County Vote Results])</f>
        <v>45711</v>
      </c>
      <c r="C9" s="100">
        <f>SUM(RepInCongressCongressionalDistrict13General[Part of New York County Vote Results])</f>
        <v>196179</v>
      </c>
      <c r="D9" s="101">
        <f>SUM(RepInCongressCongressionalDistrict13General[Total Votes by Party])</f>
        <v>241890</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48B71-3161-41AB-B447-5EFA1E0CEDDE}">
  <sheetPr>
    <pageSetUpPr fitToPage="1"/>
  </sheetPr>
  <dimension ref="A1:J9"/>
  <sheetViews>
    <sheetView workbookViewId="0">
      <pane xSplit="1" topLeftCell="B1" activePane="topRight" state="frozen"/>
      <selection pane="topRight" activeCell="F9" sqref="F9"/>
    </sheetView>
  </sheetViews>
  <sheetFormatPr defaultRowHeight="12.75" x14ac:dyDescent="0.2"/>
  <cols>
    <col min="1" max="1" width="25.5703125" customWidth="1"/>
    <col min="2" max="10" width="20.5703125" customWidth="1"/>
    <col min="11" max="12" width="23.5703125" customWidth="1"/>
  </cols>
  <sheetData>
    <row r="1" spans="1:10" ht="24.95" customHeight="1" x14ac:dyDescent="0.2">
      <c r="A1" s="74" t="s">
        <v>1181</v>
      </c>
      <c r="B1" s="108"/>
      <c r="C1" s="108"/>
      <c r="D1" s="108"/>
      <c r="E1" s="108"/>
      <c r="F1" s="108"/>
      <c r="G1" s="108"/>
      <c r="H1" s="108"/>
      <c r="I1" s="108"/>
      <c r="J1" s="108"/>
    </row>
    <row r="2" spans="1:10" ht="28.5" customHeight="1" x14ac:dyDescent="0.2">
      <c r="A2" s="6" t="s">
        <v>93</v>
      </c>
      <c r="B2" s="7" t="s">
        <v>620</v>
      </c>
      <c r="C2" s="7" t="s">
        <v>1134</v>
      </c>
      <c r="D2" s="7" t="s">
        <v>621</v>
      </c>
      <c r="E2" s="7" t="s">
        <v>1182</v>
      </c>
      <c r="F2" s="7" t="s">
        <v>1138</v>
      </c>
      <c r="G2" s="7" t="s">
        <v>1183</v>
      </c>
      <c r="H2" s="7" t="s">
        <v>1184</v>
      </c>
      <c r="I2" s="8" t="s">
        <v>84</v>
      </c>
      <c r="J2" s="9" t="s">
        <v>85</v>
      </c>
    </row>
    <row r="3" spans="1:10" ht="14.25" customHeight="1" x14ac:dyDescent="0.2">
      <c r="A3" s="28" t="s">
        <v>1185</v>
      </c>
      <c r="B3" s="100">
        <v>938</v>
      </c>
      <c r="C3" s="100">
        <v>6918</v>
      </c>
      <c r="D3" s="100">
        <v>1622</v>
      </c>
      <c r="E3" s="100">
        <v>5653</v>
      </c>
      <c r="F3" s="100">
        <v>1451</v>
      </c>
      <c r="G3" s="100">
        <v>18680</v>
      </c>
      <c r="H3" s="100">
        <v>6275</v>
      </c>
      <c r="I3" s="101">
        <f>SUM(MemberOfAssemblyAssemblyDistrict131General[[#This Row],[Part of Broome County Vote Results]:[Part of Seneca County Vote Results]])</f>
        <v>41537</v>
      </c>
      <c r="J3" s="113">
        <f>SUM(MemberOfAssemblyAssemblyDistrict131General[[#This Row],[Total Votes by Party]],I4)</f>
        <v>49250</v>
      </c>
    </row>
    <row r="4" spans="1:10" ht="14.25" customHeight="1" x14ac:dyDescent="0.2">
      <c r="A4" s="28" t="s">
        <v>1186</v>
      </c>
      <c r="B4" s="100">
        <v>125</v>
      </c>
      <c r="C4" s="100">
        <v>1165</v>
      </c>
      <c r="D4" s="100">
        <v>194</v>
      </c>
      <c r="E4" s="100">
        <v>877</v>
      </c>
      <c r="F4" s="100">
        <v>297</v>
      </c>
      <c r="G4" s="100">
        <v>3798</v>
      </c>
      <c r="H4" s="100">
        <v>1257</v>
      </c>
      <c r="I4" s="101">
        <f>SUM(MemberOfAssemblyAssemblyDistrict131General[[#This Row],[Part of Broome County Vote Results]:[Part of Seneca County Vote Results]])</f>
        <v>7713</v>
      </c>
      <c r="J4" s="111"/>
    </row>
    <row r="5" spans="1:10" ht="14.25" customHeight="1" x14ac:dyDescent="0.2">
      <c r="A5" s="29" t="s">
        <v>18</v>
      </c>
      <c r="B5" s="100">
        <v>345</v>
      </c>
      <c r="C5" s="100">
        <v>3482</v>
      </c>
      <c r="D5" s="100">
        <v>591</v>
      </c>
      <c r="E5" s="100">
        <v>2478</v>
      </c>
      <c r="F5" s="100">
        <v>587</v>
      </c>
      <c r="G5" s="100">
        <v>9464</v>
      </c>
      <c r="H5" s="100">
        <v>2827</v>
      </c>
      <c r="I5" s="101">
        <f>SUM(MemberOfAssemblyAssemblyDistrict131General[[#This Row],[Part of Broome County Vote Results]:[Part of Seneca County Vote Results]])</f>
        <v>19774</v>
      </c>
      <c r="J5" s="111"/>
    </row>
    <row r="6" spans="1:10" ht="14.25" customHeight="1" x14ac:dyDescent="0.2">
      <c r="A6" s="29" t="s">
        <v>19</v>
      </c>
      <c r="B6" s="100">
        <v>0</v>
      </c>
      <c r="C6" s="100">
        <v>0</v>
      </c>
      <c r="D6" s="100">
        <v>0</v>
      </c>
      <c r="E6" s="100">
        <v>0</v>
      </c>
      <c r="F6" s="100">
        <v>0</v>
      </c>
      <c r="G6" s="100">
        <v>2</v>
      </c>
      <c r="H6" s="100">
        <v>5</v>
      </c>
      <c r="I6" s="101">
        <f>SUM(MemberOfAssemblyAssemblyDistrict131General[[#This Row],[Part of Broome County Vote Results]:[Part of Seneca County Vote Results]])</f>
        <v>7</v>
      </c>
      <c r="J6" s="111"/>
    </row>
    <row r="7" spans="1:10" ht="14.25" customHeight="1" x14ac:dyDescent="0.2">
      <c r="A7" s="29" t="s">
        <v>20</v>
      </c>
      <c r="B7" s="100">
        <v>5</v>
      </c>
      <c r="C7" s="100">
        <v>97</v>
      </c>
      <c r="D7" s="100">
        <v>11</v>
      </c>
      <c r="E7" s="100">
        <v>30</v>
      </c>
      <c r="F7" s="100">
        <v>12</v>
      </c>
      <c r="G7" s="100">
        <v>179</v>
      </c>
      <c r="H7" s="100">
        <v>49</v>
      </c>
      <c r="I7" s="101">
        <f>SUM(MemberOfAssemblyAssemblyDistrict131General[[#This Row],[Part of Broome County Vote Results]:[Part of Seneca County Vote Results]])</f>
        <v>383</v>
      </c>
      <c r="J7" s="111"/>
    </row>
    <row r="8" spans="1:10" ht="14.25" customHeight="1" x14ac:dyDescent="0.2">
      <c r="A8" s="103" t="s">
        <v>21</v>
      </c>
      <c r="B8" s="100">
        <f>SUM(MemberOfAssemblyAssemblyDistrict131General[Part of Broome County Vote Results])</f>
        <v>1413</v>
      </c>
      <c r="C8" s="100">
        <f>SUM(MemberOfAssemblyAssemblyDistrict131General[Part of Cayuga County Vote Results])</f>
        <v>11662</v>
      </c>
      <c r="D8" s="100">
        <f>SUM(MemberOfAssemblyAssemblyDistrict131General[Part of Chenango County Vote Results])</f>
        <v>2418</v>
      </c>
      <c r="E8" s="100">
        <f>SUM(MemberOfAssemblyAssemblyDistrict131General[Part of Cortland County Vote Results])</f>
        <v>9038</v>
      </c>
      <c r="F8" s="100">
        <f>SUM(MemberOfAssemblyAssemblyDistrict131General[Part of Madison County Vote Results])</f>
        <v>2347</v>
      </c>
      <c r="G8" s="100">
        <f>SUM(MemberOfAssemblyAssemblyDistrict131General[Part of Ontario County Vote Results])</f>
        <v>32123</v>
      </c>
      <c r="H8" s="100">
        <f>SUM(MemberOfAssemblyAssemblyDistrict131General[Part of Seneca County Vote Results])</f>
        <v>10413</v>
      </c>
      <c r="I8" s="101">
        <f>SUBTOTAL(109,I3:I7)</f>
        <v>69414</v>
      </c>
      <c r="J8" s="111"/>
    </row>
    <row r="9" spans="1:10" ht="14.25" x14ac:dyDescent="0.2">
      <c r="B9" s="70"/>
      <c r="C9" s="70"/>
      <c r="D9" s="70"/>
      <c r="E9" s="70"/>
      <c r="F9" s="70"/>
      <c r="H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F8F28-DABC-4ED9-AB43-A71A15A9B852}">
  <sheetPr>
    <pageSetUpPr fitToPage="1"/>
  </sheetPr>
  <dimension ref="A1:H9"/>
  <sheetViews>
    <sheetView workbookViewId="0">
      <selection activeCell="B9" sqref="B9"/>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4" t="s">
        <v>1187</v>
      </c>
      <c r="B1" s="108"/>
      <c r="C1" s="108"/>
      <c r="D1" s="108"/>
      <c r="E1" s="108"/>
      <c r="F1" s="108"/>
      <c r="G1" s="108"/>
      <c r="H1" s="108"/>
    </row>
    <row r="2" spans="1:8" ht="28.5" customHeight="1" x14ac:dyDescent="0.2">
      <c r="A2" s="6" t="s">
        <v>93</v>
      </c>
      <c r="B2" s="7" t="s">
        <v>1188</v>
      </c>
      <c r="C2" s="7" t="s">
        <v>1296</v>
      </c>
      <c r="D2" s="7" t="s">
        <v>1184</v>
      </c>
      <c r="E2" s="27" t="s">
        <v>1189</v>
      </c>
      <c r="F2" s="7" t="s">
        <v>1298</v>
      </c>
      <c r="G2" s="8" t="s">
        <v>84</v>
      </c>
      <c r="H2" s="9" t="s">
        <v>85</v>
      </c>
    </row>
    <row r="3" spans="1:8" ht="14.25" customHeight="1" x14ac:dyDescent="0.2">
      <c r="A3" s="28" t="s">
        <v>1190</v>
      </c>
      <c r="B3" s="100">
        <v>3362</v>
      </c>
      <c r="C3" s="100">
        <v>6075</v>
      </c>
      <c r="D3" s="100">
        <v>2714</v>
      </c>
      <c r="E3" s="100">
        <v>24333</v>
      </c>
      <c r="F3" s="100">
        <v>6571</v>
      </c>
      <c r="G3" s="101">
        <f>SUM(MemberOfAssemblyAssemblyDistrict132General[[#This Row],[Part of Chemung County Vote Results]:[Yates County
Vote Results]])</f>
        <v>43055</v>
      </c>
      <c r="H3" s="113">
        <f>SUM(MemberOfAssemblyAssemblyDistrict132General[[#This Row],[Total Votes by Party]],G4)</f>
        <v>49589</v>
      </c>
    </row>
    <row r="4" spans="1:8" ht="14.25" customHeight="1" x14ac:dyDescent="0.2">
      <c r="A4" s="28" t="s">
        <v>1191</v>
      </c>
      <c r="B4" s="100">
        <v>548</v>
      </c>
      <c r="C4" s="100">
        <v>999</v>
      </c>
      <c r="D4" s="100">
        <v>522</v>
      </c>
      <c r="E4" s="100">
        <v>3332</v>
      </c>
      <c r="F4" s="100">
        <v>1133</v>
      </c>
      <c r="G4" s="101">
        <f>SUM(MemberOfAssemblyAssemblyDistrict132General[[#This Row],[Part of Chemung County Vote Results]:[Yates County
Vote Results]])</f>
        <v>6534</v>
      </c>
      <c r="H4" s="111"/>
    </row>
    <row r="5" spans="1:8" ht="14.25" customHeight="1" x14ac:dyDescent="0.2">
      <c r="A5" s="29" t="s">
        <v>18</v>
      </c>
      <c r="B5" s="100">
        <v>925</v>
      </c>
      <c r="C5" s="100">
        <v>2437</v>
      </c>
      <c r="D5" s="100">
        <v>1549</v>
      </c>
      <c r="E5" s="100">
        <v>7851</v>
      </c>
      <c r="F5" s="100">
        <v>2891</v>
      </c>
      <c r="G5" s="101">
        <f>SUM(MemberOfAssemblyAssemblyDistrict132General[[#This Row],[Part of Chemung County Vote Results]:[Yates County
Vote Results]])</f>
        <v>15653</v>
      </c>
      <c r="H5" s="111"/>
    </row>
    <row r="6" spans="1:8" ht="14.25" customHeight="1" x14ac:dyDescent="0.2">
      <c r="A6" s="29" t="s">
        <v>19</v>
      </c>
      <c r="B6" s="100">
        <v>1</v>
      </c>
      <c r="C6" s="100">
        <v>1</v>
      </c>
      <c r="D6" s="100">
        <v>1</v>
      </c>
      <c r="E6" s="100">
        <v>72</v>
      </c>
      <c r="F6" s="100">
        <v>3</v>
      </c>
      <c r="G6" s="101">
        <f>SUM(MemberOfAssemblyAssemblyDistrict132General[[#This Row],[Part of Chemung County Vote Results]:[Yates County
Vote Results]])</f>
        <v>78</v>
      </c>
      <c r="H6" s="111"/>
    </row>
    <row r="7" spans="1:8" ht="14.25" customHeight="1" x14ac:dyDescent="0.2">
      <c r="A7" s="29" t="s">
        <v>20</v>
      </c>
      <c r="B7" s="100">
        <v>17</v>
      </c>
      <c r="C7" s="100">
        <v>50</v>
      </c>
      <c r="D7" s="100">
        <v>28</v>
      </c>
      <c r="E7" s="100">
        <v>233</v>
      </c>
      <c r="F7" s="100">
        <v>57</v>
      </c>
      <c r="G7" s="101">
        <f>SUM(MemberOfAssemblyAssemblyDistrict132General[[#This Row],[Part of Chemung County Vote Results]:[Yates County
Vote Results]])</f>
        <v>385</v>
      </c>
      <c r="H7" s="111"/>
    </row>
    <row r="8" spans="1:8" ht="14.25" customHeight="1" x14ac:dyDescent="0.2">
      <c r="A8" s="103" t="s">
        <v>21</v>
      </c>
      <c r="B8" s="100">
        <f>SUM(MemberOfAssemblyAssemblyDistrict132General[Part of Chemung County Vote Results])</f>
        <v>4853</v>
      </c>
      <c r="C8" s="100">
        <f>SUM(MemberOfAssemblyAssemblyDistrict132General[Schuyler County
Vote Results])</f>
        <v>9562</v>
      </c>
      <c r="D8" s="100">
        <f>SUM(MemberOfAssemblyAssemblyDistrict132General[Part of Seneca County Vote Results])</f>
        <v>4814</v>
      </c>
      <c r="E8" s="100">
        <f>SUM(MemberOfAssemblyAssemblyDistrict132General[Part of Steuben County Vote Results])</f>
        <v>35821</v>
      </c>
      <c r="F8" s="100">
        <f>SUM(MemberOfAssemblyAssemblyDistrict132General[Yates County
Vote Results])</f>
        <v>10655</v>
      </c>
      <c r="G8" s="101">
        <f>SUM(MemberOfAssemblyAssemblyDistrict132General[Total Votes by Party])</f>
        <v>65705</v>
      </c>
      <c r="H8" s="111"/>
    </row>
    <row r="9" spans="1:8" ht="14.25" x14ac:dyDescent="0.2">
      <c r="B9" s="70"/>
      <c r="C9" s="70"/>
      <c r="D9" s="70"/>
      <c r="E9" s="70"/>
      <c r="F9" s="70"/>
    </row>
  </sheetData>
  <pageMargins left="0.25" right="0.25" top="0.25" bottom="0.25" header="0.25" footer="0.25"/>
  <pageSetup paperSize="5" fitToHeight="0" orientation="landscape" r:id="rId1"/>
  <headerFooter alignWithMargins="0">
    <oddFooter>&amp;RPage &amp;P of &amp;N</oddFooter>
  </headerFooter>
  <ignoredErrors>
    <ignoredError sqref="H3" calculatedColumn="1"/>
  </ignoredErrors>
  <tableParts count="1">
    <tablePart r:id="rId2"/>
  </tableParts>
</worksheet>
</file>

<file path=xl/worksheets/sheet2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CA4C-A7A2-4855-85F8-C7C63108E2C2}">
  <sheetPr>
    <pageSetUpPr fitToPage="1"/>
  </sheetPr>
  <dimension ref="A1:H10"/>
  <sheetViews>
    <sheetView workbookViewId="0">
      <selection activeCell="C10" sqref="C10"/>
    </sheetView>
  </sheetViews>
  <sheetFormatPr defaultRowHeight="12.75" x14ac:dyDescent="0.2"/>
  <cols>
    <col min="1" max="1" width="26.28515625" customWidth="1"/>
    <col min="2" max="8" width="20.5703125" customWidth="1"/>
    <col min="9" max="10" width="23.5703125" customWidth="1"/>
  </cols>
  <sheetData>
    <row r="1" spans="1:8" ht="24.95" customHeight="1" x14ac:dyDescent="0.2">
      <c r="A1" s="74" t="s">
        <v>1192</v>
      </c>
      <c r="B1" s="108"/>
      <c r="C1" s="108"/>
      <c r="D1" s="108"/>
      <c r="E1" s="108"/>
      <c r="F1" s="108"/>
      <c r="G1" s="108"/>
      <c r="H1" s="108"/>
    </row>
    <row r="2" spans="1:8" ht="28.5" customHeight="1" x14ac:dyDescent="0.2">
      <c r="A2" s="6" t="s">
        <v>93</v>
      </c>
      <c r="B2" s="7" t="s">
        <v>113</v>
      </c>
      <c r="C2" s="7" t="s">
        <v>640</v>
      </c>
      <c r="D2" s="7" t="s">
        <v>1183</v>
      </c>
      <c r="E2" s="7" t="s">
        <v>1189</v>
      </c>
      <c r="F2" s="7" t="s">
        <v>1193</v>
      </c>
      <c r="G2" s="8" t="s">
        <v>84</v>
      </c>
      <c r="H2" s="9" t="s">
        <v>85</v>
      </c>
    </row>
    <row r="3" spans="1:8" ht="14.25" customHeight="1" x14ac:dyDescent="0.2">
      <c r="A3" s="28" t="s">
        <v>1194</v>
      </c>
      <c r="B3" s="100">
        <v>9437</v>
      </c>
      <c r="C3" s="100">
        <v>910</v>
      </c>
      <c r="D3" s="100">
        <v>11549</v>
      </c>
      <c r="E3" s="100">
        <v>1310</v>
      </c>
      <c r="F3" s="100">
        <v>989</v>
      </c>
      <c r="G3" s="101">
        <f>SUM(MemberOfAssemblyAssemblyDistrict133General[[#This Row],[Livingston County
Vote Results]:[Part of Wyoming County Vote Results]])</f>
        <v>24195</v>
      </c>
      <c r="H3" s="113">
        <f>SUM(MemberOfAssemblyAssemblyDistrict133General[[#This Row],[Total Votes by Party]])</f>
        <v>24195</v>
      </c>
    </row>
    <row r="4" spans="1:8" ht="14.25" customHeight="1" x14ac:dyDescent="0.2">
      <c r="A4" s="28" t="s">
        <v>1195</v>
      </c>
      <c r="B4" s="100">
        <v>17799</v>
      </c>
      <c r="C4" s="100">
        <v>1092</v>
      </c>
      <c r="D4" s="100">
        <v>13639</v>
      </c>
      <c r="E4" s="100">
        <v>4390</v>
      </c>
      <c r="F4" s="100">
        <v>2470</v>
      </c>
      <c r="G4" s="101">
        <f>SUM(MemberOfAssemblyAssemblyDistrict133General[[#This Row],[Livingston County
Vote Results]:[Part of Wyoming County Vote Results]])</f>
        <v>39390</v>
      </c>
      <c r="H4" s="113">
        <f>SUM(MemberOfAssemblyAssemblyDistrict133General[[#This Row],[Total Votes by Party]],G5)</f>
        <v>44991</v>
      </c>
    </row>
    <row r="5" spans="1:8" ht="14.25" customHeight="1" x14ac:dyDescent="0.2">
      <c r="A5" s="28" t="s">
        <v>1196</v>
      </c>
      <c r="B5" s="100">
        <v>2490</v>
      </c>
      <c r="C5" s="100">
        <v>245</v>
      </c>
      <c r="D5" s="100">
        <v>2089</v>
      </c>
      <c r="E5" s="100">
        <v>476</v>
      </c>
      <c r="F5" s="100">
        <v>301</v>
      </c>
      <c r="G5" s="101">
        <f>SUM(MemberOfAssemblyAssemblyDistrict133General[[#This Row],[Livingston County
Vote Results]:[Part of Wyoming County Vote Results]])</f>
        <v>5601</v>
      </c>
      <c r="H5" s="111"/>
    </row>
    <row r="6" spans="1:8" ht="14.25" customHeight="1" x14ac:dyDescent="0.2">
      <c r="A6" s="29" t="s">
        <v>18</v>
      </c>
      <c r="B6" s="100">
        <v>1666</v>
      </c>
      <c r="C6" s="100">
        <v>114</v>
      </c>
      <c r="D6" s="100">
        <v>1402</v>
      </c>
      <c r="E6" s="100">
        <v>349</v>
      </c>
      <c r="F6" s="100">
        <v>246</v>
      </c>
      <c r="G6" s="101">
        <f>SUM(MemberOfAssemblyAssemblyDistrict133General[[#This Row],[Livingston County
Vote Results]:[Part of Wyoming County Vote Results]])</f>
        <v>3777</v>
      </c>
      <c r="H6" s="111"/>
    </row>
    <row r="7" spans="1:8" ht="14.25" customHeight="1" x14ac:dyDescent="0.2">
      <c r="A7" s="29" t="s">
        <v>19</v>
      </c>
      <c r="B7" s="100">
        <v>2</v>
      </c>
      <c r="C7" s="100">
        <v>1</v>
      </c>
      <c r="D7" s="100">
        <v>4</v>
      </c>
      <c r="E7" s="100">
        <v>9</v>
      </c>
      <c r="F7" s="100">
        <v>3</v>
      </c>
      <c r="G7" s="101">
        <f>SUM(MemberOfAssemblyAssemblyDistrict133General[[#This Row],[Livingston County
Vote Results]:[Part of Wyoming County Vote Results]])</f>
        <v>19</v>
      </c>
      <c r="H7" s="111"/>
    </row>
    <row r="8" spans="1:8" ht="14.25" customHeight="1" x14ac:dyDescent="0.2">
      <c r="A8" s="29" t="s">
        <v>20</v>
      </c>
      <c r="B8" s="100">
        <v>14</v>
      </c>
      <c r="C8" s="100">
        <v>1</v>
      </c>
      <c r="D8" s="100">
        <v>8</v>
      </c>
      <c r="E8" s="100">
        <v>2</v>
      </c>
      <c r="F8" s="100">
        <v>2</v>
      </c>
      <c r="G8" s="101">
        <f>SUM(MemberOfAssemblyAssemblyDistrict133General[[#This Row],[Livingston County
Vote Results]:[Part of Wyoming County Vote Results]])</f>
        <v>27</v>
      </c>
      <c r="H8" s="111"/>
    </row>
    <row r="9" spans="1:8" ht="14.25" customHeight="1" x14ac:dyDescent="0.2">
      <c r="A9" s="103" t="s">
        <v>21</v>
      </c>
      <c r="B9" s="100">
        <f>SUM(MemberOfAssemblyAssemblyDistrict133General[Livingston County
Vote Results])</f>
        <v>31408</v>
      </c>
      <c r="C9" s="100">
        <f>SUM(MemberOfAssemblyAssemblyDistrict133General[Part of Monroe County Vote Results])</f>
        <v>2363</v>
      </c>
      <c r="D9" s="100">
        <f>SUM(MemberOfAssemblyAssemblyDistrict133General[Part of Ontario County Vote Results])</f>
        <v>28691</v>
      </c>
      <c r="E9" s="100">
        <f>SUM(MemberOfAssemblyAssemblyDistrict133General[Part of Steuben County Vote Results])</f>
        <v>6536</v>
      </c>
      <c r="F9" s="100">
        <f>SUM(MemberOfAssemblyAssemblyDistrict133General[Part of Wyoming County Vote Results])</f>
        <v>4011</v>
      </c>
      <c r="G9" s="101">
        <f>SUM(MemberOfAssemblyAssemblyDistrict133General[Total Votes by Party])</f>
        <v>73009</v>
      </c>
      <c r="H9" s="111"/>
    </row>
    <row r="10" spans="1:8" ht="14.25" x14ac:dyDescent="0.2">
      <c r="B10" s="70"/>
      <c r="C10" s="70"/>
      <c r="E10" s="70"/>
      <c r="F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2D4DA-1A4E-4831-813C-BBFCCD72E9D4}">
  <sheetPr>
    <pageSetUpPr fitToPage="1"/>
  </sheetPr>
  <dimension ref="A1:D8"/>
  <sheetViews>
    <sheetView workbookViewId="0">
      <selection activeCell="A30" sqref="A3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1197</v>
      </c>
      <c r="B1" s="108"/>
      <c r="C1" s="108"/>
      <c r="D1" s="108"/>
    </row>
    <row r="2" spans="1:4" ht="28.5" customHeight="1" x14ac:dyDescent="0.2">
      <c r="A2" s="6" t="s">
        <v>93</v>
      </c>
      <c r="B2" s="7" t="s">
        <v>640</v>
      </c>
      <c r="C2" s="8" t="s">
        <v>84</v>
      </c>
      <c r="D2" s="9" t="s">
        <v>85</v>
      </c>
    </row>
    <row r="3" spans="1:4" ht="14.25" customHeight="1" x14ac:dyDescent="0.2">
      <c r="A3" s="28" t="s">
        <v>1198</v>
      </c>
      <c r="B3" s="100">
        <v>40247</v>
      </c>
      <c r="C3" s="101">
        <f>MemberOfAssemblyAssemblyDistrict134General[[#This Row],[Part of Monroe County Vote Results]]</f>
        <v>40247</v>
      </c>
      <c r="D3" s="113">
        <f>SUM(MemberOfAssemblyAssemblyDistrict134General[[#This Row],[Total Votes by Party]],C4)</f>
        <v>48903</v>
      </c>
    </row>
    <row r="4" spans="1:4" ht="14.25" customHeight="1" x14ac:dyDescent="0.2">
      <c r="A4" s="28" t="s">
        <v>1199</v>
      </c>
      <c r="B4" s="100">
        <v>8656</v>
      </c>
      <c r="C4" s="101">
        <f>MemberOfAssemblyAssemblyDistrict134General[[#This Row],[Part of Monroe County Vote Results]]</f>
        <v>8656</v>
      </c>
      <c r="D4" s="111"/>
    </row>
    <row r="5" spans="1:4" ht="14.25" customHeight="1" x14ac:dyDescent="0.2">
      <c r="A5" s="29" t="s">
        <v>18</v>
      </c>
      <c r="B5" s="100">
        <v>22555</v>
      </c>
      <c r="C5" s="101">
        <f>MemberOfAssemblyAssemblyDistrict134General[[#This Row],[Part of Monroe County Vote Results]]</f>
        <v>22555</v>
      </c>
      <c r="D5" s="111"/>
    </row>
    <row r="6" spans="1:4" ht="14.25" customHeight="1" x14ac:dyDescent="0.2">
      <c r="A6" s="29" t="s">
        <v>19</v>
      </c>
      <c r="B6" s="100">
        <v>3</v>
      </c>
      <c r="C6" s="101">
        <f>MemberOfAssemblyAssemblyDistrict134General[[#This Row],[Part of Monroe County Vote Results]]</f>
        <v>3</v>
      </c>
      <c r="D6" s="111"/>
    </row>
    <row r="7" spans="1:4" ht="14.25" customHeight="1" x14ac:dyDescent="0.2">
      <c r="A7" s="29" t="s">
        <v>20</v>
      </c>
      <c r="B7" s="100">
        <v>314</v>
      </c>
      <c r="C7" s="101">
        <f>MemberOfAssemblyAssemblyDistrict134General[[#This Row],[Part of Monroe County Vote Results]]</f>
        <v>314</v>
      </c>
      <c r="D7" s="111"/>
    </row>
    <row r="8" spans="1:4" ht="14.25" customHeight="1" x14ac:dyDescent="0.2">
      <c r="A8" s="103" t="s">
        <v>21</v>
      </c>
      <c r="B8" s="100">
        <f>SUM(MemberOfAssemblyAssemblyDistrict134General[Part of Monroe County Vote Results])</f>
        <v>71775</v>
      </c>
      <c r="C8" s="101">
        <f>SUM(MemberOfAssemblyAssemblyDistrict134General[Total Votes by Party])</f>
        <v>71775</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0C553-15EE-4E46-B01C-7F2EBE85E638}">
  <sheetPr>
    <pageSetUpPr fitToPage="1"/>
  </sheetPr>
  <dimension ref="A1:D10"/>
  <sheetViews>
    <sheetView workbookViewId="0">
      <selection activeCell="B17" sqref="B1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1200</v>
      </c>
      <c r="B1" s="108"/>
      <c r="C1" s="108"/>
      <c r="D1" s="108"/>
    </row>
    <row r="2" spans="1:4" ht="28.5" customHeight="1" x14ac:dyDescent="0.2">
      <c r="A2" s="6" t="s">
        <v>93</v>
      </c>
      <c r="B2" s="7" t="s">
        <v>640</v>
      </c>
      <c r="C2" s="8" t="s">
        <v>84</v>
      </c>
      <c r="D2" s="9" t="s">
        <v>85</v>
      </c>
    </row>
    <row r="3" spans="1:4" ht="14.25" customHeight="1" x14ac:dyDescent="0.2">
      <c r="A3" s="28" t="s">
        <v>1201</v>
      </c>
      <c r="B3" s="100">
        <v>42653</v>
      </c>
      <c r="C3" s="101">
        <f>MemberOfAssemblyAssemblyDistrict135General[[#This Row],[Part of Monroe County Vote Results]]</f>
        <v>42653</v>
      </c>
      <c r="D3" s="113">
        <f>SUM(MemberOfAssemblyAssemblyDistrict135General[[#This Row],[Total Votes by Party]],C6)</f>
        <v>45484</v>
      </c>
    </row>
    <row r="4" spans="1:4" ht="14.25" customHeight="1" x14ac:dyDescent="0.2">
      <c r="A4" s="28" t="s">
        <v>1202</v>
      </c>
      <c r="B4" s="100">
        <v>28393</v>
      </c>
      <c r="C4" s="101">
        <f>MemberOfAssemblyAssemblyDistrict135General[[#This Row],[Part of Monroe County Vote Results]]</f>
        <v>28393</v>
      </c>
      <c r="D4" s="113">
        <f>SUM(MemberOfAssemblyAssemblyDistrict135General[[#This Row],[Total Votes by Party]],C5)</f>
        <v>32908</v>
      </c>
    </row>
    <row r="5" spans="1:4" ht="14.25" customHeight="1" x14ac:dyDescent="0.2">
      <c r="A5" s="28" t="s">
        <v>1203</v>
      </c>
      <c r="B5" s="100">
        <v>4515</v>
      </c>
      <c r="C5" s="101">
        <f>MemberOfAssemblyAssemblyDistrict135General[[#This Row],[Part of Monroe County Vote Results]]</f>
        <v>4515</v>
      </c>
      <c r="D5" s="111"/>
    </row>
    <row r="6" spans="1:4" ht="14.25" customHeight="1" x14ac:dyDescent="0.2">
      <c r="A6" s="28" t="s">
        <v>1204</v>
      </c>
      <c r="B6" s="100">
        <v>2831</v>
      </c>
      <c r="C6" s="101">
        <f>MemberOfAssemblyAssemblyDistrict135General[[#This Row],[Part of Monroe County Vote Results]]</f>
        <v>2831</v>
      </c>
      <c r="D6" s="111"/>
    </row>
    <row r="7" spans="1:4" ht="14.25" customHeight="1" x14ac:dyDescent="0.2">
      <c r="A7" s="29" t="s">
        <v>18</v>
      </c>
      <c r="B7" s="100">
        <v>2754</v>
      </c>
      <c r="C7" s="101">
        <f>MemberOfAssemblyAssemblyDistrict135General[[#This Row],[Part of Monroe County Vote Results]]</f>
        <v>2754</v>
      </c>
      <c r="D7" s="111"/>
    </row>
    <row r="8" spans="1:4" ht="14.25" customHeight="1" x14ac:dyDescent="0.2">
      <c r="A8" s="29" t="s">
        <v>19</v>
      </c>
      <c r="B8" s="100">
        <v>18</v>
      </c>
      <c r="C8" s="101">
        <f>MemberOfAssemblyAssemblyDistrict135General[[#This Row],[Part of Monroe County Vote Results]]</f>
        <v>18</v>
      </c>
      <c r="D8" s="111"/>
    </row>
    <row r="9" spans="1:4" ht="14.25" customHeight="1" x14ac:dyDescent="0.2">
      <c r="A9" s="29" t="s">
        <v>20</v>
      </c>
      <c r="B9" s="100">
        <v>27</v>
      </c>
      <c r="C9" s="101">
        <f>MemberOfAssemblyAssemblyDistrict135General[[#This Row],[Part of Monroe County Vote Results]]</f>
        <v>27</v>
      </c>
      <c r="D9" s="111"/>
    </row>
    <row r="10" spans="1:4" ht="14.25" customHeight="1" x14ac:dyDescent="0.2">
      <c r="A10" s="103" t="s">
        <v>21</v>
      </c>
      <c r="B10" s="100">
        <f>SUM(MemberOfAssemblyAssemblyDistrict135General[Part of Monroe County Vote Results])</f>
        <v>81191</v>
      </c>
      <c r="C10" s="101">
        <f>SUM(MemberOfAssemblyAssemblyDistrict135General[Total Votes by Party])</f>
        <v>81191</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6C87A-1A58-44C7-9124-6BE6A9DE825C}">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1205</v>
      </c>
      <c r="B1" s="108"/>
      <c r="C1" s="108"/>
      <c r="D1" s="108"/>
    </row>
    <row r="2" spans="1:4" ht="28.5" customHeight="1" x14ac:dyDescent="0.2">
      <c r="A2" s="6" t="s">
        <v>93</v>
      </c>
      <c r="B2" s="7" t="s">
        <v>640</v>
      </c>
      <c r="C2" s="8" t="s">
        <v>84</v>
      </c>
      <c r="D2" s="9" t="s">
        <v>85</v>
      </c>
    </row>
    <row r="3" spans="1:4" ht="14.25" customHeight="1" x14ac:dyDescent="0.2">
      <c r="A3" s="28" t="s">
        <v>1206</v>
      </c>
      <c r="B3" s="100">
        <v>37039</v>
      </c>
      <c r="C3" s="101">
        <f>MemberOfAssemblyAssemblyDistrict136General[[#This Row],[Part of Monroe County Vote Results]]</f>
        <v>37039</v>
      </c>
      <c r="D3" s="113">
        <f>SUM(MemberOfAssemblyAssemblyDistrict136General[[#This Row],[Total Votes by Party]],C6)</f>
        <v>40919</v>
      </c>
    </row>
    <row r="4" spans="1:4" ht="14.25" customHeight="1" x14ac:dyDescent="0.2">
      <c r="A4" s="28" t="s">
        <v>1207</v>
      </c>
      <c r="B4" s="100">
        <v>16811</v>
      </c>
      <c r="C4" s="101">
        <f>MemberOfAssemblyAssemblyDistrict136General[[#This Row],[Part of Monroe County Vote Results]]</f>
        <v>16811</v>
      </c>
      <c r="D4" s="113">
        <f>SUM(MemberOfAssemblyAssemblyDistrict136General[[#This Row],[Total Votes by Party]],C5)</f>
        <v>19769</v>
      </c>
    </row>
    <row r="5" spans="1:4" ht="14.25" customHeight="1" x14ac:dyDescent="0.2">
      <c r="A5" s="28" t="s">
        <v>1208</v>
      </c>
      <c r="B5" s="100">
        <v>2958</v>
      </c>
      <c r="C5" s="101">
        <f>MemberOfAssemblyAssemblyDistrict136General[[#This Row],[Part of Monroe County Vote Results]]</f>
        <v>2958</v>
      </c>
      <c r="D5" s="111"/>
    </row>
    <row r="6" spans="1:4" ht="14.25" customHeight="1" x14ac:dyDescent="0.2">
      <c r="A6" s="28" t="s">
        <v>1209</v>
      </c>
      <c r="B6" s="100">
        <v>3880</v>
      </c>
      <c r="C6" s="101">
        <f>MemberOfAssemblyAssemblyDistrict136General[[#This Row],[Part of Monroe County Vote Results]]</f>
        <v>3880</v>
      </c>
      <c r="D6" s="111"/>
    </row>
    <row r="7" spans="1:4" ht="14.25" customHeight="1" x14ac:dyDescent="0.2">
      <c r="A7" s="29" t="s">
        <v>18</v>
      </c>
      <c r="B7" s="100">
        <v>3479</v>
      </c>
      <c r="C7" s="101">
        <f>MemberOfAssemblyAssemblyDistrict136General[[#This Row],[Part of Monroe County Vote Results]]</f>
        <v>3479</v>
      </c>
      <c r="D7" s="111"/>
    </row>
    <row r="8" spans="1:4" ht="14.25" customHeight="1" x14ac:dyDescent="0.2">
      <c r="A8" s="29" t="s">
        <v>19</v>
      </c>
      <c r="B8" s="100">
        <v>13</v>
      </c>
      <c r="C8" s="101">
        <f>MemberOfAssemblyAssemblyDistrict136General[[#This Row],[Part of Monroe County Vote Results]]</f>
        <v>13</v>
      </c>
      <c r="D8" s="111"/>
    </row>
    <row r="9" spans="1:4" ht="14.25" customHeight="1" x14ac:dyDescent="0.2">
      <c r="A9" s="29" t="s">
        <v>20</v>
      </c>
      <c r="B9" s="100">
        <v>32</v>
      </c>
      <c r="C9" s="101">
        <f>MemberOfAssemblyAssemblyDistrict136General[[#This Row],[Part of Monroe County Vote Results]]</f>
        <v>32</v>
      </c>
      <c r="D9" s="111"/>
    </row>
    <row r="10" spans="1:4" ht="14.25" customHeight="1" x14ac:dyDescent="0.2">
      <c r="A10" s="103" t="s">
        <v>21</v>
      </c>
      <c r="B10" s="100">
        <f>SUM(MemberOfAssemblyAssemblyDistrict136General[Part of Monroe County Vote Results])</f>
        <v>64212</v>
      </c>
      <c r="C10" s="101">
        <f>SUM(MemberOfAssemblyAssemblyDistrict136General[Total Votes by Party])</f>
        <v>64212</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40273-57EF-43E8-86A5-696CBF5DBD44}">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1210</v>
      </c>
      <c r="B1" s="108"/>
      <c r="C1" s="108"/>
      <c r="D1" s="108"/>
    </row>
    <row r="2" spans="1:4" ht="28.5" customHeight="1" x14ac:dyDescent="0.2">
      <c r="A2" s="6" t="s">
        <v>93</v>
      </c>
      <c r="B2" s="7" t="s">
        <v>640</v>
      </c>
      <c r="C2" s="8" t="s">
        <v>84</v>
      </c>
      <c r="D2" s="9" t="s">
        <v>85</v>
      </c>
    </row>
    <row r="3" spans="1:4" ht="14.25" customHeight="1" x14ac:dyDescent="0.2">
      <c r="A3" s="28" t="s">
        <v>1211</v>
      </c>
      <c r="B3" s="100">
        <v>24629</v>
      </c>
      <c r="C3" s="101">
        <f>MemberOfAssemblyAssemblyDistrict137General[[#This Row],[Part of Monroe County Vote Results]]</f>
        <v>24629</v>
      </c>
      <c r="D3" s="113">
        <f>SUM(MemberOfAssemblyAssemblyDistrict137General[[#This Row],[Total Votes by Party]],C6)</f>
        <v>26691</v>
      </c>
    </row>
    <row r="4" spans="1:4" ht="14.25" customHeight="1" x14ac:dyDescent="0.2">
      <c r="A4" s="28" t="s">
        <v>1212</v>
      </c>
      <c r="B4" s="100">
        <v>9055</v>
      </c>
      <c r="C4" s="101">
        <f>MemberOfAssemblyAssemblyDistrict137General[[#This Row],[Part of Monroe County Vote Results]]</f>
        <v>9055</v>
      </c>
      <c r="D4" s="113">
        <f>SUM(MemberOfAssemblyAssemblyDistrict137General[[#This Row],[Total Votes by Party]],C5)</f>
        <v>10573</v>
      </c>
    </row>
    <row r="5" spans="1:4" ht="14.25" customHeight="1" x14ac:dyDescent="0.2">
      <c r="A5" s="28" t="s">
        <v>1213</v>
      </c>
      <c r="B5" s="100">
        <v>1518</v>
      </c>
      <c r="C5" s="101">
        <f>MemberOfAssemblyAssemblyDistrict137General[[#This Row],[Part of Monroe County Vote Results]]</f>
        <v>1518</v>
      </c>
      <c r="D5" s="111"/>
    </row>
    <row r="6" spans="1:4" ht="14.25" customHeight="1" x14ac:dyDescent="0.2">
      <c r="A6" s="28" t="s">
        <v>1214</v>
      </c>
      <c r="B6" s="100">
        <v>2062</v>
      </c>
      <c r="C6" s="101">
        <f>MemberOfAssemblyAssemblyDistrict137General[[#This Row],[Part of Monroe County Vote Results]]</f>
        <v>2062</v>
      </c>
      <c r="D6" s="111"/>
    </row>
    <row r="7" spans="1:4" ht="14.25" customHeight="1" x14ac:dyDescent="0.2">
      <c r="A7" s="29" t="s">
        <v>18</v>
      </c>
      <c r="B7" s="100">
        <v>2511</v>
      </c>
      <c r="C7" s="101">
        <f>MemberOfAssemblyAssemblyDistrict137General[[#This Row],[Part of Monroe County Vote Results]]</f>
        <v>2511</v>
      </c>
      <c r="D7" s="111"/>
    </row>
    <row r="8" spans="1:4" ht="14.25" customHeight="1" x14ac:dyDescent="0.2">
      <c r="A8" s="29" t="s">
        <v>19</v>
      </c>
      <c r="B8" s="100">
        <v>26</v>
      </c>
      <c r="C8" s="101">
        <f>MemberOfAssemblyAssemblyDistrict137General[[#This Row],[Part of Monroe County Vote Results]]</f>
        <v>26</v>
      </c>
      <c r="D8" s="111"/>
    </row>
    <row r="9" spans="1:4" ht="14.25" customHeight="1" x14ac:dyDescent="0.2">
      <c r="A9" s="29" t="s">
        <v>20</v>
      </c>
      <c r="B9" s="100">
        <v>17</v>
      </c>
      <c r="C9" s="101">
        <f>MemberOfAssemblyAssemblyDistrict137General[[#This Row],[Part of Monroe County Vote Results]]</f>
        <v>17</v>
      </c>
      <c r="D9" s="111"/>
    </row>
    <row r="10" spans="1:4" ht="14.25" customHeight="1" x14ac:dyDescent="0.2">
      <c r="A10" s="103" t="s">
        <v>21</v>
      </c>
      <c r="B10" s="100">
        <f>SUM(MemberOfAssemblyAssemblyDistrict137General[Part of Monroe County Vote Results])</f>
        <v>39818</v>
      </c>
      <c r="C10" s="101">
        <f>SUM(MemberOfAssemblyAssemblyDistrict137General[Total Votes by Party])</f>
        <v>39818</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E7153-65B4-46E2-B042-C97876ADB20F}">
  <sheetPr>
    <pageSetUpPr fitToPage="1"/>
  </sheetPr>
  <dimension ref="A1:D10"/>
  <sheetViews>
    <sheetView workbookViewId="0">
      <selection activeCell="A30" sqref="A30"/>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1215</v>
      </c>
      <c r="B1" s="108"/>
      <c r="C1" s="108"/>
      <c r="D1" s="108"/>
    </row>
    <row r="2" spans="1:4" ht="28.5" customHeight="1" x14ac:dyDescent="0.2">
      <c r="A2" s="6" t="s">
        <v>93</v>
      </c>
      <c r="B2" s="7" t="s">
        <v>640</v>
      </c>
      <c r="C2" s="8" t="s">
        <v>84</v>
      </c>
      <c r="D2" s="9" t="s">
        <v>85</v>
      </c>
    </row>
    <row r="3" spans="1:4" ht="14.25" customHeight="1" x14ac:dyDescent="0.2">
      <c r="A3" s="154" t="s">
        <v>1216</v>
      </c>
      <c r="B3" s="100">
        <v>32923</v>
      </c>
      <c r="C3" s="101">
        <f>MemberOfAssemblyAssemblyDistrict138General[[#This Row],[Part of Monroe County Vote Results]]</f>
        <v>32923</v>
      </c>
      <c r="D3" s="113">
        <f>SUM(MemberOfAssemblyAssemblyDistrict138General[[#This Row],[Total Votes by Party]],C6)</f>
        <v>37010</v>
      </c>
    </row>
    <row r="4" spans="1:4" ht="14.25" customHeight="1" x14ac:dyDescent="0.2">
      <c r="A4" s="28" t="s">
        <v>1217</v>
      </c>
      <c r="B4" s="100">
        <v>19759</v>
      </c>
      <c r="C4" s="101">
        <f>MemberOfAssemblyAssemblyDistrict138General[[#This Row],[Part of Monroe County Vote Results]]</f>
        <v>19759</v>
      </c>
      <c r="D4" s="113">
        <f>SUM(MemberOfAssemblyAssemblyDistrict138General[[#This Row],[Total Votes by Party]],C5)</f>
        <v>23354</v>
      </c>
    </row>
    <row r="5" spans="1:4" ht="14.25" customHeight="1" x14ac:dyDescent="0.2">
      <c r="A5" s="28" t="s">
        <v>1218</v>
      </c>
      <c r="B5" s="100">
        <v>3595</v>
      </c>
      <c r="C5" s="101">
        <f>MemberOfAssemblyAssemblyDistrict138General[[#This Row],[Part of Monroe County Vote Results]]</f>
        <v>3595</v>
      </c>
      <c r="D5" s="111"/>
    </row>
    <row r="6" spans="1:4" ht="14.25" customHeight="1" x14ac:dyDescent="0.2">
      <c r="A6" s="28" t="s">
        <v>1219</v>
      </c>
      <c r="B6" s="100">
        <v>4087</v>
      </c>
      <c r="C6" s="101">
        <f>MemberOfAssemblyAssemblyDistrict138General[[#This Row],[Part of Monroe County Vote Results]]</f>
        <v>4087</v>
      </c>
      <c r="D6" s="111"/>
    </row>
    <row r="7" spans="1:4" ht="14.25" customHeight="1" x14ac:dyDescent="0.2">
      <c r="A7" s="29" t="s">
        <v>18</v>
      </c>
      <c r="B7" s="100">
        <v>2592</v>
      </c>
      <c r="C7" s="101">
        <f>MemberOfAssemblyAssemblyDistrict138General[[#This Row],[Part of Monroe County Vote Results]]</f>
        <v>2592</v>
      </c>
      <c r="D7" s="111"/>
    </row>
    <row r="8" spans="1:4" ht="14.25" customHeight="1" x14ac:dyDescent="0.2">
      <c r="A8" s="29" t="s">
        <v>19</v>
      </c>
      <c r="B8" s="100">
        <v>11</v>
      </c>
      <c r="C8" s="101">
        <f>MemberOfAssemblyAssemblyDistrict138General[[#This Row],[Part of Monroe County Vote Results]]</f>
        <v>11</v>
      </c>
      <c r="D8" s="111"/>
    </row>
    <row r="9" spans="1:4" ht="14.25" customHeight="1" x14ac:dyDescent="0.2">
      <c r="A9" s="29" t="s">
        <v>20</v>
      </c>
      <c r="B9" s="100">
        <v>28</v>
      </c>
      <c r="C9" s="101">
        <f>MemberOfAssemblyAssemblyDistrict138General[[#This Row],[Part of Monroe County Vote Results]]</f>
        <v>28</v>
      </c>
      <c r="D9" s="111"/>
    </row>
    <row r="10" spans="1:4" ht="14.25" customHeight="1" x14ac:dyDescent="0.2">
      <c r="A10" s="103" t="s">
        <v>21</v>
      </c>
      <c r="B10" s="100">
        <f>SUM(MemberOfAssemblyAssemblyDistrict138General[Part of Monroe County Vote Results])</f>
        <v>62995</v>
      </c>
      <c r="C10" s="101">
        <f>SUM(MemberOfAssemblyAssemblyDistrict138General[Total Votes by Party])</f>
        <v>62995</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DB86-DB65-4A0E-9FFE-DDC93E6A5EA5}">
  <sheetPr>
    <pageSetUpPr fitToPage="1"/>
  </sheetPr>
  <dimension ref="A1:H9"/>
  <sheetViews>
    <sheetView workbookViewId="0">
      <selection activeCell="E10" sqref="E10"/>
    </sheetView>
  </sheetViews>
  <sheetFormatPr defaultRowHeight="12.75" x14ac:dyDescent="0.2"/>
  <cols>
    <col min="1" max="1" width="25.5703125" customWidth="1"/>
    <col min="2" max="8" width="20.5703125" customWidth="1"/>
    <col min="9" max="10" width="23.5703125" customWidth="1"/>
  </cols>
  <sheetData>
    <row r="1" spans="1:8" ht="24.95" customHeight="1" x14ac:dyDescent="0.2">
      <c r="A1" s="74" t="s">
        <v>1220</v>
      </c>
      <c r="B1" s="108"/>
      <c r="C1" s="108"/>
      <c r="D1" s="108"/>
      <c r="E1" s="108"/>
      <c r="F1" s="108"/>
      <c r="G1" s="108"/>
      <c r="H1" s="108"/>
    </row>
    <row r="2" spans="1:8" ht="28.5" customHeight="1" x14ac:dyDescent="0.2">
      <c r="A2" s="6" t="s">
        <v>93</v>
      </c>
      <c r="B2" s="7" t="s">
        <v>1299</v>
      </c>
      <c r="C2" s="7" t="s">
        <v>133</v>
      </c>
      <c r="D2" s="7" t="s">
        <v>640</v>
      </c>
      <c r="E2" s="7" t="s">
        <v>1300</v>
      </c>
      <c r="F2" s="7" t="s">
        <v>135</v>
      </c>
      <c r="G2" s="8" t="s">
        <v>84</v>
      </c>
      <c r="H2" s="9" t="s">
        <v>85</v>
      </c>
    </row>
    <row r="3" spans="1:8" ht="14.25" customHeight="1" x14ac:dyDescent="0.2">
      <c r="A3" s="28" t="s">
        <v>1221</v>
      </c>
      <c r="B3" s="100">
        <v>0</v>
      </c>
      <c r="C3" s="100">
        <v>19861</v>
      </c>
      <c r="D3" s="100">
        <v>10183</v>
      </c>
      <c r="E3" s="100">
        <v>0</v>
      </c>
      <c r="F3" s="100">
        <v>12435</v>
      </c>
      <c r="G3" s="101">
        <f>SUM(MemberOfAssemblyAssemblyDistrict139General[[#This Row],[Part of Erie County
Vote Results]:[Orleans County
Vote Results]])</f>
        <v>42479</v>
      </c>
      <c r="H3" s="113">
        <f>SUM(MemberOfAssemblyAssemblyDistrict139General[[#This Row],[Total Votes by Party]],G4)</f>
        <v>50330</v>
      </c>
    </row>
    <row r="4" spans="1:8" ht="14.25" customHeight="1" x14ac:dyDescent="0.2">
      <c r="A4" s="28" t="s">
        <v>1222</v>
      </c>
      <c r="B4" s="100">
        <v>0</v>
      </c>
      <c r="C4" s="100">
        <v>3465</v>
      </c>
      <c r="D4" s="100">
        <v>2346</v>
      </c>
      <c r="E4" s="100">
        <v>0</v>
      </c>
      <c r="F4" s="100">
        <v>2040</v>
      </c>
      <c r="G4" s="101">
        <f>SUM(MemberOfAssemblyAssemblyDistrict139General[[#This Row],[Part of Erie County
Vote Results]:[Orleans County
Vote Results]])</f>
        <v>7851</v>
      </c>
      <c r="H4" s="111"/>
    </row>
    <row r="5" spans="1:8" ht="14.25" customHeight="1" x14ac:dyDescent="0.2">
      <c r="A5" s="29" t="s">
        <v>18</v>
      </c>
      <c r="B5" s="100">
        <v>0</v>
      </c>
      <c r="C5" s="100">
        <v>5393</v>
      </c>
      <c r="D5" s="100">
        <v>4538</v>
      </c>
      <c r="E5" s="100">
        <v>0</v>
      </c>
      <c r="F5" s="100">
        <v>3798</v>
      </c>
      <c r="G5" s="101">
        <f>SUM(MemberOfAssemblyAssemblyDistrict139General[[#This Row],[Part of Erie County
Vote Results]:[Orleans County
Vote Results]])</f>
        <v>13729</v>
      </c>
      <c r="H5" s="111"/>
    </row>
    <row r="6" spans="1:8" ht="14.25" customHeight="1" x14ac:dyDescent="0.2">
      <c r="A6" s="29" t="s">
        <v>19</v>
      </c>
      <c r="B6" s="100">
        <v>0</v>
      </c>
      <c r="C6" s="100">
        <v>5</v>
      </c>
      <c r="D6" s="100">
        <v>0</v>
      </c>
      <c r="E6" s="100">
        <v>0</v>
      </c>
      <c r="F6" s="100">
        <v>0</v>
      </c>
      <c r="G6" s="101">
        <f>SUM(MemberOfAssemblyAssemblyDistrict139General[[#This Row],[Part of Erie County
Vote Results]:[Orleans County
Vote Results]])</f>
        <v>5</v>
      </c>
      <c r="H6" s="111"/>
    </row>
    <row r="7" spans="1:8" ht="14.25" customHeight="1" x14ac:dyDescent="0.2">
      <c r="A7" s="29" t="s">
        <v>20</v>
      </c>
      <c r="B7" s="100">
        <v>0</v>
      </c>
      <c r="C7" s="100">
        <v>97</v>
      </c>
      <c r="D7" s="100">
        <v>79</v>
      </c>
      <c r="E7" s="100">
        <v>0</v>
      </c>
      <c r="F7" s="100">
        <v>28</v>
      </c>
      <c r="G7" s="101">
        <f>SUM(MemberOfAssemblyAssemblyDistrict139General[[#This Row],[Part of Erie County
Vote Results]:[Orleans County
Vote Results]])</f>
        <v>204</v>
      </c>
      <c r="H7" s="111"/>
    </row>
    <row r="8" spans="1:8" ht="14.25" customHeight="1" x14ac:dyDescent="0.2">
      <c r="A8" s="103" t="s">
        <v>21</v>
      </c>
      <c r="B8" s="100">
        <f>SUM(MemberOfAssemblyAssemblyDistrict139General[Part of Erie County
Vote Results])</f>
        <v>0</v>
      </c>
      <c r="C8" s="100">
        <f>SUM(MemberOfAssemblyAssemblyDistrict139General[Genesee County
Vote Results])</f>
        <v>28821</v>
      </c>
      <c r="D8" s="100">
        <f>SUM(MemberOfAssemblyAssemblyDistrict139General[Part of Monroe County Vote Results])</f>
        <v>17146</v>
      </c>
      <c r="E8" s="100">
        <f>SUM(MemberOfAssemblyAssemblyDistrict139General[Part of Niagara
Vote Results])</f>
        <v>0</v>
      </c>
      <c r="F8" s="100">
        <f>SUM(MemberOfAssemblyAssemblyDistrict139General[Orleans County
Vote Results])</f>
        <v>18301</v>
      </c>
      <c r="G8" s="101">
        <f>SUM(MemberOfAssemblyAssemblyDistrict139General[Total Votes by Party])</f>
        <v>64268</v>
      </c>
      <c r="H8" s="111"/>
    </row>
    <row r="9" spans="1:8" ht="14.25" x14ac:dyDescent="0.2">
      <c r="B9" s="70"/>
      <c r="C9" s="70"/>
      <c r="D9" s="70"/>
      <c r="F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64C6-211D-4EDA-8573-78052D7571D2}">
  <sheetPr>
    <pageSetUpPr fitToPage="1"/>
  </sheetPr>
  <dimension ref="A1:E9"/>
  <sheetViews>
    <sheetView workbookViewId="0">
      <selection activeCell="C12" sqref="C12:C13"/>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1223</v>
      </c>
      <c r="B1" s="108"/>
      <c r="C1" s="108"/>
      <c r="D1" s="108"/>
      <c r="E1" s="108"/>
    </row>
    <row r="2" spans="1:5" ht="28.5" customHeight="1" x14ac:dyDescent="0.2">
      <c r="A2" s="6" t="s">
        <v>93</v>
      </c>
      <c r="B2" s="7" t="s">
        <v>1299</v>
      </c>
      <c r="C2" s="7" t="s">
        <v>1224</v>
      </c>
      <c r="D2" s="8" t="s">
        <v>84</v>
      </c>
      <c r="E2" s="9" t="s">
        <v>85</v>
      </c>
    </row>
    <row r="3" spans="1:5" ht="14.25" customHeight="1" x14ac:dyDescent="0.2">
      <c r="A3" s="28" t="s">
        <v>1225</v>
      </c>
      <c r="B3" s="100">
        <v>30881</v>
      </c>
      <c r="C3" s="100">
        <v>4822</v>
      </c>
      <c r="D3" s="101">
        <f>SUM(MemberOfAssemblyAssemblyDistrict140General[[#This Row],[Part of Erie County
Vote Results]:[Part of Niagara County Vote Results]])</f>
        <v>35703</v>
      </c>
      <c r="E3" s="113">
        <f>SUM(MemberOfAssemblyAssemblyDistrict140General[[#This Row],[Total Votes by Party]],D4)</f>
        <v>43988</v>
      </c>
    </row>
    <row r="4" spans="1:5" ht="14.25" customHeight="1" x14ac:dyDescent="0.2">
      <c r="A4" s="28" t="s">
        <v>1226</v>
      </c>
      <c r="B4" s="100">
        <v>6704</v>
      </c>
      <c r="C4" s="100">
        <v>1581</v>
      </c>
      <c r="D4" s="101">
        <f>SUM(MemberOfAssemblyAssemblyDistrict140General[[#This Row],[Part of Erie County
Vote Results]:[Part of Niagara County Vote Results]])</f>
        <v>8285</v>
      </c>
      <c r="E4" s="111"/>
    </row>
    <row r="5" spans="1:5" ht="14.25" customHeight="1" x14ac:dyDescent="0.2">
      <c r="A5" s="29" t="s">
        <v>18</v>
      </c>
      <c r="B5" s="100">
        <v>16873</v>
      </c>
      <c r="C5" s="100">
        <v>4254</v>
      </c>
      <c r="D5" s="101">
        <f>SUM(MemberOfAssemblyAssemblyDistrict140General[[#This Row],[Part of Erie County
Vote Results]:[Part of Niagara County Vote Results]])</f>
        <v>21127</v>
      </c>
      <c r="E5" s="111"/>
    </row>
    <row r="6" spans="1:5" ht="14.25" customHeight="1" x14ac:dyDescent="0.2">
      <c r="A6" s="29" t="s">
        <v>19</v>
      </c>
      <c r="B6" s="100">
        <v>5</v>
      </c>
      <c r="C6" s="100">
        <v>0</v>
      </c>
      <c r="D6" s="101">
        <f>SUM(MemberOfAssemblyAssemblyDistrict140General[[#This Row],[Part of Erie County
Vote Results]:[Part of Niagara County Vote Results]])</f>
        <v>5</v>
      </c>
      <c r="E6" s="111"/>
    </row>
    <row r="7" spans="1:5" ht="14.25" customHeight="1" x14ac:dyDescent="0.2">
      <c r="A7" s="29" t="s">
        <v>20</v>
      </c>
      <c r="B7" s="100">
        <v>326</v>
      </c>
      <c r="C7" s="100">
        <v>28</v>
      </c>
      <c r="D7" s="101">
        <f>SUM(MemberOfAssemblyAssemblyDistrict140General[[#This Row],[Part of Erie County
Vote Results]:[Part of Niagara County Vote Results]])</f>
        <v>354</v>
      </c>
      <c r="E7" s="111"/>
    </row>
    <row r="8" spans="1:5" ht="14.25" customHeight="1" x14ac:dyDescent="0.2">
      <c r="A8" s="103" t="s">
        <v>21</v>
      </c>
      <c r="B8" s="100">
        <f>SUM(MemberOfAssemblyAssemblyDistrict140General[Part of Erie County
Vote Results])</f>
        <v>54789</v>
      </c>
      <c r="C8" s="100">
        <f>SUM(MemberOfAssemblyAssemblyDistrict140General[Part of Niagara County Vote Results])</f>
        <v>10685</v>
      </c>
      <c r="D8" s="101">
        <f>SUM(MemberOfAssemblyAssemblyDistrict140General[Total Votes by Party])</f>
        <v>65474</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8A80A-D9C7-4ABA-9CA9-3D7957477BD4}">
  <sheetPr>
    <pageSetUpPr fitToPage="1"/>
  </sheetPr>
  <dimension ref="A1:E11"/>
  <sheetViews>
    <sheetView workbookViewId="0"/>
  </sheetViews>
  <sheetFormatPr defaultRowHeight="12.75" x14ac:dyDescent="0.2"/>
  <cols>
    <col min="1" max="1" width="26.42578125" customWidth="1"/>
    <col min="2" max="5" width="20.5703125" customWidth="1"/>
    <col min="6" max="7" width="23.5703125" customWidth="1"/>
  </cols>
  <sheetData>
    <row r="1" spans="1:5" ht="24.75" customHeight="1" x14ac:dyDescent="0.2">
      <c r="A1" s="72" t="s">
        <v>285</v>
      </c>
      <c r="B1" s="108"/>
      <c r="C1" s="108"/>
      <c r="D1" s="108"/>
      <c r="E1" s="108"/>
    </row>
    <row r="2" spans="1:5" ht="28.5" customHeight="1" x14ac:dyDescent="0.2">
      <c r="A2" s="6" t="s">
        <v>93</v>
      </c>
      <c r="B2" s="7" t="s">
        <v>281</v>
      </c>
      <c r="C2" s="7" t="s">
        <v>232</v>
      </c>
      <c r="D2" s="8" t="s">
        <v>84</v>
      </c>
      <c r="E2" s="9" t="s">
        <v>85</v>
      </c>
    </row>
    <row r="3" spans="1:5" ht="14.25" customHeight="1" x14ac:dyDescent="0.2">
      <c r="A3" s="28" t="s">
        <v>286</v>
      </c>
      <c r="B3" s="118">
        <v>65562</v>
      </c>
      <c r="C3" s="118">
        <v>52915</v>
      </c>
      <c r="D3" s="101">
        <f>SUM(RepInCongressCongressionalDistrict14General[[#This Row],[Part of Bronx County Vote Results]:[Part of Queens County Vote Results]])</f>
        <v>118477</v>
      </c>
      <c r="E3" s="113">
        <f>SUM(RepInCongressCongressionalDistrict14General[[#This Row],[Total Votes by Party]],D6)</f>
        <v>132714</v>
      </c>
    </row>
    <row r="4" spans="1:5" ht="14.25" customHeight="1" x14ac:dyDescent="0.2">
      <c r="A4" s="28" t="s">
        <v>287</v>
      </c>
      <c r="B4" s="118">
        <v>25302</v>
      </c>
      <c r="C4" s="118">
        <v>28855</v>
      </c>
      <c r="D4" s="101">
        <f>SUM(RepInCongressCongressionalDistrict14General[[#This Row],[Part of Bronx County Vote Results]:[Part of Queens County Vote Results]])</f>
        <v>54157</v>
      </c>
      <c r="E4" s="113">
        <f>SUM(RepInCongressCongressionalDistrict14General[[#This Row],[Total Votes by Party]],D5)</f>
        <v>59078</v>
      </c>
    </row>
    <row r="5" spans="1:5" ht="14.25" customHeight="1" x14ac:dyDescent="0.2">
      <c r="A5" s="28" t="s">
        <v>288</v>
      </c>
      <c r="B5" s="118">
        <v>2588</v>
      </c>
      <c r="C5" s="118">
        <v>2333</v>
      </c>
      <c r="D5" s="101">
        <f>SUM(RepInCongressCongressionalDistrict14General[[#This Row],[Part of Bronx County Vote Results]:[Part of Queens County Vote Results]])</f>
        <v>4921</v>
      </c>
      <c r="E5" s="111"/>
    </row>
    <row r="6" spans="1:5" ht="14.25" customHeight="1" x14ac:dyDescent="0.2">
      <c r="A6" s="28" t="s">
        <v>289</v>
      </c>
      <c r="B6" s="118">
        <v>4682</v>
      </c>
      <c r="C6" s="118">
        <v>9555</v>
      </c>
      <c r="D6" s="101">
        <f>SUM(RepInCongressCongressionalDistrict14General[[#This Row],[Part of Bronx County Vote Results]:[Part of Queens County Vote Results]])</f>
        <v>14237</v>
      </c>
      <c r="E6" s="111"/>
    </row>
    <row r="7" spans="1:5" ht="14.25" customHeight="1" x14ac:dyDescent="0.2">
      <c r="A7" s="29" t="s">
        <v>18</v>
      </c>
      <c r="B7" s="118">
        <v>7262</v>
      </c>
      <c r="C7" s="118">
        <v>5104</v>
      </c>
      <c r="D7" s="101">
        <f>SUM(RepInCongressCongressionalDistrict14General[[#This Row],[Part of Bronx County Vote Results]:[Part of Queens County Vote Results]])</f>
        <v>12366</v>
      </c>
      <c r="E7" s="111"/>
    </row>
    <row r="8" spans="1:5" ht="14.25" customHeight="1" x14ac:dyDescent="0.2">
      <c r="A8" s="29" t="s">
        <v>19</v>
      </c>
      <c r="B8" s="118">
        <v>0</v>
      </c>
      <c r="C8" s="118">
        <v>0</v>
      </c>
      <c r="D8" s="101">
        <f>SUM(RepInCongressCongressionalDistrict14General[[#This Row],[Part of Bronx County Vote Results]:[Part of Queens County Vote Results]])</f>
        <v>0</v>
      </c>
      <c r="E8" s="111"/>
    </row>
    <row r="9" spans="1:5" ht="14.25" customHeight="1" x14ac:dyDescent="0.2">
      <c r="A9" s="29" t="s">
        <v>20</v>
      </c>
      <c r="B9" s="118">
        <v>272</v>
      </c>
      <c r="C9" s="118">
        <v>487</v>
      </c>
      <c r="D9" s="101">
        <f>SUM(RepInCongressCongressionalDistrict14General[[#This Row],[Part of Bronx County Vote Results]:[Part of Queens County Vote Results]])</f>
        <v>759</v>
      </c>
      <c r="E9" s="111"/>
    </row>
    <row r="10" spans="1:5" ht="14.25" customHeight="1" x14ac:dyDescent="0.2">
      <c r="A10" s="103" t="s">
        <v>21</v>
      </c>
      <c r="B10" s="100">
        <f>SUM(RepInCongressCongressionalDistrict14General[Part of Bronx County Vote Results])</f>
        <v>105668</v>
      </c>
      <c r="C10" s="100">
        <f>SUM(RepInCongressCongressionalDistrict14General[Part of Queens County Vote Results])</f>
        <v>99249</v>
      </c>
      <c r="D10" s="101">
        <f>SUM(RepInCongressCongressionalDistrict14General[Total Votes by Party])</f>
        <v>204917</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4130-006A-42BA-98D2-8308B70A0373}">
  <sheetPr>
    <pageSetUpPr fitToPage="1"/>
  </sheetPr>
  <dimension ref="A1:D7"/>
  <sheetViews>
    <sheetView workbookViewId="0">
      <selection activeCell="B7" sqref="B7"/>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1227</v>
      </c>
      <c r="B1" s="108"/>
      <c r="C1" s="108"/>
      <c r="D1" s="108"/>
    </row>
    <row r="2" spans="1:4" ht="28.5" customHeight="1" x14ac:dyDescent="0.2">
      <c r="A2" s="6" t="s">
        <v>93</v>
      </c>
      <c r="B2" s="7" t="s">
        <v>1299</v>
      </c>
      <c r="C2" s="8" t="s">
        <v>84</v>
      </c>
      <c r="D2" s="9" t="s">
        <v>85</v>
      </c>
    </row>
    <row r="3" spans="1:4" ht="14.25" customHeight="1" x14ac:dyDescent="0.2">
      <c r="A3" s="28" t="s">
        <v>1228</v>
      </c>
      <c r="B3" s="100">
        <v>35582</v>
      </c>
      <c r="C3" s="101">
        <f>MemberOfAssemblyAssemblyDistrict141General[[#This Row],[Part of Erie County
Vote Results]]</f>
        <v>35582</v>
      </c>
      <c r="D3" s="113">
        <f>MemberOfAssemblyAssemblyDistrict141General[[#This Row],[Total Votes by Party]]</f>
        <v>35582</v>
      </c>
    </row>
    <row r="4" spans="1:4" ht="14.25" customHeight="1" x14ac:dyDescent="0.2">
      <c r="A4" s="29" t="s">
        <v>18</v>
      </c>
      <c r="B4" s="100">
        <v>7412</v>
      </c>
      <c r="C4" s="101">
        <f>MemberOfAssemblyAssemblyDistrict141General[[#This Row],[Part of Erie County
Vote Results]]</f>
        <v>7412</v>
      </c>
      <c r="D4" s="111"/>
    </row>
    <row r="5" spans="1:4" ht="14.25" customHeight="1" x14ac:dyDescent="0.2">
      <c r="A5" s="29" t="s">
        <v>19</v>
      </c>
      <c r="B5" s="100">
        <v>13</v>
      </c>
      <c r="C5" s="101">
        <f>MemberOfAssemblyAssemblyDistrict141General[[#This Row],[Part of Erie County
Vote Results]]</f>
        <v>13</v>
      </c>
      <c r="D5" s="111"/>
    </row>
    <row r="6" spans="1:4" ht="14.25" customHeight="1" x14ac:dyDescent="0.2">
      <c r="A6" s="29" t="s">
        <v>20</v>
      </c>
      <c r="B6" s="100">
        <v>287</v>
      </c>
      <c r="C6" s="101">
        <f>MemberOfAssemblyAssemblyDistrict141General[[#This Row],[Part of Erie County
Vote Results]]</f>
        <v>287</v>
      </c>
      <c r="D6" s="111"/>
    </row>
    <row r="7" spans="1:4" ht="14.25" customHeight="1" x14ac:dyDescent="0.2">
      <c r="A7" s="103" t="s">
        <v>21</v>
      </c>
      <c r="B7" s="100">
        <f>SUM(MemberOfAssemblyAssemblyDistrict141General[Part of Erie County
Vote Results])</f>
        <v>43294</v>
      </c>
      <c r="C7" s="101">
        <f>SUM(MemberOfAssemblyAssemblyDistrict141General[Total Votes by Party])</f>
        <v>43294</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D9D63-39C1-47BC-BD53-3CBF23DA2575}">
  <sheetPr>
    <pageSetUpPr fitToPage="1"/>
  </sheetPr>
  <dimension ref="A1:D9"/>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1229</v>
      </c>
      <c r="B1" s="108"/>
      <c r="C1" s="108"/>
      <c r="D1" s="108"/>
    </row>
    <row r="2" spans="1:4" ht="28.5" customHeight="1" x14ac:dyDescent="0.2">
      <c r="A2" s="6" t="s">
        <v>93</v>
      </c>
      <c r="B2" s="7" t="s">
        <v>1299</v>
      </c>
      <c r="C2" s="8" t="s">
        <v>84</v>
      </c>
      <c r="D2" s="9" t="s">
        <v>85</v>
      </c>
    </row>
    <row r="3" spans="1:4" ht="14.25" customHeight="1" x14ac:dyDescent="0.2">
      <c r="A3" s="28" t="s">
        <v>1230</v>
      </c>
      <c r="B3" s="100">
        <v>29192</v>
      </c>
      <c r="C3" s="101">
        <f>MemberOfAssemblyAssemblyDistrict142General[[#This Row],[Part of Erie County
Vote Results]]</f>
        <v>29192</v>
      </c>
      <c r="D3" s="113">
        <f>SUM(MemberOfAssemblyAssemblyDistrict142General[[#This Row],[Total Votes by Party]])</f>
        <v>29192</v>
      </c>
    </row>
    <row r="4" spans="1:4" ht="14.25" customHeight="1" x14ac:dyDescent="0.2">
      <c r="A4" s="28" t="s">
        <v>1231</v>
      </c>
      <c r="B4" s="100">
        <v>23463</v>
      </c>
      <c r="C4" s="101">
        <f>MemberOfAssemblyAssemblyDistrict142General[[#This Row],[Part of Erie County
Vote Results]]</f>
        <v>23463</v>
      </c>
      <c r="D4" s="113">
        <f>SUM(MemberOfAssemblyAssemblyDistrict142General[[#This Row],[Total Votes by Party]],C5)</f>
        <v>28375</v>
      </c>
    </row>
    <row r="5" spans="1:4" ht="14.25" customHeight="1" x14ac:dyDescent="0.2">
      <c r="A5" s="28" t="s">
        <v>1232</v>
      </c>
      <c r="B5" s="100">
        <v>4912</v>
      </c>
      <c r="C5" s="101">
        <f>MemberOfAssemblyAssemblyDistrict142General[[#This Row],[Part of Erie County
Vote Results]]</f>
        <v>4912</v>
      </c>
      <c r="D5" s="111"/>
    </row>
    <row r="6" spans="1:4" ht="14.25" customHeight="1" x14ac:dyDescent="0.2">
      <c r="A6" s="29" t="s">
        <v>18</v>
      </c>
      <c r="B6" s="100">
        <v>4971</v>
      </c>
      <c r="C6" s="101">
        <f>MemberOfAssemblyAssemblyDistrict142General[[#This Row],[Part of Erie County
Vote Results]]</f>
        <v>4971</v>
      </c>
      <c r="D6" s="111"/>
    </row>
    <row r="7" spans="1:4" ht="14.25" customHeight="1" x14ac:dyDescent="0.2">
      <c r="A7" s="29" t="s">
        <v>19</v>
      </c>
      <c r="B7" s="100">
        <v>38</v>
      </c>
      <c r="C7" s="101">
        <f>MemberOfAssemblyAssemblyDistrict142General[[#This Row],[Part of Erie County
Vote Results]]</f>
        <v>38</v>
      </c>
      <c r="D7" s="111"/>
    </row>
    <row r="8" spans="1:4" ht="14.25" customHeight="1" x14ac:dyDescent="0.2">
      <c r="A8" s="29" t="s">
        <v>20</v>
      </c>
      <c r="B8" s="100">
        <v>83</v>
      </c>
      <c r="C8" s="101">
        <f>MemberOfAssemblyAssemblyDistrict142General[[#This Row],[Part of Erie County
Vote Results]]</f>
        <v>83</v>
      </c>
      <c r="D8" s="111"/>
    </row>
    <row r="9" spans="1:4" ht="14.25" customHeight="1" x14ac:dyDescent="0.2">
      <c r="A9" s="103" t="s">
        <v>21</v>
      </c>
      <c r="B9" s="100">
        <f>SUM(MemberOfAssemblyAssemblyDistrict142General[Part of Erie County
Vote Results])</f>
        <v>62659</v>
      </c>
      <c r="C9" s="101">
        <f>SUM(MemberOfAssemblyAssemblyDistrict142General[Total Votes by Party])</f>
        <v>62659</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EE35-EDA8-4C4D-9432-7A406D36C749}">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1233</v>
      </c>
      <c r="B1" s="108"/>
      <c r="C1" s="108"/>
      <c r="D1" s="108"/>
    </row>
    <row r="2" spans="1:4" ht="28.5" customHeight="1" x14ac:dyDescent="0.2">
      <c r="A2" s="6" t="s">
        <v>93</v>
      </c>
      <c r="B2" s="7" t="s">
        <v>1299</v>
      </c>
      <c r="C2" s="8" t="s">
        <v>84</v>
      </c>
      <c r="D2" s="9" t="s">
        <v>85</v>
      </c>
    </row>
    <row r="3" spans="1:4" ht="14.25" customHeight="1" x14ac:dyDescent="0.2">
      <c r="A3" s="28" t="s">
        <v>1234</v>
      </c>
      <c r="B3" s="100">
        <v>26176</v>
      </c>
      <c r="C3" s="101">
        <f>MemberOfAssemblyAssemblyDistrict143General[[#This Row],[Part of Erie County
Vote Results]]</f>
        <v>26176</v>
      </c>
      <c r="D3" s="113">
        <f>SUM(MemberOfAssemblyAssemblyDistrict143General[[#This Row],[Total Votes by Party]],C6)</f>
        <v>28208</v>
      </c>
    </row>
    <row r="4" spans="1:4" ht="14.25" customHeight="1" x14ac:dyDescent="0.2">
      <c r="A4" s="28" t="s">
        <v>1235</v>
      </c>
      <c r="B4" s="100">
        <v>25802</v>
      </c>
      <c r="C4" s="101">
        <f>MemberOfAssemblyAssemblyDistrict143General[[#This Row],[Part of Erie County
Vote Results]]</f>
        <v>25802</v>
      </c>
      <c r="D4" s="113">
        <f>SUM(MemberOfAssemblyAssemblyDistrict143General[[#This Row],[Total Votes by Party]],C5)</f>
        <v>30409</v>
      </c>
    </row>
    <row r="5" spans="1:4" ht="14.25" customHeight="1" x14ac:dyDescent="0.2">
      <c r="A5" s="28" t="s">
        <v>1236</v>
      </c>
      <c r="B5" s="100">
        <v>4607</v>
      </c>
      <c r="C5" s="101">
        <f>MemberOfAssemblyAssemblyDistrict143General[[#This Row],[Part of Erie County
Vote Results]]</f>
        <v>4607</v>
      </c>
      <c r="D5" s="111"/>
    </row>
    <row r="6" spans="1:4" ht="14.25" customHeight="1" x14ac:dyDescent="0.2">
      <c r="A6" s="28" t="s">
        <v>1237</v>
      </c>
      <c r="B6" s="100">
        <v>2032</v>
      </c>
      <c r="C6" s="101">
        <f>MemberOfAssemblyAssemblyDistrict143General[[#This Row],[Part of Erie County
Vote Results]]</f>
        <v>2032</v>
      </c>
      <c r="D6" s="111"/>
    </row>
    <row r="7" spans="1:4" ht="14.25" customHeight="1" x14ac:dyDescent="0.2">
      <c r="A7" s="29" t="s">
        <v>18</v>
      </c>
      <c r="B7" s="100">
        <v>3059</v>
      </c>
      <c r="C7" s="101">
        <f>MemberOfAssemblyAssemblyDistrict143General[[#This Row],[Part of Erie County
Vote Results]]</f>
        <v>3059</v>
      </c>
      <c r="D7" s="111"/>
    </row>
    <row r="8" spans="1:4" ht="14.25" customHeight="1" x14ac:dyDescent="0.2">
      <c r="A8" s="29" t="s">
        <v>19</v>
      </c>
      <c r="B8" s="100">
        <v>46</v>
      </c>
      <c r="C8" s="101">
        <f>MemberOfAssemblyAssemblyDistrict143General[[#This Row],[Part of Erie County
Vote Results]]</f>
        <v>46</v>
      </c>
      <c r="D8" s="111"/>
    </row>
    <row r="9" spans="1:4" ht="14.25" customHeight="1" x14ac:dyDescent="0.2">
      <c r="A9" s="29" t="s">
        <v>20</v>
      </c>
      <c r="B9" s="100">
        <v>64</v>
      </c>
      <c r="C9" s="101">
        <f>MemberOfAssemblyAssemblyDistrict143General[[#This Row],[Part of Erie County
Vote Results]]</f>
        <v>64</v>
      </c>
      <c r="D9" s="111"/>
    </row>
    <row r="10" spans="1:4" ht="14.25" customHeight="1" x14ac:dyDescent="0.2">
      <c r="A10" s="103" t="s">
        <v>21</v>
      </c>
      <c r="B10" s="100">
        <f>SUM(MemberOfAssemblyAssemblyDistrict143General[Part of Erie County
Vote Results])</f>
        <v>61786</v>
      </c>
      <c r="C10" s="101">
        <f>SUM(MemberOfAssemblyAssemblyDistrict143General[Total Votes by Party])</f>
        <v>61786</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576BA-CBB1-4E2C-9423-3FCE7F832A78}">
  <sheetPr>
    <pageSetUpPr fitToPage="1"/>
  </sheetPr>
  <dimension ref="A1:E11"/>
  <sheetViews>
    <sheetView workbookViewId="0">
      <selection activeCell="B11" sqref="B11"/>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1238</v>
      </c>
      <c r="B1" s="108"/>
      <c r="C1" s="108"/>
      <c r="D1" s="108"/>
      <c r="E1" s="108"/>
    </row>
    <row r="2" spans="1:5" ht="28.5" customHeight="1" x14ac:dyDescent="0.2">
      <c r="A2" s="6" t="s">
        <v>93</v>
      </c>
      <c r="B2" s="7" t="s">
        <v>1299</v>
      </c>
      <c r="C2" s="7" t="s">
        <v>1224</v>
      </c>
      <c r="D2" s="8" t="s">
        <v>84</v>
      </c>
      <c r="E2" s="9" t="s">
        <v>85</v>
      </c>
    </row>
    <row r="3" spans="1:5" ht="14.25" customHeight="1" x14ac:dyDescent="0.2">
      <c r="A3" s="28" t="s">
        <v>1239</v>
      </c>
      <c r="B3" s="100">
        <v>12344</v>
      </c>
      <c r="C3" s="100">
        <v>12865</v>
      </c>
      <c r="D3" s="101">
        <f>SUM(MemberOfAssemblyAssemblyDistrict144General[[#This Row],[Part of Erie County
Vote Results]:[Part of Niagara County Vote Results]])</f>
        <v>25209</v>
      </c>
      <c r="E3" s="113">
        <f>SUM(MemberOfAssemblyAssemblyDistrict144General[[#This Row],[Total Votes by Party]],D6)</f>
        <v>27402</v>
      </c>
    </row>
    <row r="4" spans="1:5" ht="14.25" customHeight="1" x14ac:dyDescent="0.2">
      <c r="A4" s="28" t="s">
        <v>1240</v>
      </c>
      <c r="B4" s="100">
        <v>17706</v>
      </c>
      <c r="C4" s="100">
        <v>19820</v>
      </c>
      <c r="D4" s="101">
        <f>SUM(MemberOfAssemblyAssemblyDistrict144General[[#This Row],[Part of Erie County
Vote Results]:[Part of Niagara County Vote Results]])</f>
        <v>37526</v>
      </c>
      <c r="E4" s="113">
        <f>SUM(MemberOfAssemblyAssemblyDistrict144General[[#This Row],[Total Votes by Party]],D5)</f>
        <v>44350</v>
      </c>
    </row>
    <row r="5" spans="1:5" ht="14.25" customHeight="1" x14ac:dyDescent="0.2">
      <c r="A5" s="28" t="s">
        <v>1241</v>
      </c>
      <c r="B5" s="100">
        <v>3311</v>
      </c>
      <c r="C5" s="100">
        <v>3513</v>
      </c>
      <c r="D5" s="101">
        <f>SUM(MemberOfAssemblyAssemblyDistrict144General[[#This Row],[Part of Erie County
Vote Results]:[Part of Niagara County Vote Results]])</f>
        <v>6824</v>
      </c>
      <c r="E5" s="111"/>
    </row>
    <row r="6" spans="1:5" ht="14.25" customHeight="1" x14ac:dyDescent="0.2">
      <c r="A6" s="28" t="s">
        <v>1242</v>
      </c>
      <c r="B6" s="100">
        <v>783</v>
      </c>
      <c r="C6" s="100">
        <v>1410</v>
      </c>
      <c r="D6" s="101">
        <f>SUM(MemberOfAssemblyAssemblyDistrict144General[[#This Row],[Part of Erie County
Vote Results]:[Part of Niagara County Vote Results]])</f>
        <v>2193</v>
      </c>
      <c r="E6" s="111"/>
    </row>
    <row r="7" spans="1:5" ht="14.25" customHeight="1" x14ac:dyDescent="0.2">
      <c r="A7" s="29" t="s">
        <v>18</v>
      </c>
      <c r="B7" s="100">
        <v>2321</v>
      </c>
      <c r="C7" s="100">
        <v>2260</v>
      </c>
      <c r="D7" s="101">
        <f>SUM(MemberOfAssemblyAssemblyDistrict144General[[#This Row],[Part of Erie County
Vote Results]:[Part of Niagara County Vote Results]])</f>
        <v>4581</v>
      </c>
      <c r="E7" s="111"/>
    </row>
    <row r="8" spans="1:5" ht="14.25" customHeight="1" x14ac:dyDescent="0.2">
      <c r="A8" s="29" t="s">
        <v>19</v>
      </c>
      <c r="B8" s="100">
        <v>14</v>
      </c>
      <c r="C8" s="100">
        <v>12</v>
      </c>
      <c r="D8" s="101">
        <f>SUM(MemberOfAssemblyAssemblyDistrict144General[[#This Row],[Part of Erie County
Vote Results]:[Part of Niagara County Vote Results]])</f>
        <v>26</v>
      </c>
      <c r="E8" s="111"/>
    </row>
    <row r="9" spans="1:5" ht="14.25" customHeight="1" x14ac:dyDescent="0.2">
      <c r="A9" s="29" t="s">
        <v>20</v>
      </c>
      <c r="B9" s="100">
        <v>18</v>
      </c>
      <c r="C9" s="100">
        <v>17</v>
      </c>
      <c r="D9" s="101">
        <f>SUM(MemberOfAssemblyAssemblyDistrict144General[[#This Row],[Part of Erie County
Vote Results]:[Part of Niagara County Vote Results]])</f>
        <v>35</v>
      </c>
      <c r="E9" s="111"/>
    </row>
    <row r="10" spans="1:5" ht="14.25" customHeight="1" x14ac:dyDescent="0.2">
      <c r="A10" s="103" t="s">
        <v>21</v>
      </c>
      <c r="B10" s="100">
        <f>SUM(MemberOfAssemblyAssemblyDistrict144General[Part of Erie County
Vote Results])</f>
        <v>36497</v>
      </c>
      <c r="C10" s="100">
        <f>SUM(MemberOfAssemblyAssemblyDistrict144General[Part of Niagara County Vote Results])</f>
        <v>39897</v>
      </c>
      <c r="D10" s="101">
        <f>SUM(MemberOfAssemblyAssemblyDistrict144General[Total Votes by Party])</f>
        <v>76394</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8F781-D8FD-4B8C-BE3A-C2ED6FD68A45}">
  <sheetPr>
    <pageSetUpPr fitToPage="1"/>
  </sheetPr>
  <dimension ref="A1:E11"/>
  <sheetViews>
    <sheetView workbookViewId="0">
      <selection activeCell="B4" sqref="B4:C5"/>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1243</v>
      </c>
      <c r="B1" s="108"/>
      <c r="C1" s="108"/>
      <c r="D1" s="108"/>
      <c r="E1" s="108"/>
    </row>
    <row r="2" spans="1:5" ht="28.5" customHeight="1" x14ac:dyDescent="0.2">
      <c r="A2" s="6" t="s">
        <v>93</v>
      </c>
      <c r="B2" s="7" t="s">
        <v>1299</v>
      </c>
      <c r="C2" s="7" t="s">
        <v>1224</v>
      </c>
      <c r="D2" s="8" t="s">
        <v>84</v>
      </c>
      <c r="E2" s="9" t="s">
        <v>85</v>
      </c>
    </row>
    <row r="3" spans="1:5" ht="14.25" customHeight="1" x14ac:dyDescent="0.2">
      <c r="A3" s="28" t="s">
        <v>1244</v>
      </c>
      <c r="B3" s="100">
        <v>4308</v>
      </c>
      <c r="C3" s="100">
        <v>17693</v>
      </c>
      <c r="D3" s="101">
        <f>SUM(MemberOfAssemblyAssemblyDistrict145General[[#This Row],[Part of Erie County
Vote Results]:[Part of Niagara County Vote Results]])</f>
        <v>22001</v>
      </c>
      <c r="E3" s="113">
        <f>SUM(MemberOfAssemblyAssemblyDistrict145General[[#This Row],[Total Votes by Party]],D6)</f>
        <v>23774</v>
      </c>
    </row>
    <row r="4" spans="1:5" ht="14.25" customHeight="1" x14ac:dyDescent="0.2">
      <c r="A4" s="28" t="s">
        <v>1245</v>
      </c>
      <c r="B4" s="100">
        <v>6388</v>
      </c>
      <c r="C4" s="100">
        <v>26023</v>
      </c>
      <c r="D4" s="101">
        <f>SUM(MemberOfAssemblyAssemblyDistrict145General[[#This Row],[Part of Erie County
Vote Results]:[Part of Niagara County Vote Results]])</f>
        <v>32411</v>
      </c>
      <c r="E4" s="113">
        <f>SUM(MemberOfAssemblyAssemblyDistrict145General[[#This Row],[Total Votes by Party]],D5)</f>
        <v>37667</v>
      </c>
    </row>
    <row r="5" spans="1:5" ht="14.25" customHeight="1" x14ac:dyDescent="0.2">
      <c r="A5" s="28" t="s">
        <v>1246</v>
      </c>
      <c r="B5" s="100">
        <v>1169</v>
      </c>
      <c r="C5" s="100">
        <v>4087</v>
      </c>
      <c r="D5" s="101">
        <f>SUM(MemberOfAssemblyAssemblyDistrict145General[[#This Row],[Part of Erie County
Vote Results]:[Part of Niagara County Vote Results]])</f>
        <v>5256</v>
      </c>
      <c r="E5" s="111"/>
    </row>
    <row r="6" spans="1:5" ht="14.25" customHeight="1" x14ac:dyDescent="0.2">
      <c r="A6" s="28" t="s">
        <v>1247</v>
      </c>
      <c r="B6" s="100">
        <v>379</v>
      </c>
      <c r="C6" s="100">
        <v>1394</v>
      </c>
      <c r="D6" s="101">
        <f>SUM(MemberOfAssemblyAssemblyDistrict145General[[#This Row],[Part of Erie County
Vote Results]:[Part of Niagara County Vote Results]])</f>
        <v>1773</v>
      </c>
      <c r="E6" s="111"/>
    </row>
    <row r="7" spans="1:5" ht="14.25" customHeight="1" x14ac:dyDescent="0.2">
      <c r="A7" s="29" t="s">
        <v>18</v>
      </c>
      <c r="B7" s="100">
        <v>831</v>
      </c>
      <c r="C7" s="100">
        <v>3398</v>
      </c>
      <c r="D7" s="101">
        <f>SUM(MemberOfAssemblyAssemblyDistrict145General[[#This Row],[Part of Erie County
Vote Results]:[Part of Niagara County Vote Results]])</f>
        <v>4229</v>
      </c>
      <c r="E7" s="111"/>
    </row>
    <row r="8" spans="1:5" ht="14.25" customHeight="1" x14ac:dyDescent="0.2">
      <c r="A8" s="29" t="s">
        <v>19</v>
      </c>
      <c r="B8" s="100">
        <v>2</v>
      </c>
      <c r="C8" s="100">
        <v>31</v>
      </c>
      <c r="D8" s="101">
        <f>SUM(MemberOfAssemblyAssemblyDistrict145General[[#This Row],[Part of Erie County
Vote Results]:[Part of Niagara County Vote Results]])</f>
        <v>33</v>
      </c>
      <c r="E8" s="111"/>
    </row>
    <row r="9" spans="1:5" ht="14.25" customHeight="1" x14ac:dyDescent="0.2">
      <c r="A9" s="29" t="s">
        <v>20</v>
      </c>
      <c r="B9" s="100">
        <v>4</v>
      </c>
      <c r="C9" s="100">
        <v>18</v>
      </c>
      <c r="D9" s="101">
        <f>SUM(MemberOfAssemblyAssemblyDistrict145General[[#This Row],[Part of Erie County
Vote Results]:[Part of Niagara County Vote Results]])</f>
        <v>22</v>
      </c>
      <c r="E9" s="111"/>
    </row>
    <row r="10" spans="1:5" ht="14.25" customHeight="1" x14ac:dyDescent="0.2">
      <c r="A10" s="103" t="s">
        <v>21</v>
      </c>
      <c r="B10" s="100">
        <f>SUM(MemberOfAssemblyAssemblyDistrict145General[Part of Erie County
Vote Results])</f>
        <v>13081</v>
      </c>
      <c r="C10" s="100">
        <f>SUM(MemberOfAssemblyAssemblyDistrict145General[Part of Niagara County Vote Results])</f>
        <v>52644</v>
      </c>
      <c r="D10" s="101">
        <f>SUM(MemberOfAssemblyAssemblyDistrict145General[Total Votes by Party])</f>
        <v>65725</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38DEA-1544-46B1-A6F5-561FD3B01C2C}">
  <sheetPr>
    <pageSetUpPr fitToPage="1"/>
  </sheetPr>
  <dimension ref="A1:D10"/>
  <sheetViews>
    <sheetView workbookViewId="0">
      <selection activeCell="B4" sqref="B4:B5"/>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1248</v>
      </c>
      <c r="B1" s="108"/>
      <c r="C1" s="108"/>
      <c r="D1" s="108"/>
    </row>
    <row r="2" spans="1:4" ht="28.5" customHeight="1" x14ac:dyDescent="0.2">
      <c r="A2" s="6" t="s">
        <v>93</v>
      </c>
      <c r="B2" s="7" t="s">
        <v>1299</v>
      </c>
      <c r="C2" s="8" t="s">
        <v>84</v>
      </c>
      <c r="D2" s="9" t="s">
        <v>85</v>
      </c>
    </row>
    <row r="3" spans="1:4" ht="14.25" customHeight="1" x14ac:dyDescent="0.2">
      <c r="A3" s="28" t="s">
        <v>1249</v>
      </c>
      <c r="B3" s="100">
        <v>34720</v>
      </c>
      <c r="C3" s="101">
        <f>SUM(MemberOfAssemblyAssemblyDistrict146General[[#This Row],[Part of Erie County
Vote Results]])</f>
        <v>34720</v>
      </c>
      <c r="D3" s="113">
        <f>SUM(MemberOfAssemblyAssemblyDistrict146General[[#This Row],[Total Votes by Party]],C6)</f>
        <v>37370</v>
      </c>
    </row>
    <row r="4" spans="1:4" ht="14.25" customHeight="1" x14ac:dyDescent="0.2">
      <c r="A4" s="28" t="s">
        <v>1250</v>
      </c>
      <c r="B4" s="100">
        <v>21055</v>
      </c>
      <c r="C4" s="101">
        <f>SUM(MemberOfAssemblyAssemblyDistrict146General[[#This Row],[Part of Erie County
Vote Results]])</f>
        <v>21055</v>
      </c>
      <c r="D4" s="113">
        <f>SUM(MemberOfAssemblyAssemblyDistrict146General[[#This Row],[Total Votes by Party]],C5)</f>
        <v>24881</v>
      </c>
    </row>
    <row r="5" spans="1:4" ht="14.25" customHeight="1" x14ac:dyDescent="0.2">
      <c r="A5" s="28" t="s">
        <v>1251</v>
      </c>
      <c r="B5" s="100">
        <v>3826</v>
      </c>
      <c r="C5" s="101">
        <f>SUM(MemberOfAssemblyAssemblyDistrict146General[[#This Row],[Part of Erie County
Vote Results]])</f>
        <v>3826</v>
      </c>
      <c r="D5" s="111"/>
    </row>
    <row r="6" spans="1:4" ht="14.25" customHeight="1" x14ac:dyDescent="0.2">
      <c r="A6" s="28" t="s">
        <v>1252</v>
      </c>
      <c r="B6" s="100">
        <v>2650</v>
      </c>
      <c r="C6" s="101">
        <f>SUM(MemberOfAssemblyAssemblyDistrict146General[[#This Row],[Part of Erie County
Vote Results]])</f>
        <v>2650</v>
      </c>
      <c r="D6" s="111"/>
    </row>
    <row r="7" spans="1:4" ht="14.25" customHeight="1" x14ac:dyDescent="0.2">
      <c r="A7" s="29" t="s">
        <v>18</v>
      </c>
      <c r="B7" s="100">
        <v>3529</v>
      </c>
      <c r="C7" s="101">
        <f>SUM(MemberOfAssemblyAssemblyDistrict146General[[#This Row],[Part of Erie County
Vote Results]])</f>
        <v>3529</v>
      </c>
      <c r="D7" s="111"/>
    </row>
    <row r="8" spans="1:4" ht="14.25" customHeight="1" x14ac:dyDescent="0.2">
      <c r="A8" s="29" t="s">
        <v>19</v>
      </c>
      <c r="B8" s="100">
        <v>24</v>
      </c>
      <c r="C8" s="101">
        <f>SUM(MemberOfAssemblyAssemblyDistrict146General[[#This Row],[Part of Erie County
Vote Results]])</f>
        <v>24</v>
      </c>
      <c r="D8" s="111"/>
    </row>
    <row r="9" spans="1:4" ht="14.25" customHeight="1" x14ac:dyDescent="0.2">
      <c r="A9" s="29" t="s">
        <v>20</v>
      </c>
      <c r="B9" s="100">
        <v>60</v>
      </c>
      <c r="C9" s="101">
        <f>SUM(MemberOfAssemblyAssemblyDistrict146General[[#This Row],[Part of Erie County
Vote Results]])</f>
        <v>60</v>
      </c>
      <c r="D9" s="111"/>
    </row>
    <row r="10" spans="1:4" ht="14.25" customHeight="1" x14ac:dyDescent="0.2">
      <c r="A10" s="103" t="s">
        <v>21</v>
      </c>
      <c r="B10" s="100">
        <f>SUM(MemberOfAssemblyAssemblyDistrict146General[Part of Erie County
Vote Results])</f>
        <v>65864</v>
      </c>
      <c r="C10" s="101">
        <f>SUM(MemberOfAssemblyAssemblyDistrict146General[Total Votes by Party])</f>
        <v>65864</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38352-36CB-4527-9AAE-504D4C16B62A}">
  <sheetPr>
    <pageSetUpPr fitToPage="1"/>
  </sheetPr>
  <dimension ref="A1:E10"/>
  <sheetViews>
    <sheetView workbookViewId="0">
      <selection activeCell="B4" sqref="B4:C5"/>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1253</v>
      </c>
      <c r="B1" s="108"/>
      <c r="C1" s="108"/>
      <c r="D1" s="108"/>
      <c r="E1" s="108"/>
    </row>
    <row r="2" spans="1:5" ht="28.5" customHeight="1" x14ac:dyDescent="0.2">
      <c r="A2" s="6" t="s">
        <v>93</v>
      </c>
      <c r="B2" s="27" t="s">
        <v>1299</v>
      </c>
      <c r="C2" s="7" t="s">
        <v>1193</v>
      </c>
      <c r="D2" s="8" t="s">
        <v>84</v>
      </c>
      <c r="E2" s="9" t="s">
        <v>85</v>
      </c>
    </row>
    <row r="3" spans="1:5" ht="14.25" customHeight="1" x14ac:dyDescent="0.2">
      <c r="A3" s="28" t="s">
        <v>1254</v>
      </c>
      <c r="B3" s="100">
        <v>21431</v>
      </c>
      <c r="C3" s="100">
        <v>3124</v>
      </c>
      <c r="D3" s="101">
        <f>SUM(MemberOfAssemblyAssemblyDistrict147General[[#This Row],[Part of Erie County
Vote Results]:[Part of Wyoming County Vote Results]])</f>
        <v>24555</v>
      </c>
      <c r="E3" s="152">
        <f>SUM(MemberOfAssemblyAssemblyDistrict147General[[#This Row],[Total Votes by Party]])</f>
        <v>24555</v>
      </c>
    </row>
    <row r="4" spans="1:5" ht="14.25" customHeight="1" x14ac:dyDescent="0.2">
      <c r="A4" s="28" t="s">
        <v>1255</v>
      </c>
      <c r="B4" s="100">
        <v>33718</v>
      </c>
      <c r="C4" s="100">
        <v>10134</v>
      </c>
      <c r="D4" s="101">
        <f>SUM(MemberOfAssemblyAssemblyDistrict147General[[#This Row],[Part of Erie County
Vote Results]:[Part of Wyoming County Vote Results]])</f>
        <v>43852</v>
      </c>
      <c r="E4" s="152">
        <f>SUM(MemberOfAssemblyAssemblyDistrict147General[[#This Row],[Total Votes by Party]],D5)</f>
        <v>52247</v>
      </c>
    </row>
    <row r="5" spans="1:5" ht="14.25" customHeight="1" x14ac:dyDescent="0.2">
      <c r="A5" s="28" t="s">
        <v>1256</v>
      </c>
      <c r="B5" s="100">
        <v>7088</v>
      </c>
      <c r="C5" s="100">
        <v>1307</v>
      </c>
      <c r="D5" s="101">
        <f>SUM(MemberOfAssemblyAssemblyDistrict147General[[#This Row],[Part of Erie County
Vote Results]:[Part of Wyoming County Vote Results]])</f>
        <v>8395</v>
      </c>
      <c r="E5" s="153"/>
    </row>
    <row r="6" spans="1:5" ht="14.25" customHeight="1" x14ac:dyDescent="0.2">
      <c r="A6" s="29" t="s">
        <v>18</v>
      </c>
      <c r="B6" s="100">
        <v>4207</v>
      </c>
      <c r="C6" s="100">
        <v>816</v>
      </c>
      <c r="D6" s="101">
        <f>SUM(MemberOfAssemblyAssemblyDistrict147General[[#This Row],[Part of Erie County
Vote Results]:[Part of Wyoming County Vote Results]])</f>
        <v>5023</v>
      </c>
      <c r="E6" s="153"/>
    </row>
    <row r="7" spans="1:5" ht="14.25" customHeight="1" x14ac:dyDescent="0.2">
      <c r="A7" s="29" t="s">
        <v>19</v>
      </c>
      <c r="B7" s="100">
        <v>13</v>
      </c>
      <c r="C7" s="100">
        <v>19</v>
      </c>
      <c r="D7" s="101">
        <f>SUM(MemberOfAssemblyAssemblyDistrict147General[[#This Row],[Part of Erie County
Vote Results]:[Part of Wyoming County Vote Results]])</f>
        <v>32</v>
      </c>
      <c r="E7" s="153"/>
    </row>
    <row r="8" spans="1:5" ht="14.25" customHeight="1" x14ac:dyDescent="0.2">
      <c r="A8" s="29" t="s">
        <v>20</v>
      </c>
      <c r="B8" s="100">
        <v>45</v>
      </c>
      <c r="C8" s="100">
        <v>4</v>
      </c>
      <c r="D8" s="101">
        <f>SUM(MemberOfAssemblyAssemblyDistrict147General[[#This Row],[Part of Erie County
Vote Results]:[Part of Wyoming County Vote Results]])</f>
        <v>49</v>
      </c>
      <c r="E8" s="153"/>
    </row>
    <row r="9" spans="1:5" ht="14.25" customHeight="1" x14ac:dyDescent="0.2">
      <c r="A9" s="103" t="s">
        <v>21</v>
      </c>
      <c r="B9" s="100">
        <f>SUM(MemberOfAssemblyAssemblyDistrict147General[Part of Erie County
Vote Results])</f>
        <v>66502</v>
      </c>
      <c r="C9" s="100">
        <f>SUM(MemberOfAssemblyAssemblyDistrict147General[Part of Wyoming County Vote Results])</f>
        <v>15404</v>
      </c>
      <c r="D9" s="101">
        <f>SUM(MemberOfAssemblyAssemblyDistrict147General[Total Votes by Party])</f>
        <v>81906</v>
      </c>
      <c r="E9" s="153"/>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B9C33-E35E-40A0-9C95-C064EF59AD17}">
  <sheetPr>
    <pageSetUpPr fitToPage="1"/>
  </sheetPr>
  <dimension ref="A1:G10"/>
  <sheetViews>
    <sheetView workbookViewId="0">
      <selection activeCell="E16" sqref="E16"/>
    </sheetView>
  </sheetViews>
  <sheetFormatPr defaultRowHeight="12.75" x14ac:dyDescent="0.2"/>
  <cols>
    <col min="1" max="1" width="25.5703125" customWidth="1"/>
    <col min="2" max="7" width="20.5703125" customWidth="1"/>
    <col min="8" max="9" width="23.5703125" customWidth="1"/>
  </cols>
  <sheetData>
    <row r="1" spans="1:7" ht="24.95" customHeight="1" x14ac:dyDescent="0.2">
      <c r="A1" s="74" t="s">
        <v>1257</v>
      </c>
      <c r="B1" s="108"/>
      <c r="C1" s="108"/>
      <c r="D1" s="108"/>
      <c r="E1" s="108"/>
      <c r="F1" s="108"/>
      <c r="G1" s="108"/>
    </row>
    <row r="2" spans="1:7" ht="28.5" customHeight="1" x14ac:dyDescent="0.2">
      <c r="A2" s="6" t="s">
        <v>93</v>
      </c>
      <c r="B2" s="7" t="s">
        <v>129</v>
      </c>
      <c r="C2" s="7" t="s">
        <v>130</v>
      </c>
      <c r="D2" s="7" t="s">
        <v>1299</v>
      </c>
      <c r="E2" s="7" t="s">
        <v>1189</v>
      </c>
      <c r="F2" s="8" t="s">
        <v>84</v>
      </c>
      <c r="G2" s="9" t="s">
        <v>85</v>
      </c>
    </row>
    <row r="3" spans="1:7" ht="14.25" customHeight="1" x14ac:dyDescent="0.2">
      <c r="A3" s="28" t="s">
        <v>1258</v>
      </c>
      <c r="B3" s="100">
        <v>4712</v>
      </c>
      <c r="C3" s="100">
        <v>10337</v>
      </c>
      <c r="D3" s="100">
        <v>0</v>
      </c>
      <c r="E3" s="100">
        <v>569</v>
      </c>
      <c r="F3" s="101">
        <f>SUM(MemberOfAssemblyAssemblyDistrict148General[[#This Row],[Allegany County
Vote Results]:[Part of Steuben County Vote Results]])</f>
        <v>15618</v>
      </c>
      <c r="G3" s="113">
        <f>SUM(MemberOfAssemblyAssemblyDistrict148General[[#This Row],[Total Votes by Party]])</f>
        <v>15618</v>
      </c>
    </row>
    <row r="4" spans="1:7" ht="14.25" customHeight="1" x14ac:dyDescent="0.2">
      <c r="A4" s="28" t="s">
        <v>1259</v>
      </c>
      <c r="B4" s="100">
        <v>12289</v>
      </c>
      <c r="C4" s="100">
        <v>19117</v>
      </c>
      <c r="D4" s="100">
        <v>0</v>
      </c>
      <c r="E4" s="100">
        <v>2496</v>
      </c>
      <c r="F4" s="101">
        <f>SUM(MemberOfAssemblyAssemblyDistrict148General[[#This Row],[Allegany County
Vote Results]:[Part of Steuben County Vote Results]])</f>
        <v>33902</v>
      </c>
      <c r="G4" s="113">
        <f>SUM(MemberOfAssemblyAssemblyDistrict148General[[#This Row],[Total Votes by Party]],F5)</f>
        <v>37947</v>
      </c>
    </row>
    <row r="5" spans="1:7" ht="14.25" customHeight="1" x14ac:dyDescent="0.2">
      <c r="A5" s="29" t="s">
        <v>1260</v>
      </c>
      <c r="B5" s="100">
        <v>1403</v>
      </c>
      <c r="C5" s="100">
        <v>2424</v>
      </c>
      <c r="D5" s="100">
        <v>0</v>
      </c>
      <c r="E5" s="100">
        <v>218</v>
      </c>
      <c r="F5" s="101">
        <f>SUM(MemberOfAssemblyAssemblyDistrict148General[[#This Row],[Allegany County
Vote Results]:[Part of Steuben County Vote Results]])</f>
        <v>4045</v>
      </c>
      <c r="G5" s="111"/>
    </row>
    <row r="6" spans="1:7" ht="14.25" customHeight="1" x14ac:dyDescent="0.2">
      <c r="A6" s="29" t="s">
        <v>18</v>
      </c>
      <c r="B6" s="100">
        <v>1256</v>
      </c>
      <c r="C6" s="100">
        <v>2586</v>
      </c>
      <c r="D6" s="100">
        <v>0</v>
      </c>
      <c r="E6" s="100">
        <v>177</v>
      </c>
      <c r="F6" s="101">
        <f>SUM(MemberOfAssemblyAssemblyDistrict148General[[#This Row],[Allegany County
Vote Results]:[Part of Steuben County Vote Results]])</f>
        <v>4019</v>
      </c>
      <c r="G6" s="111"/>
    </row>
    <row r="7" spans="1:7" ht="14.25" customHeight="1" x14ac:dyDescent="0.2">
      <c r="A7" s="29" t="s">
        <v>19</v>
      </c>
      <c r="B7" s="100">
        <v>0</v>
      </c>
      <c r="C7" s="100">
        <v>13</v>
      </c>
      <c r="D7" s="100">
        <v>0</v>
      </c>
      <c r="E7" s="100">
        <v>2</v>
      </c>
      <c r="F7" s="101">
        <f>SUM(MemberOfAssemblyAssemblyDistrict148General[[#This Row],[Allegany County
Vote Results]:[Part of Steuben County Vote Results]])</f>
        <v>15</v>
      </c>
      <c r="G7" s="111"/>
    </row>
    <row r="8" spans="1:7" ht="14.25" customHeight="1" x14ac:dyDescent="0.2">
      <c r="A8" s="29" t="s">
        <v>20</v>
      </c>
      <c r="B8" s="100">
        <v>9</v>
      </c>
      <c r="C8" s="100">
        <v>2</v>
      </c>
      <c r="D8" s="100">
        <v>0</v>
      </c>
      <c r="E8" s="100">
        <v>3</v>
      </c>
      <c r="F8" s="101">
        <f>SUM(MemberOfAssemblyAssemblyDistrict148General[[#This Row],[Allegany County
Vote Results]:[Part of Steuben County Vote Results]])</f>
        <v>14</v>
      </c>
      <c r="G8" s="111"/>
    </row>
    <row r="9" spans="1:7" ht="14.25" customHeight="1" x14ac:dyDescent="0.2">
      <c r="A9" s="103" t="s">
        <v>21</v>
      </c>
      <c r="B9" s="100">
        <f>SUM(MemberOfAssemblyAssemblyDistrict148General[Allegany County
Vote Results])</f>
        <v>19669</v>
      </c>
      <c r="C9" s="100">
        <f>SUM(MemberOfAssemblyAssemblyDistrict148General[Cattaraugus County
Vote Results])</f>
        <v>34479</v>
      </c>
      <c r="D9" s="100">
        <f>SUM(MemberOfAssemblyAssemblyDistrict148General[Part of Erie County
Vote Results])</f>
        <v>0</v>
      </c>
      <c r="E9" s="100">
        <f>SUM(MemberOfAssemblyAssemblyDistrict148General[Part of Steuben County Vote Results])</f>
        <v>3465</v>
      </c>
      <c r="F9" s="101">
        <f>SUM(MemberOfAssemblyAssemblyDistrict148General[Total Votes by Party])</f>
        <v>57613</v>
      </c>
      <c r="G9" s="111"/>
    </row>
    <row r="10" spans="1:7" ht="14.25" x14ac:dyDescent="0.2">
      <c r="B10" s="70"/>
      <c r="C10" s="70"/>
      <c r="E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688E6-1E23-4226-B640-AC27A46D3C42}">
  <sheetPr>
    <pageSetUpPr fitToPage="1"/>
  </sheetPr>
  <dimension ref="A1:D8"/>
  <sheetViews>
    <sheetView workbookViewId="0">
      <selection activeCell="B9" sqref="B9"/>
    </sheetView>
  </sheetViews>
  <sheetFormatPr defaultRowHeight="12.75" x14ac:dyDescent="0.2"/>
  <cols>
    <col min="1" max="1" width="25.5703125" customWidth="1"/>
    <col min="2" max="4" width="20.5703125" customWidth="1"/>
    <col min="5" max="6" width="23.5703125" customWidth="1"/>
  </cols>
  <sheetData>
    <row r="1" spans="1:4" ht="24.95" customHeight="1" x14ac:dyDescent="0.2">
      <c r="A1" s="74" t="s">
        <v>1261</v>
      </c>
      <c r="B1" s="108"/>
      <c r="C1" s="108"/>
      <c r="D1" s="108"/>
    </row>
    <row r="2" spans="1:4" ht="28.5" customHeight="1" x14ac:dyDescent="0.2">
      <c r="A2" s="6" t="s">
        <v>93</v>
      </c>
      <c r="B2" s="7" t="s">
        <v>1299</v>
      </c>
      <c r="C2" s="8" t="s">
        <v>84</v>
      </c>
      <c r="D2" s="9" t="s">
        <v>85</v>
      </c>
    </row>
    <row r="3" spans="1:4" ht="14.25" customHeight="1" x14ac:dyDescent="0.2">
      <c r="A3" s="28" t="s">
        <v>1262</v>
      </c>
      <c r="B3" s="100">
        <v>30507</v>
      </c>
      <c r="C3" s="101">
        <f>MemberOfAssemblyAssemblyDistrict149General[[#This Row],[Part of Erie County
Vote Results]]</f>
        <v>30507</v>
      </c>
      <c r="D3" s="113">
        <f>SUM(MemberOfAssemblyAssemblyDistrict149General[[#This Row],[Total Votes by Party]],C4)</f>
        <v>38091</v>
      </c>
    </row>
    <row r="4" spans="1:4" ht="14.25" customHeight="1" x14ac:dyDescent="0.2">
      <c r="A4" s="28" t="s">
        <v>1263</v>
      </c>
      <c r="B4" s="100">
        <v>7584</v>
      </c>
      <c r="C4" s="101">
        <f>MemberOfAssemblyAssemblyDistrict149General[[#This Row],[Part of Erie County
Vote Results]]</f>
        <v>7584</v>
      </c>
      <c r="D4" s="111"/>
    </row>
    <row r="5" spans="1:4" ht="14.25" customHeight="1" x14ac:dyDescent="0.2">
      <c r="A5" s="29" t="s">
        <v>18</v>
      </c>
      <c r="B5" s="100">
        <v>18409</v>
      </c>
      <c r="C5" s="101">
        <f>MemberOfAssemblyAssemblyDistrict149General[[#This Row],[Part of Erie County
Vote Results]]</f>
        <v>18409</v>
      </c>
      <c r="D5" s="111"/>
    </row>
    <row r="6" spans="1:4" ht="14.25" customHeight="1" x14ac:dyDescent="0.2">
      <c r="A6" s="29" t="s">
        <v>19</v>
      </c>
      <c r="B6" s="100">
        <v>5</v>
      </c>
      <c r="C6" s="101">
        <f>MemberOfAssemblyAssemblyDistrict149General[[#This Row],[Part of Erie County
Vote Results]]</f>
        <v>5</v>
      </c>
      <c r="D6" s="111"/>
    </row>
    <row r="7" spans="1:4" ht="14.25" customHeight="1" x14ac:dyDescent="0.2">
      <c r="A7" s="29" t="s">
        <v>20</v>
      </c>
      <c r="B7" s="100">
        <v>449</v>
      </c>
      <c r="C7" s="101">
        <f>MemberOfAssemblyAssemblyDistrict149General[[#This Row],[Part of Erie County
Vote Results]]</f>
        <v>449</v>
      </c>
      <c r="D7" s="111"/>
    </row>
    <row r="8" spans="1:4" ht="14.25" customHeight="1" x14ac:dyDescent="0.2">
      <c r="A8" s="103" t="s">
        <v>21</v>
      </c>
      <c r="B8" s="100">
        <f>SUM(MemberOfAssemblyAssemblyDistrict149General[Part of Erie County
Vote Results])</f>
        <v>56954</v>
      </c>
      <c r="C8" s="101">
        <f>SUM(MemberOfAssemblyAssemblyDistrict149General[Total Votes by Party])</f>
        <v>56954</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C2D99-DCEA-4959-AD5D-3BFD31CEF418}">
  <sheetPr>
    <pageSetUpPr fitToPage="1"/>
  </sheetPr>
  <dimension ref="A1:E12"/>
  <sheetViews>
    <sheetView zoomScaleNormal="100" workbookViewId="0">
      <selection activeCell="B12" sqref="B12"/>
    </sheetView>
  </sheetViews>
  <sheetFormatPr defaultRowHeight="12.75" x14ac:dyDescent="0.2"/>
  <cols>
    <col min="1" max="1" width="25.5703125" customWidth="1"/>
    <col min="2" max="5" width="20.5703125" customWidth="1"/>
    <col min="6" max="7" width="23.5703125" customWidth="1"/>
  </cols>
  <sheetData>
    <row r="1" spans="1:5" ht="24.95" customHeight="1" x14ac:dyDescent="0.2">
      <c r="A1" s="74" t="s">
        <v>1264</v>
      </c>
      <c r="B1" s="108"/>
      <c r="C1" s="108"/>
      <c r="D1" s="108"/>
      <c r="E1" s="108"/>
    </row>
    <row r="2" spans="1:5" ht="28.5" customHeight="1" x14ac:dyDescent="0.2">
      <c r="A2" s="6" t="s">
        <v>93</v>
      </c>
      <c r="B2" s="7" t="s">
        <v>131</v>
      </c>
      <c r="C2" s="7" t="s">
        <v>1299</v>
      </c>
      <c r="D2" s="8" t="s">
        <v>84</v>
      </c>
      <c r="E2" s="9" t="s">
        <v>85</v>
      </c>
    </row>
    <row r="3" spans="1:5" ht="14.25" customHeight="1" x14ac:dyDescent="0.2">
      <c r="A3" s="28" t="s">
        <v>1265</v>
      </c>
      <c r="B3" s="100">
        <v>18211</v>
      </c>
      <c r="C3" s="100">
        <v>225</v>
      </c>
      <c r="D3" s="101">
        <f>SUM(MemberOfAssemblyAssemblyDistrict150General[[#This Row],[Chautauqua County
Vote Results]:[Part of Erie County
Vote Results]])</f>
        <v>18436</v>
      </c>
      <c r="E3" s="113">
        <f>SUM(MemberOfAssemblyAssemblyDistrict150General[[#This Row],[Total Votes by Party]],D6,D7)</f>
        <v>20264</v>
      </c>
    </row>
    <row r="4" spans="1:5" ht="14.25" customHeight="1" x14ac:dyDescent="0.2">
      <c r="A4" s="28" t="s">
        <v>1266</v>
      </c>
      <c r="B4" s="100">
        <v>29720</v>
      </c>
      <c r="C4" s="100">
        <v>63</v>
      </c>
      <c r="D4" s="101">
        <f>SUM(MemberOfAssemblyAssemblyDistrict150General[[#This Row],[Chautauqua County
Vote Results]:[Part of Erie County
Vote Results]])</f>
        <v>29783</v>
      </c>
      <c r="E4" s="113">
        <f>SUM(MemberOfAssemblyAssemblyDistrict150General[[#This Row],[Total Votes by Party]],D5)</f>
        <v>34297</v>
      </c>
    </row>
    <row r="5" spans="1:5" ht="14.25" customHeight="1" x14ac:dyDescent="0.2">
      <c r="A5" s="28" t="s">
        <v>1267</v>
      </c>
      <c r="B5" s="100">
        <v>4505</v>
      </c>
      <c r="C5" s="100">
        <v>9</v>
      </c>
      <c r="D5" s="101">
        <f>SUM(MemberOfAssemblyAssemblyDistrict150General[[#This Row],[Chautauqua County
Vote Results]:[Part of Erie County
Vote Results]])</f>
        <v>4514</v>
      </c>
      <c r="E5" s="111"/>
    </row>
    <row r="6" spans="1:5" ht="14.25" customHeight="1" x14ac:dyDescent="0.2">
      <c r="A6" s="28" t="s">
        <v>1268</v>
      </c>
      <c r="B6" s="100">
        <v>1633</v>
      </c>
      <c r="C6" s="100">
        <v>28</v>
      </c>
      <c r="D6" s="101">
        <f>SUM(MemberOfAssemblyAssemblyDistrict150General[[#This Row],[Chautauqua County
Vote Results]:[Part of Erie County
Vote Results]])</f>
        <v>1661</v>
      </c>
      <c r="E6" s="111"/>
    </row>
    <row r="7" spans="1:5" ht="14.25" customHeight="1" x14ac:dyDescent="0.2">
      <c r="A7" s="28" t="s">
        <v>1269</v>
      </c>
      <c r="B7" s="100">
        <v>167</v>
      </c>
      <c r="C7" s="100">
        <v>0</v>
      </c>
      <c r="D7" s="101">
        <f>SUM(MemberOfAssemblyAssemblyDistrict150General[[#This Row],[Chautauqua County
Vote Results]:[Part of Erie County
Vote Results]])</f>
        <v>167</v>
      </c>
      <c r="E7" s="111"/>
    </row>
    <row r="8" spans="1:5" ht="14.25" customHeight="1" x14ac:dyDescent="0.2">
      <c r="A8" s="29" t="s">
        <v>18</v>
      </c>
      <c r="B8" s="100">
        <v>3107</v>
      </c>
      <c r="C8" s="100">
        <v>37</v>
      </c>
      <c r="D8" s="101">
        <f>SUM(MemberOfAssemblyAssemblyDistrict150General[[#This Row],[Chautauqua County
Vote Results]:[Part of Erie County
Vote Results]])</f>
        <v>3144</v>
      </c>
      <c r="E8" s="111"/>
    </row>
    <row r="9" spans="1:5" ht="14.25" customHeight="1" x14ac:dyDescent="0.2">
      <c r="A9" s="29" t="s">
        <v>19</v>
      </c>
      <c r="B9" s="100">
        <v>42</v>
      </c>
      <c r="C9" s="100">
        <v>0</v>
      </c>
      <c r="D9" s="101">
        <f>SUM(MemberOfAssemblyAssemblyDistrict150General[[#This Row],[Chautauqua County
Vote Results]:[Part of Erie County
Vote Results]])</f>
        <v>42</v>
      </c>
      <c r="E9" s="111"/>
    </row>
    <row r="10" spans="1:5" ht="14.25" customHeight="1" x14ac:dyDescent="0.2">
      <c r="A10" s="29" t="s">
        <v>20</v>
      </c>
      <c r="B10" s="100">
        <v>25</v>
      </c>
      <c r="C10" s="100">
        <v>0</v>
      </c>
      <c r="D10" s="101">
        <f>SUM(MemberOfAssemblyAssemblyDistrict150General[[#This Row],[Chautauqua County
Vote Results]:[Part of Erie County
Vote Results]])</f>
        <v>25</v>
      </c>
      <c r="E10" s="111"/>
    </row>
    <row r="11" spans="1:5" ht="14.25" customHeight="1" x14ac:dyDescent="0.2">
      <c r="A11" s="103" t="s">
        <v>21</v>
      </c>
      <c r="B11" s="100">
        <f>SUM(MemberOfAssemblyAssemblyDistrict150General[Chautauqua County
Vote Results])</f>
        <v>57410</v>
      </c>
      <c r="C11" s="100">
        <f>SUM(MemberOfAssemblyAssemblyDistrict150General[Part of Erie County
Vote Results])</f>
        <v>362</v>
      </c>
      <c r="D11" s="101">
        <f>SUM(MemberOfAssemblyAssemblyDistrict150General[Total Votes by Party])</f>
        <v>57772</v>
      </c>
      <c r="E11" s="111"/>
    </row>
    <row r="12" spans="1:5" ht="14.25" x14ac:dyDescent="0.2">
      <c r="B12"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061F5-E794-4748-A756-57F14EB8D52B}">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290</v>
      </c>
      <c r="B1" s="108"/>
      <c r="C1" s="108"/>
      <c r="D1" s="108"/>
    </row>
    <row r="2" spans="1:4" ht="28.5" customHeight="1" x14ac:dyDescent="0.2">
      <c r="A2" s="6" t="s">
        <v>93</v>
      </c>
      <c r="B2" s="7" t="s">
        <v>281</v>
      </c>
      <c r="C2" s="8" t="s">
        <v>84</v>
      </c>
      <c r="D2" s="9" t="s">
        <v>85</v>
      </c>
    </row>
    <row r="3" spans="1:4" ht="14.25" customHeight="1" x14ac:dyDescent="0.2">
      <c r="A3" s="28" t="s">
        <v>291</v>
      </c>
      <c r="B3" s="100">
        <v>130392</v>
      </c>
      <c r="C3" s="101">
        <f>RepInCongressCongressionalDistrict15General[[#This Row],[Part of Bronx County Vote Results]]</f>
        <v>130392</v>
      </c>
      <c r="D3" s="113">
        <f>SUM(RepInCongressCongressionalDistrict15General[[#This Row],[Total Votes by Party]])</f>
        <v>130392</v>
      </c>
    </row>
    <row r="4" spans="1:4" ht="14.25" customHeight="1" x14ac:dyDescent="0.2">
      <c r="A4" s="28" t="s">
        <v>292</v>
      </c>
      <c r="B4" s="100">
        <v>32494</v>
      </c>
      <c r="C4" s="101">
        <f>RepInCongressCongressionalDistrict15General[[#This Row],[Part of Bronx County Vote Results]]</f>
        <v>32494</v>
      </c>
      <c r="D4" s="113">
        <f>SUM(RepInCongressCongressionalDistrict15General[[#This Row],[Total Votes by Party]],C5)</f>
        <v>36010</v>
      </c>
    </row>
    <row r="5" spans="1:4" ht="14.25" customHeight="1" x14ac:dyDescent="0.2">
      <c r="A5" s="28" t="s">
        <v>293</v>
      </c>
      <c r="B5" s="100">
        <v>3516</v>
      </c>
      <c r="C5" s="101">
        <f>RepInCongressCongressionalDistrict15General[[#This Row],[Part of Bronx County Vote Results]]</f>
        <v>3516</v>
      </c>
      <c r="D5" s="111"/>
    </row>
    <row r="6" spans="1:4" ht="14.25" customHeight="1" x14ac:dyDescent="0.2">
      <c r="A6" s="28" t="s">
        <v>294</v>
      </c>
      <c r="B6" s="119">
        <v>4086</v>
      </c>
      <c r="C6" s="101">
        <f>RepInCongressCongressionalDistrict15General[[#This Row],[Part of Bronx County Vote Results]]</f>
        <v>4086</v>
      </c>
      <c r="D6" s="113">
        <f>SUM(C6)</f>
        <v>4086</v>
      </c>
    </row>
    <row r="7" spans="1:4" ht="14.25" customHeight="1" x14ac:dyDescent="0.2">
      <c r="A7" s="29" t="s">
        <v>18</v>
      </c>
      <c r="B7" s="100">
        <v>17450</v>
      </c>
      <c r="C7" s="101">
        <f>RepInCongressCongressionalDistrict15General[[#This Row],[Part of Bronx County Vote Results]]</f>
        <v>17450</v>
      </c>
      <c r="D7" s="111"/>
    </row>
    <row r="8" spans="1:4" ht="14.25" customHeight="1" x14ac:dyDescent="0.2">
      <c r="A8" s="29" t="s">
        <v>19</v>
      </c>
      <c r="B8" s="100">
        <v>0</v>
      </c>
      <c r="C8" s="101">
        <f>RepInCongressCongressionalDistrict15General[[#This Row],[Part of Bronx County Vote Results]]</f>
        <v>0</v>
      </c>
      <c r="D8" s="111"/>
    </row>
    <row r="9" spans="1:4" ht="14.25" customHeight="1" x14ac:dyDescent="0.2">
      <c r="A9" s="29" t="s">
        <v>20</v>
      </c>
      <c r="B9" s="100">
        <v>607</v>
      </c>
      <c r="C9" s="101">
        <f>RepInCongressCongressionalDistrict15General[[#This Row],[Part of Bronx County Vote Results]]</f>
        <v>607</v>
      </c>
      <c r="D9" s="111"/>
    </row>
    <row r="10" spans="1:4" ht="14.25" customHeight="1" x14ac:dyDescent="0.2">
      <c r="A10" s="103" t="s">
        <v>21</v>
      </c>
      <c r="B10" s="100">
        <f>SUM(RepInCongressCongressionalDistrict15General[Part of Bronx County Vote Results])</f>
        <v>188545</v>
      </c>
      <c r="C10" s="101">
        <f>SUM(RepInCongressCongressionalDistrict15General[Total Votes by Party])</f>
        <v>188545</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4A045-8492-41C5-8B6C-D61FD4B7F834}">
  <dimension ref="A1:G66"/>
  <sheetViews>
    <sheetView zoomScaleNormal="100" zoomScaleSheetLayoutView="100" workbookViewId="0">
      <pane xSplit="1" ySplit="3" topLeftCell="B4" activePane="bottomRight" state="frozen"/>
      <selection pane="topRight" activeCell="A30" sqref="A30"/>
      <selection pane="bottomLeft" activeCell="A30" sqref="A30"/>
      <selection pane="bottomRight" sqref="A1:F1"/>
    </sheetView>
  </sheetViews>
  <sheetFormatPr defaultColWidth="9.140625" defaultRowHeight="12.75" x14ac:dyDescent="0.2"/>
  <cols>
    <col min="1" max="1" width="38.7109375" style="61" customWidth="1"/>
    <col min="2" max="5" width="15.7109375" style="61" customWidth="1"/>
    <col min="6" max="6" width="18.42578125" style="61" bestFit="1" customWidth="1"/>
    <col min="7" max="16384" width="9.140625" style="61"/>
  </cols>
  <sheetData>
    <row r="1" spans="1:7" s="55" customFormat="1" ht="24.95" customHeight="1" x14ac:dyDescent="0.2">
      <c r="A1" s="150" t="s">
        <v>1270</v>
      </c>
      <c r="B1" s="150"/>
      <c r="C1" s="150"/>
      <c r="D1" s="150"/>
      <c r="E1" s="150"/>
      <c r="F1" s="150"/>
    </row>
    <row r="2" spans="1:7" s="55" customFormat="1" ht="123.75" customHeight="1" x14ac:dyDescent="0.2">
      <c r="A2" s="148" t="s">
        <v>1271</v>
      </c>
      <c r="B2" s="149"/>
      <c r="C2" s="149"/>
      <c r="D2" s="149"/>
      <c r="E2" s="149"/>
      <c r="F2" s="149"/>
    </row>
    <row r="3" spans="1:7" s="55" customFormat="1" ht="39" customHeight="1" x14ac:dyDescent="0.2">
      <c r="A3" s="56" t="s">
        <v>1</v>
      </c>
      <c r="B3" s="143" t="s">
        <v>1272</v>
      </c>
      <c r="C3" s="143" t="s">
        <v>1273</v>
      </c>
      <c r="D3" s="143" t="s">
        <v>18</v>
      </c>
      <c r="E3" s="143" t="s">
        <v>19</v>
      </c>
      <c r="F3" s="57" t="s">
        <v>21</v>
      </c>
    </row>
    <row r="4" spans="1:7" ht="14.25" customHeight="1" x14ac:dyDescent="0.2">
      <c r="A4" s="58" t="s">
        <v>22</v>
      </c>
      <c r="B4" s="59">
        <v>92489</v>
      </c>
      <c r="C4" s="59">
        <v>51167</v>
      </c>
      <c r="D4" s="59">
        <v>7175</v>
      </c>
      <c r="E4" s="59">
        <v>41</v>
      </c>
      <c r="F4" s="60">
        <f t="shared" ref="F4:F35" si="0">SUM(B4:E4)</f>
        <v>150872</v>
      </c>
      <c r="G4" s="70"/>
    </row>
    <row r="5" spans="1:7" ht="14.25" customHeight="1" x14ac:dyDescent="0.2">
      <c r="A5" s="58" t="s">
        <v>23</v>
      </c>
      <c r="B5" s="69">
        <v>6789</v>
      </c>
      <c r="C5" s="69">
        <v>12210</v>
      </c>
      <c r="D5" s="69">
        <v>670</v>
      </c>
      <c r="E5" s="69">
        <v>0</v>
      </c>
      <c r="F5" s="60">
        <f t="shared" si="0"/>
        <v>19669</v>
      </c>
      <c r="G5" s="70"/>
    </row>
    <row r="6" spans="1:7" ht="14.25" customHeight="1" x14ac:dyDescent="0.2">
      <c r="A6" s="58" t="s">
        <v>24</v>
      </c>
      <c r="B6" s="59">
        <v>48041</v>
      </c>
      <c r="C6" s="59">
        <v>37073</v>
      </c>
      <c r="D6" s="59">
        <v>6455</v>
      </c>
      <c r="E6" s="59">
        <v>38</v>
      </c>
      <c r="F6" s="60">
        <f t="shared" si="0"/>
        <v>91607</v>
      </c>
      <c r="G6" s="70"/>
    </row>
    <row r="7" spans="1:7" ht="14.25" customHeight="1" x14ac:dyDescent="0.2">
      <c r="A7" s="58" t="s">
        <v>25</v>
      </c>
      <c r="B7" s="59">
        <v>12920</v>
      </c>
      <c r="C7" s="59">
        <v>18944</v>
      </c>
      <c r="D7" s="59">
        <v>2605</v>
      </c>
      <c r="E7" s="59">
        <v>10</v>
      </c>
      <c r="F7" s="60">
        <f t="shared" si="0"/>
        <v>34479</v>
      </c>
      <c r="G7" s="70"/>
    </row>
    <row r="8" spans="1:7" ht="14.25" customHeight="1" x14ac:dyDescent="0.2">
      <c r="A8" s="58" t="s">
        <v>26</v>
      </c>
      <c r="B8" s="59">
        <v>17489</v>
      </c>
      <c r="C8" s="59">
        <v>17873</v>
      </c>
      <c r="D8" s="59">
        <v>1378</v>
      </c>
      <c r="E8" s="59">
        <v>5</v>
      </c>
      <c r="F8" s="60">
        <f t="shared" si="0"/>
        <v>36745</v>
      </c>
      <c r="G8" s="70"/>
    </row>
    <row r="9" spans="1:7" ht="14.25" customHeight="1" x14ac:dyDescent="0.2">
      <c r="A9" s="58" t="s">
        <v>27</v>
      </c>
      <c r="B9" s="59">
        <v>24156</v>
      </c>
      <c r="C9" s="59">
        <v>30922</v>
      </c>
      <c r="D9" s="59">
        <v>2317</v>
      </c>
      <c r="E9" s="59">
        <v>15</v>
      </c>
      <c r="F9" s="60">
        <f t="shared" si="0"/>
        <v>57410</v>
      </c>
      <c r="G9" s="70"/>
    </row>
    <row r="10" spans="1:7" ht="14.25" customHeight="1" x14ac:dyDescent="0.2">
      <c r="A10" s="58" t="s">
        <v>28</v>
      </c>
      <c r="B10" s="59">
        <v>18648</v>
      </c>
      <c r="C10" s="59">
        <v>17039</v>
      </c>
      <c r="D10" s="59">
        <v>2229</v>
      </c>
      <c r="E10" s="59">
        <v>8</v>
      </c>
      <c r="F10" s="60">
        <f t="shared" si="0"/>
        <v>37924</v>
      </c>
      <c r="G10" s="70"/>
    </row>
    <row r="11" spans="1:7" ht="14.25" customHeight="1" x14ac:dyDescent="0.2">
      <c r="A11" s="58" t="s">
        <v>29</v>
      </c>
      <c r="B11" s="69">
        <v>8789</v>
      </c>
      <c r="C11" s="69">
        <v>11417</v>
      </c>
      <c r="D11" s="69">
        <v>2523</v>
      </c>
      <c r="E11" s="69">
        <v>10</v>
      </c>
      <c r="F11" s="60">
        <f t="shared" si="0"/>
        <v>22739</v>
      </c>
      <c r="G11" s="70"/>
    </row>
    <row r="12" spans="1:7" ht="14.25" customHeight="1" x14ac:dyDescent="0.2">
      <c r="A12" s="58" t="s">
        <v>30</v>
      </c>
      <c r="B12" s="59">
        <v>20289</v>
      </c>
      <c r="C12" s="59">
        <v>14310</v>
      </c>
      <c r="D12" s="59">
        <v>1633</v>
      </c>
      <c r="E12" s="59">
        <v>6</v>
      </c>
      <c r="F12" s="60">
        <f t="shared" si="0"/>
        <v>36238</v>
      </c>
      <c r="G12" s="70"/>
    </row>
    <row r="13" spans="1:7" ht="14.25" customHeight="1" x14ac:dyDescent="0.2">
      <c r="A13" s="58" t="s">
        <v>31</v>
      </c>
      <c r="B13" s="59">
        <v>21109</v>
      </c>
      <c r="C13" s="59">
        <v>13704</v>
      </c>
      <c r="D13" s="59">
        <v>1366</v>
      </c>
      <c r="E13" s="59">
        <v>1</v>
      </c>
      <c r="F13" s="60">
        <f t="shared" si="0"/>
        <v>36180</v>
      </c>
      <c r="G13" s="70"/>
    </row>
    <row r="14" spans="1:7" ht="14.25" customHeight="1" x14ac:dyDescent="0.2">
      <c r="A14" s="58" t="s">
        <v>32</v>
      </c>
      <c r="B14" s="59">
        <v>11038</v>
      </c>
      <c r="C14" s="59">
        <v>9941</v>
      </c>
      <c r="D14" s="59">
        <v>1351</v>
      </c>
      <c r="E14" s="59">
        <v>0</v>
      </c>
      <c r="F14" s="60">
        <f t="shared" si="0"/>
        <v>22330</v>
      </c>
      <c r="G14" s="70"/>
    </row>
    <row r="15" spans="1:7" ht="14.25" customHeight="1" x14ac:dyDescent="0.2">
      <c r="A15" s="58" t="s">
        <v>33</v>
      </c>
      <c r="B15" s="59">
        <v>10420</v>
      </c>
      <c r="C15" s="59">
        <v>11724</v>
      </c>
      <c r="D15" s="59">
        <v>1255</v>
      </c>
      <c r="E15" s="59">
        <v>2</v>
      </c>
      <c r="F15" s="60">
        <f t="shared" si="0"/>
        <v>23401</v>
      </c>
      <c r="G15" s="70"/>
    </row>
    <row r="16" spans="1:7" ht="14.25" customHeight="1" x14ac:dyDescent="0.2">
      <c r="A16" s="58" t="s">
        <v>34</v>
      </c>
      <c r="B16" s="59">
        <v>84497</v>
      </c>
      <c r="C16" s="59">
        <v>62143</v>
      </c>
      <c r="D16" s="59">
        <v>7361</v>
      </c>
      <c r="E16" s="59">
        <v>37</v>
      </c>
      <c r="F16" s="60">
        <f t="shared" si="0"/>
        <v>154038</v>
      </c>
      <c r="G16" s="70"/>
    </row>
    <row r="17" spans="1:7" ht="14.25" customHeight="1" x14ac:dyDescent="0.2">
      <c r="A17" s="58" t="s">
        <v>35</v>
      </c>
      <c r="B17" s="59">
        <v>241010</v>
      </c>
      <c r="C17" s="59">
        <v>186248</v>
      </c>
      <c r="D17" s="59">
        <v>34341</v>
      </c>
      <c r="E17" s="59">
        <v>189</v>
      </c>
      <c r="F17" s="60">
        <f t="shared" si="0"/>
        <v>461788</v>
      </c>
      <c r="G17" s="70"/>
    </row>
    <row r="18" spans="1:7" ht="14.25" customHeight="1" x14ac:dyDescent="0.2">
      <c r="A18" s="58" t="s">
        <v>1274</v>
      </c>
      <c r="B18" s="59">
        <v>9886</v>
      </c>
      <c r="C18" s="59">
        <v>8446</v>
      </c>
      <c r="D18" s="59">
        <v>1194</v>
      </c>
      <c r="E18" s="59">
        <v>3</v>
      </c>
      <c r="F18" s="60">
        <f t="shared" si="0"/>
        <v>19529</v>
      </c>
      <c r="G18" s="70"/>
    </row>
    <row r="19" spans="1:7" ht="14.25" customHeight="1" x14ac:dyDescent="0.2">
      <c r="A19" s="58" t="s">
        <v>37</v>
      </c>
      <c r="B19" s="59">
        <v>9417</v>
      </c>
      <c r="C19" s="59">
        <v>8853</v>
      </c>
      <c r="D19" s="59">
        <v>1313</v>
      </c>
      <c r="E19" s="59">
        <v>7</v>
      </c>
      <c r="F19" s="60">
        <f t="shared" si="0"/>
        <v>19590</v>
      </c>
      <c r="G19" s="70"/>
    </row>
    <row r="20" spans="1:7" ht="14.25" customHeight="1" x14ac:dyDescent="0.2">
      <c r="A20" s="58" t="s">
        <v>38</v>
      </c>
      <c r="B20" s="59">
        <v>9157</v>
      </c>
      <c r="C20" s="59">
        <v>13455</v>
      </c>
      <c r="D20" s="59">
        <v>1544</v>
      </c>
      <c r="E20" s="59">
        <v>2</v>
      </c>
      <c r="F20" s="60">
        <f t="shared" si="0"/>
        <v>24158</v>
      </c>
      <c r="G20" s="70"/>
    </row>
    <row r="21" spans="1:7" ht="14.25" customHeight="1" x14ac:dyDescent="0.2">
      <c r="A21" s="58" t="s">
        <v>39</v>
      </c>
      <c r="B21" s="59">
        <v>10481</v>
      </c>
      <c r="C21" s="59">
        <v>17066</v>
      </c>
      <c r="D21" s="59">
        <v>1265</v>
      </c>
      <c r="E21" s="59">
        <v>9</v>
      </c>
      <c r="F21" s="60">
        <f t="shared" si="0"/>
        <v>28821</v>
      </c>
      <c r="G21" s="70"/>
    </row>
    <row r="22" spans="1:7" ht="14.25" customHeight="1" x14ac:dyDescent="0.2">
      <c r="A22" s="58" t="s">
        <v>40</v>
      </c>
      <c r="B22" s="69">
        <v>11147</v>
      </c>
      <c r="C22" s="69">
        <v>13024</v>
      </c>
      <c r="D22" s="69">
        <v>1437</v>
      </c>
      <c r="E22" s="69">
        <v>1</v>
      </c>
      <c r="F22" s="60">
        <f t="shared" si="0"/>
        <v>25609</v>
      </c>
      <c r="G22" s="70"/>
    </row>
    <row r="23" spans="1:7" ht="14.25" customHeight="1" x14ac:dyDescent="0.2">
      <c r="A23" s="58" t="s">
        <v>41</v>
      </c>
      <c r="B23" s="59">
        <v>1249</v>
      </c>
      <c r="C23" s="59">
        <v>1956</v>
      </c>
      <c r="D23" s="59">
        <v>237</v>
      </c>
      <c r="E23" s="59">
        <v>0</v>
      </c>
      <c r="F23" s="60">
        <f t="shared" si="0"/>
        <v>3442</v>
      </c>
      <c r="G23" s="70"/>
    </row>
    <row r="24" spans="1:7" ht="14.25" customHeight="1" x14ac:dyDescent="0.2">
      <c r="A24" s="58" t="s">
        <v>42</v>
      </c>
      <c r="B24" s="59">
        <v>11746</v>
      </c>
      <c r="C24" s="59">
        <v>15550</v>
      </c>
      <c r="D24" s="59">
        <v>1718</v>
      </c>
      <c r="E24" s="59">
        <v>10</v>
      </c>
      <c r="F24" s="60">
        <f t="shared" si="0"/>
        <v>29024</v>
      </c>
      <c r="G24" s="70"/>
    </row>
    <row r="25" spans="1:7" ht="14.25" customHeight="1" x14ac:dyDescent="0.2">
      <c r="A25" s="58" t="s">
        <v>43</v>
      </c>
      <c r="B25" s="59">
        <v>18481</v>
      </c>
      <c r="C25" s="59">
        <v>22413</v>
      </c>
      <c r="D25" s="59">
        <v>2296</v>
      </c>
      <c r="E25" s="59">
        <v>12</v>
      </c>
      <c r="F25" s="60">
        <f t="shared" si="0"/>
        <v>43202</v>
      </c>
      <c r="G25" s="70"/>
    </row>
    <row r="26" spans="1:7" ht="14.25" customHeight="1" x14ac:dyDescent="0.2">
      <c r="A26" s="58" t="s">
        <v>44</v>
      </c>
      <c r="B26" s="59">
        <v>4154</v>
      </c>
      <c r="C26" s="59">
        <v>8632</v>
      </c>
      <c r="D26" s="59">
        <v>459</v>
      </c>
      <c r="E26" s="59">
        <v>1</v>
      </c>
      <c r="F26" s="60">
        <f t="shared" si="0"/>
        <v>13246</v>
      </c>
      <c r="G26" s="70"/>
    </row>
    <row r="27" spans="1:7" ht="14.25" customHeight="1" x14ac:dyDescent="0.2">
      <c r="A27" s="58" t="s">
        <v>45</v>
      </c>
      <c r="B27" s="59">
        <v>12850</v>
      </c>
      <c r="C27" s="59">
        <v>17478</v>
      </c>
      <c r="D27" s="59">
        <v>1078</v>
      </c>
      <c r="E27" s="59">
        <v>2</v>
      </c>
      <c r="F27" s="60">
        <f t="shared" si="0"/>
        <v>31408</v>
      </c>
      <c r="G27" s="70"/>
    </row>
    <row r="28" spans="1:7" ht="14.25" customHeight="1" x14ac:dyDescent="0.2">
      <c r="A28" s="58" t="s">
        <v>46</v>
      </c>
      <c r="B28" s="59">
        <v>16673</v>
      </c>
      <c r="C28" s="59">
        <v>16429</v>
      </c>
      <c r="D28" s="59">
        <v>1158</v>
      </c>
      <c r="E28" s="59">
        <v>5</v>
      </c>
      <c r="F28" s="60">
        <f t="shared" si="0"/>
        <v>34265</v>
      </c>
      <c r="G28" s="70"/>
    </row>
    <row r="29" spans="1:7" ht="14.25" customHeight="1" x14ac:dyDescent="0.2">
      <c r="A29" s="58" t="s">
        <v>47</v>
      </c>
      <c r="B29" s="59">
        <v>201615</v>
      </c>
      <c r="C29" s="59">
        <v>143932</v>
      </c>
      <c r="D29" s="59">
        <v>21762</v>
      </c>
      <c r="E29" s="59">
        <v>57</v>
      </c>
      <c r="F29" s="60">
        <f t="shared" si="0"/>
        <v>367366</v>
      </c>
      <c r="G29" s="70"/>
    </row>
    <row r="30" spans="1:7" ht="14.25" customHeight="1" x14ac:dyDescent="0.2">
      <c r="A30" s="58" t="s">
        <v>48</v>
      </c>
      <c r="B30" s="62">
        <v>8124</v>
      </c>
      <c r="C30" s="62">
        <v>11098</v>
      </c>
      <c r="D30" s="62">
        <v>1690</v>
      </c>
      <c r="E30" s="62">
        <v>10</v>
      </c>
      <c r="F30" s="63">
        <f t="shared" si="0"/>
        <v>20922</v>
      </c>
      <c r="G30" s="70"/>
    </row>
    <row r="31" spans="1:7" ht="14.25" customHeight="1" x14ac:dyDescent="0.2">
      <c r="A31" s="58" t="s">
        <v>49</v>
      </c>
      <c r="B31" s="59">
        <v>364431</v>
      </c>
      <c r="C31" s="59">
        <v>289785</v>
      </c>
      <c r="D31" s="59">
        <v>65545</v>
      </c>
      <c r="E31" s="59">
        <v>575</v>
      </c>
      <c r="F31" s="60">
        <f t="shared" si="0"/>
        <v>720336</v>
      </c>
      <c r="G31" s="70"/>
    </row>
    <row r="32" spans="1:7" ht="14.25" customHeight="1" x14ac:dyDescent="0.2">
      <c r="A32" s="58" t="s">
        <v>50</v>
      </c>
      <c r="B32" s="59">
        <v>47499</v>
      </c>
      <c r="C32" s="59">
        <v>50668</v>
      </c>
      <c r="D32" s="59">
        <v>5042</v>
      </c>
      <c r="E32" s="59">
        <v>17</v>
      </c>
      <c r="F32" s="60">
        <f t="shared" si="0"/>
        <v>103226</v>
      </c>
      <c r="G32" s="70"/>
    </row>
    <row r="33" spans="1:7" ht="14.25" customHeight="1" x14ac:dyDescent="0.2">
      <c r="A33" s="58" t="s">
        <v>51</v>
      </c>
      <c r="B33" s="59">
        <v>47050</v>
      </c>
      <c r="C33" s="59">
        <v>48509</v>
      </c>
      <c r="D33" s="59">
        <v>5764</v>
      </c>
      <c r="E33" s="59">
        <v>19</v>
      </c>
      <c r="F33" s="60">
        <f t="shared" si="0"/>
        <v>101342</v>
      </c>
    </row>
    <row r="34" spans="1:7" ht="14.25" customHeight="1" x14ac:dyDescent="0.2">
      <c r="A34" s="58" t="s">
        <v>52</v>
      </c>
      <c r="B34" s="59">
        <v>133324</v>
      </c>
      <c r="C34" s="59">
        <v>77805</v>
      </c>
      <c r="D34" s="59">
        <v>20481</v>
      </c>
      <c r="E34" s="59">
        <v>97</v>
      </c>
      <c r="F34" s="60">
        <f t="shared" si="0"/>
        <v>231707</v>
      </c>
      <c r="G34" s="70"/>
    </row>
    <row r="35" spans="1:7" ht="14.25" customHeight="1" x14ac:dyDescent="0.2">
      <c r="A35" s="58" t="s">
        <v>53</v>
      </c>
      <c r="B35" s="59">
        <v>29085</v>
      </c>
      <c r="C35" s="59">
        <v>28992</v>
      </c>
      <c r="D35" s="59">
        <v>2731</v>
      </c>
      <c r="E35" s="59">
        <v>6</v>
      </c>
      <c r="F35" s="60">
        <f t="shared" si="0"/>
        <v>60814</v>
      </c>
      <c r="G35" s="70"/>
    </row>
    <row r="36" spans="1:7" ht="14.25" customHeight="1" x14ac:dyDescent="0.2">
      <c r="A36" s="58" t="s">
        <v>54</v>
      </c>
      <c r="B36" s="59">
        <v>82482</v>
      </c>
      <c r="C36" s="59">
        <v>78563</v>
      </c>
      <c r="D36" s="59">
        <v>17156</v>
      </c>
      <c r="E36" s="59">
        <v>34</v>
      </c>
      <c r="F36" s="60">
        <f t="shared" ref="F36:F66" si="1">SUM(B36:E36)</f>
        <v>178235</v>
      </c>
      <c r="G36" s="70"/>
    </row>
    <row r="37" spans="1:7" ht="14.25" customHeight="1" x14ac:dyDescent="0.2">
      <c r="A37" s="58" t="s">
        <v>55</v>
      </c>
      <c r="B37" s="69">
        <v>5947</v>
      </c>
      <c r="C37" s="69">
        <v>10846</v>
      </c>
      <c r="D37" s="69">
        <v>1506</v>
      </c>
      <c r="E37" s="69">
        <v>2</v>
      </c>
      <c r="F37" s="60">
        <f t="shared" si="1"/>
        <v>18301</v>
      </c>
      <c r="G37" s="70"/>
    </row>
    <row r="38" spans="1:7" ht="14.25" customHeight="1" x14ac:dyDescent="0.2">
      <c r="A38" s="58" t="s">
        <v>56</v>
      </c>
      <c r="B38" s="59">
        <v>24168</v>
      </c>
      <c r="C38" s="59">
        <v>27818</v>
      </c>
      <c r="D38" s="59">
        <v>2628</v>
      </c>
      <c r="E38" s="59">
        <v>14</v>
      </c>
      <c r="F38" s="60">
        <f t="shared" si="1"/>
        <v>54628</v>
      </c>
      <c r="G38" s="70"/>
    </row>
    <row r="39" spans="1:7" ht="14.25" customHeight="1" x14ac:dyDescent="0.2">
      <c r="A39" s="58" t="s">
        <v>57</v>
      </c>
      <c r="B39" s="59">
        <v>14577</v>
      </c>
      <c r="C39" s="59">
        <v>12609</v>
      </c>
      <c r="D39" s="59">
        <v>1469</v>
      </c>
      <c r="E39" s="59">
        <v>23</v>
      </c>
      <c r="F39" s="60">
        <f t="shared" si="1"/>
        <v>28678</v>
      </c>
      <c r="G39" s="70"/>
    </row>
    <row r="40" spans="1:7" ht="14.25" customHeight="1" x14ac:dyDescent="0.2">
      <c r="A40" s="58" t="s">
        <v>58</v>
      </c>
      <c r="B40" s="59">
        <v>26140</v>
      </c>
      <c r="C40" s="59">
        <v>26269</v>
      </c>
      <c r="D40" s="59">
        <v>4003</v>
      </c>
      <c r="E40" s="59">
        <v>9</v>
      </c>
      <c r="F40" s="60">
        <f t="shared" si="1"/>
        <v>56421</v>
      </c>
      <c r="G40" s="70"/>
    </row>
    <row r="41" spans="1:7" ht="14.25" customHeight="1" x14ac:dyDescent="0.2">
      <c r="A41" s="58" t="s">
        <v>59</v>
      </c>
      <c r="B41" s="59">
        <v>39093</v>
      </c>
      <c r="C41" s="59">
        <v>34133</v>
      </c>
      <c r="D41" s="59">
        <v>6370</v>
      </c>
      <c r="E41" s="59">
        <v>16</v>
      </c>
      <c r="F41" s="60">
        <f t="shared" si="1"/>
        <v>79612</v>
      </c>
      <c r="G41" s="70"/>
    </row>
    <row r="42" spans="1:7" ht="14.25" customHeight="1" x14ac:dyDescent="0.2">
      <c r="A42" s="58" t="s">
        <v>60</v>
      </c>
      <c r="B42" s="59">
        <v>66515</v>
      </c>
      <c r="C42" s="59">
        <v>68332</v>
      </c>
      <c r="D42" s="59">
        <v>16379</v>
      </c>
      <c r="E42" s="59">
        <v>77</v>
      </c>
      <c r="F42" s="60">
        <f t="shared" si="1"/>
        <v>151303</v>
      </c>
      <c r="G42" s="70"/>
    </row>
    <row r="43" spans="1:7" ht="14.25" customHeight="1" x14ac:dyDescent="0.2">
      <c r="A43" s="58" t="s">
        <v>61</v>
      </c>
      <c r="B43" s="59">
        <v>18615</v>
      </c>
      <c r="C43" s="59">
        <v>22453</v>
      </c>
      <c r="D43" s="59">
        <v>3481</v>
      </c>
      <c r="E43" s="59">
        <v>0</v>
      </c>
      <c r="F43" s="60">
        <f t="shared" si="1"/>
        <v>44549</v>
      </c>
      <c r="G43" s="70"/>
    </row>
    <row r="44" spans="1:7" ht="14.25" customHeight="1" x14ac:dyDescent="0.2">
      <c r="A44" s="58" t="s">
        <v>62</v>
      </c>
      <c r="B44" s="59">
        <v>67678</v>
      </c>
      <c r="C44" s="59">
        <v>58124</v>
      </c>
      <c r="D44" s="59">
        <v>7005</v>
      </c>
      <c r="E44" s="59">
        <v>10</v>
      </c>
      <c r="F44" s="60">
        <f t="shared" si="1"/>
        <v>132817</v>
      </c>
      <c r="G44" s="70"/>
    </row>
    <row r="45" spans="1:7" ht="14.25" customHeight="1" x14ac:dyDescent="0.2">
      <c r="A45" s="58" t="s">
        <v>63</v>
      </c>
      <c r="B45" s="59">
        <v>41143</v>
      </c>
      <c r="C45" s="59">
        <v>28902</v>
      </c>
      <c r="D45" s="59">
        <v>3055</v>
      </c>
      <c r="E45" s="59">
        <v>12</v>
      </c>
      <c r="F45" s="60">
        <f t="shared" si="1"/>
        <v>73112</v>
      </c>
      <c r="G45" s="70"/>
    </row>
    <row r="46" spans="1:7" ht="14.25" customHeight="1" x14ac:dyDescent="0.2">
      <c r="A46" s="58" t="s">
        <v>64</v>
      </c>
      <c r="B46" s="59">
        <v>6490</v>
      </c>
      <c r="C46" s="59">
        <v>9019</v>
      </c>
      <c r="D46" s="59">
        <v>698</v>
      </c>
      <c r="E46" s="59">
        <v>1</v>
      </c>
      <c r="F46" s="60">
        <f t="shared" si="1"/>
        <v>16208</v>
      </c>
      <c r="G46" s="70"/>
    </row>
    <row r="47" spans="1:7" ht="14.25" customHeight="1" x14ac:dyDescent="0.2">
      <c r="A47" s="58" t="s">
        <v>65</v>
      </c>
      <c r="B47" s="59">
        <v>4358</v>
      </c>
      <c r="C47" s="59">
        <v>4965</v>
      </c>
      <c r="D47" s="59">
        <v>236</v>
      </c>
      <c r="E47" s="59">
        <v>3</v>
      </c>
      <c r="F47" s="60">
        <f t="shared" si="1"/>
        <v>9562</v>
      </c>
      <c r="G47" s="70"/>
    </row>
    <row r="48" spans="1:7" ht="14.25" customHeight="1" x14ac:dyDescent="0.2">
      <c r="A48" s="58" t="s">
        <v>66</v>
      </c>
      <c r="B48" s="59">
        <v>7017</v>
      </c>
      <c r="C48" s="59">
        <v>7623</v>
      </c>
      <c r="D48" s="59">
        <v>586</v>
      </c>
      <c r="E48" s="59">
        <v>1</v>
      </c>
      <c r="F48" s="60">
        <f t="shared" si="1"/>
        <v>15227</v>
      </c>
      <c r="G48" s="70"/>
    </row>
    <row r="49" spans="1:7" ht="14.25" customHeight="1" x14ac:dyDescent="0.2">
      <c r="A49" s="58" t="s">
        <v>67</v>
      </c>
      <c r="B49" s="59">
        <v>17507</v>
      </c>
      <c r="C49" s="59">
        <v>26371</v>
      </c>
      <c r="D49" s="59">
        <v>1854</v>
      </c>
      <c r="E49" s="59">
        <v>90</v>
      </c>
      <c r="F49" s="60">
        <f t="shared" si="1"/>
        <v>45822</v>
      </c>
      <c r="G49" s="70"/>
    </row>
    <row r="50" spans="1:7" ht="14.25" customHeight="1" x14ac:dyDescent="0.2">
      <c r="A50" s="58" t="s">
        <v>68</v>
      </c>
      <c r="B50" s="69">
        <v>391069</v>
      </c>
      <c r="C50" s="69">
        <v>331228</v>
      </c>
      <c r="D50" s="69">
        <v>46860</v>
      </c>
      <c r="E50" s="69">
        <v>403</v>
      </c>
      <c r="F50" s="63">
        <f t="shared" si="1"/>
        <v>769560</v>
      </c>
      <c r="G50" s="70"/>
    </row>
    <row r="51" spans="1:7" ht="14.25" customHeight="1" x14ac:dyDescent="0.2">
      <c r="A51" s="58" t="s">
        <v>69</v>
      </c>
      <c r="B51" s="59">
        <v>16174</v>
      </c>
      <c r="C51" s="59">
        <v>16167</v>
      </c>
      <c r="D51" s="59">
        <v>3225</v>
      </c>
      <c r="E51" s="59">
        <v>7</v>
      </c>
      <c r="F51" s="60">
        <f t="shared" si="1"/>
        <v>35573</v>
      </c>
      <c r="G51" s="70"/>
    </row>
    <row r="52" spans="1:7" ht="14.25" customHeight="1" x14ac:dyDescent="0.2">
      <c r="A52" s="58" t="s">
        <v>70</v>
      </c>
      <c r="B52" s="59">
        <v>11404</v>
      </c>
      <c r="C52" s="59">
        <v>12719</v>
      </c>
      <c r="D52" s="59">
        <v>687</v>
      </c>
      <c r="E52" s="59">
        <v>2</v>
      </c>
      <c r="F52" s="60">
        <f t="shared" si="1"/>
        <v>24812</v>
      </c>
      <c r="G52" s="70"/>
    </row>
    <row r="53" spans="1:7" ht="14.25" customHeight="1" x14ac:dyDescent="0.2">
      <c r="A53" s="58" t="s">
        <v>71</v>
      </c>
      <c r="B53" s="59">
        <v>33376</v>
      </c>
      <c r="C53" s="59">
        <v>10156</v>
      </c>
      <c r="D53" s="59">
        <v>3140</v>
      </c>
      <c r="E53" s="59">
        <v>5</v>
      </c>
      <c r="F53" s="60">
        <f t="shared" si="1"/>
        <v>46677</v>
      </c>
      <c r="G53" s="70"/>
    </row>
    <row r="54" spans="1:7" ht="14.25" customHeight="1" x14ac:dyDescent="0.2">
      <c r="A54" s="58" t="s">
        <v>72</v>
      </c>
      <c r="B54" s="59">
        <v>59762</v>
      </c>
      <c r="C54" s="59">
        <v>34710</v>
      </c>
      <c r="D54" s="59">
        <v>5521</v>
      </c>
      <c r="E54" s="59">
        <v>31</v>
      </c>
      <c r="F54" s="60">
        <f t="shared" si="1"/>
        <v>100024</v>
      </c>
      <c r="G54" s="70"/>
    </row>
    <row r="55" spans="1:7" ht="14.25" customHeight="1" x14ac:dyDescent="0.2">
      <c r="A55" s="58" t="s">
        <v>73</v>
      </c>
      <c r="B55" s="59">
        <v>17117</v>
      </c>
      <c r="C55" s="59">
        <v>17897</v>
      </c>
      <c r="D55" s="59">
        <v>1297</v>
      </c>
      <c r="E55" s="59">
        <v>7</v>
      </c>
      <c r="F55" s="60">
        <f t="shared" si="1"/>
        <v>36318</v>
      </c>
      <c r="G55" s="70"/>
    </row>
    <row r="56" spans="1:7" ht="14.25" customHeight="1" x14ac:dyDescent="0.2">
      <c r="A56" s="58" t="s">
        <v>74</v>
      </c>
      <c r="B56" s="69">
        <v>12572</v>
      </c>
      <c r="C56" s="69">
        <v>15002</v>
      </c>
      <c r="D56" s="69">
        <v>1262</v>
      </c>
      <c r="E56" s="69">
        <v>19</v>
      </c>
      <c r="F56" s="60">
        <f t="shared" si="1"/>
        <v>28855</v>
      </c>
      <c r="G56" s="70"/>
    </row>
    <row r="57" spans="1:7" ht="14.25" customHeight="1" x14ac:dyDescent="0.2">
      <c r="A57" s="58" t="s">
        <v>75</v>
      </c>
      <c r="B57" s="59">
        <v>18159</v>
      </c>
      <c r="C57" s="59">
        <v>25225</v>
      </c>
      <c r="D57" s="59">
        <v>1625</v>
      </c>
      <c r="E57" s="59">
        <v>6</v>
      </c>
      <c r="F57" s="60">
        <f t="shared" si="1"/>
        <v>45015</v>
      </c>
      <c r="G57" s="70"/>
    </row>
    <row r="58" spans="1:7" ht="14.25" customHeight="1" x14ac:dyDescent="0.2">
      <c r="A58" s="58" t="s">
        <v>76</v>
      </c>
      <c r="B58" s="59">
        <v>290369</v>
      </c>
      <c r="C58" s="59">
        <v>135007</v>
      </c>
      <c r="D58" s="59">
        <v>39605</v>
      </c>
      <c r="E58" s="59"/>
      <c r="F58" s="60">
        <f t="shared" si="1"/>
        <v>464981</v>
      </c>
      <c r="G58" s="70"/>
    </row>
    <row r="59" spans="1:7" ht="14.25" customHeight="1" x14ac:dyDescent="0.2">
      <c r="A59" s="58" t="s">
        <v>77</v>
      </c>
      <c r="B59" s="59">
        <v>5639</v>
      </c>
      <c r="C59" s="59">
        <v>13031</v>
      </c>
      <c r="D59" s="59">
        <v>741</v>
      </c>
      <c r="E59" s="59">
        <v>4</v>
      </c>
      <c r="F59" s="60">
        <f t="shared" si="1"/>
        <v>19415</v>
      </c>
      <c r="G59" s="70"/>
    </row>
    <row r="60" spans="1:7" ht="14.25" customHeight="1" x14ac:dyDescent="0.2">
      <c r="A60" s="58" t="s">
        <v>78</v>
      </c>
      <c r="B60" s="59">
        <v>4199</v>
      </c>
      <c r="C60" s="59">
        <v>6214</v>
      </c>
      <c r="D60" s="59">
        <v>236</v>
      </c>
      <c r="E60" s="59">
        <v>6</v>
      </c>
      <c r="F60" s="60">
        <f t="shared" si="1"/>
        <v>10655</v>
      </c>
      <c r="G60" s="70"/>
    </row>
    <row r="61" spans="1:7" ht="14.25" customHeight="1" x14ac:dyDescent="0.2">
      <c r="A61" s="58" t="s">
        <v>79</v>
      </c>
      <c r="B61" s="62">
        <v>266970</v>
      </c>
      <c r="C61" s="64">
        <v>53487</v>
      </c>
      <c r="D61" s="62">
        <v>46072</v>
      </c>
      <c r="E61" s="62">
        <v>817</v>
      </c>
      <c r="F61" s="63">
        <f t="shared" si="1"/>
        <v>367346</v>
      </c>
      <c r="G61" s="70"/>
    </row>
    <row r="62" spans="1:7" ht="14.25" customHeight="1" x14ac:dyDescent="0.2">
      <c r="A62" s="58" t="s">
        <v>80</v>
      </c>
      <c r="B62" s="59">
        <v>567108</v>
      </c>
      <c r="C62" s="59">
        <v>149304</v>
      </c>
      <c r="D62" s="59">
        <v>140927</v>
      </c>
      <c r="E62" s="59">
        <v>4571</v>
      </c>
      <c r="F62" s="60">
        <f t="shared" si="1"/>
        <v>861910</v>
      </c>
      <c r="G62" s="70"/>
    </row>
    <row r="63" spans="1:7" ht="14.25" customHeight="1" x14ac:dyDescent="0.2">
      <c r="A63" s="58" t="s">
        <v>81</v>
      </c>
      <c r="B63" s="59">
        <v>515395</v>
      </c>
      <c r="C63" s="59">
        <v>84146</v>
      </c>
      <c r="D63" s="59">
        <v>56296</v>
      </c>
      <c r="E63" s="59">
        <v>10762</v>
      </c>
      <c r="F63" s="60">
        <f t="shared" si="1"/>
        <v>666599</v>
      </c>
      <c r="G63" s="70"/>
    </row>
    <row r="64" spans="1:7" ht="14.25" customHeight="1" x14ac:dyDescent="0.2">
      <c r="A64" s="58" t="s">
        <v>82</v>
      </c>
      <c r="B64" s="65">
        <v>469504</v>
      </c>
      <c r="C64" s="65">
        <v>158314</v>
      </c>
      <c r="D64" s="65">
        <v>91124</v>
      </c>
      <c r="E64" s="65">
        <v>2995</v>
      </c>
      <c r="F64" s="60">
        <f t="shared" si="1"/>
        <v>721937</v>
      </c>
      <c r="G64" s="70"/>
    </row>
    <row r="65" spans="1:7" ht="14.25" customHeight="1" x14ac:dyDescent="0.2">
      <c r="A65" s="58" t="s">
        <v>83</v>
      </c>
      <c r="B65" s="59">
        <v>92497</v>
      </c>
      <c r="C65" s="59">
        <v>90223</v>
      </c>
      <c r="D65" s="59">
        <v>18417</v>
      </c>
      <c r="E65" s="59">
        <v>447</v>
      </c>
      <c r="F65" s="60">
        <f t="shared" si="1"/>
        <v>201584</v>
      </c>
      <c r="G65" s="70"/>
    </row>
    <row r="66" spans="1:7" ht="14.25" customHeight="1" x14ac:dyDescent="0.2">
      <c r="A66" s="66" t="s">
        <v>84</v>
      </c>
      <c r="B66" s="67">
        <f>SUM(B4:B65)</f>
        <v>4757097</v>
      </c>
      <c r="C66" s="67">
        <f t="shared" ref="C66:E66" si="2">SUM(C4:C65)</f>
        <v>2857663</v>
      </c>
      <c r="D66" s="67">
        <f t="shared" si="2"/>
        <v>732834</v>
      </c>
      <c r="E66" s="67">
        <f t="shared" si="2"/>
        <v>21569</v>
      </c>
      <c r="F66" s="68">
        <f t="shared" si="1"/>
        <v>8369163</v>
      </c>
    </row>
  </sheetData>
  <mergeCells count="2">
    <mergeCell ref="A2:F2"/>
    <mergeCell ref="A1:F1"/>
  </mergeCells>
  <pageMargins left="0.25" right="0.25" top="0.25" bottom="0.25" header="0.25" footer="0.25"/>
  <pageSetup fitToHeight="0" orientation="landscape" r:id="rId1"/>
  <headerFooter alignWithMargins="0"/>
  <colBreaks count="2" manualBreakCount="2">
    <brk id="6" max="65" man="1"/>
    <brk id="14" max="65" man="1"/>
  </colBreaks>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A213C-070E-45DC-A9B4-FE44F8AAFD5A}">
  <sheetPr>
    <pageSetUpPr fitToPage="1"/>
  </sheetPr>
  <dimension ref="A1:E9"/>
  <sheetViews>
    <sheetView workbookViewId="0"/>
  </sheetViews>
  <sheetFormatPr defaultRowHeight="12.75" x14ac:dyDescent="0.2"/>
  <cols>
    <col min="1" max="1" width="25.5703125" customWidth="1"/>
    <col min="2" max="5" width="22.7109375" customWidth="1"/>
    <col min="6" max="7" width="23.5703125" customWidth="1"/>
  </cols>
  <sheetData>
    <row r="1" spans="1:5" ht="24.75" customHeight="1" x14ac:dyDescent="0.2">
      <c r="A1" s="72" t="s">
        <v>295</v>
      </c>
      <c r="B1" s="108"/>
      <c r="C1" s="108"/>
      <c r="D1" s="108"/>
      <c r="E1" s="108"/>
    </row>
    <row r="2" spans="1:5" ht="28.5" customHeight="1" x14ac:dyDescent="0.2">
      <c r="A2" s="6" t="s">
        <v>93</v>
      </c>
      <c r="B2" s="7" t="s">
        <v>1277</v>
      </c>
      <c r="C2" s="7" t="s">
        <v>296</v>
      </c>
      <c r="D2" s="8" t="s">
        <v>84</v>
      </c>
      <c r="E2" s="9" t="s">
        <v>85</v>
      </c>
    </row>
    <row r="3" spans="1:5" ht="14.25" customHeight="1" x14ac:dyDescent="0.2">
      <c r="A3" s="28" t="s">
        <v>297</v>
      </c>
      <c r="B3" s="100">
        <v>21389</v>
      </c>
      <c r="C3" s="100">
        <v>196279</v>
      </c>
      <c r="D3" s="101">
        <f>SUM(RepInCongressCongressionalDistrict16General[[#This Row],[Part of Bronx
County Vote Results]:[Part of Westchester County Vote Results]])</f>
        <v>217668</v>
      </c>
      <c r="E3" s="113">
        <f>SUM(RepInCongressCongressionalDistrict16General[[#This Row],[Total Votes by Party]])</f>
        <v>217668</v>
      </c>
    </row>
    <row r="4" spans="1:5" ht="14.25" customHeight="1" x14ac:dyDescent="0.2">
      <c r="A4" s="28" t="s">
        <v>298</v>
      </c>
      <c r="B4" s="100">
        <v>2584</v>
      </c>
      <c r="C4" s="100">
        <v>83824</v>
      </c>
      <c r="D4" s="101">
        <f>SUM(RepInCongressCongressionalDistrict16General[[#This Row],[Part of Bronx
County Vote Results]:[Part of Westchester County Vote Results]])</f>
        <v>86408</v>
      </c>
      <c r="E4" s="113">
        <f>SUM(RepInCongressCongressionalDistrict16General[[#This Row],[Total Votes by Party]])</f>
        <v>86408</v>
      </c>
    </row>
    <row r="5" spans="1:5" ht="14.25" customHeight="1" x14ac:dyDescent="0.2">
      <c r="A5" s="29" t="s">
        <v>18</v>
      </c>
      <c r="B5" s="100">
        <v>3349</v>
      </c>
      <c r="C5" s="100">
        <v>22659</v>
      </c>
      <c r="D5" s="101">
        <f>SUM(RepInCongressCongressionalDistrict16General[[#This Row],[Part of Bronx
County Vote Results]:[Part of Westchester County Vote Results]])</f>
        <v>26008</v>
      </c>
      <c r="E5" s="111"/>
    </row>
    <row r="6" spans="1:5" ht="14.25" customHeight="1" x14ac:dyDescent="0.2">
      <c r="A6" s="29" t="s">
        <v>19</v>
      </c>
      <c r="B6" s="100">
        <v>0</v>
      </c>
      <c r="C6" s="100"/>
      <c r="D6" s="101">
        <f>SUM(RepInCongressCongressionalDistrict16General[[#This Row],[Part of Bronx
County Vote Results]:[Part of Westchester County Vote Results]])</f>
        <v>0</v>
      </c>
      <c r="E6" s="111"/>
    </row>
    <row r="7" spans="1:5" ht="14.25" customHeight="1" x14ac:dyDescent="0.2">
      <c r="A7" s="29" t="s">
        <v>20</v>
      </c>
      <c r="B7" s="100">
        <v>100</v>
      </c>
      <c r="C7" s="100">
        <f>681+222</f>
        <v>903</v>
      </c>
      <c r="D7" s="101">
        <f>SUM(RepInCongressCongressionalDistrict16General[[#This Row],[Part of Bronx
County Vote Results]:[Part of Westchester County Vote Results]])</f>
        <v>1003</v>
      </c>
      <c r="E7" s="111"/>
    </row>
    <row r="8" spans="1:5" ht="14.25" customHeight="1" x14ac:dyDescent="0.2">
      <c r="A8" s="103" t="s">
        <v>21</v>
      </c>
      <c r="B8" s="100">
        <f>SUM(RepInCongressCongressionalDistrict16General[Part of Bronx
County Vote Results])</f>
        <v>27422</v>
      </c>
      <c r="C8" s="100">
        <f>SUM(RepInCongressCongressionalDistrict16General[Part of Westchester County Vote Results])</f>
        <v>303665</v>
      </c>
      <c r="D8" s="101">
        <f>SUM(RepInCongressCongressionalDistrict16General[Total Votes by Party])</f>
        <v>331087</v>
      </c>
      <c r="E8" s="111"/>
    </row>
    <row r="9" spans="1:5" ht="14.25" x14ac:dyDescent="0.2">
      <c r="B9" s="70"/>
      <c r="C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22E7C-6C0B-4000-843D-6D257C8264C7}">
  <sheetPr>
    <pageSetUpPr fitToPage="1"/>
  </sheetPr>
  <dimension ref="A1:G11"/>
  <sheetViews>
    <sheetView workbookViewId="0"/>
  </sheetViews>
  <sheetFormatPr defaultRowHeight="12.75" x14ac:dyDescent="0.2"/>
  <cols>
    <col min="1" max="1" width="25.85546875" customWidth="1"/>
    <col min="2" max="7" width="23.42578125" customWidth="1"/>
    <col min="8" max="9" width="20.5703125" customWidth="1"/>
    <col min="10" max="11" width="23.5703125" customWidth="1"/>
  </cols>
  <sheetData>
    <row r="1" spans="1:7" ht="24.75" customHeight="1" x14ac:dyDescent="0.2">
      <c r="A1" s="72" t="s">
        <v>299</v>
      </c>
      <c r="B1" s="108"/>
      <c r="C1" s="108"/>
      <c r="D1" s="108"/>
      <c r="E1" s="108"/>
      <c r="F1" s="108"/>
      <c r="G1" s="108"/>
    </row>
    <row r="2" spans="1:7" ht="28.5" customHeight="1" x14ac:dyDescent="0.2">
      <c r="A2" s="6" t="s">
        <v>93</v>
      </c>
      <c r="B2" s="7" t="s">
        <v>300</v>
      </c>
      <c r="C2" s="7" t="s">
        <v>154</v>
      </c>
      <c r="D2" s="7" t="s">
        <v>155</v>
      </c>
      <c r="E2" s="7" t="s">
        <v>301</v>
      </c>
      <c r="F2" s="8" t="s">
        <v>84</v>
      </c>
      <c r="G2" s="9" t="s">
        <v>85</v>
      </c>
    </row>
    <row r="3" spans="1:7" ht="14.25" customHeight="1" x14ac:dyDescent="0.2">
      <c r="A3" s="28" t="s">
        <v>302</v>
      </c>
      <c r="B3" s="100">
        <v>8289</v>
      </c>
      <c r="C3" s="100">
        <v>21339</v>
      </c>
      <c r="D3" s="100">
        <v>59054</v>
      </c>
      <c r="E3" s="100">
        <v>85217</v>
      </c>
      <c r="F3" s="101">
        <f>SUM(RepInCongressCongressionalDistrict17General[[#This Row],[Part of Dutchess County
Vote Results]:[Part of Westchester County 
Vote Results]])</f>
        <v>173899</v>
      </c>
      <c r="G3" s="113">
        <f>SUM(RepInCongressCongressionalDistrict17General[[#This Row],[Total Votes by Party]])</f>
        <v>173899</v>
      </c>
    </row>
    <row r="4" spans="1:7" ht="14.25" customHeight="1" x14ac:dyDescent="0.2">
      <c r="A4" s="28" t="s">
        <v>303</v>
      </c>
      <c r="B4" s="100">
        <v>12863</v>
      </c>
      <c r="C4" s="100">
        <v>28822</v>
      </c>
      <c r="D4" s="100">
        <v>77775</v>
      </c>
      <c r="E4" s="100">
        <v>61464</v>
      </c>
      <c r="F4" s="101">
        <f>SUM(RepInCongressCongressionalDistrict17General[[#This Row],[Part of Dutchess County
Vote Results]:[Part of Westchester County 
Vote Results]])</f>
        <v>180924</v>
      </c>
      <c r="G4" s="113">
        <f>SUM(RepInCongressCongressionalDistrict17General[[#This Row],[Total Votes by Party]],F5)</f>
        <v>197845</v>
      </c>
    </row>
    <row r="5" spans="1:7" ht="14.25" customHeight="1" x14ac:dyDescent="0.2">
      <c r="A5" s="28" t="s">
        <v>304</v>
      </c>
      <c r="B5" s="100">
        <v>1392</v>
      </c>
      <c r="C5" s="100">
        <v>2999</v>
      </c>
      <c r="D5" s="100">
        <v>7150</v>
      </c>
      <c r="E5" s="100">
        <v>5380</v>
      </c>
      <c r="F5" s="101">
        <f>SUM(RepInCongressCongressionalDistrict17General[[#This Row],[Part of Dutchess County
Vote Results]:[Part of Westchester County 
Vote Results]])</f>
        <v>16921</v>
      </c>
      <c r="G5" s="121"/>
    </row>
    <row r="6" spans="1:7" ht="14.25" customHeight="1" x14ac:dyDescent="0.2">
      <c r="A6" s="28" t="s">
        <v>305</v>
      </c>
      <c r="B6" s="100">
        <v>635</v>
      </c>
      <c r="C6" s="100">
        <v>1393</v>
      </c>
      <c r="D6" s="100">
        <v>2237</v>
      </c>
      <c r="E6" s="100">
        <v>3265</v>
      </c>
      <c r="F6" s="101">
        <f>SUM(RepInCongressCongressionalDistrict17General[[#This Row],[Part of Dutchess County
Vote Results]:[Part of Westchester County 
Vote Results]])</f>
        <v>7530</v>
      </c>
      <c r="G6" s="113">
        <f>SUM(RepInCongressCongressionalDistrict17General[[#This Row],[Total Votes by Party]])</f>
        <v>7530</v>
      </c>
    </row>
    <row r="7" spans="1:7" ht="14.25" customHeight="1" x14ac:dyDescent="0.2">
      <c r="A7" s="29" t="s">
        <v>18</v>
      </c>
      <c r="B7" s="100">
        <v>729</v>
      </c>
      <c r="C7" s="100">
        <v>1804</v>
      </c>
      <c r="D7" s="100">
        <v>5457</v>
      </c>
      <c r="E7" s="100">
        <v>5927</v>
      </c>
      <c r="F7" s="101">
        <f>SUM(RepInCongressCongressionalDistrict17General[[#This Row],[Part of Dutchess County
Vote Results]:[Part of Westchester County 
Vote Results]])</f>
        <v>13917</v>
      </c>
      <c r="G7" s="111"/>
    </row>
    <row r="8" spans="1:7" ht="14.25" customHeight="1" x14ac:dyDescent="0.2">
      <c r="A8" s="29" t="s">
        <v>19</v>
      </c>
      <c r="B8" s="100">
        <v>54</v>
      </c>
      <c r="C8" s="100">
        <v>38</v>
      </c>
      <c r="D8" s="100">
        <v>443</v>
      </c>
      <c r="E8" s="100"/>
      <c r="F8" s="101">
        <f>SUM(RepInCongressCongressionalDistrict17General[[#This Row],[Part of Dutchess County
Vote Results]:[Part of Westchester County 
Vote Results]])</f>
        <v>535</v>
      </c>
      <c r="G8" s="111"/>
    </row>
    <row r="9" spans="1:7" ht="14.25" customHeight="1" x14ac:dyDescent="0.2">
      <c r="A9" s="29" t="s">
        <v>20</v>
      </c>
      <c r="B9" s="100">
        <v>12</v>
      </c>
      <c r="C9" s="100">
        <v>26</v>
      </c>
      <c r="D9" s="100">
        <v>133</v>
      </c>
      <c r="E9" s="100">
        <v>63</v>
      </c>
      <c r="F9" s="101">
        <f>SUM(RepInCongressCongressionalDistrict17General[[#This Row],[Part of Dutchess County
Vote Results]:[Part of Westchester County 
Vote Results]])</f>
        <v>234</v>
      </c>
      <c r="G9" s="111"/>
    </row>
    <row r="10" spans="1:7" ht="14.25" customHeight="1" x14ac:dyDescent="0.2">
      <c r="A10" s="103" t="s">
        <v>21</v>
      </c>
      <c r="B10" s="100">
        <f>SUM(RepInCongressCongressionalDistrict17General[Part of Dutchess County
Vote Results])</f>
        <v>23974</v>
      </c>
      <c r="C10" s="100">
        <f>SUM(RepInCongressCongressionalDistrict17General[Putnam County
Vote Results])</f>
        <v>56421</v>
      </c>
      <c r="D10" s="100">
        <f>SUM(RepInCongressCongressionalDistrict17General[Rockland County 
Vote Results])</f>
        <v>152249</v>
      </c>
      <c r="E10" s="100">
        <f>SUM(RepInCongressCongressionalDistrict17General[Part of Westchester County 
Vote Results])</f>
        <v>161316</v>
      </c>
      <c r="F10" s="101">
        <f>SUM(RepInCongressCongressionalDistrict17General[Total Votes by Party])</f>
        <v>393960</v>
      </c>
      <c r="G10" s="111"/>
    </row>
    <row r="11" spans="1:7" ht="14.25" x14ac:dyDescent="0.2">
      <c r="B11" s="70"/>
      <c r="D11" s="70"/>
      <c r="E11" s="70"/>
    </row>
  </sheetData>
  <pageMargins left="0.25" right="0.25" top="0.25" bottom="0.25" header="0.25" footer="0.25"/>
  <pageSetup paperSize="5" fitToHeight="0" orientation="landscape" r:id="rId1"/>
  <headerFooter alignWithMargins="0">
    <oddFooter>&amp;RPage &amp;P of &amp;N</oddFooter>
  </headerFooter>
  <ignoredErrors>
    <ignoredError sqref="F3" calculatedColumn="1"/>
  </ignoredError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18912-D617-45DA-87DC-8C33B0538126}">
  <sheetPr>
    <pageSetUpPr fitToPage="1"/>
  </sheetPr>
  <dimension ref="A1:F11"/>
  <sheetViews>
    <sheetView zoomScaleNormal="100" zoomScaleSheetLayoutView="100" workbookViewId="0"/>
  </sheetViews>
  <sheetFormatPr defaultRowHeight="12.75" x14ac:dyDescent="0.2"/>
  <cols>
    <col min="1" max="1" width="25.5703125" customWidth="1"/>
    <col min="2" max="8" width="20.5703125" customWidth="1"/>
    <col min="9" max="10" width="23.5703125" customWidth="1"/>
  </cols>
  <sheetData>
    <row r="1" spans="1:6" ht="24.75" customHeight="1" x14ac:dyDescent="0.2">
      <c r="A1" s="72" t="s">
        <v>306</v>
      </c>
      <c r="B1" s="108"/>
      <c r="C1" s="108"/>
      <c r="D1" s="108"/>
      <c r="E1" s="108"/>
      <c r="F1" s="108"/>
    </row>
    <row r="2" spans="1:6" ht="28.5" customHeight="1" x14ac:dyDescent="0.2">
      <c r="A2" s="6" t="s">
        <v>93</v>
      </c>
      <c r="B2" s="7" t="s">
        <v>307</v>
      </c>
      <c r="C2" s="7" t="s">
        <v>308</v>
      </c>
      <c r="D2" s="7" t="s">
        <v>309</v>
      </c>
      <c r="E2" s="8" t="s">
        <v>84</v>
      </c>
      <c r="F2" s="9" t="s">
        <v>85</v>
      </c>
    </row>
    <row r="3" spans="1:6" ht="14.25" customHeight="1" x14ac:dyDescent="0.2">
      <c r="A3" s="28" t="s">
        <v>310</v>
      </c>
      <c r="B3" s="100">
        <v>66448</v>
      </c>
      <c r="C3" s="100">
        <v>87141</v>
      </c>
      <c r="D3" s="100">
        <v>35756</v>
      </c>
      <c r="E3" s="101">
        <f>SUM(RepInCongressCongressionalDistrict18General[[#This Row],[Part of Dutchess County 
Vote Results]:[Part of Ulster County 
Vote Results]])</f>
        <v>189345</v>
      </c>
      <c r="F3" s="113">
        <f>SUM(RepInCongressCongressionalDistrict18General[[#This Row],[Total Votes by Party]],E6)</f>
        <v>207106</v>
      </c>
    </row>
    <row r="4" spans="1:6" ht="14.25" customHeight="1" x14ac:dyDescent="0.2">
      <c r="A4" s="28" t="s">
        <v>311</v>
      </c>
      <c r="B4" s="100">
        <v>47780</v>
      </c>
      <c r="C4" s="100">
        <v>70586</v>
      </c>
      <c r="D4" s="100">
        <v>20043</v>
      </c>
      <c r="E4" s="101">
        <f>SUM(RepInCongressCongressionalDistrict18General[[#This Row],[Part of Dutchess County 
Vote Results]:[Part of Ulster County 
Vote Results]])</f>
        <v>138409</v>
      </c>
      <c r="F4" s="113">
        <f>SUM(RepInCongressCongressionalDistrict18General[[#This Row],[Total Votes by Party]],E5)</f>
        <v>155129</v>
      </c>
    </row>
    <row r="5" spans="1:6" ht="14.25" customHeight="1" x14ac:dyDescent="0.2">
      <c r="A5" s="28" t="s">
        <v>312</v>
      </c>
      <c r="B5" s="100">
        <v>5961</v>
      </c>
      <c r="C5" s="100">
        <v>7514</v>
      </c>
      <c r="D5" s="100">
        <v>3245</v>
      </c>
      <c r="E5" s="101">
        <f>SUM(RepInCongressCongressionalDistrict18General[[#This Row],[Part of Dutchess County 
Vote Results]:[Part of Ulster County 
Vote Results]])</f>
        <v>16720</v>
      </c>
      <c r="F5" s="111"/>
    </row>
    <row r="6" spans="1:6" ht="14.25" customHeight="1" x14ac:dyDescent="0.2">
      <c r="A6" s="28" t="s">
        <v>313</v>
      </c>
      <c r="B6" s="100">
        <v>6109</v>
      </c>
      <c r="C6" s="100">
        <v>5463</v>
      </c>
      <c r="D6" s="100">
        <v>6189</v>
      </c>
      <c r="E6" s="101">
        <f>SUM(RepInCongressCongressionalDistrict18General[[#This Row],[Part of Dutchess County 
Vote Results]:[Part of Ulster County 
Vote Results]])</f>
        <v>17761</v>
      </c>
      <c r="F6" s="111"/>
    </row>
    <row r="7" spans="1:6" ht="14.25" customHeight="1" x14ac:dyDescent="0.2">
      <c r="A7" s="29" t="s">
        <v>18</v>
      </c>
      <c r="B7" s="100">
        <v>4108</v>
      </c>
      <c r="C7" s="100">
        <v>7542</v>
      </c>
      <c r="D7" s="100">
        <v>1840</v>
      </c>
      <c r="E7" s="101">
        <f>SUM(RepInCongressCongressionalDistrict18General[[#This Row],[Part of Dutchess County 
Vote Results]:[Part of Ulster County 
Vote Results]])</f>
        <v>13490</v>
      </c>
      <c r="F7" s="111"/>
    </row>
    <row r="8" spans="1:6" ht="14.25" customHeight="1" x14ac:dyDescent="0.2">
      <c r="A8" s="29" t="s">
        <v>19</v>
      </c>
      <c r="B8" s="100">
        <v>93</v>
      </c>
      <c r="C8" s="100">
        <v>133</v>
      </c>
      <c r="D8" s="100">
        <v>63</v>
      </c>
      <c r="E8" s="101">
        <f>SUM(RepInCongressCongressionalDistrict18General[[#This Row],[Part of Dutchess County 
Vote Results]:[Part of Ulster County 
Vote Results]])</f>
        <v>289</v>
      </c>
      <c r="F8" s="111"/>
    </row>
    <row r="9" spans="1:6" ht="14.25" customHeight="1" x14ac:dyDescent="0.2">
      <c r="A9" s="29" t="s">
        <v>20</v>
      </c>
      <c r="B9" s="100">
        <v>102</v>
      </c>
      <c r="C9" s="100">
        <v>123</v>
      </c>
      <c r="D9" s="100">
        <v>49</v>
      </c>
      <c r="E9" s="101">
        <f>SUM(RepInCongressCongressionalDistrict18General[[#This Row],[Part of Dutchess County 
Vote Results]:[Part of Ulster County 
Vote Results]])</f>
        <v>274</v>
      </c>
      <c r="F9" s="111"/>
    </row>
    <row r="10" spans="1:6" ht="14.25" customHeight="1" x14ac:dyDescent="0.2">
      <c r="A10" s="103" t="s">
        <v>21</v>
      </c>
      <c r="B10" s="100">
        <f>SUM(RepInCongressCongressionalDistrict18General[Part of Dutchess County 
Vote Results])</f>
        <v>130601</v>
      </c>
      <c r="C10" s="100">
        <f>SUM(RepInCongressCongressionalDistrict18General[Orange County 
Vote Results])</f>
        <v>178502</v>
      </c>
      <c r="D10" s="100">
        <f>SUM(RepInCongressCongressionalDistrict18General[Part of Ulster County 
Vote Results])</f>
        <v>67185</v>
      </c>
      <c r="E10" s="101">
        <f>SUM(RepInCongressCongressionalDistrict18General[Total Votes by Party])</f>
        <v>376288</v>
      </c>
      <c r="F10" s="111"/>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D32F2-96F4-4AB9-A6C6-E5FD6914B163}">
  <sheetPr>
    <pageSetUpPr fitToPage="1"/>
  </sheetPr>
  <dimension ref="A1:N11"/>
  <sheetViews>
    <sheetView zoomScaleNormal="100" zoomScaleSheetLayoutView="90" workbookViewId="0">
      <pane xSplit="1" topLeftCell="B1" activePane="topRight" state="frozen"/>
      <selection activeCell="A30" sqref="A30"/>
      <selection pane="topRight"/>
    </sheetView>
  </sheetViews>
  <sheetFormatPr defaultRowHeight="12.75" x14ac:dyDescent="0.2"/>
  <cols>
    <col min="1" max="1" width="25.7109375" customWidth="1"/>
    <col min="2" max="14" width="20.85546875" customWidth="1"/>
    <col min="15" max="15" width="18.7109375" customWidth="1"/>
    <col min="16" max="20" width="15.7109375" customWidth="1"/>
    <col min="21" max="22" width="23.5703125" customWidth="1"/>
  </cols>
  <sheetData>
    <row r="1" spans="1:14" ht="24.75" customHeight="1" x14ac:dyDescent="0.2">
      <c r="A1" s="72" t="s">
        <v>314</v>
      </c>
      <c r="B1" s="108"/>
      <c r="C1" s="108"/>
      <c r="D1" s="108"/>
      <c r="E1" s="108"/>
      <c r="F1" s="108"/>
      <c r="G1" s="108"/>
      <c r="H1" s="108"/>
      <c r="I1" s="108"/>
      <c r="J1" s="108"/>
      <c r="K1" s="108"/>
      <c r="L1" s="108"/>
      <c r="M1" s="108"/>
      <c r="N1" s="108"/>
    </row>
    <row r="2" spans="1:14" ht="28.5" customHeight="1" x14ac:dyDescent="0.2">
      <c r="A2" s="19" t="s">
        <v>93</v>
      </c>
      <c r="B2" s="7" t="s">
        <v>315</v>
      </c>
      <c r="C2" s="7" t="s">
        <v>316</v>
      </c>
      <c r="D2" s="7" t="s">
        <v>317</v>
      </c>
      <c r="E2" s="7" t="s">
        <v>318</v>
      </c>
      <c r="F2" s="7" t="s">
        <v>319</v>
      </c>
      <c r="G2" s="7" t="s">
        <v>320</v>
      </c>
      <c r="H2" s="7" t="s">
        <v>321</v>
      </c>
      <c r="I2" s="7" t="s">
        <v>322</v>
      </c>
      <c r="J2" s="7" t="s">
        <v>323</v>
      </c>
      <c r="K2" s="7" t="s">
        <v>324</v>
      </c>
      <c r="L2" s="7" t="s">
        <v>309</v>
      </c>
      <c r="M2" s="20" t="s">
        <v>84</v>
      </c>
      <c r="N2" s="21" t="s">
        <v>85</v>
      </c>
    </row>
    <row r="3" spans="1:14" ht="14.25" customHeight="1" x14ac:dyDescent="0.2">
      <c r="A3" s="28" t="s">
        <v>325</v>
      </c>
      <c r="B3" s="100">
        <v>40930</v>
      </c>
      <c r="C3" s="100">
        <v>7321</v>
      </c>
      <c r="D3" s="100">
        <v>17696</v>
      </c>
      <c r="E3" s="109">
        <v>1588</v>
      </c>
      <c r="F3" s="100">
        <v>8220</v>
      </c>
      <c r="G3" s="100">
        <v>8898</v>
      </c>
      <c r="H3" s="100">
        <v>11508</v>
      </c>
      <c r="I3" s="100">
        <v>16074</v>
      </c>
      <c r="J3" s="100">
        <v>13131</v>
      </c>
      <c r="K3" s="100">
        <v>29076</v>
      </c>
      <c r="L3" s="100">
        <v>15607</v>
      </c>
      <c r="M3" s="101">
        <f t="shared" ref="M3:M9" si="0">SUM(B3:L3)</f>
        <v>170049</v>
      </c>
      <c r="N3" s="113">
        <f>SUM(RepInCongressCongressionalDistrict19General[[#This Row],[Total Votes by Party]],M6)</f>
        <v>192647</v>
      </c>
    </row>
    <row r="4" spans="1:14" ht="14.25" customHeight="1" x14ac:dyDescent="0.2">
      <c r="A4" s="28" t="s">
        <v>326</v>
      </c>
      <c r="B4" s="100">
        <v>39339</v>
      </c>
      <c r="C4" s="100">
        <v>12712</v>
      </c>
      <c r="D4" s="100">
        <v>13495</v>
      </c>
      <c r="E4" s="109">
        <v>3119</v>
      </c>
      <c r="F4" s="100">
        <v>12358</v>
      </c>
      <c r="G4" s="100">
        <v>12908</v>
      </c>
      <c r="H4" s="100">
        <v>13169</v>
      </c>
      <c r="I4" s="100">
        <v>17067</v>
      </c>
      <c r="J4" s="100">
        <v>17492</v>
      </c>
      <c r="K4" s="100">
        <v>10375</v>
      </c>
      <c r="L4" s="100">
        <v>11967</v>
      </c>
      <c r="M4" s="101">
        <f t="shared" si="0"/>
        <v>164001</v>
      </c>
      <c r="N4" s="113">
        <f>SUM(RepInCongressCongressionalDistrict19General[[#This Row],[Total Votes by Party]],M5)</f>
        <v>184290</v>
      </c>
    </row>
    <row r="5" spans="1:14" ht="14.25" customHeight="1" x14ac:dyDescent="0.2">
      <c r="A5" s="28" t="s">
        <v>327</v>
      </c>
      <c r="B5" s="100">
        <v>4004</v>
      </c>
      <c r="C5" s="100">
        <v>1068</v>
      </c>
      <c r="D5" s="100">
        <v>2082</v>
      </c>
      <c r="E5" s="109">
        <v>276</v>
      </c>
      <c r="F5" s="100">
        <v>1114</v>
      </c>
      <c r="G5" s="100">
        <v>1818</v>
      </c>
      <c r="H5" s="100">
        <v>1704</v>
      </c>
      <c r="I5" s="100">
        <v>3131</v>
      </c>
      <c r="J5" s="100">
        <v>2166</v>
      </c>
      <c r="K5" s="100">
        <v>1075</v>
      </c>
      <c r="L5" s="100">
        <v>1851</v>
      </c>
      <c r="M5" s="101">
        <f t="shared" si="0"/>
        <v>20289</v>
      </c>
      <c r="N5" s="111"/>
    </row>
    <row r="6" spans="1:14" ht="14.25" customHeight="1" x14ac:dyDescent="0.2">
      <c r="A6" s="28" t="s">
        <v>328</v>
      </c>
      <c r="B6" s="100">
        <v>4342</v>
      </c>
      <c r="C6" s="100">
        <v>846</v>
      </c>
      <c r="D6" s="100">
        <v>2302</v>
      </c>
      <c r="E6" s="109">
        <v>221</v>
      </c>
      <c r="F6" s="100">
        <v>974</v>
      </c>
      <c r="G6" s="100">
        <v>1290</v>
      </c>
      <c r="H6" s="100">
        <v>1178</v>
      </c>
      <c r="I6" s="100">
        <v>1882</v>
      </c>
      <c r="J6" s="100">
        <v>1654</v>
      </c>
      <c r="K6" s="100">
        <v>5298</v>
      </c>
      <c r="L6" s="100">
        <v>2611</v>
      </c>
      <c r="M6" s="101">
        <f t="shared" si="0"/>
        <v>22598</v>
      </c>
      <c r="N6" s="111"/>
    </row>
    <row r="7" spans="1:14" ht="14.25" customHeight="1" x14ac:dyDescent="0.2">
      <c r="A7" s="29" t="s">
        <v>18</v>
      </c>
      <c r="B7" s="100">
        <v>3038</v>
      </c>
      <c r="C7" s="100">
        <v>795</v>
      </c>
      <c r="D7" s="100">
        <v>702</v>
      </c>
      <c r="E7" s="109">
        <v>195</v>
      </c>
      <c r="F7" s="100">
        <v>703</v>
      </c>
      <c r="G7" s="100">
        <v>747</v>
      </c>
      <c r="H7" s="100">
        <v>1175</v>
      </c>
      <c r="I7" s="100">
        <v>1125</v>
      </c>
      <c r="J7" s="100">
        <v>1174</v>
      </c>
      <c r="K7" s="100">
        <v>1427</v>
      </c>
      <c r="L7" s="100">
        <v>781</v>
      </c>
      <c r="M7" s="101">
        <f t="shared" si="0"/>
        <v>11862</v>
      </c>
      <c r="N7" s="111"/>
    </row>
    <row r="8" spans="1:14" ht="14.25" customHeight="1" x14ac:dyDescent="0.2">
      <c r="A8" s="29" t="s">
        <v>19</v>
      </c>
      <c r="B8" s="100">
        <v>17</v>
      </c>
      <c r="C8" s="100">
        <v>8</v>
      </c>
      <c r="D8" s="100">
        <v>11</v>
      </c>
      <c r="E8" s="109">
        <v>0</v>
      </c>
      <c r="F8" s="100">
        <v>7</v>
      </c>
      <c r="G8" s="100">
        <v>9</v>
      </c>
      <c r="H8" s="100">
        <v>20</v>
      </c>
      <c r="I8" s="100">
        <v>12</v>
      </c>
      <c r="J8" s="100">
        <v>11</v>
      </c>
      <c r="K8" s="100">
        <v>15</v>
      </c>
      <c r="L8" s="100">
        <v>11</v>
      </c>
      <c r="M8" s="101">
        <f t="shared" si="0"/>
        <v>121</v>
      </c>
      <c r="N8" s="111"/>
    </row>
    <row r="9" spans="1:14" ht="14.25" customHeight="1" x14ac:dyDescent="0.2">
      <c r="A9" s="29" t="s">
        <v>20</v>
      </c>
      <c r="B9" s="100">
        <v>153</v>
      </c>
      <c r="C9" s="100">
        <v>26</v>
      </c>
      <c r="D9" s="100">
        <v>38</v>
      </c>
      <c r="E9" s="109">
        <v>2</v>
      </c>
      <c r="F9" s="100">
        <v>25</v>
      </c>
      <c r="G9" s="100">
        <v>18</v>
      </c>
      <c r="H9" s="100">
        <v>29</v>
      </c>
      <c r="I9" s="100">
        <v>47</v>
      </c>
      <c r="J9" s="100">
        <v>16</v>
      </c>
      <c r="K9" s="100">
        <v>41</v>
      </c>
      <c r="L9" s="100">
        <v>11</v>
      </c>
      <c r="M9" s="101">
        <f t="shared" si="0"/>
        <v>406</v>
      </c>
      <c r="N9" s="111"/>
    </row>
    <row r="10" spans="1:14" ht="14.25" customHeight="1" x14ac:dyDescent="0.2">
      <c r="A10" s="103" t="s">
        <v>21</v>
      </c>
      <c r="B10" s="100">
        <f>SUM(RepInCongressCongressionalDistrict19General[Broome County 
Vote Results])</f>
        <v>91823</v>
      </c>
      <c r="C10" s="100">
        <f>SUM(RepInCongressCongressionalDistrict19General[Chenango County
Vote Results])</f>
        <v>22776</v>
      </c>
      <c r="D10" s="100">
        <f>SUM(RepInCongressCongressionalDistrict19General[Columbia County
 Vote Results])</f>
        <v>36326</v>
      </c>
      <c r="E10" s="109">
        <f>SUM(RepInCongressCongressionalDistrict19General[Part of Cortland County 
Vote Results])</f>
        <v>5401</v>
      </c>
      <c r="F10" s="100">
        <f>SUM(RepInCongressCongressionalDistrict19General[Delaware County 
Vote Results])</f>
        <v>23401</v>
      </c>
      <c r="G10" s="100">
        <f>SUM(RepInCongressCongressionalDistrict19General[Greene County 
Vote Results])</f>
        <v>25688</v>
      </c>
      <c r="H10" s="100">
        <f>SUM(RepInCongressCongressionalDistrict19General[Otsego County 
Vote Results])</f>
        <v>28783</v>
      </c>
      <c r="I10" s="100">
        <f>SUM(RepInCongressCongressionalDistrict19General[Part of Rensselaer County 
Vote Results])</f>
        <v>39338</v>
      </c>
      <c r="J10" s="100">
        <f>SUM(RepInCongressCongressionalDistrict19General[Sullivan County 
Vote Results])</f>
        <v>35644</v>
      </c>
      <c r="K10" s="100">
        <f>SUM(RepInCongressCongressionalDistrict19General[Tompkins County 
Vote Results])</f>
        <v>47307</v>
      </c>
      <c r="L10" s="100">
        <f>SUM(RepInCongressCongressionalDistrict19General[Part of Ulster County 
Vote Results])</f>
        <v>32839</v>
      </c>
      <c r="M10" s="101">
        <f>SUM(RepInCongressCongressionalDistrict19General[Total Votes by Party])</f>
        <v>389326</v>
      </c>
      <c r="N10" s="111"/>
    </row>
    <row r="11" spans="1:14" ht="14.25" x14ac:dyDescent="0.2">
      <c r="B11" s="70"/>
      <c r="C11" s="70"/>
      <c r="D11" s="70"/>
      <c r="E11" s="70"/>
      <c r="F11" s="70"/>
      <c r="G11" s="70"/>
      <c r="I11" s="70"/>
      <c r="J11" s="70"/>
      <c r="K11" s="70"/>
      <c r="L11" s="70"/>
    </row>
  </sheetData>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4A546-99F6-4B74-9211-8B534E66C31C}">
  <sheetPr>
    <pageSetUpPr fitToPage="1"/>
  </sheetPr>
  <dimension ref="A1:D8"/>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47" t="s">
        <v>92</v>
      </c>
      <c r="B1" s="147"/>
      <c r="C1" s="147"/>
      <c r="D1" s="147"/>
    </row>
    <row r="2" spans="1:4" ht="28.5" customHeight="1" x14ac:dyDescent="0.2">
      <c r="A2" s="6" t="s">
        <v>93</v>
      </c>
      <c r="B2" s="7" t="s">
        <v>94</v>
      </c>
      <c r="C2" s="8" t="s">
        <v>84</v>
      </c>
      <c r="D2" s="9" t="s">
        <v>85</v>
      </c>
    </row>
    <row r="3" spans="1:4" ht="14.25" customHeight="1" x14ac:dyDescent="0.2">
      <c r="A3" s="28" t="s">
        <v>95</v>
      </c>
      <c r="B3" s="100">
        <v>484829</v>
      </c>
      <c r="C3" s="101">
        <f>RepInCongressCongressionalDistrict1General245[[#This Row],[New York County 
Vote Results]]</f>
        <v>484829</v>
      </c>
      <c r="D3" s="113">
        <f>SUM(RepInCongressCongressionalDistrict1General245[[#This Row],[Total Votes by Party]])</f>
        <v>484829</v>
      </c>
    </row>
    <row r="4" spans="1:4" ht="14.25" customHeight="1" x14ac:dyDescent="0.2">
      <c r="A4" s="28" t="s">
        <v>96</v>
      </c>
      <c r="B4" s="100">
        <v>393866</v>
      </c>
      <c r="C4" s="101">
        <f>RepInCongressCongressionalDistrict1General245[[#This Row],[New York County 
Vote Results]]</f>
        <v>393866</v>
      </c>
      <c r="D4" s="113">
        <f>SUM(RepInCongressCongressionalDistrict1General245[[#This Row],[Total Votes by Party]])</f>
        <v>393866</v>
      </c>
    </row>
    <row r="5" spans="1:4" ht="14.25" customHeight="1" x14ac:dyDescent="0.2">
      <c r="A5" s="29" t="s">
        <v>18</v>
      </c>
      <c r="B5" s="100">
        <v>424544</v>
      </c>
      <c r="C5" s="101">
        <f>RepInCongressCongressionalDistrict1General245[[#This Row],[New York County 
Vote Results]]</f>
        <v>424544</v>
      </c>
      <c r="D5" s="111"/>
    </row>
    <row r="6" spans="1:4" ht="14.25" customHeight="1" x14ac:dyDescent="0.2">
      <c r="A6" s="29" t="s">
        <v>19</v>
      </c>
      <c r="B6" s="100">
        <v>21524</v>
      </c>
      <c r="C6" s="101">
        <f>RepInCongressCongressionalDistrict1General245[[#This Row],[New York County 
Vote Results]]</f>
        <v>21524</v>
      </c>
      <c r="D6" s="111"/>
    </row>
    <row r="7" spans="1:4" ht="14.25" customHeight="1" x14ac:dyDescent="0.2">
      <c r="A7" s="29" t="s">
        <v>20</v>
      </c>
      <c r="B7" s="100">
        <v>8435</v>
      </c>
      <c r="C7" s="102">
        <f>RepInCongressCongressionalDistrict1General245[[#This Row],[New York County 
Vote Results]]</f>
        <v>8435</v>
      </c>
      <c r="D7" s="114"/>
    </row>
    <row r="8" spans="1:4" ht="14.25" customHeight="1" x14ac:dyDescent="0.2">
      <c r="A8" s="103" t="s">
        <v>21</v>
      </c>
      <c r="B8" s="100">
        <f>SUM(RepInCongressCongressionalDistrict1General245[New York County 
Vote Results])</f>
        <v>1333198</v>
      </c>
      <c r="C8" s="102">
        <f>SUM(RepInCongressCongressionalDistrict1General245[Total Votes by Party])</f>
        <v>1333198</v>
      </c>
      <c r="D8" s="115"/>
    </row>
  </sheetData>
  <mergeCells count="1">
    <mergeCell ref="A1:D1"/>
  </mergeCells>
  <pageMargins left="0.25" right="0.25" top="0.25" bottom="0.25" header="0.25" footer="0.25"/>
  <pageSetup paperSize="5" fitToHeight="0" orientation="landscape" r:id="rId1"/>
  <headerFooter alignWithMargins="0">
    <oddFooter>&amp;RPage &amp;P of &amp;N</oddFooter>
  </headerFooter>
  <rowBreaks count="8" manualBreakCount="8">
    <brk id="34" max="4" man="1"/>
    <brk id="77" max="4" man="1"/>
    <brk id="120" max="4" man="1"/>
    <brk id="162" max="16383" man="1"/>
    <brk id="186" max="16383" man="1"/>
    <brk id="220" max="16383" man="1"/>
    <brk id="258" max="16383" man="1"/>
    <brk id="300" max="16383" man="1"/>
  </rowBreaks>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E361-EA38-4B8A-93C4-D158A32F78A5}">
  <sheetPr>
    <pageSetUpPr fitToPage="1"/>
  </sheetPr>
  <dimension ref="A1:H11"/>
  <sheetViews>
    <sheetView zoomScaleNormal="100" zoomScaleSheetLayoutView="100" workbookViewId="0"/>
  </sheetViews>
  <sheetFormatPr defaultRowHeight="12.75" x14ac:dyDescent="0.2"/>
  <cols>
    <col min="1" max="1" width="25.5703125" customWidth="1"/>
    <col min="2" max="8" width="23.28515625" customWidth="1"/>
    <col min="9" max="10" width="20.5703125" customWidth="1"/>
    <col min="11" max="12" width="23.5703125" customWidth="1"/>
  </cols>
  <sheetData>
    <row r="1" spans="1:8" ht="24.75" customHeight="1" x14ac:dyDescent="0.2">
      <c r="A1" s="72" t="s">
        <v>329</v>
      </c>
      <c r="B1" s="108"/>
      <c r="C1" s="108"/>
      <c r="D1" s="108"/>
      <c r="E1" s="108"/>
      <c r="F1" s="108"/>
      <c r="G1" s="108"/>
      <c r="H1" s="108"/>
    </row>
    <row r="2" spans="1:8" ht="28.5" customHeight="1" x14ac:dyDescent="0.2">
      <c r="A2" s="6" t="s">
        <v>93</v>
      </c>
      <c r="B2" s="7" t="s">
        <v>330</v>
      </c>
      <c r="C2" s="7" t="s">
        <v>331</v>
      </c>
      <c r="D2" s="7" t="s">
        <v>332</v>
      </c>
      <c r="E2" s="7" t="s">
        <v>333</v>
      </c>
      <c r="F2" s="7" t="s">
        <v>334</v>
      </c>
      <c r="G2" s="8" t="s">
        <v>84</v>
      </c>
      <c r="H2" s="21" t="s">
        <v>85</v>
      </c>
    </row>
    <row r="3" spans="1:8" ht="14.25" customHeight="1" x14ac:dyDescent="0.2">
      <c r="A3" s="28" t="s">
        <v>335</v>
      </c>
      <c r="B3" s="100">
        <v>87384</v>
      </c>
      <c r="C3" s="100">
        <v>4644</v>
      </c>
      <c r="D3" s="100">
        <v>19572</v>
      </c>
      <c r="E3" s="100">
        <v>50732</v>
      </c>
      <c r="F3" s="100">
        <v>38022</v>
      </c>
      <c r="G3" s="101">
        <f>SUM(RepInCongressCongressionalDistrict20General[[#This Row],[Albany County
 Vote Results]:[Schenectady County
 Vote Results]])</f>
        <v>200354</v>
      </c>
      <c r="H3" s="113">
        <f>SUM(RepInCongressCongressionalDistrict20General[[#This Row],[Total Votes by Party]],G6)</f>
        <v>221997</v>
      </c>
    </row>
    <row r="4" spans="1:8" ht="14.25" customHeight="1" x14ac:dyDescent="0.2">
      <c r="A4" s="28" t="s">
        <v>336</v>
      </c>
      <c r="B4" s="100">
        <v>41774</v>
      </c>
      <c r="C4" s="100">
        <v>4426</v>
      </c>
      <c r="D4" s="100">
        <v>13819</v>
      </c>
      <c r="E4" s="100">
        <v>38460</v>
      </c>
      <c r="F4" s="100">
        <v>23130</v>
      </c>
      <c r="G4" s="101">
        <f>SUM(RepInCongressCongressionalDistrict20General[[#This Row],[Albany County
 Vote Results]:[Schenectady County
 Vote Results]])</f>
        <v>121609</v>
      </c>
      <c r="H4" s="113">
        <f>SUM(RepInCongressCongressionalDistrict20General[[#This Row],[Total Votes by Party]],G5)</f>
        <v>141151</v>
      </c>
    </row>
    <row r="5" spans="1:8" ht="14.25" customHeight="1" x14ac:dyDescent="0.2">
      <c r="A5" s="28" t="s">
        <v>337</v>
      </c>
      <c r="B5" s="100">
        <v>6282</v>
      </c>
      <c r="C5" s="100">
        <v>568</v>
      </c>
      <c r="D5" s="100">
        <v>2599</v>
      </c>
      <c r="E5" s="100">
        <v>5404</v>
      </c>
      <c r="F5" s="100">
        <v>4689</v>
      </c>
      <c r="G5" s="101">
        <f>SUM(RepInCongressCongressionalDistrict20General[[#This Row],[Albany County
 Vote Results]:[Schenectady County
 Vote Results]])</f>
        <v>19542</v>
      </c>
      <c r="H5" s="111"/>
    </row>
    <row r="6" spans="1:8" ht="14.25" customHeight="1" x14ac:dyDescent="0.2">
      <c r="A6" s="28" t="s">
        <v>338</v>
      </c>
      <c r="B6" s="100">
        <v>9943</v>
      </c>
      <c r="C6" s="100">
        <v>463</v>
      </c>
      <c r="D6" s="100">
        <v>2957</v>
      </c>
      <c r="E6" s="100">
        <v>4339</v>
      </c>
      <c r="F6" s="100">
        <v>3941</v>
      </c>
      <c r="G6" s="101">
        <f>SUM(RepInCongressCongressionalDistrict20General[[#This Row],[Albany County
 Vote Results]:[Schenectady County
 Vote Results]])</f>
        <v>21643</v>
      </c>
      <c r="H6" s="111"/>
    </row>
    <row r="7" spans="1:8" ht="14.25" customHeight="1" x14ac:dyDescent="0.2">
      <c r="A7" s="29" t="s">
        <v>18</v>
      </c>
      <c r="B7" s="100">
        <v>5385</v>
      </c>
      <c r="C7" s="100">
        <v>537</v>
      </c>
      <c r="D7" s="100">
        <v>1419</v>
      </c>
      <c r="E7" s="100">
        <v>3580</v>
      </c>
      <c r="F7" s="100">
        <v>3219</v>
      </c>
      <c r="G7" s="101">
        <f>SUM(RepInCongressCongressionalDistrict20General[[#This Row],[Albany County
 Vote Results]:[Schenectady County
 Vote Results]])</f>
        <v>14140</v>
      </c>
      <c r="H7" s="111"/>
    </row>
    <row r="8" spans="1:8" ht="14.25" customHeight="1" x14ac:dyDescent="0.2">
      <c r="A8" s="29" t="s">
        <v>19</v>
      </c>
      <c r="B8" s="100">
        <v>70</v>
      </c>
      <c r="C8" s="100">
        <v>8</v>
      </c>
      <c r="D8" s="100">
        <v>16</v>
      </c>
      <c r="E8" s="100">
        <v>21</v>
      </c>
      <c r="F8" s="100">
        <v>48</v>
      </c>
      <c r="G8" s="101">
        <f>SUM(RepInCongressCongressionalDistrict20General[[#This Row],[Albany County
 Vote Results]:[Schenectady County
 Vote Results]])</f>
        <v>163</v>
      </c>
      <c r="H8" s="111"/>
    </row>
    <row r="9" spans="1:8" ht="14.25" customHeight="1" x14ac:dyDescent="0.2">
      <c r="A9" s="29" t="s">
        <v>20</v>
      </c>
      <c r="B9" s="100">
        <v>167</v>
      </c>
      <c r="C9" s="100">
        <v>6</v>
      </c>
      <c r="D9" s="100">
        <v>32</v>
      </c>
      <c r="E9" s="100">
        <v>29</v>
      </c>
      <c r="F9" s="100">
        <v>63</v>
      </c>
      <c r="G9" s="101">
        <f>SUM(RepInCongressCongressionalDistrict20General[[#This Row],[Albany County
 Vote Results]:[Schenectady County
 Vote Results]])</f>
        <v>297</v>
      </c>
      <c r="H9" s="111"/>
    </row>
    <row r="10" spans="1:8" ht="14.25" customHeight="1" x14ac:dyDescent="0.2">
      <c r="A10" s="103" t="s">
        <v>21</v>
      </c>
      <c r="B10" s="100">
        <f>SUM(RepInCongressCongressionalDistrict20General[Albany County
 Vote Results])</f>
        <v>151005</v>
      </c>
      <c r="C10" s="100">
        <f>SUM(RepInCongressCongressionalDistrict20General[Part of Montgomery County
 Vote Results])</f>
        <v>10652</v>
      </c>
      <c r="D10" s="100">
        <f>SUM(RepInCongressCongressionalDistrict20General[Part of Rensselaer County
 Vote Results])</f>
        <v>40414</v>
      </c>
      <c r="E10" s="100">
        <f>SUM(RepInCongressCongressionalDistrict20General[Part of Saratoga County
 Vote Results])</f>
        <v>102565</v>
      </c>
      <c r="F10" s="100">
        <f>SUM(RepInCongressCongressionalDistrict20General[Schenectady County
 Vote Results])</f>
        <v>73112</v>
      </c>
      <c r="G10" s="101">
        <f>SUM(RepInCongressCongressionalDistrict20General[Total Votes by Party])</f>
        <v>377748</v>
      </c>
      <c r="H10" s="111"/>
    </row>
    <row r="11" spans="1:8" ht="14.25" x14ac:dyDescent="0.2">
      <c r="B11" s="70"/>
      <c r="D11" s="70"/>
      <c r="E11" s="70"/>
      <c r="F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0E1BF-1648-43DF-81EC-4F05560E4BD2}">
  <sheetPr>
    <pageSetUpPr fitToPage="1"/>
  </sheetPr>
  <dimension ref="A1:R11"/>
  <sheetViews>
    <sheetView zoomScaleNormal="100" zoomScaleSheetLayoutView="90" workbookViewId="0">
      <pane xSplit="1" topLeftCell="B1" activePane="topRight" state="frozen"/>
      <selection activeCell="A30" sqref="A30"/>
      <selection pane="topRight"/>
    </sheetView>
  </sheetViews>
  <sheetFormatPr defaultRowHeight="12.75" x14ac:dyDescent="0.2"/>
  <cols>
    <col min="1" max="1" width="25.5703125" customWidth="1"/>
    <col min="2" max="18" width="23.28515625" customWidth="1"/>
    <col min="19" max="19" width="12.7109375" customWidth="1"/>
    <col min="20" max="21" width="23.5703125" customWidth="1"/>
  </cols>
  <sheetData>
    <row r="1" spans="1:18" ht="24.75" customHeight="1" x14ac:dyDescent="0.2">
      <c r="A1" s="72" t="s">
        <v>339</v>
      </c>
      <c r="B1" s="108"/>
      <c r="C1" s="108"/>
      <c r="D1" s="108"/>
      <c r="E1" s="108"/>
      <c r="F1" s="108"/>
      <c r="G1" s="108"/>
      <c r="H1" s="108"/>
      <c r="I1" s="108"/>
      <c r="J1" s="108"/>
      <c r="K1" s="108"/>
      <c r="L1" s="108"/>
      <c r="M1" s="108"/>
      <c r="N1" s="108"/>
      <c r="O1" s="108"/>
      <c r="P1" s="108"/>
      <c r="Q1" s="108"/>
      <c r="R1" s="108"/>
    </row>
    <row r="2" spans="1:18" s="24" customFormat="1" ht="28.5" customHeight="1" x14ac:dyDescent="0.2">
      <c r="A2" s="19" t="s">
        <v>93</v>
      </c>
      <c r="B2" s="7" t="s">
        <v>340</v>
      </c>
      <c r="C2" s="7" t="s">
        <v>341</v>
      </c>
      <c r="D2" s="7" t="s">
        <v>342</v>
      </c>
      <c r="E2" s="7" t="s">
        <v>343</v>
      </c>
      <c r="F2" s="7" t="s">
        <v>344</v>
      </c>
      <c r="G2" s="7" t="s">
        <v>345</v>
      </c>
      <c r="H2" s="7" t="s">
        <v>346</v>
      </c>
      <c r="I2" s="7" t="s">
        <v>347</v>
      </c>
      <c r="J2" s="7" t="s">
        <v>331</v>
      </c>
      <c r="K2" s="7" t="s">
        <v>348</v>
      </c>
      <c r="L2" s="7" t="s">
        <v>349</v>
      </c>
      <c r="M2" s="7" t="s">
        <v>350</v>
      </c>
      <c r="N2" s="27" t="s">
        <v>351</v>
      </c>
      <c r="O2" s="7" t="s">
        <v>352</v>
      </c>
      <c r="P2" s="7" t="s">
        <v>353</v>
      </c>
      <c r="Q2" s="20" t="s">
        <v>84</v>
      </c>
      <c r="R2" s="21" t="s">
        <v>85</v>
      </c>
    </row>
    <row r="3" spans="1:18" ht="14.25" customHeight="1" x14ac:dyDescent="0.2">
      <c r="A3" s="28" t="s">
        <v>354</v>
      </c>
      <c r="B3" s="100">
        <v>15673</v>
      </c>
      <c r="C3" s="100">
        <v>8384</v>
      </c>
      <c r="D3" s="100">
        <v>7869</v>
      </c>
      <c r="E3" s="100">
        <v>6457</v>
      </c>
      <c r="F3" s="100">
        <v>1019</v>
      </c>
      <c r="G3" s="100">
        <v>7347</v>
      </c>
      <c r="H3" s="100">
        <v>1937</v>
      </c>
      <c r="I3" s="100">
        <v>3042</v>
      </c>
      <c r="J3" s="100">
        <v>2404</v>
      </c>
      <c r="K3" s="100">
        <v>10945</v>
      </c>
      <c r="L3" s="100">
        <v>11229</v>
      </c>
      <c r="M3" s="100">
        <v>4674</v>
      </c>
      <c r="N3" s="100">
        <v>15757</v>
      </c>
      <c r="O3" s="100">
        <v>14944</v>
      </c>
      <c r="P3" s="100">
        <v>9608</v>
      </c>
      <c r="Q3" s="101">
        <f>SUM(RepInCongressCongressionalDistrict21General[[#This Row],[Clinton County
 Vote Results]:[Washington County
 Vote Results]])</f>
        <v>121289</v>
      </c>
      <c r="R3" s="113">
        <f>SUM(RepInCongressCongressionalDistrict21General[[#This Row],[Total Votes by Party]],Q6)</f>
        <v>132447</v>
      </c>
    </row>
    <row r="4" spans="1:18" ht="14.25" customHeight="1" x14ac:dyDescent="0.2">
      <c r="A4" s="28" t="s">
        <v>355</v>
      </c>
      <c r="B4" s="100">
        <v>16790</v>
      </c>
      <c r="C4" s="100">
        <v>8955</v>
      </c>
      <c r="D4" s="100">
        <v>9812</v>
      </c>
      <c r="E4" s="100">
        <v>14676</v>
      </c>
      <c r="F4" s="100">
        <v>2089</v>
      </c>
      <c r="G4" s="100">
        <v>17603</v>
      </c>
      <c r="H4" s="100">
        <v>3886</v>
      </c>
      <c r="I4" s="100">
        <v>8631</v>
      </c>
      <c r="J4" s="100">
        <v>6428</v>
      </c>
      <c r="K4" s="100">
        <v>25300</v>
      </c>
      <c r="L4" s="100">
        <v>15445</v>
      </c>
      <c r="M4" s="100">
        <v>9294</v>
      </c>
      <c r="N4" s="100">
        <v>23704</v>
      </c>
      <c r="O4" s="100">
        <v>17229</v>
      </c>
      <c r="P4" s="100">
        <v>15622</v>
      </c>
      <c r="Q4" s="101">
        <f>SUM(RepInCongressCongressionalDistrict21General[[#This Row],[Clinton County
 Vote Results]:[Washington County
 Vote Results]])</f>
        <v>195464</v>
      </c>
      <c r="R4" s="113">
        <f>SUM(RepInCongressCongressionalDistrict21General[[#This Row],[Total Votes by Party]],Q5)</f>
        <v>215996</v>
      </c>
    </row>
    <row r="5" spans="1:18" ht="14.25" customHeight="1" x14ac:dyDescent="0.2">
      <c r="A5" s="28" t="s">
        <v>356</v>
      </c>
      <c r="B5" s="100">
        <v>1628</v>
      </c>
      <c r="C5" s="100">
        <v>800</v>
      </c>
      <c r="D5" s="100">
        <v>868</v>
      </c>
      <c r="E5" s="100">
        <v>1480</v>
      </c>
      <c r="F5" s="100">
        <v>205</v>
      </c>
      <c r="G5" s="100">
        <v>2048</v>
      </c>
      <c r="H5" s="100">
        <v>357</v>
      </c>
      <c r="I5" s="100">
        <v>268</v>
      </c>
      <c r="J5" s="100">
        <v>744</v>
      </c>
      <c r="K5" s="100">
        <v>2672</v>
      </c>
      <c r="L5" s="100">
        <v>1826</v>
      </c>
      <c r="M5" s="100">
        <v>1202</v>
      </c>
      <c r="N5" s="100">
        <v>2486</v>
      </c>
      <c r="O5" s="100">
        <v>1947</v>
      </c>
      <c r="P5" s="100">
        <v>2001</v>
      </c>
      <c r="Q5" s="101">
        <f>SUM(RepInCongressCongressionalDistrict21General[[#This Row],[Clinton County
 Vote Results]:[Washington County
 Vote Results]])</f>
        <v>20532</v>
      </c>
      <c r="R5" s="111"/>
    </row>
    <row r="6" spans="1:18" ht="14.25" customHeight="1" x14ac:dyDescent="0.2">
      <c r="A6" s="28" t="s">
        <v>357</v>
      </c>
      <c r="B6" s="100">
        <v>1335</v>
      </c>
      <c r="C6" s="100">
        <v>715</v>
      </c>
      <c r="D6" s="100">
        <v>655</v>
      </c>
      <c r="E6" s="100">
        <v>543</v>
      </c>
      <c r="F6" s="100">
        <v>83</v>
      </c>
      <c r="G6" s="100">
        <v>750</v>
      </c>
      <c r="H6" s="100">
        <v>172</v>
      </c>
      <c r="I6" s="100">
        <v>785</v>
      </c>
      <c r="J6" s="100">
        <v>276</v>
      </c>
      <c r="K6" s="100">
        <v>1005</v>
      </c>
      <c r="L6" s="100">
        <v>848</v>
      </c>
      <c r="M6" s="100">
        <v>584</v>
      </c>
      <c r="N6" s="100">
        <v>1300</v>
      </c>
      <c r="O6" s="100">
        <v>1215</v>
      </c>
      <c r="P6" s="100">
        <v>892</v>
      </c>
      <c r="Q6" s="101">
        <f>SUM(RepInCongressCongressionalDistrict21General[[#This Row],[Clinton County
 Vote Results]:[Washington County
 Vote Results]])</f>
        <v>11158</v>
      </c>
      <c r="R6" s="111"/>
    </row>
    <row r="7" spans="1:18" ht="14.25" customHeight="1" x14ac:dyDescent="0.2">
      <c r="A7" s="29" t="s">
        <v>18</v>
      </c>
      <c r="B7" s="100">
        <v>769</v>
      </c>
      <c r="C7" s="100">
        <v>660</v>
      </c>
      <c r="D7" s="100">
        <v>440</v>
      </c>
      <c r="E7" s="100">
        <v>1014</v>
      </c>
      <c r="F7" s="100">
        <v>42</v>
      </c>
      <c r="G7" s="100">
        <v>1257</v>
      </c>
      <c r="H7" s="100">
        <v>249</v>
      </c>
      <c r="I7" s="100">
        <v>509</v>
      </c>
      <c r="J7" s="100">
        <v>408</v>
      </c>
      <c r="K7" s="100">
        <v>2043</v>
      </c>
      <c r="L7" s="100">
        <v>892</v>
      </c>
      <c r="M7" s="100">
        <v>452</v>
      </c>
      <c r="N7" s="100">
        <v>1282</v>
      </c>
      <c r="O7" s="100">
        <v>943</v>
      </c>
      <c r="P7" s="100">
        <v>728</v>
      </c>
      <c r="Q7" s="101">
        <f>SUM(RepInCongressCongressionalDistrict21General[[#This Row],[Clinton County
 Vote Results]:[Washington County
 Vote Results]])</f>
        <v>11688</v>
      </c>
      <c r="R7" s="111"/>
    </row>
    <row r="8" spans="1:18" ht="14.25" customHeight="1" x14ac:dyDescent="0.2">
      <c r="A8" s="29" t="s">
        <v>19</v>
      </c>
      <c r="B8" s="100">
        <v>14</v>
      </c>
      <c r="C8" s="100">
        <v>8</v>
      </c>
      <c r="D8" s="100">
        <v>8</v>
      </c>
      <c r="E8" s="100">
        <v>12</v>
      </c>
      <c r="F8" s="100">
        <v>1</v>
      </c>
      <c r="G8" s="100">
        <v>12</v>
      </c>
      <c r="H8" s="100">
        <v>7</v>
      </c>
      <c r="I8" s="100">
        <v>5</v>
      </c>
      <c r="J8" s="100">
        <v>1</v>
      </c>
      <c r="K8" s="100">
        <v>8</v>
      </c>
      <c r="L8" s="100">
        <v>3</v>
      </c>
      <c r="M8" s="100">
        <v>14</v>
      </c>
      <c r="N8" s="100">
        <v>0</v>
      </c>
      <c r="O8" s="100">
        <v>11</v>
      </c>
      <c r="P8" s="100">
        <v>26</v>
      </c>
      <c r="Q8" s="101">
        <f>SUM(RepInCongressCongressionalDistrict21General[[#This Row],[Clinton County
 Vote Results]:[Washington County
 Vote Results]])</f>
        <v>130</v>
      </c>
      <c r="R8" s="111"/>
    </row>
    <row r="9" spans="1:18" ht="14.25" customHeight="1" x14ac:dyDescent="0.2">
      <c r="A9" s="29" t="s">
        <v>20</v>
      </c>
      <c r="B9" s="100">
        <v>29</v>
      </c>
      <c r="C9" s="100">
        <v>7</v>
      </c>
      <c r="D9" s="100">
        <v>10</v>
      </c>
      <c r="E9" s="100">
        <v>9</v>
      </c>
      <c r="F9" s="100">
        <v>3</v>
      </c>
      <c r="G9" s="100">
        <v>7</v>
      </c>
      <c r="H9" s="100">
        <v>7</v>
      </c>
      <c r="I9" s="100">
        <v>6</v>
      </c>
      <c r="J9" s="100">
        <v>9</v>
      </c>
      <c r="K9" s="100">
        <v>21</v>
      </c>
      <c r="L9" s="100">
        <v>9</v>
      </c>
      <c r="M9" s="100">
        <v>11</v>
      </c>
      <c r="N9" s="100">
        <v>20</v>
      </c>
      <c r="O9" s="100">
        <v>29</v>
      </c>
      <c r="P9" s="100">
        <v>20</v>
      </c>
      <c r="Q9" s="101">
        <f>SUM(RepInCongressCongressionalDistrict21General[[#This Row],[Clinton County
 Vote Results]:[Washington County
 Vote Results]])</f>
        <v>197</v>
      </c>
      <c r="R9" s="111"/>
    </row>
    <row r="10" spans="1:18" ht="14.25" customHeight="1" x14ac:dyDescent="0.2">
      <c r="A10" s="103" t="s">
        <v>21</v>
      </c>
      <c r="B10" s="100">
        <f>SUM(RepInCongressCongressionalDistrict21General[Clinton County
 Vote Results])</f>
        <v>36238</v>
      </c>
      <c r="C10" s="100">
        <f>SUM(RepInCongressCongressionalDistrict21General[Essex County
 Vote Results])</f>
        <v>19529</v>
      </c>
      <c r="D10" s="100">
        <f>SUM(RepInCongressCongressionalDistrict21General[Franklin County
 Vote Results])</f>
        <v>19662</v>
      </c>
      <c r="E10" s="100">
        <f>SUBTOTAL(109,E3:E9)</f>
        <v>24191</v>
      </c>
      <c r="F10" s="100">
        <f>SUM(RepInCongressCongressionalDistrict21General[Hamilton County 
Vote Results])</f>
        <v>3442</v>
      </c>
      <c r="G10" s="100">
        <f>SUM(RepInCongressCongressionalDistrict21General[Herkimer County 
Vote Results])</f>
        <v>29024</v>
      </c>
      <c r="H10" s="100">
        <f>SUM(RepInCongressCongressionalDistrict21General[Part of Jefferson County 
Vote Results])</f>
        <v>6615</v>
      </c>
      <c r="I10" s="100">
        <f>SUM(RepInCongressCongressionalDistrict21General[Lewis County 
Vote Results])</f>
        <v>13246</v>
      </c>
      <c r="J10" s="100">
        <f>SUM(RepInCongressCongressionalDistrict21General[Part of Montgomery County
 Vote Results])</f>
        <v>10270</v>
      </c>
      <c r="K10" s="100">
        <f>SUM(RepInCongressCongressionalDistrict21General[Part of Oneida County 
Vote Results])</f>
        <v>41994</v>
      </c>
      <c r="L10" s="100">
        <f>SUM(RepInCongressCongressionalDistrict21General[Part of Saratoga County 
Vote Results])</f>
        <v>30252</v>
      </c>
      <c r="M10" s="100">
        <f>SUM(RepInCongressCongressionalDistrict21General[Schoharie County 
Vote Results])</f>
        <v>16231</v>
      </c>
      <c r="N10" s="100">
        <f>SUM(RepInCongressCongressionalDistrict21General[St. Lawrence County 
Vote Results])</f>
        <v>44549</v>
      </c>
      <c r="O10" s="100">
        <f>SUM(RepInCongressCongressionalDistrict21General[Warren County 
Vote Results])</f>
        <v>36318</v>
      </c>
      <c r="P10" s="100">
        <f>SUM(RepInCongressCongressionalDistrict21General[Washington County
 Vote Results])</f>
        <v>28897</v>
      </c>
      <c r="Q10" s="101">
        <f>SUM(RepInCongressCongressionalDistrict21General[Total Votes by Party])</f>
        <v>360458</v>
      </c>
      <c r="R10" s="111"/>
    </row>
    <row r="11" spans="1:18" ht="14.25" x14ac:dyDescent="0.2">
      <c r="B11" s="70"/>
      <c r="C11" s="70"/>
      <c r="D11" s="70"/>
      <c r="E11" s="70"/>
      <c r="F11" s="70"/>
      <c r="G11" s="70"/>
      <c r="H11" s="70"/>
      <c r="I11" s="70"/>
      <c r="J11" s="70"/>
      <c r="L11" s="70"/>
      <c r="M11" s="70"/>
      <c r="N11" s="70"/>
      <c r="O11" s="70"/>
      <c r="P11" s="70"/>
    </row>
  </sheetData>
  <pageMargins left="0.25" right="0.25" top="0.25" bottom="0.25" header="0.25" footer="0.25"/>
  <pageSetup paperSize="5" scale="85" fitToHeight="0" orientation="landscape" r:id="rId1"/>
  <headerFooter alignWithMargins="0">
    <oddFooter>&amp;RPage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E1F2B-E26E-4CDC-87EF-118E65CDEBEE}">
  <sheetPr>
    <pageSetUpPr fitToPage="1"/>
  </sheetPr>
  <dimension ref="A1:H11"/>
  <sheetViews>
    <sheetView zoomScaleNormal="100" zoomScaleSheetLayoutView="90" workbookViewId="0">
      <pane xSplit="1" topLeftCell="B1" activePane="topRight" state="frozen"/>
      <selection activeCell="A30" sqref="A30"/>
      <selection pane="topRight"/>
    </sheetView>
  </sheetViews>
  <sheetFormatPr defaultRowHeight="12.75" x14ac:dyDescent="0.2"/>
  <cols>
    <col min="1" max="1" width="25.5703125" customWidth="1"/>
    <col min="2" max="8" width="20.28515625" customWidth="1"/>
    <col min="9" max="10" width="23.5703125" customWidth="1"/>
  </cols>
  <sheetData>
    <row r="1" spans="1:8" ht="24.75" customHeight="1" x14ac:dyDescent="0.2">
      <c r="A1" s="72" t="s">
        <v>358</v>
      </c>
      <c r="B1" s="108"/>
      <c r="C1" s="108"/>
      <c r="D1" s="108"/>
      <c r="E1" s="108"/>
      <c r="F1" s="108"/>
      <c r="G1" s="108"/>
      <c r="H1" s="108"/>
    </row>
    <row r="2" spans="1:8" s="24" customFormat="1" ht="28.5" customHeight="1" x14ac:dyDescent="0.2">
      <c r="A2" s="19" t="s">
        <v>93</v>
      </c>
      <c r="B2" s="7" t="s">
        <v>359</v>
      </c>
      <c r="C2" s="7" t="s">
        <v>318</v>
      </c>
      <c r="D2" s="7" t="s">
        <v>360</v>
      </c>
      <c r="E2" s="7" t="s">
        <v>348</v>
      </c>
      <c r="F2" s="7" t="s">
        <v>361</v>
      </c>
      <c r="G2" s="20" t="s">
        <v>84</v>
      </c>
      <c r="H2" s="21" t="s">
        <v>85</v>
      </c>
    </row>
    <row r="3" spans="1:8" ht="14.25" customHeight="1" x14ac:dyDescent="0.2">
      <c r="A3" s="28" t="s">
        <v>362</v>
      </c>
      <c r="B3" s="100">
        <v>10395</v>
      </c>
      <c r="C3" s="100">
        <v>7480</v>
      </c>
      <c r="D3" s="100">
        <v>13230</v>
      </c>
      <c r="E3" s="100">
        <v>23795</v>
      </c>
      <c r="F3" s="100">
        <v>123494</v>
      </c>
      <c r="G3" s="101">
        <f t="shared" ref="G3:G9" si="0">SUM(B3,C3,D3,E3,F3)</f>
        <v>178394</v>
      </c>
      <c r="H3" s="113">
        <f>SUM(RepInCongressCongressionalDistrict22General[[#This Row],[Total Votes by Party]],G6)</f>
        <v>194450</v>
      </c>
    </row>
    <row r="4" spans="1:8" ht="14.25" customHeight="1" x14ac:dyDescent="0.2">
      <c r="A4" s="28" t="s">
        <v>363</v>
      </c>
      <c r="B4" s="100">
        <v>10956</v>
      </c>
      <c r="C4" s="100">
        <v>7225</v>
      </c>
      <c r="D4" s="100">
        <v>16578</v>
      </c>
      <c r="E4" s="100">
        <v>27798</v>
      </c>
      <c r="F4" s="100">
        <v>79525</v>
      </c>
      <c r="G4" s="101">
        <f t="shared" si="0"/>
        <v>142082</v>
      </c>
      <c r="H4" s="113">
        <f>SUM(RepInCongressCongressionalDistrict22General[[#This Row],[Total Votes by Party]],G5)</f>
        <v>161939</v>
      </c>
    </row>
    <row r="5" spans="1:8" ht="14.25" customHeight="1" x14ac:dyDescent="0.2">
      <c r="A5" s="28" t="s">
        <v>364</v>
      </c>
      <c r="B5" s="100">
        <v>1572</v>
      </c>
      <c r="C5" s="100">
        <v>845</v>
      </c>
      <c r="D5" s="100">
        <v>2146</v>
      </c>
      <c r="E5" s="100">
        <v>3044</v>
      </c>
      <c r="F5" s="100">
        <v>12250</v>
      </c>
      <c r="G5" s="101">
        <f t="shared" si="0"/>
        <v>19857</v>
      </c>
      <c r="H5" s="111"/>
    </row>
    <row r="6" spans="1:8" ht="14.25" customHeight="1" x14ac:dyDescent="0.2">
      <c r="A6" s="28" t="s">
        <v>365</v>
      </c>
      <c r="B6" s="100">
        <v>899</v>
      </c>
      <c r="C6" s="100">
        <v>739</v>
      </c>
      <c r="D6" s="100">
        <v>1382</v>
      </c>
      <c r="E6" s="100">
        <v>2260</v>
      </c>
      <c r="F6" s="100">
        <v>10776</v>
      </c>
      <c r="G6" s="101">
        <f t="shared" si="0"/>
        <v>16056</v>
      </c>
      <c r="H6" s="111"/>
    </row>
    <row r="7" spans="1:8" ht="14.25" customHeight="1" x14ac:dyDescent="0.2">
      <c r="A7" s="29" t="s">
        <v>18</v>
      </c>
      <c r="B7" s="100">
        <v>972</v>
      </c>
      <c r="C7" s="100">
        <v>627</v>
      </c>
      <c r="D7" s="100">
        <v>873</v>
      </c>
      <c r="E7" s="100">
        <v>2539</v>
      </c>
      <c r="F7" s="100">
        <v>5299</v>
      </c>
      <c r="G7" s="101">
        <f t="shared" si="0"/>
        <v>10310</v>
      </c>
      <c r="H7" s="111"/>
    </row>
    <row r="8" spans="1:8" ht="14.25" customHeight="1" x14ac:dyDescent="0.2">
      <c r="A8" s="29" t="s">
        <v>19</v>
      </c>
      <c r="B8" s="100">
        <v>7</v>
      </c>
      <c r="C8" s="100">
        <v>0</v>
      </c>
      <c r="D8" s="100">
        <v>16</v>
      </c>
      <c r="E8" s="100">
        <v>47</v>
      </c>
      <c r="F8" s="100">
        <v>91</v>
      </c>
      <c r="G8" s="101">
        <f t="shared" si="0"/>
        <v>161</v>
      </c>
      <c r="H8" s="111"/>
    </row>
    <row r="9" spans="1:8" ht="14.25" customHeight="1" x14ac:dyDescent="0.2">
      <c r="A9" s="29" t="s">
        <v>20</v>
      </c>
      <c r="B9" s="100">
        <v>28</v>
      </c>
      <c r="C9" s="100">
        <v>13</v>
      </c>
      <c r="D9" s="100">
        <v>40</v>
      </c>
      <c r="E9" s="100">
        <v>50</v>
      </c>
      <c r="F9" s="100">
        <v>272</v>
      </c>
      <c r="G9" s="101">
        <f t="shared" si="0"/>
        <v>403</v>
      </c>
      <c r="H9" s="111"/>
    </row>
    <row r="10" spans="1:8" ht="14.25" customHeight="1" x14ac:dyDescent="0.2">
      <c r="A10" s="103" t="s">
        <v>21</v>
      </c>
      <c r="B10" s="100">
        <f>SUM(RepInCongressCongressionalDistrict22General[Part of Cayuga County 
Vote Results])</f>
        <v>24829</v>
      </c>
      <c r="C10" s="100">
        <f>SUM(RepInCongressCongressionalDistrict22General[Part of Cortland County 
Vote Results])</f>
        <v>16929</v>
      </c>
      <c r="D10" s="100">
        <f>SUM(RepInCongressCongressionalDistrict22General[Madison County
 Vote Results])</f>
        <v>34265</v>
      </c>
      <c r="E10" s="100">
        <f>SUM(RepInCongressCongressionalDistrict22General[Part of Oneida County 
Vote Results])</f>
        <v>59533</v>
      </c>
      <c r="F10" s="100">
        <f>SUM(RepInCongressCongressionalDistrict22General[Onondaga County 
Vote Results])</f>
        <v>231707</v>
      </c>
      <c r="G10" s="101">
        <f>SUM(RepInCongressCongressionalDistrict22General[Total Votes by Party])</f>
        <v>367263</v>
      </c>
      <c r="H10" s="111"/>
    </row>
    <row r="11" spans="1:8" ht="14.25" x14ac:dyDescent="0.2">
      <c r="B11" s="70"/>
      <c r="C11" s="70"/>
      <c r="D11" s="70"/>
      <c r="F11" s="70"/>
    </row>
  </sheetData>
  <pageMargins left="0.25" right="0.25" top="0.25" bottom="0.25" header="0.25" footer="0.25"/>
  <pageSetup paperSize="5" scale="84" fitToHeight="0" orientation="landscape" r:id="rId1"/>
  <headerFooter alignWithMargins="0">
    <oddFooter>&amp;RPage &amp;P of &amp;N</oddFooter>
  </headerFooter>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2288-A4A6-4C2E-B8DD-A9AC39E95158}">
  <sheetPr>
    <pageSetUpPr fitToPage="1"/>
  </sheetPr>
  <dimension ref="A1:L10"/>
  <sheetViews>
    <sheetView zoomScaleNormal="100" zoomScaleSheetLayoutView="90" workbookViewId="0">
      <pane xSplit="1" topLeftCell="B1" activePane="topRight" state="frozen"/>
      <selection activeCell="A30" sqref="A30"/>
      <selection pane="topRight"/>
    </sheetView>
  </sheetViews>
  <sheetFormatPr defaultRowHeight="12.75" x14ac:dyDescent="0.2"/>
  <cols>
    <col min="1" max="1" width="25.5703125" customWidth="1"/>
    <col min="2" max="12" width="20.5703125" customWidth="1"/>
    <col min="13" max="13" width="13.7109375" customWidth="1"/>
    <col min="14" max="15" width="23.5703125" customWidth="1"/>
  </cols>
  <sheetData>
    <row r="1" spans="1:12" ht="24.75" customHeight="1" x14ac:dyDescent="0.2">
      <c r="A1" s="72" t="s">
        <v>366</v>
      </c>
      <c r="B1" s="108"/>
      <c r="C1" s="108"/>
      <c r="D1" s="108"/>
      <c r="E1" s="108"/>
      <c r="F1" s="108"/>
      <c r="G1" s="108"/>
      <c r="H1" s="108"/>
      <c r="I1" s="108"/>
      <c r="J1" s="108"/>
      <c r="K1" s="108"/>
      <c r="L1" s="108"/>
    </row>
    <row r="2" spans="1:12" s="24" customFormat="1" ht="28.5" customHeight="1" x14ac:dyDescent="0.2">
      <c r="A2" s="19" t="s">
        <v>93</v>
      </c>
      <c r="B2" s="7" t="s">
        <v>367</v>
      </c>
      <c r="C2" s="7" t="s">
        <v>368</v>
      </c>
      <c r="D2" s="7" t="s">
        <v>369</v>
      </c>
      <c r="E2" s="7" t="s">
        <v>370</v>
      </c>
      <c r="F2" s="7" t="s">
        <v>371</v>
      </c>
      <c r="G2" s="7" t="s">
        <v>372</v>
      </c>
      <c r="H2" s="7" t="s">
        <v>373</v>
      </c>
      <c r="I2" s="7" t="s">
        <v>374</v>
      </c>
      <c r="J2" s="7" t="s">
        <v>375</v>
      </c>
      <c r="K2" s="20" t="s">
        <v>84</v>
      </c>
      <c r="L2" s="21" t="s">
        <v>85</v>
      </c>
    </row>
    <row r="3" spans="1:12" ht="14.25" customHeight="1" x14ac:dyDescent="0.2">
      <c r="A3" s="28" t="s">
        <v>376</v>
      </c>
      <c r="B3" s="100">
        <v>4479</v>
      </c>
      <c r="C3" s="100">
        <v>8940</v>
      </c>
      <c r="D3" s="100">
        <v>17491</v>
      </c>
      <c r="E3" s="100">
        <v>13280</v>
      </c>
      <c r="F3" s="100">
        <v>59031</v>
      </c>
      <c r="G3" s="100">
        <v>3857</v>
      </c>
      <c r="H3" s="100">
        <v>1451</v>
      </c>
      <c r="I3" s="100">
        <v>11438</v>
      </c>
      <c r="J3" s="100">
        <v>8430</v>
      </c>
      <c r="K3" s="101">
        <f t="shared" ref="K3:K8" si="0">SUM(B3,C3,D3,E3,F3,G3,H3,I3,J3)</f>
        <v>128397</v>
      </c>
      <c r="L3" s="113">
        <f>SUM(RepInCongressCongressionalDistrict23General[[#This Row],[Total Votes by Party]])</f>
        <v>128397</v>
      </c>
    </row>
    <row r="4" spans="1:12" ht="14.25" customHeight="1" x14ac:dyDescent="0.2">
      <c r="A4" s="28" t="s">
        <v>377</v>
      </c>
      <c r="B4" s="100">
        <v>12784</v>
      </c>
      <c r="C4" s="100">
        <v>20947</v>
      </c>
      <c r="D4" s="100">
        <v>32012</v>
      </c>
      <c r="E4" s="100">
        <v>20391</v>
      </c>
      <c r="F4" s="100">
        <v>82191</v>
      </c>
      <c r="G4" s="100">
        <v>6039</v>
      </c>
      <c r="H4" s="100">
        <v>2940</v>
      </c>
      <c r="I4" s="100">
        <v>22978</v>
      </c>
      <c r="J4" s="100">
        <v>13646</v>
      </c>
      <c r="K4" s="101">
        <f t="shared" si="0"/>
        <v>213928</v>
      </c>
      <c r="L4" s="113">
        <f>SUM(RepInCongressCongressionalDistrict23General[[#This Row],[Total Votes by Party]],K5)</f>
        <v>246969</v>
      </c>
    </row>
    <row r="5" spans="1:12" ht="14.25" customHeight="1" x14ac:dyDescent="0.2">
      <c r="A5" s="28" t="s">
        <v>378</v>
      </c>
      <c r="B5" s="100">
        <v>1473</v>
      </c>
      <c r="C5" s="100">
        <v>2647</v>
      </c>
      <c r="D5" s="100">
        <v>4966</v>
      </c>
      <c r="E5" s="100">
        <v>2415</v>
      </c>
      <c r="F5" s="100">
        <v>16331</v>
      </c>
      <c r="G5" s="100">
        <v>1140</v>
      </c>
      <c r="H5" s="100">
        <v>350</v>
      </c>
      <c r="I5" s="100">
        <v>2387</v>
      </c>
      <c r="J5" s="100">
        <v>1332</v>
      </c>
      <c r="K5" s="101">
        <f t="shared" si="0"/>
        <v>33041</v>
      </c>
      <c r="L5" s="111"/>
    </row>
    <row r="6" spans="1:12" ht="14.25" customHeight="1" x14ac:dyDescent="0.2">
      <c r="A6" s="29" t="s">
        <v>18</v>
      </c>
      <c r="B6" s="100">
        <v>922</v>
      </c>
      <c r="C6" s="100">
        <v>1946</v>
      </c>
      <c r="D6" s="100">
        <v>2998</v>
      </c>
      <c r="E6" s="100">
        <v>1887</v>
      </c>
      <c r="F6" s="100">
        <v>10000</v>
      </c>
      <c r="G6" s="100">
        <v>855</v>
      </c>
      <c r="H6" s="100">
        <v>198</v>
      </c>
      <c r="I6" s="100">
        <v>1660</v>
      </c>
      <c r="J6" s="100">
        <v>1415</v>
      </c>
      <c r="K6" s="101">
        <f t="shared" si="0"/>
        <v>21881</v>
      </c>
      <c r="L6" s="111"/>
    </row>
    <row r="7" spans="1:12" ht="14.25" customHeight="1" x14ac:dyDescent="0.2">
      <c r="A7" s="29" t="s">
        <v>19</v>
      </c>
      <c r="B7" s="100">
        <v>0</v>
      </c>
      <c r="C7" s="100">
        <v>18</v>
      </c>
      <c r="D7" s="100">
        <v>26</v>
      </c>
      <c r="E7" s="100">
        <v>11</v>
      </c>
      <c r="F7" s="100">
        <v>63</v>
      </c>
      <c r="G7" s="100">
        <v>2</v>
      </c>
      <c r="H7" s="100">
        <v>0</v>
      </c>
      <c r="I7" s="100">
        <v>20</v>
      </c>
      <c r="J7" s="100">
        <v>6</v>
      </c>
      <c r="K7" s="101">
        <f t="shared" si="0"/>
        <v>146</v>
      </c>
      <c r="L7" s="111"/>
    </row>
    <row r="8" spans="1:12" ht="14.25" customHeight="1" x14ac:dyDescent="0.2">
      <c r="A8" s="29" t="s">
        <v>20</v>
      </c>
      <c r="B8" s="100">
        <v>11</v>
      </c>
      <c r="C8" s="100">
        <v>25</v>
      </c>
      <c r="D8" s="100">
        <v>25</v>
      </c>
      <c r="E8" s="100">
        <v>16</v>
      </c>
      <c r="F8" s="100">
        <v>112</v>
      </c>
      <c r="G8" s="100">
        <v>9</v>
      </c>
      <c r="H8" s="100">
        <v>4</v>
      </c>
      <c r="I8" s="100">
        <v>16</v>
      </c>
      <c r="J8" s="100">
        <v>10</v>
      </c>
      <c r="K8" s="101">
        <f t="shared" si="0"/>
        <v>228</v>
      </c>
      <c r="L8" s="111"/>
    </row>
    <row r="9" spans="1:12" ht="14.25" customHeight="1" x14ac:dyDescent="0.2">
      <c r="A9" s="103" t="s">
        <v>21</v>
      </c>
      <c r="B9" s="100">
        <f>SUM(RepInCongressCongressionalDistrict23General[Allegany County 
Vote Results])</f>
        <v>19669</v>
      </c>
      <c r="C9" s="100">
        <f>SUM(RepInCongressCongressionalDistrict23General[Cattaraugus County 
Vote Results])</f>
        <v>34523</v>
      </c>
      <c r="D9" s="100">
        <f>SUM(RepInCongressCongressionalDistrict23General[Chautauqua County 
Vote Results])</f>
        <v>57518</v>
      </c>
      <c r="E9" s="100">
        <f>SUM(RepInCongressCongressionalDistrict23General[Chemung County 
Vote Results])</f>
        <v>38000</v>
      </c>
      <c r="F9" s="100">
        <f>SUM(RepInCongressCongressionalDistrict23General[Part of Erie County 
Vote Results])</f>
        <v>167728</v>
      </c>
      <c r="G9" s="100">
        <f>SUM(RepInCongressCongressionalDistrict23General[Part of Niagara County 
Vote Results])</f>
        <v>11902</v>
      </c>
      <c r="H9" s="100">
        <f>SUM(RepInCongressCongressionalDistrict23General[Part of Schuyler County 
Vote Results])</f>
        <v>4943</v>
      </c>
      <c r="I9" s="100">
        <f>SUM(RepInCongressCongressionalDistrict23General[Part of Steuben County 
Vote Results])</f>
        <v>38499</v>
      </c>
      <c r="J9" s="100">
        <f>SUM(RepInCongressCongressionalDistrict23General[Tioga County 
Vote Results])</f>
        <v>24839</v>
      </c>
      <c r="K9" s="101">
        <f>SUM(RepInCongressCongressionalDistrict23General[Total Votes by Party])</f>
        <v>397621</v>
      </c>
      <c r="L9" s="111"/>
    </row>
    <row r="10" spans="1:12" ht="14.25" x14ac:dyDescent="0.2">
      <c r="B10" s="70"/>
      <c r="C10" s="70"/>
      <c r="D10" s="70"/>
      <c r="E10" s="70"/>
      <c r="F10" s="70"/>
      <c r="H10" s="70"/>
      <c r="I10" s="70"/>
      <c r="J10" s="70"/>
    </row>
  </sheetData>
  <pageMargins left="0.25" right="0.25" top="0.25" bottom="0.25" header="0.25" footer="0.25"/>
  <pageSetup paperSize="5" scale="85" fitToHeight="0" orientation="landscape" r:id="rId1"/>
  <headerFooter alignWithMargins="0">
    <oddFooter>&amp;RPage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07A8-BF6A-4731-BB83-1E81FB430278}">
  <sheetPr>
    <pageSetUpPr fitToPage="1"/>
  </sheetPr>
  <dimension ref="A1:Q10"/>
  <sheetViews>
    <sheetView workbookViewId="0">
      <pane xSplit="1" topLeftCell="B1" activePane="topRight" state="frozen"/>
      <selection activeCell="A30" sqref="A30"/>
      <selection pane="topRight"/>
    </sheetView>
  </sheetViews>
  <sheetFormatPr defaultRowHeight="12.75" x14ac:dyDescent="0.2"/>
  <cols>
    <col min="1" max="1" width="25.5703125" customWidth="1"/>
    <col min="2" max="17" width="19.7109375" customWidth="1"/>
    <col min="18" max="18" width="20.5703125" customWidth="1"/>
    <col min="19" max="20" width="23.5703125" customWidth="1"/>
  </cols>
  <sheetData>
    <row r="1" spans="1:17" ht="24.75" customHeight="1" x14ac:dyDescent="0.2">
      <c r="A1" s="72" t="s">
        <v>379</v>
      </c>
      <c r="B1" s="108"/>
      <c r="C1" s="108"/>
      <c r="D1" s="108"/>
      <c r="E1" s="108"/>
      <c r="F1" s="108"/>
      <c r="G1" s="108"/>
      <c r="H1" s="108"/>
      <c r="I1" s="108"/>
      <c r="J1" s="108"/>
      <c r="K1" s="108"/>
      <c r="L1" s="108"/>
      <c r="M1" s="108"/>
      <c r="N1" s="108"/>
      <c r="O1" s="108"/>
      <c r="P1" s="108"/>
      <c r="Q1" s="108"/>
    </row>
    <row r="2" spans="1:17" ht="28.5" customHeight="1" x14ac:dyDescent="0.2">
      <c r="A2" s="6" t="s">
        <v>93</v>
      </c>
      <c r="B2" s="7" t="s">
        <v>359</v>
      </c>
      <c r="C2" s="7" t="s">
        <v>380</v>
      </c>
      <c r="D2" s="7" t="s">
        <v>346</v>
      </c>
      <c r="E2" s="7" t="s">
        <v>381</v>
      </c>
      <c r="F2" s="7" t="s">
        <v>372</v>
      </c>
      <c r="G2" s="7" t="s">
        <v>382</v>
      </c>
      <c r="H2" s="7" t="s">
        <v>383</v>
      </c>
      <c r="I2" s="7" t="s">
        <v>384</v>
      </c>
      <c r="J2" s="7" t="s">
        <v>373</v>
      </c>
      <c r="K2" s="7" t="s">
        <v>385</v>
      </c>
      <c r="L2" s="7" t="s">
        <v>374</v>
      </c>
      <c r="M2" s="7" t="s">
        <v>386</v>
      </c>
      <c r="N2" s="7" t="s">
        <v>136</v>
      </c>
      <c r="O2" s="7" t="s">
        <v>119</v>
      </c>
      <c r="P2" s="8" t="s">
        <v>84</v>
      </c>
      <c r="Q2" s="9" t="s">
        <v>85</v>
      </c>
    </row>
    <row r="3" spans="1:17" ht="14.25" customHeight="1" x14ac:dyDescent="0.2">
      <c r="A3" s="28" t="s">
        <v>387</v>
      </c>
      <c r="B3" s="100">
        <v>3576</v>
      </c>
      <c r="C3" s="100">
        <v>7756</v>
      </c>
      <c r="D3" s="100">
        <v>11634</v>
      </c>
      <c r="E3" s="100">
        <v>10323</v>
      </c>
      <c r="F3" s="100">
        <v>14795</v>
      </c>
      <c r="G3" s="100">
        <v>20872</v>
      </c>
      <c r="H3" s="100">
        <v>4443</v>
      </c>
      <c r="I3" s="100">
        <v>17945</v>
      </c>
      <c r="J3" s="100">
        <v>1823</v>
      </c>
      <c r="K3" s="100">
        <v>5973</v>
      </c>
      <c r="L3" s="100">
        <v>1668</v>
      </c>
      <c r="M3" s="100">
        <v>14500</v>
      </c>
      <c r="N3" s="100">
        <v>4183</v>
      </c>
      <c r="O3" s="100">
        <v>3826</v>
      </c>
      <c r="P3" s="101">
        <f t="shared" ref="P3:P8" si="0">SUM(B3,C3,D3,E3,F3,G3,H3,I3,J3,L3,K3,M3,N3,O3)</f>
        <v>123317</v>
      </c>
      <c r="Q3" s="113">
        <f>SUM(RepInCongressCongressionalDistrict24General[[#This Row],[Total Votes by Party]])</f>
        <v>123317</v>
      </c>
    </row>
    <row r="4" spans="1:17" ht="14.25" customHeight="1" x14ac:dyDescent="0.2">
      <c r="A4" s="28" t="s">
        <v>388</v>
      </c>
      <c r="B4" s="100">
        <v>6874</v>
      </c>
      <c r="C4" s="100">
        <v>16900</v>
      </c>
      <c r="D4" s="100">
        <v>20891</v>
      </c>
      <c r="E4" s="100">
        <v>17217</v>
      </c>
      <c r="F4" s="100">
        <v>23386</v>
      </c>
      <c r="G4" s="100">
        <v>22934</v>
      </c>
      <c r="H4" s="100">
        <v>10883</v>
      </c>
      <c r="I4" s="100">
        <v>30897</v>
      </c>
      <c r="J4" s="100">
        <v>2352</v>
      </c>
      <c r="K4" s="100">
        <v>7606</v>
      </c>
      <c r="L4" s="100">
        <v>4834</v>
      </c>
      <c r="M4" s="100">
        <v>24203</v>
      </c>
      <c r="N4" s="100">
        <v>12524</v>
      </c>
      <c r="O4" s="100">
        <v>5577</v>
      </c>
      <c r="P4" s="101">
        <f t="shared" si="0"/>
        <v>207078</v>
      </c>
      <c r="Q4" s="113">
        <f>SUM(RepInCongressCongressionalDistrict24General[[#This Row],[Total Votes by Party]],P5)</f>
        <v>235867</v>
      </c>
    </row>
    <row r="5" spans="1:17" ht="14.25" customHeight="1" x14ac:dyDescent="0.2">
      <c r="A5" s="28" t="s">
        <v>389</v>
      </c>
      <c r="B5" s="100">
        <v>986</v>
      </c>
      <c r="C5" s="100">
        <v>2435</v>
      </c>
      <c r="D5" s="100">
        <v>2115</v>
      </c>
      <c r="E5" s="100">
        <v>2399</v>
      </c>
      <c r="F5" s="100">
        <v>3788</v>
      </c>
      <c r="G5" s="100">
        <v>3630</v>
      </c>
      <c r="H5" s="100">
        <v>1449</v>
      </c>
      <c r="I5" s="100">
        <v>3749</v>
      </c>
      <c r="J5" s="100">
        <v>293</v>
      </c>
      <c r="K5" s="100">
        <v>977</v>
      </c>
      <c r="L5" s="100">
        <v>514</v>
      </c>
      <c r="M5" s="100">
        <v>4062</v>
      </c>
      <c r="N5" s="100">
        <v>1588</v>
      </c>
      <c r="O5" s="100">
        <v>804</v>
      </c>
      <c r="P5" s="101">
        <f t="shared" si="0"/>
        <v>28789</v>
      </c>
      <c r="Q5" s="111"/>
    </row>
    <row r="6" spans="1:17" ht="14.25" customHeight="1" x14ac:dyDescent="0.2">
      <c r="A6" s="29" t="s">
        <v>18</v>
      </c>
      <c r="B6" s="100">
        <v>513</v>
      </c>
      <c r="C6" s="100">
        <v>1693</v>
      </c>
      <c r="D6" s="100">
        <v>2012</v>
      </c>
      <c r="E6" s="100">
        <v>1501</v>
      </c>
      <c r="F6" s="100">
        <v>3120</v>
      </c>
      <c r="G6" s="100">
        <v>2059</v>
      </c>
      <c r="H6" s="100">
        <v>1512</v>
      </c>
      <c r="I6" s="100">
        <v>2059</v>
      </c>
      <c r="J6" s="100">
        <v>166</v>
      </c>
      <c r="K6" s="100">
        <v>643</v>
      </c>
      <c r="L6" s="100">
        <v>306</v>
      </c>
      <c r="M6" s="100">
        <v>2215</v>
      </c>
      <c r="N6" s="100">
        <v>1100</v>
      </c>
      <c r="O6" s="100">
        <v>472</v>
      </c>
      <c r="P6" s="101">
        <f t="shared" si="0"/>
        <v>19371</v>
      </c>
      <c r="Q6" s="111"/>
    </row>
    <row r="7" spans="1:17" ht="14.25" customHeight="1" x14ac:dyDescent="0.2">
      <c r="A7" s="29" t="s">
        <v>19</v>
      </c>
      <c r="B7" s="100">
        <v>0</v>
      </c>
      <c r="C7" s="100">
        <v>19</v>
      </c>
      <c r="D7" s="100">
        <v>26</v>
      </c>
      <c r="E7" s="100">
        <v>2</v>
      </c>
      <c r="F7" s="100">
        <v>10</v>
      </c>
      <c r="G7" s="100">
        <v>9</v>
      </c>
      <c r="H7" s="100">
        <v>12</v>
      </c>
      <c r="I7" s="100">
        <v>11</v>
      </c>
      <c r="J7" s="100">
        <v>2</v>
      </c>
      <c r="K7" s="100">
        <v>10</v>
      </c>
      <c r="L7" s="100">
        <v>0</v>
      </c>
      <c r="M7" s="100">
        <v>7</v>
      </c>
      <c r="N7" s="100">
        <v>17</v>
      </c>
      <c r="O7" s="100">
        <v>8</v>
      </c>
      <c r="P7" s="101">
        <f t="shared" si="0"/>
        <v>133</v>
      </c>
      <c r="Q7" s="111"/>
    </row>
    <row r="8" spans="1:17" ht="14.25" customHeight="1" x14ac:dyDescent="0.2">
      <c r="A8" s="29" t="s">
        <v>20</v>
      </c>
      <c r="B8" s="100">
        <v>7</v>
      </c>
      <c r="C8" s="100">
        <v>18</v>
      </c>
      <c r="D8" s="100">
        <v>17</v>
      </c>
      <c r="E8" s="100">
        <v>19</v>
      </c>
      <c r="F8" s="100">
        <v>15</v>
      </c>
      <c r="G8" s="100">
        <v>35</v>
      </c>
      <c r="H8" s="100">
        <v>2</v>
      </c>
      <c r="I8" s="100">
        <v>49</v>
      </c>
      <c r="J8" s="100">
        <v>0</v>
      </c>
      <c r="K8" s="100">
        <v>18</v>
      </c>
      <c r="L8" s="100">
        <v>1</v>
      </c>
      <c r="M8" s="100">
        <v>28</v>
      </c>
      <c r="N8" s="100">
        <v>3</v>
      </c>
      <c r="O8" s="100">
        <v>11</v>
      </c>
      <c r="P8" s="101">
        <f t="shared" si="0"/>
        <v>223</v>
      </c>
      <c r="Q8" s="111"/>
    </row>
    <row r="9" spans="1:17" ht="14.25" customHeight="1" x14ac:dyDescent="0.2">
      <c r="A9" s="103" t="s">
        <v>21</v>
      </c>
      <c r="B9" s="100">
        <f>SUM(RepInCongressCongressionalDistrict24General[Part of Cayuga County 
Vote Results])</f>
        <v>11956</v>
      </c>
      <c r="C9" s="100">
        <f>SUM(RepInCongressCongressionalDistrict24General[Genesee County 
Vote Results])</f>
        <v>28821</v>
      </c>
      <c r="D9" s="100">
        <f>SUM(RepInCongressCongressionalDistrict24General[Part of Jefferson County 
Vote Results])</f>
        <v>36695</v>
      </c>
      <c r="E9" s="100">
        <f>SUM(RepInCongressCongressionalDistrict24General[Livingston County 
Vote Results])</f>
        <v>31461</v>
      </c>
      <c r="F9" s="100">
        <f>SUM(RepInCongressCongressionalDistrict24General[Part of Niagara County 
Vote Results])</f>
        <v>45114</v>
      </c>
      <c r="G9" s="100">
        <f>SUM(RepInCongressCongressionalDistrict24General[Part of Ontario County 
Vote Results])</f>
        <v>49539</v>
      </c>
      <c r="H9" s="100">
        <f>SUM(RepInCongressCongressionalDistrict24General[Orleans County 
Vote Results])</f>
        <v>18301</v>
      </c>
      <c r="I9" s="100">
        <f>SUM(RepInCongressCongressionalDistrict24General[Oswego County 
Vote Results])</f>
        <v>54710</v>
      </c>
      <c r="J9" s="100">
        <f>SUM(RepInCongressCongressionalDistrict24General[Part of Schuyler County 
Vote Results])</f>
        <v>4636</v>
      </c>
      <c r="K9" s="100">
        <f>SUM(RepInCongressCongressionalDistrict24General[Seneca County 
Vote Results])</f>
        <v>15227</v>
      </c>
      <c r="L9" s="100">
        <f>SUM(RepInCongressCongressionalDistrict24General[Part of Steuben County 
Vote Results])</f>
        <v>7323</v>
      </c>
      <c r="M9" s="100">
        <f>SUM(RepInCongressCongressionalDistrict24General[Wayne County 
Vote Results])</f>
        <v>45015</v>
      </c>
      <c r="N9" s="100">
        <f>SUM(RepInCongressCongressionalDistrict24General[Wyoming County 
Vote Results])</f>
        <v>19415</v>
      </c>
      <c r="O9" s="100">
        <f>SUM(RepInCongressCongressionalDistrict24General[Yates County 
Vote Results])</f>
        <v>10698</v>
      </c>
      <c r="P9" s="101">
        <f>SUM(RepInCongressCongressionalDistrict24General[Total Votes by Party])</f>
        <v>378911</v>
      </c>
      <c r="Q9" s="111"/>
    </row>
    <row r="10" spans="1:17" ht="14.25" x14ac:dyDescent="0.2">
      <c r="B10" s="70"/>
      <c r="C10" s="70"/>
      <c r="D10" s="70"/>
      <c r="E10" s="70"/>
      <c r="F10" s="70"/>
      <c r="H10" s="70"/>
      <c r="I10" s="70"/>
      <c r="J10" s="70"/>
      <c r="K10" s="70"/>
      <c r="L10" s="70"/>
      <c r="M10" s="70"/>
      <c r="N10" s="70"/>
      <c r="O10" s="70"/>
    </row>
  </sheetData>
  <pageMargins left="0.25" right="0.25" top="0.25" bottom="0.25" header="0.25" footer="0.25"/>
  <pageSetup paperSize="17" scale="62" fitToHeight="0" orientation="landscape" r:id="rId1"/>
  <headerFooter alignWithMargins="0">
    <oddFooter>&amp;RPage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EF068-0F64-418F-9301-E86AC465424F}">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390</v>
      </c>
      <c r="B1" s="108"/>
      <c r="C1" s="108"/>
      <c r="D1" s="108"/>
      <c r="E1" s="108"/>
    </row>
    <row r="2" spans="1:5" ht="28.5" customHeight="1" x14ac:dyDescent="0.2">
      <c r="A2" s="6" t="s">
        <v>93</v>
      </c>
      <c r="B2" s="7" t="s">
        <v>391</v>
      </c>
      <c r="C2" s="7" t="s">
        <v>382</v>
      </c>
      <c r="D2" s="8" t="s">
        <v>84</v>
      </c>
      <c r="E2" s="9" t="s">
        <v>85</v>
      </c>
    </row>
    <row r="3" spans="1:5" ht="14.25" customHeight="1" x14ac:dyDescent="0.2">
      <c r="A3" s="28" t="s">
        <v>392</v>
      </c>
      <c r="B3" s="100">
        <v>195211</v>
      </c>
      <c r="C3" s="100">
        <v>5296</v>
      </c>
      <c r="D3" s="101">
        <f t="shared" ref="D3:D8" si="0">SUM(B3,C3)</f>
        <v>200507</v>
      </c>
      <c r="E3" s="113">
        <f>SUM(RepInCongressCongressionalDistrict25General[[#This Row],[Total Votes by Party]],D5)</f>
        <v>219175</v>
      </c>
    </row>
    <row r="4" spans="1:5" ht="14.25" customHeight="1" x14ac:dyDescent="0.2">
      <c r="A4" s="28" t="s">
        <v>393</v>
      </c>
      <c r="B4" s="100">
        <v>135985</v>
      </c>
      <c r="C4" s="100">
        <v>5210</v>
      </c>
      <c r="D4" s="101">
        <f t="shared" si="0"/>
        <v>141195</v>
      </c>
      <c r="E4" s="113">
        <f>SUM(RepInCongressCongressionalDistrict25General[[#This Row],[Total Votes by Party]])</f>
        <v>141195</v>
      </c>
    </row>
    <row r="5" spans="1:5" ht="14.25" customHeight="1" x14ac:dyDescent="0.2">
      <c r="A5" s="28" t="s">
        <v>394</v>
      </c>
      <c r="B5" s="100">
        <v>18347</v>
      </c>
      <c r="C5" s="100">
        <v>321</v>
      </c>
      <c r="D5" s="101">
        <f t="shared" si="0"/>
        <v>18668</v>
      </c>
      <c r="E5" s="111"/>
    </row>
    <row r="6" spans="1:5" ht="14.25" customHeight="1" x14ac:dyDescent="0.2">
      <c r="A6" s="29" t="s">
        <v>18</v>
      </c>
      <c r="B6" s="100">
        <v>18461</v>
      </c>
      <c r="C6" s="100">
        <v>438</v>
      </c>
      <c r="D6" s="101">
        <f t="shared" si="0"/>
        <v>18899</v>
      </c>
      <c r="E6" s="111"/>
    </row>
    <row r="7" spans="1:5" ht="14.25" customHeight="1" x14ac:dyDescent="0.2">
      <c r="A7" s="29" t="s">
        <v>19</v>
      </c>
      <c r="B7" s="100">
        <v>82</v>
      </c>
      <c r="C7" s="100">
        <v>2</v>
      </c>
      <c r="D7" s="101">
        <f t="shared" si="0"/>
        <v>84</v>
      </c>
      <c r="E7" s="111"/>
    </row>
    <row r="8" spans="1:5" ht="14.25" customHeight="1" x14ac:dyDescent="0.2">
      <c r="A8" s="29" t="s">
        <v>20</v>
      </c>
      <c r="B8" s="100">
        <v>255</v>
      </c>
      <c r="C8" s="100">
        <v>8</v>
      </c>
      <c r="D8" s="101">
        <f t="shared" si="0"/>
        <v>263</v>
      </c>
      <c r="E8" s="111"/>
    </row>
    <row r="9" spans="1:5" ht="14.25" customHeight="1" x14ac:dyDescent="0.2">
      <c r="A9" s="103" t="s">
        <v>21</v>
      </c>
      <c r="B9" s="100">
        <f>SUM(RepInCongressCongressionalDistrict25General[Monroe County 
Vote Results])</f>
        <v>368341</v>
      </c>
      <c r="C9" s="100">
        <f>SUM(RepInCongressCongressionalDistrict25General[Part of Ontario County 
Vote Results])</f>
        <v>11275</v>
      </c>
      <c r="D9" s="101">
        <f>SUM(RepInCongressCongressionalDistrict25General[Total Votes by Party])</f>
        <v>379616</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B1266-7394-4684-90AD-127A7FD21FD9}">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395</v>
      </c>
      <c r="B1" s="108"/>
      <c r="C1" s="108"/>
      <c r="D1" s="108"/>
      <c r="E1" s="108"/>
    </row>
    <row r="2" spans="1:5" ht="28.5" customHeight="1" x14ac:dyDescent="0.2">
      <c r="A2" s="6" t="s">
        <v>93</v>
      </c>
      <c r="B2" s="7" t="s">
        <v>371</v>
      </c>
      <c r="C2" s="7" t="s">
        <v>372</v>
      </c>
      <c r="D2" s="8" t="s">
        <v>84</v>
      </c>
      <c r="E2" s="9" t="s">
        <v>85</v>
      </c>
    </row>
    <row r="3" spans="1:5" ht="14.25" customHeight="1" x14ac:dyDescent="0.2">
      <c r="A3" s="28" t="s">
        <v>396</v>
      </c>
      <c r="B3" s="100">
        <v>170113</v>
      </c>
      <c r="C3" s="100">
        <v>20555</v>
      </c>
      <c r="D3" s="101">
        <f>SUM(RepInCongressCongressionalDistrict26General[[#This Row],[Part of Erie County 
Vote Results]:[Part of Niagara County 
Vote Results]])</f>
        <v>190668</v>
      </c>
      <c r="E3" s="113">
        <f>SUM(RepInCongressCongressionalDistrict26General[[#This Row],[Total Votes by Party]],D6)</f>
        <v>209131</v>
      </c>
    </row>
    <row r="4" spans="1:5" ht="14.25" customHeight="1" x14ac:dyDescent="0.2">
      <c r="A4" s="28" t="s">
        <v>397</v>
      </c>
      <c r="B4" s="100">
        <v>77415</v>
      </c>
      <c r="C4" s="100">
        <v>17620</v>
      </c>
      <c r="D4" s="101">
        <f>SUM(RepInCongressCongressionalDistrict26General[[#This Row],[Part of Erie County 
Vote Results]:[Part of Niagara County 
Vote Results]])</f>
        <v>95035</v>
      </c>
      <c r="E4" s="113">
        <f>SUM(RepInCongressCongressionalDistrict26General[[#This Row],[Total Votes by Party]],D5)</f>
        <v>111772</v>
      </c>
    </row>
    <row r="5" spans="1:5" ht="14.25" customHeight="1" x14ac:dyDescent="0.2">
      <c r="A5" s="28" t="s">
        <v>398</v>
      </c>
      <c r="B5" s="100">
        <v>13895</v>
      </c>
      <c r="C5" s="100">
        <v>2842</v>
      </c>
      <c r="D5" s="101">
        <f>SUM(RepInCongressCongressionalDistrict26General[[#This Row],[Part of Erie County 
Vote Results]:[Part of Niagara County 
Vote Results]])</f>
        <v>16737</v>
      </c>
      <c r="E5" s="111"/>
    </row>
    <row r="6" spans="1:5" ht="14.25" customHeight="1" x14ac:dyDescent="0.2">
      <c r="A6" s="29" t="s">
        <v>399</v>
      </c>
      <c r="B6" s="100">
        <v>16498</v>
      </c>
      <c r="C6" s="100">
        <v>1965</v>
      </c>
      <c r="D6" s="101">
        <f>SUM(RepInCongressCongressionalDistrict26General[[#This Row],[Part of Erie County 
Vote Results]:[Part of Niagara County 
Vote Results]])</f>
        <v>18463</v>
      </c>
      <c r="E6" s="111"/>
    </row>
    <row r="7" spans="1:5" ht="14.25" customHeight="1" x14ac:dyDescent="0.2">
      <c r="A7" s="29" t="s">
        <v>18</v>
      </c>
      <c r="B7" s="100">
        <v>17360</v>
      </c>
      <c r="C7" s="100">
        <v>3543</v>
      </c>
      <c r="D7" s="101">
        <f>SUM(RepInCongressCongressionalDistrict26General[[#This Row],[Part of Erie County 
Vote Results]:[Part of Niagara County 
Vote Results]])</f>
        <v>20903</v>
      </c>
      <c r="E7" s="111"/>
    </row>
    <row r="8" spans="1:5" ht="14.25" customHeight="1" x14ac:dyDescent="0.2">
      <c r="A8" s="29" t="s">
        <v>19</v>
      </c>
      <c r="B8" s="100">
        <v>183</v>
      </c>
      <c r="C8" s="100">
        <v>14</v>
      </c>
      <c r="D8" s="101">
        <f>SUM(RepInCongressCongressionalDistrict26General[[#This Row],[Part of Erie County 
Vote Results]:[Part of Niagara County 
Vote Results]])</f>
        <v>197</v>
      </c>
      <c r="E8" s="111"/>
    </row>
    <row r="9" spans="1:5" ht="14.25" customHeight="1" x14ac:dyDescent="0.2">
      <c r="A9" s="29" t="s">
        <v>20</v>
      </c>
      <c r="B9" s="100">
        <v>383</v>
      </c>
      <c r="C9" s="100">
        <v>18</v>
      </c>
      <c r="D9" s="101">
        <f>SUM(RepInCongressCongressionalDistrict26General[[#This Row],[Part of Erie County 
Vote Results]:[Part of Niagara County 
Vote Results]])</f>
        <v>401</v>
      </c>
      <c r="E9" s="111"/>
    </row>
    <row r="10" spans="1:5" ht="14.25" customHeight="1" x14ac:dyDescent="0.2">
      <c r="A10" s="103" t="s">
        <v>21</v>
      </c>
      <c r="B10" s="100">
        <f>SUM(RepInCongressCongressionalDistrict26General[Part of Erie County 
Vote Results])</f>
        <v>295847</v>
      </c>
      <c r="C10" s="100">
        <f>SUM(RepInCongressCongressionalDistrict26General[Part of Niagara County 
Vote Results])</f>
        <v>46557</v>
      </c>
      <c r="D10" s="101">
        <f>SUM(RepInCongressCongressionalDistrict26General[Total Votes by Party])</f>
        <v>342404</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2F85A-C175-4056-AD55-F0D311DD6355}">
  <sheetPr>
    <pageSetUpPr fitToPage="1"/>
  </sheetPr>
  <dimension ref="A1:D11"/>
  <sheetViews>
    <sheetView zoomScaleNormal="100" zoomScaleSheetLayoutView="80" workbookViewId="0"/>
  </sheetViews>
  <sheetFormatPr defaultRowHeight="12.75" x14ac:dyDescent="0.2"/>
  <cols>
    <col min="1" max="1" width="31.28515625" customWidth="1"/>
    <col min="2" max="4" width="20.5703125" customWidth="1"/>
    <col min="5" max="6" width="23.5703125" customWidth="1"/>
  </cols>
  <sheetData>
    <row r="1" spans="1:4" ht="24.95" customHeight="1" x14ac:dyDescent="0.2">
      <c r="A1" s="72" t="s">
        <v>400</v>
      </c>
      <c r="B1" s="108"/>
      <c r="C1" s="108"/>
      <c r="D1" s="108"/>
    </row>
    <row r="2" spans="1:4" ht="28.5" customHeight="1" x14ac:dyDescent="0.2">
      <c r="A2" s="6" t="s">
        <v>93</v>
      </c>
      <c r="B2" s="7" t="s">
        <v>220</v>
      </c>
      <c r="C2" s="8" t="s">
        <v>84</v>
      </c>
      <c r="D2" s="9" t="s">
        <v>85</v>
      </c>
    </row>
    <row r="3" spans="1:4" ht="14.25" customHeight="1" x14ac:dyDescent="0.2">
      <c r="A3" s="28" t="s">
        <v>401</v>
      </c>
      <c r="B3" s="100">
        <v>76874</v>
      </c>
      <c r="C3" s="101">
        <f>StateSenatorSenateDistrict1General[[#This Row],[Part of Suffolk County Vote Results]]</f>
        <v>76874</v>
      </c>
      <c r="D3" s="113">
        <f>SUM(StateSenatorSenateDistrict1General[[#This Row],[Total Votes by Party]],C6)</f>
        <v>77853</v>
      </c>
    </row>
    <row r="4" spans="1:4" ht="14.25" customHeight="1" x14ac:dyDescent="0.2">
      <c r="A4" s="28" t="s">
        <v>402</v>
      </c>
      <c r="B4" s="100">
        <v>77459</v>
      </c>
      <c r="C4" s="101">
        <f>StateSenatorSenateDistrict1General[[#This Row],[Part of Suffolk County Vote Results]]</f>
        <v>77459</v>
      </c>
      <c r="D4" s="113">
        <f>SUM(StateSenatorSenateDistrict1General[[#This Row],[Total Votes by Party]],C5)</f>
        <v>87591</v>
      </c>
    </row>
    <row r="5" spans="1:4" ht="14.25" customHeight="1" x14ac:dyDescent="0.2">
      <c r="A5" s="28" t="s">
        <v>403</v>
      </c>
      <c r="B5" s="100">
        <v>10132</v>
      </c>
      <c r="C5" s="101">
        <f>StateSenatorSenateDistrict1General[[#This Row],[Part of Suffolk County Vote Results]]</f>
        <v>10132</v>
      </c>
      <c r="D5" s="111"/>
    </row>
    <row r="6" spans="1:4" ht="14.25" customHeight="1" x14ac:dyDescent="0.2">
      <c r="A6" s="28" t="s">
        <v>404</v>
      </c>
      <c r="B6" s="100">
        <v>979</v>
      </c>
      <c r="C6" s="101">
        <f>StateSenatorSenateDistrict1General[[#This Row],[Part of Suffolk County Vote Results]]</f>
        <v>979</v>
      </c>
      <c r="D6" s="111"/>
    </row>
    <row r="7" spans="1:4" ht="14.25" customHeight="1" x14ac:dyDescent="0.2">
      <c r="A7" s="29" t="s">
        <v>18</v>
      </c>
      <c r="B7" s="100">
        <v>8567</v>
      </c>
      <c r="C7" s="101">
        <f>StateSenatorSenateDistrict1General[[#This Row],[Part of Suffolk County Vote Results]]</f>
        <v>8567</v>
      </c>
      <c r="D7" s="111"/>
    </row>
    <row r="8" spans="1:4" ht="14.25" customHeight="1" x14ac:dyDescent="0.2">
      <c r="A8" s="29" t="s">
        <v>19</v>
      </c>
      <c r="B8" s="100">
        <v>162</v>
      </c>
      <c r="C8" s="101">
        <f>StateSenatorSenateDistrict1General[[#This Row],[Part of Suffolk County Vote Results]]</f>
        <v>162</v>
      </c>
      <c r="D8" s="111"/>
    </row>
    <row r="9" spans="1:4" ht="14.25" customHeight="1" x14ac:dyDescent="0.2">
      <c r="A9" s="29" t="s">
        <v>20</v>
      </c>
      <c r="B9" s="100">
        <v>49</v>
      </c>
      <c r="C9" s="101">
        <f>StateSenatorSenateDistrict1General[[#This Row],[Part of Suffolk County Vote Results]]</f>
        <v>49</v>
      </c>
      <c r="D9" s="111"/>
    </row>
    <row r="10" spans="1:4" ht="14.25" customHeight="1" x14ac:dyDescent="0.2">
      <c r="A10" s="103" t="s">
        <v>21</v>
      </c>
      <c r="B10" s="100">
        <f>SUM(StateSenatorSenateDistrict1General[Part of Suffolk County Vote Results])</f>
        <v>174222</v>
      </c>
      <c r="C10" s="101">
        <f>SUM(StateSenatorSenateDistrict1General[Total Votes by Party])</f>
        <v>174222</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rowBreaks count="13" manualBreakCount="13">
    <brk id="42" max="16383" man="1"/>
    <brk id="89" max="16383" man="1"/>
    <brk id="143" max="16383" man="1"/>
    <brk id="197" max="16383" man="1"/>
    <brk id="246" max="16383" man="1"/>
    <brk id="293" max="16383" man="1"/>
    <brk id="342" max="16383" man="1"/>
    <brk id="388" max="16383" man="1"/>
    <brk id="440" max="16383" man="1"/>
    <brk id="493" max="16383" man="1"/>
    <brk id="547" max="16383" man="1"/>
    <brk id="595" max="16383" man="1"/>
    <brk id="631" max="16383" man="1"/>
  </rowBreaks>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BBFCA-686D-4CCA-B8D8-8BA44DE21EBD}">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405</v>
      </c>
      <c r="B1" s="108"/>
      <c r="C1" s="108"/>
      <c r="D1" s="108"/>
    </row>
    <row r="2" spans="1:4" ht="28.5" customHeight="1" x14ac:dyDescent="0.2">
      <c r="A2" s="6" t="s">
        <v>93</v>
      </c>
      <c r="B2" s="7" t="s">
        <v>220</v>
      </c>
      <c r="C2" s="8" t="s">
        <v>84</v>
      </c>
      <c r="D2" s="9" t="s">
        <v>85</v>
      </c>
    </row>
    <row r="3" spans="1:4" ht="14.25" customHeight="1" x14ac:dyDescent="0.2">
      <c r="A3" s="28" t="s">
        <v>406</v>
      </c>
      <c r="B3" s="100">
        <v>74307</v>
      </c>
      <c r="C3" s="101">
        <f>StateSenatorSenateDistrict2General[[#This Row],[Part of Suffolk County Vote Results]]</f>
        <v>74307</v>
      </c>
      <c r="D3" s="113">
        <f>SUM(StateSenatorSenateDistrict2General[[#This Row],[Total Votes by Party]])</f>
        <v>74307</v>
      </c>
    </row>
    <row r="4" spans="1:4" ht="14.25" customHeight="1" x14ac:dyDescent="0.2">
      <c r="A4" s="28" t="s">
        <v>407</v>
      </c>
      <c r="B4" s="100">
        <v>92270</v>
      </c>
      <c r="C4" s="101">
        <f>StateSenatorSenateDistrict2General[[#This Row],[Part of Suffolk County Vote Results]]</f>
        <v>92270</v>
      </c>
      <c r="D4" s="113">
        <f>SUM(StateSenatorSenateDistrict2General[[#This Row],[Total Votes by Party]],C5)</f>
        <v>103865</v>
      </c>
    </row>
    <row r="5" spans="1:4" ht="14.25" customHeight="1" x14ac:dyDescent="0.2">
      <c r="A5" s="28" t="s">
        <v>408</v>
      </c>
      <c r="B5" s="100">
        <v>11595</v>
      </c>
      <c r="C5" s="101">
        <f>StateSenatorSenateDistrict2General[[#This Row],[Part of Suffolk County Vote Results]]</f>
        <v>11595</v>
      </c>
      <c r="D5" s="111"/>
    </row>
    <row r="6" spans="1:4" ht="14.25" customHeight="1" x14ac:dyDescent="0.2">
      <c r="A6" s="29" t="s">
        <v>18</v>
      </c>
      <c r="B6" s="100">
        <v>10617</v>
      </c>
      <c r="C6" s="101">
        <f>StateSenatorSenateDistrict2General[[#This Row],[Part of Suffolk County Vote Results]]</f>
        <v>10617</v>
      </c>
      <c r="D6" s="111"/>
    </row>
    <row r="7" spans="1:4" ht="14.25" customHeight="1" x14ac:dyDescent="0.2">
      <c r="A7" s="29" t="s">
        <v>19</v>
      </c>
      <c r="B7" s="100">
        <v>44</v>
      </c>
      <c r="C7" s="101">
        <f>StateSenatorSenateDistrict2General[[#This Row],[Part of Suffolk County Vote Results]]</f>
        <v>44</v>
      </c>
      <c r="D7" s="111"/>
    </row>
    <row r="8" spans="1:4" ht="14.25" customHeight="1" x14ac:dyDescent="0.2">
      <c r="A8" s="29" t="s">
        <v>20</v>
      </c>
      <c r="B8" s="100">
        <v>123</v>
      </c>
      <c r="C8" s="101">
        <f>StateSenatorSenateDistrict2General[[#This Row],[Part of Suffolk County Vote Results]]</f>
        <v>123</v>
      </c>
      <c r="D8" s="111"/>
    </row>
    <row r="9" spans="1:4" ht="14.25" customHeight="1" x14ac:dyDescent="0.2">
      <c r="A9" s="103" t="s">
        <v>21</v>
      </c>
      <c r="B9" s="100">
        <f>SUM(StateSenatorSenateDistrict2General[Part of Suffolk County Vote Results])</f>
        <v>188956</v>
      </c>
      <c r="C9" s="101">
        <f>SUM(StateSenatorSenateDistrict2General[Total Votes by Party])</f>
        <v>188956</v>
      </c>
      <c r="D9" s="111"/>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229C9-84C1-46D9-AF8C-D9112C4B747C}">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409</v>
      </c>
      <c r="B1" s="108"/>
      <c r="C1" s="108"/>
      <c r="D1" s="108"/>
    </row>
    <row r="2" spans="1:4" ht="28.5" customHeight="1" x14ac:dyDescent="0.2">
      <c r="A2" s="6" t="s">
        <v>93</v>
      </c>
      <c r="B2" s="7" t="s">
        <v>220</v>
      </c>
      <c r="C2" s="8" t="s">
        <v>84</v>
      </c>
      <c r="D2" s="9" t="s">
        <v>85</v>
      </c>
    </row>
    <row r="3" spans="1:4" ht="14.25" customHeight="1" x14ac:dyDescent="0.2">
      <c r="A3" s="28" t="s">
        <v>410</v>
      </c>
      <c r="B3" s="100">
        <v>55904</v>
      </c>
      <c r="C3" s="101">
        <f>StateSenatorSenateDistrict3General[[#This Row],[Part of Suffolk County Vote Results]]</f>
        <v>55904</v>
      </c>
      <c r="D3" s="113">
        <f>SUM(StateSenatorSenateDistrict3General[[#This Row],[Total Votes by Party]])</f>
        <v>55904</v>
      </c>
    </row>
    <row r="4" spans="1:4" ht="14.25" customHeight="1" x14ac:dyDescent="0.2">
      <c r="A4" s="28" t="s">
        <v>411</v>
      </c>
      <c r="B4" s="100">
        <v>78923</v>
      </c>
      <c r="C4" s="101">
        <f>StateSenatorSenateDistrict3General[[#This Row],[Part of Suffolk County Vote Results]]</f>
        <v>78923</v>
      </c>
      <c r="D4" s="113">
        <f>SUM(StateSenatorSenateDistrict3General[[#This Row],[Total Votes by Party]],C5)</f>
        <v>89268</v>
      </c>
    </row>
    <row r="5" spans="1:4" ht="14.25" customHeight="1" x14ac:dyDescent="0.2">
      <c r="A5" s="28" t="s">
        <v>412</v>
      </c>
      <c r="B5" s="100">
        <v>10345</v>
      </c>
      <c r="C5" s="101">
        <f>StateSenatorSenateDistrict3General[[#This Row],[Part of Suffolk County Vote Results]]</f>
        <v>10345</v>
      </c>
      <c r="D5" s="111"/>
    </row>
    <row r="6" spans="1:4" ht="14.25" customHeight="1" x14ac:dyDescent="0.2">
      <c r="A6" s="29" t="s">
        <v>18</v>
      </c>
      <c r="B6" s="100">
        <v>11921</v>
      </c>
      <c r="C6" s="101">
        <f>StateSenatorSenateDistrict3General[[#This Row],[Part of Suffolk County Vote Results]]</f>
        <v>11921</v>
      </c>
      <c r="D6" s="111"/>
    </row>
    <row r="7" spans="1:4" ht="14.25" customHeight="1" x14ac:dyDescent="0.2">
      <c r="A7" s="29" t="s">
        <v>19</v>
      </c>
      <c r="B7" s="100">
        <v>36</v>
      </c>
      <c r="C7" s="101">
        <f>StateSenatorSenateDistrict3General[[#This Row],[Part of Suffolk County Vote Results]]</f>
        <v>36</v>
      </c>
      <c r="D7" s="111"/>
    </row>
    <row r="8" spans="1:4" ht="14.25" customHeight="1" x14ac:dyDescent="0.2">
      <c r="A8" s="29" t="s">
        <v>20</v>
      </c>
      <c r="B8" s="100">
        <v>56</v>
      </c>
      <c r="C8" s="101">
        <f>StateSenatorSenateDistrict3General[[#This Row],[Part of Suffolk County Vote Results]]</f>
        <v>56</v>
      </c>
      <c r="D8" s="111"/>
    </row>
    <row r="9" spans="1:4" ht="14.25" customHeight="1" x14ac:dyDescent="0.2">
      <c r="A9" s="103" t="s">
        <v>21</v>
      </c>
      <c r="B9" s="100">
        <f>SUM(StateSenatorSenateDistrict3General[Part of Suffolk County Vote Results])</f>
        <v>157185</v>
      </c>
      <c r="C9" s="101">
        <f>SUM(StateSenatorSenateDistrict3General[Total Votes by Party])</f>
        <v>157185</v>
      </c>
      <c r="D9" s="111"/>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06CA3-C7FE-46F1-B854-69A7903E1C8A}">
  <sheetPr>
    <pageSetUpPr fitToPage="1"/>
  </sheetPr>
  <dimension ref="A1:D18"/>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47" t="s">
        <v>97</v>
      </c>
      <c r="B1" s="147"/>
      <c r="C1" s="147"/>
      <c r="D1" s="147"/>
    </row>
    <row r="2" spans="1:4" ht="28.5" customHeight="1" x14ac:dyDescent="0.2">
      <c r="A2" s="6" t="s">
        <v>93</v>
      </c>
      <c r="B2" s="7" t="s">
        <v>98</v>
      </c>
      <c r="C2" s="8" t="s">
        <v>84</v>
      </c>
      <c r="D2" s="9" t="s">
        <v>85</v>
      </c>
    </row>
    <row r="3" spans="1:4" ht="14.25" customHeight="1" x14ac:dyDescent="0.2">
      <c r="A3" s="28" t="s">
        <v>99</v>
      </c>
      <c r="B3" s="100">
        <v>510988</v>
      </c>
      <c r="C3" s="101">
        <f>RepInCongressCongressionalDistrict1General245246[[#This Row],[Kings County 
Vote Results]]</f>
        <v>510988</v>
      </c>
      <c r="D3" s="113">
        <f>SUM(RepInCongressCongressionalDistrict1General245246[[#This Row],[Total Votes by Party]])</f>
        <v>510988</v>
      </c>
    </row>
    <row r="4" spans="1:4" ht="14.25" customHeight="1" x14ac:dyDescent="0.2">
      <c r="A4" s="28" t="s">
        <v>100</v>
      </c>
      <c r="B4" s="105">
        <v>455272</v>
      </c>
      <c r="C4" s="101">
        <f>RepInCongressCongressionalDistrict1General245246[[#This Row],[Kings County 
Vote Results]]</f>
        <v>455272</v>
      </c>
      <c r="D4" s="113">
        <f>SUM(RepInCongressCongressionalDistrict1General245246[[#This Row],[Total Votes by Party]],C10)</f>
        <v>524092</v>
      </c>
    </row>
    <row r="5" spans="1:4" ht="14.25" customHeight="1" x14ac:dyDescent="0.2">
      <c r="A5" s="28" t="s">
        <v>101</v>
      </c>
      <c r="B5" s="105">
        <v>509456</v>
      </c>
      <c r="C5" s="101">
        <f>RepInCongressCongressionalDistrict1General245246[[#This Row],[Kings County 
Vote Results]]</f>
        <v>509456</v>
      </c>
      <c r="D5" s="113">
        <f>SUM(RepInCongressCongressionalDistrict1General245246[[#This Row],[Total Votes by Party]])</f>
        <v>509456</v>
      </c>
    </row>
    <row r="6" spans="1:4" ht="14.25" customHeight="1" x14ac:dyDescent="0.2">
      <c r="A6" s="28" t="s">
        <v>102</v>
      </c>
      <c r="B6" s="105">
        <v>468367</v>
      </c>
      <c r="C6" s="101">
        <f>RepInCongressCongressionalDistrict1General245246[[#This Row],[Kings County 
Vote Results]]</f>
        <v>468367</v>
      </c>
      <c r="D6" s="113">
        <f>SUM(RepInCongressCongressionalDistrict1General245246[[#This Row],[Total Votes by Party]],C11)</f>
        <v>535155</v>
      </c>
    </row>
    <row r="7" spans="1:4" ht="14.25" customHeight="1" x14ac:dyDescent="0.2">
      <c r="A7" s="28" t="s">
        <v>103</v>
      </c>
      <c r="B7" s="105">
        <v>481782</v>
      </c>
      <c r="C7" s="101">
        <f>RepInCongressCongressionalDistrict1General245246[[#This Row],[Kings County 
Vote Results]]</f>
        <v>481782</v>
      </c>
      <c r="D7" s="113">
        <f>SUM(RepInCongressCongressionalDistrict1General245246[[#This Row],[Total Votes by Party]],C12)</f>
        <v>542806</v>
      </c>
    </row>
    <row r="8" spans="1:4" ht="14.25" customHeight="1" x14ac:dyDescent="0.2">
      <c r="A8" s="28" t="s">
        <v>104</v>
      </c>
      <c r="B8" s="105">
        <v>452453</v>
      </c>
      <c r="C8" s="101">
        <f>RepInCongressCongressionalDistrict1General245246[[#This Row],[Kings County 
Vote Results]]</f>
        <v>452453</v>
      </c>
      <c r="D8" s="113">
        <f>SUM(RepInCongressCongressionalDistrict1General245246[[#This Row],[Total Votes by Party]],C13)</f>
        <v>517958</v>
      </c>
    </row>
    <row r="9" spans="1:4" ht="14.25" customHeight="1" x14ac:dyDescent="0.2">
      <c r="A9" s="28" t="s">
        <v>105</v>
      </c>
      <c r="B9" s="105">
        <v>446934</v>
      </c>
      <c r="C9" s="101">
        <f>RepInCongressCongressionalDistrict1General245246[[#This Row],[Kings County 
Vote Results]]</f>
        <v>446934</v>
      </c>
      <c r="D9" s="113">
        <f>SUM(RepInCongressCongressionalDistrict1General245246[[#This Row],[Total Votes by Party]],C14)</f>
        <v>509181</v>
      </c>
    </row>
    <row r="10" spans="1:4" ht="14.25" customHeight="1" x14ac:dyDescent="0.2">
      <c r="A10" s="28" t="s">
        <v>106</v>
      </c>
      <c r="B10" s="105">
        <v>68820</v>
      </c>
      <c r="C10" s="101">
        <f>RepInCongressCongressionalDistrict1General245246[[#This Row],[Kings County 
Vote Results]]</f>
        <v>68820</v>
      </c>
      <c r="D10" s="111"/>
    </row>
    <row r="11" spans="1:4" ht="14.25" customHeight="1" x14ac:dyDescent="0.2">
      <c r="A11" s="28" t="s">
        <v>107</v>
      </c>
      <c r="B11" s="100">
        <v>66788</v>
      </c>
      <c r="C11" s="101">
        <f>RepInCongressCongressionalDistrict1General245246[[#This Row],[Kings County 
Vote Results]]</f>
        <v>66788</v>
      </c>
      <c r="D11" s="111"/>
    </row>
    <row r="12" spans="1:4" ht="14.25" customHeight="1" x14ac:dyDescent="0.2">
      <c r="A12" s="28" t="s">
        <v>108</v>
      </c>
      <c r="B12" s="100">
        <v>61024</v>
      </c>
      <c r="C12" s="101">
        <f>RepInCongressCongressionalDistrict1General245246[[#This Row],[Kings County 
Vote Results]]</f>
        <v>61024</v>
      </c>
      <c r="D12" s="111"/>
    </row>
    <row r="13" spans="1:4" ht="14.25" customHeight="1" x14ac:dyDescent="0.2">
      <c r="A13" s="28" t="s">
        <v>109</v>
      </c>
      <c r="B13" s="100">
        <v>65505</v>
      </c>
      <c r="C13" s="101">
        <f>RepInCongressCongressionalDistrict1General245246[[#This Row],[Kings County 
Vote Results]]</f>
        <v>65505</v>
      </c>
      <c r="D13" s="111"/>
    </row>
    <row r="14" spans="1:4" ht="14.25" customHeight="1" x14ac:dyDescent="0.2">
      <c r="A14" s="28" t="s">
        <v>110</v>
      </c>
      <c r="B14" s="100">
        <v>62247</v>
      </c>
      <c r="C14" s="101">
        <f>RepInCongressCongressionalDistrict1General245246[[#This Row],[Kings County 
Vote Results]]</f>
        <v>62247</v>
      </c>
      <c r="D14" s="111"/>
    </row>
    <row r="15" spans="1:4" ht="14.25" customHeight="1" x14ac:dyDescent="0.2">
      <c r="A15" s="29" t="s">
        <v>18</v>
      </c>
      <c r="B15" s="100">
        <v>2325436</v>
      </c>
      <c r="C15" s="101">
        <f>RepInCongressCongressionalDistrict1General245246[[#This Row],[Kings County 
Vote Results]]</f>
        <v>2325436</v>
      </c>
      <c r="D15" s="111"/>
    </row>
    <row r="16" spans="1:4" ht="14.25" customHeight="1" x14ac:dyDescent="0.2">
      <c r="A16" s="29" t="s">
        <v>19</v>
      </c>
      <c r="B16" s="100">
        <v>31997</v>
      </c>
      <c r="C16" s="101">
        <f>RepInCongressCongressionalDistrict1General245246[[#This Row],[Kings County 
Vote Results]]</f>
        <v>31997</v>
      </c>
      <c r="D16" s="111"/>
    </row>
    <row r="17" spans="1:4" ht="14.25" customHeight="1" x14ac:dyDescent="0.2">
      <c r="A17" s="29" t="s">
        <v>20</v>
      </c>
      <c r="B17" s="100">
        <v>26301</v>
      </c>
      <c r="C17" s="102">
        <f>RepInCongressCongressionalDistrict1General245246[[#This Row],[Kings County 
Vote Results]]</f>
        <v>26301</v>
      </c>
      <c r="D17" s="114"/>
    </row>
    <row r="18" spans="1:4" ht="14.25" customHeight="1" x14ac:dyDescent="0.2">
      <c r="A18" s="103" t="s">
        <v>21</v>
      </c>
      <c r="B18" s="100">
        <f>SUM(RepInCongressCongressionalDistrict1General245246[Kings County 
Vote Results])</f>
        <v>6033370</v>
      </c>
      <c r="C18" s="102">
        <f>SUM(RepInCongressCongressionalDistrict1General245246[Total Votes by Party])</f>
        <v>6033370</v>
      </c>
      <c r="D18" s="115"/>
    </row>
  </sheetData>
  <mergeCells count="1">
    <mergeCell ref="A1:D1"/>
  </mergeCells>
  <pageMargins left="0.25" right="0.25" top="0.25" bottom="0.25" header="0.25" footer="0.25"/>
  <pageSetup paperSize="5" fitToHeight="0" orientation="landscape" r:id="rId1"/>
  <headerFooter alignWithMargins="0">
    <oddFooter>&amp;RPage &amp;P of &amp;N</oddFooter>
  </headerFooter>
  <rowBreaks count="8" manualBreakCount="8">
    <brk id="44" max="4" man="1"/>
    <brk id="87" max="4" man="1"/>
    <brk id="130" max="4" man="1"/>
    <brk id="172" max="16383" man="1"/>
    <brk id="196" max="16383" man="1"/>
    <brk id="230" max="16383" man="1"/>
    <brk id="268" max="16383" man="1"/>
    <brk id="310" max="16383" man="1"/>
  </rowBreaks>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657C4-A50C-4FB4-B372-A0A2655C69DC}">
  <sheetPr>
    <pageSetUpPr fitToPage="1"/>
  </sheetPr>
  <dimension ref="A1:D11"/>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413</v>
      </c>
      <c r="B1" s="108"/>
      <c r="C1" s="108"/>
      <c r="D1" s="108"/>
    </row>
    <row r="2" spans="1:4" ht="28.5" customHeight="1" x14ac:dyDescent="0.2">
      <c r="A2" s="6" t="s">
        <v>93</v>
      </c>
      <c r="B2" s="7" t="s">
        <v>220</v>
      </c>
      <c r="C2" s="8" t="s">
        <v>84</v>
      </c>
      <c r="D2" s="9" t="s">
        <v>85</v>
      </c>
    </row>
    <row r="3" spans="1:4" ht="14.25" customHeight="1" x14ac:dyDescent="0.2">
      <c r="A3" s="28" t="s">
        <v>414</v>
      </c>
      <c r="B3" s="100">
        <v>58688</v>
      </c>
      <c r="C3" s="101">
        <f>StateSenatorSenateDistrict4General[[#This Row],[Part of Suffolk County Vote Results]]</f>
        <v>58688</v>
      </c>
      <c r="D3" s="113">
        <f>SUM(StateSenatorSenateDistrict4General[[#This Row],[Total Votes by Party]],C6)</f>
        <v>62016</v>
      </c>
    </row>
    <row r="4" spans="1:4" ht="14.25" customHeight="1" x14ac:dyDescent="0.2">
      <c r="A4" s="28" t="s">
        <v>415</v>
      </c>
      <c r="B4" s="100">
        <v>42538</v>
      </c>
      <c r="C4" s="101">
        <f>StateSenatorSenateDistrict4General[[#This Row],[Part of Suffolk County Vote Results]]</f>
        <v>42538</v>
      </c>
      <c r="D4" s="113">
        <f>SUM(StateSenatorSenateDistrict4General[[#This Row],[Total Votes by Party]],C5)</f>
        <v>47745</v>
      </c>
    </row>
    <row r="5" spans="1:4" ht="14.25" customHeight="1" x14ac:dyDescent="0.2">
      <c r="A5" s="28" t="s">
        <v>416</v>
      </c>
      <c r="B5" s="100">
        <v>5207</v>
      </c>
      <c r="C5" s="101">
        <f>StateSenatorSenateDistrict4General[[#This Row],[Part of Suffolk County Vote Results]]</f>
        <v>5207</v>
      </c>
      <c r="D5" s="111"/>
    </row>
    <row r="6" spans="1:4" ht="14.25" customHeight="1" x14ac:dyDescent="0.2">
      <c r="A6" s="28" t="s">
        <v>417</v>
      </c>
      <c r="B6" s="100">
        <v>3328</v>
      </c>
      <c r="C6" s="101">
        <f>StateSenatorSenateDistrict4General[[#This Row],[Part of Suffolk County Vote Results]]</f>
        <v>3328</v>
      </c>
      <c r="D6" s="111"/>
    </row>
    <row r="7" spans="1:4" ht="14.25" customHeight="1" x14ac:dyDescent="0.2">
      <c r="A7" s="29" t="s">
        <v>18</v>
      </c>
      <c r="B7" s="100">
        <v>9039</v>
      </c>
      <c r="C7" s="101">
        <f>StateSenatorSenateDistrict4General[[#This Row],[Part of Suffolk County Vote Results]]</f>
        <v>9039</v>
      </c>
      <c r="D7" s="111"/>
    </row>
    <row r="8" spans="1:4" ht="14.25" customHeight="1" x14ac:dyDescent="0.2">
      <c r="A8" s="29" t="s">
        <v>19</v>
      </c>
      <c r="B8" s="100">
        <v>152</v>
      </c>
      <c r="C8" s="101">
        <f>StateSenatorSenateDistrict4General[[#This Row],[Part of Suffolk County Vote Results]]</f>
        <v>152</v>
      </c>
      <c r="D8" s="111"/>
    </row>
    <row r="9" spans="1:4" ht="14.25" customHeight="1" x14ac:dyDescent="0.2">
      <c r="A9" s="29" t="s">
        <v>20</v>
      </c>
      <c r="B9" s="100">
        <v>72</v>
      </c>
      <c r="C9" s="101">
        <f>StateSenatorSenateDistrict4General[[#This Row],[Part of Suffolk County Vote Results]]</f>
        <v>72</v>
      </c>
      <c r="D9" s="111"/>
    </row>
    <row r="10" spans="1:4" ht="14.25" customHeight="1" x14ac:dyDescent="0.2">
      <c r="A10" s="103" t="s">
        <v>21</v>
      </c>
      <c r="B10" s="100">
        <f>SUM(StateSenatorSenateDistrict4General[Part of Suffolk County Vote Results])</f>
        <v>119024</v>
      </c>
      <c r="C10" s="101">
        <f>SUM(StateSenatorSenateDistrict4General[Total Votes by Party])</f>
        <v>119024</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E0069-0895-4A52-9641-42739F8D4A6B}">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75" customHeight="1" x14ac:dyDescent="0.2">
      <c r="A1" s="72" t="s">
        <v>418</v>
      </c>
      <c r="B1" s="108"/>
      <c r="C1" s="108"/>
      <c r="D1" s="108"/>
    </row>
    <row r="2" spans="1:4" ht="28.5" customHeight="1" x14ac:dyDescent="0.2">
      <c r="A2" s="6" t="s">
        <v>93</v>
      </c>
      <c r="B2" s="7" t="s">
        <v>226</v>
      </c>
      <c r="C2" s="8" t="s">
        <v>84</v>
      </c>
      <c r="D2" s="9" t="s">
        <v>85</v>
      </c>
    </row>
    <row r="3" spans="1:4" ht="14.25" customHeight="1" x14ac:dyDescent="0.2">
      <c r="A3" s="28" t="s">
        <v>419</v>
      </c>
      <c r="B3" s="100">
        <v>66977</v>
      </c>
      <c r="C3" s="101">
        <f>SUM(StateSenatorSenateDistrict5General[[#This Row],[Part of Nassau County Vote Results]])</f>
        <v>66977</v>
      </c>
      <c r="D3" s="113">
        <f>SUM(StateSenatorSenateDistrict5General[[#This Row],[Total Votes by Party]])</f>
        <v>66977</v>
      </c>
    </row>
    <row r="4" spans="1:4" ht="14.25" customHeight="1" x14ac:dyDescent="0.2">
      <c r="A4" s="28" t="s">
        <v>420</v>
      </c>
      <c r="B4" s="100">
        <v>98005</v>
      </c>
      <c r="C4" s="101">
        <f>SUM(StateSenatorSenateDistrict5General[[#This Row],[Part of Nassau County Vote Results]])</f>
        <v>98005</v>
      </c>
      <c r="D4" s="113">
        <f>SUM(StateSenatorSenateDistrict5General[[#This Row],[Total Votes by Party]],C5)</f>
        <v>106245</v>
      </c>
    </row>
    <row r="5" spans="1:4" ht="14.25" customHeight="1" x14ac:dyDescent="0.2">
      <c r="A5" s="28" t="s">
        <v>421</v>
      </c>
      <c r="B5" s="100">
        <v>8240</v>
      </c>
      <c r="C5" s="101">
        <f>SUM(StateSenatorSenateDistrict5General[[#This Row],[Part of Nassau County Vote Results]])</f>
        <v>8240</v>
      </c>
      <c r="D5" s="111"/>
    </row>
    <row r="6" spans="1:4" ht="14.25" customHeight="1" x14ac:dyDescent="0.2">
      <c r="A6" s="29" t="s">
        <v>18</v>
      </c>
      <c r="B6" s="100">
        <v>11292</v>
      </c>
      <c r="C6" s="101">
        <f>SUM(StateSenatorSenateDistrict5General[[#This Row],[Part of Nassau County Vote Results]])</f>
        <v>11292</v>
      </c>
      <c r="D6" s="111"/>
    </row>
    <row r="7" spans="1:4" ht="14.25" customHeight="1" x14ac:dyDescent="0.2">
      <c r="A7" s="29" t="s">
        <v>19</v>
      </c>
      <c r="B7" s="100">
        <v>61</v>
      </c>
      <c r="C7" s="101">
        <f>SUM(StateSenatorSenateDistrict5General[[#This Row],[Part of Nassau County Vote Results]])</f>
        <v>61</v>
      </c>
      <c r="D7" s="111"/>
    </row>
    <row r="8" spans="1:4" ht="14.25" customHeight="1" x14ac:dyDescent="0.2">
      <c r="A8" s="29" t="s">
        <v>20</v>
      </c>
      <c r="B8" s="100">
        <v>222</v>
      </c>
      <c r="C8" s="101">
        <f>SUM(StateSenatorSenateDistrict5General[[#This Row],[Part of Nassau County Vote Results]])</f>
        <v>222</v>
      </c>
      <c r="D8" s="111"/>
    </row>
    <row r="9" spans="1:4" ht="14.25" customHeight="1" x14ac:dyDescent="0.2">
      <c r="A9" s="103" t="s">
        <v>21</v>
      </c>
      <c r="B9" s="100">
        <f>SUM(StateSenatorSenateDistrict5General[Part of Nassau County Vote Results])</f>
        <v>184797</v>
      </c>
      <c r="C9" s="101">
        <f>SUM(StateSenatorSenateDistrict5General[Total Votes by Party])</f>
        <v>184797</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C6369-A18A-4B53-8419-9D428D6BDB9A}">
  <sheetPr>
    <pageSetUpPr fitToPage="1"/>
  </sheetPr>
  <dimension ref="A1:D9"/>
  <sheetViews>
    <sheetView zoomScaleNormal="100" workbookViewId="0"/>
  </sheetViews>
  <sheetFormatPr defaultRowHeight="12.75" x14ac:dyDescent="0.2"/>
  <cols>
    <col min="1" max="1" width="27.7109375" customWidth="1"/>
    <col min="2" max="4" width="20.5703125" customWidth="1"/>
    <col min="5" max="6" width="23.5703125" customWidth="1"/>
  </cols>
  <sheetData>
    <row r="1" spans="1:4" ht="24.95" customHeight="1" x14ac:dyDescent="0.2">
      <c r="A1" s="72" t="s">
        <v>422</v>
      </c>
      <c r="B1" s="108"/>
      <c r="C1" s="108"/>
      <c r="D1" s="108"/>
    </row>
    <row r="2" spans="1:4" ht="28.5" customHeight="1" x14ac:dyDescent="0.2">
      <c r="A2" s="6" t="s">
        <v>93</v>
      </c>
      <c r="B2" s="7" t="s">
        <v>226</v>
      </c>
      <c r="C2" s="8" t="s">
        <v>84</v>
      </c>
      <c r="D2" s="9" t="s">
        <v>85</v>
      </c>
    </row>
    <row r="3" spans="1:4" ht="14.25" customHeight="1" x14ac:dyDescent="0.2">
      <c r="A3" s="28" t="s">
        <v>423</v>
      </c>
      <c r="B3" s="100">
        <v>78937</v>
      </c>
      <c r="C3" s="101">
        <f>StateSenatorSenateDistrict6General[[#This Row],[Part of Nassau County Vote Results]]</f>
        <v>78937</v>
      </c>
      <c r="D3" s="113">
        <f>SUM(StateSenatorSenateDistrict6General[[#This Row],[Total Votes by Party]])</f>
        <v>78937</v>
      </c>
    </row>
    <row r="4" spans="1:4" ht="14.25" customHeight="1" x14ac:dyDescent="0.2">
      <c r="A4" s="28" t="s">
        <v>424</v>
      </c>
      <c r="B4" s="100">
        <v>46276</v>
      </c>
      <c r="C4" s="101">
        <f>StateSenatorSenateDistrict6General[[#This Row],[Part of Nassau County Vote Results]]</f>
        <v>46276</v>
      </c>
      <c r="D4" s="113">
        <f>SUM(StateSenatorSenateDistrict6General[[#This Row],[Total Votes by Party]],C5)</f>
        <v>50713</v>
      </c>
    </row>
    <row r="5" spans="1:4" ht="14.25" customHeight="1" x14ac:dyDescent="0.2">
      <c r="A5" s="28" t="s">
        <v>425</v>
      </c>
      <c r="B5" s="100">
        <v>4437</v>
      </c>
      <c r="C5" s="101">
        <f>StateSenatorSenateDistrict6General[[#This Row],[Part of Nassau County Vote Results]]</f>
        <v>4437</v>
      </c>
      <c r="D5" s="111"/>
    </row>
    <row r="6" spans="1:4" ht="14.25" customHeight="1" x14ac:dyDescent="0.2">
      <c r="A6" s="29" t="s">
        <v>18</v>
      </c>
      <c r="B6" s="100">
        <v>10889</v>
      </c>
      <c r="C6" s="101">
        <f>StateSenatorSenateDistrict6General[[#This Row],[Part of Nassau County Vote Results]]</f>
        <v>10889</v>
      </c>
      <c r="D6" s="111"/>
    </row>
    <row r="7" spans="1:4" ht="14.25" customHeight="1" x14ac:dyDescent="0.2">
      <c r="A7" s="29" t="s">
        <v>19</v>
      </c>
      <c r="B7" s="100">
        <v>45</v>
      </c>
      <c r="C7" s="101">
        <f>StateSenatorSenateDistrict6General[[#This Row],[Part of Nassau County Vote Results]]</f>
        <v>45</v>
      </c>
      <c r="D7" s="111"/>
    </row>
    <row r="8" spans="1:4" ht="14.25" customHeight="1" x14ac:dyDescent="0.2">
      <c r="A8" s="29" t="s">
        <v>20</v>
      </c>
      <c r="B8" s="100">
        <v>117</v>
      </c>
      <c r="C8" s="101">
        <f>StateSenatorSenateDistrict6General[[#This Row],[Part of Nassau County Vote Results]]</f>
        <v>117</v>
      </c>
      <c r="D8" s="111"/>
    </row>
    <row r="9" spans="1:4" ht="14.25" customHeight="1" x14ac:dyDescent="0.2">
      <c r="A9" s="103" t="s">
        <v>21</v>
      </c>
      <c r="B9" s="100">
        <f>SUM(StateSenatorSenateDistrict6General[Part of Nassau County Vote Results])</f>
        <v>140701</v>
      </c>
      <c r="C9" s="101">
        <f>SUM(StateSenatorSenateDistrict6General[Total Votes by Party])</f>
        <v>140701</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A4A81-78B7-4556-AFBF-807015769844}">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426</v>
      </c>
      <c r="B1" s="108"/>
      <c r="C1" s="108"/>
      <c r="D1" s="108"/>
    </row>
    <row r="2" spans="1:4" ht="28.5" customHeight="1" x14ac:dyDescent="0.2">
      <c r="A2" s="6" t="s">
        <v>93</v>
      </c>
      <c r="B2" s="7" t="s">
        <v>226</v>
      </c>
      <c r="C2" s="8" t="s">
        <v>84</v>
      </c>
      <c r="D2" s="9" t="s">
        <v>85</v>
      </c>
    </row>
    <row r="3" spans="1:4" ht="14.25" customHeight="1" x14ac:dyDescent="0.2">
      <c r="A3" s="28" t="s">
        <v>427</v>
      </c>
      <c r="B3" s="100">
        <v>71700</v>
      </c>
      <c r="C3" s="101">
        <f>StateSenatorSenateDistrict7General[[#This Row],[Part of Nassau County Vote Results]]</f>
        <v>71700</v>
      </c>
      <c r="D3" s="113">
        <f>SUM(StateSenatorSenateDistrict7General[[#This Row],[Total Votes by Party]])</f>
        <v>71700</v>
      </c>
    </row>
    <row r="4" spans="1:4" ht="14.25" customHeight="1" x14ac:dyDescent="0.2">
      <c r="A4" s="28" t="s">
        <v>428</v>
      </c>
      <c r="B4" s="100">
        <v>82154</v>
      </c>
      <c r="C4" s="101">
        <f>StateSenatorSenateDistrict7General[[#This Row],[Part of Nassau County Vote Results]]</f>
        <v>82154</v>
      </c>
      <c r="D4" s="113">
        <f>SUM(StateSenatorSenateDistrict7General[[#This Row],[Total Votes by Party]],C5)</f>
        <v>88253</v>
      </c>
    </row>
    <row r="5" spans="1:4" ht="14.25" customHeight="1" x14ac:dyDescent="0.2">
      <c r="A5" s="28" t="s">
        <v>429</v>
      </c>
      <c r="B5" s="100">
        <v>6099</v>
      </c>
      <c r="C5" s="101">
        <f>StateSenatorSenateDistrict7General[[#This Row],[Part of Nassau County Vote Results]]</f>
        <v>6099</v>
      </c>
      <c r="D5" s="111"/>
    </row>
    <row r="6" spans="1:4" ht="14.25" customHeight="1" x14ac:dyDescent="0.2">
      <c r="A6" s="29" t="s">
        <v>18</v>
      </c>
      <c r="B6" s="100">
        <v>10152</v>
      </c>
      <c r="C6" s="101">
        <f>StateSenatorSenateDistrict7General[[#This Row],[Part of Nassau County Vote Results]]</f>
        <v>10152</v>
      </c>
      <c r="D6" s="111"/>
    </row>
    <row r="7" spans="1:4" ht="14.25" customHeight="1" x14ac:dyDescent="0.2">
      <c r="A7" s="29" t="s">
        <v>19</v>
      </c>
      <c r="B7" s="100">
        <v>55</v>
      </c>
      <c r="C7" s="101">
        <f>StateSenatorSenateDistrict7General[[#This Row],[Part of Nassau County Vote Results]]</f>
        <v>55</v>
      </c>
      <c r="D7" s="111"/>
    </row>
    <row r="8" spans="1:4" ht="14.25" customHeight="1" x14ac:dyDescent="0.2">
      <c r="A8" s="29" t="s">
        <v>20</v>
      </c>
      <c r="B8" s="100">
        <v>251</v>
      </c>
      <c r="C8" s="101">
        <f>StateSenatorSenateDistrict7General[[#This Row],[Part of Nassau County Vote Results]]</f>
        <v>251</v>
      </c>
      <c r="D8" s="111"/>
    </row>
    <row r="9" spans="1:4" ht="14.25" customHeight="1" x14ac:dyDescent="0.2">
      <c r="A9" s="103" t="s">
        <v>21</v>
      </c>
      <c r="B9" s="100">
        <f>SUM(StateSenatorSenateDistrict7General[Part of Nassau County Vote Results])</f>
        <v>170411</v>
      </c>
      <c r="C9" s="101">
        <f>SUM(StateSenatorSenateDistrict7General[Total Votes by Party])</f>
        <v>170411</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DDB7D-4645-428A-82BE-3322424A593D}">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75" customHeight="1" x14ac:dyDescent="0.2">
      <c r="A1" s="72" t="s">
        <v>430</v>
      </c>
      <c r="B1" s="108"/>
      <c r="C1" s="108"/>
      <c r="D1" s="108"/>
      <c r="E1" s="108"/>
    </row>
    <row r="2" spans="1:5" ht="28.5" customHeight="1" x14ac:dyDescent="0.2">
      <c r="A2" s="6" t="s">
        <v>93</v>
      </c>
      <c r="B2" s="7" t="s">
        <v>226</v>
      </c>
      <c r="C2" s="7" t="s">
        <v>220</v>
      </c>
      <c r="D2" s="8" t="s">
        <v>84</v>
      </c>
      <c r="E2" s="9" t="s">
        <v>85</v>
      </c>
    </row>
    <row r="3" spans="1:5" ht="14.25" customHeight="1" x14ac:dyDescent="0.2">
      <c r="A3" s="28" t="s">
        <v>431</v>
      </c>
      <c r="B3" s="100">
        <v>16838</v>
      </c>
      <c r="C3" s="100">
        <v>40988</v>
      </c>
      <c r="D3" s="101">
        <f>SUM(StateSenatorSenateDistrict8General[[#This Row],[Part of Nassau County Vote Results]:[Part of Suffolk County Vote Results]])</f>
        <v>57826</v>
      </c>
      <c r="E3" s="113">
        <f>SUM(StateSenatorSenateDistrict8General[[#This Row],[Total Votes by Party]])</f>
        <v>57826</v>
      </c>
    </row>
    <row r="4" spans="1:5" ht="14.25" customHeight="1" x14ac:dyDescent="0.2">
      <c r="A4" s="28" t="s">
        <v>432</v>
      </c>
      <c r="B4" s="100">
        <v>34908</v>
      </c>
      <c r="C4" s="100">
        <v>71031</v>
      </c>
      <c r="D4" s="101">
        <f>SUM(StateSenatorSenateDistrict8General[[#This Row],[Part of Nassau County Vote Results]:[Part of Suffolk County Vote Results]])</f>
        <v>105939</v>
      </c>
      <c r="E4" s="113">
        <f>SUM(StateSenatorSenateDistrict8General[[#This Row],[Total Votes by Party]],D5)</f>
        <v>118603</v>
      </c>
    </row>
    <row r="5" spans="1:5" ht="14.25" customHeight="1" x14ac:dyDescent="0.2">
      <c r="A5" s="28" t="s">
        <v>433</v>
      </c>
      <c r="B5" s="100">
        <v>2914</v>
      </c>
      <c r="C5" s="100">
        <v>9750</v>
      </c>
      <c r="D5" s="101">
        <f>SUM(StateSenatorSenateDistrict8General[[#This Row],[Part of Nassau County Vote Results]:[Part of Suffolk County Vote Results]])</f>
        <v>12664</v>
      </c>
      <c r="E5" s="111"/>
    </row>
    <row r="6" spans="1:5" ht="14.25" customHeight="1" x14ac:dyDescent="0.2">
      <c r="A6" s="29" t="s">
        <v>18</v>
      </c>
      <c r="B6" s="100">
        <v>3797</v>
      </c>
      <c r="C6" s="100">
        <v>8326</v>
      </c>
      <c r="D6" s="101">
        <f>SUM(StateSenatorSenateDistrict8General[[#This Row],[Part of Nassau County Vote Results]:[Part of Suffolk County Vote Results]])</f>
        <v>12123</v>
      </c>
      <c r="E6" s="111"/>
    </row>
    <row r="7" spans="1:5" ht="14.25" customHeight="1" x14ac:dyDescent="0.2">
      <c r="A7" s="29" t="s">
        <v>19</v>
      </c>
      <c r="B7" s="100">
        <v>6</v>
      </c>
      <c r="C7" s="100">
        <v>37</v>
      </c>
      <c r="D7" s="101">
        <f>SUM(StateSenatorSenateDistrict8General[[#This Row],[Part of Nassau County Vote Results]:[Part of Suffolk County Vote Results]])</f>
        <v>43</v>
      </c>
      <c r="E7" s="111"/>
    </row>
    <row r="8" spans="1:5" ht="14.25" customHeight="1" x14ac:dyDescent="0.2">
      <c r="A8" s="29" t="s">
        <v>20</v>
      </c>
      <c r="B8" s="100">
        <v>17</v>
      </c>
      <c r="C8" s="100">
        <v>41</v>
      </c>
      <c r="D8" s="101">
        <f>SUM(StateSenatorSenateDistrict8General[[#This Row],[Part of Nassau County Vote Results]:[Part of Suffolk County Vote Results]])</f>
        <v>58</v>
      </c>
      <c r="E8" s="111"/>
    </row>
    <row r="9" spans="1:5" ht="14.25" customHeight="1" x14ac:dyDescent="0.2">
      <c r="A9" s="103" t="s">
        <v>21</v>
      </c>
      <c r="B9" s="100">
        <f>SUM(StateSenatorSenateDistrict8General[Part of Nassau County Vote Results])</f>
        <v>58480</v>
      </c>
      <c r="C9" s="100">
        <f>SUM(StateSenatorSenateDistrict8General[Part of Suffolk County Vote Results])</f>
        <v>130173</v>
      </c>
      <c r="D9" s="101">
        <f>SUM(StateSenatorSenateDistrict8General[Total Votes by Party])</f>
        <v>188653</v>
      </c>
      <c r="E9" s="111"/>
    </row>
    <row r="10" spans="1:5" ht="14.25" x14ac:dyDescent="0.2">
      <c r="C10" s="70"/>
    </row>
  </sheetData>
  <pageMargins left="0.25" right="0.25" top="0.25" bottom="0.25" header="0.25" footer="0.25"/>
  <pageSetup paperSize="5" fitToHeight="0" orientation="landscape" r:id="rId1"/>
  <headerFooter alignWithMargins="0">
    <oddFooter>&amp;RPage &amp;P of &amp;N</oddFooter>
  </headerFooter>
  <ignoredErrors>
    <ignoredError sqref="E3:E4" calculatedColumn="1"/>
  </ignoredErrors>
  <tableParts count="1">
    <tablePart r:id="rId2"/>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08DB8-EB5E-44E5-8C4B-E2CE2ACAE347}">
  <sheetPr>
    <pageSetUpPr fitToPage="1"/>
  </sheetPr>
  <dimension ref="A1:D9"/>
  <sheetViews>
    <sheetView workbookViewId="0"/>
  </sheetViews>
  <sheetFormatPr defaultRowHeight="12.75" x14ac:dyDescent="0.2"/>
  <cols>
    <col min="1" max="1" width="31.28515625" customWidth="1"/>
    <col min="2" max="4" width="20.5703125" customWidth="1"/>
    <col min="5" max="6" width="23.5703125" customWidth="1"/>
  </cols>
  <sheetData>
    <row r="1" spans="1:4" ht="24.95" customHeight="1" x14ac:dyDescent="0.2">
      <c r="A1" s="72" t="s">
        <v>434</v>
      </c>
      <c r="B1" s="108"/>
      <c r="C1" s="108"/>
      <c r="D1" s="108"/>
    </row>
    <row r="2" spans="1:4" ht="28.5" customHeight="1" x14ac:dyDescent="0.2">
      <c r="A2" s="6" t="s">
        <v>93</v>
      </c>
      <c r="B2" s="7" t="s">
        <v>226</v>
      </c>
      <c r="C2" s="8" t="s">
        <v>84</v>
      </c>
      <c r="D2" s="9" t="s">
        <v>85</v>
      </c>
    </row>
    <row r="3" spans="1:4" ht="14.25" customHeight="1" x14ac:dyDescent="0.2">
      <c r="A3" s="28" t="s">
        <v>435</v>
      </c>
      <c r="B3" s="100">
        <v>70405</v>
      </c>
      <c r="C3" s="101">
        <f>StateSenatorSenateDistrict9General[[#This Row],[Part of Nassau County Vote Results]]</f>
        <v>70405</v>
      </c>
      <c r="D3" s="113">
        <f>SUM(StateSenatorSenateDistrict9General[[#This Row],[Total Votes by Party]])</f>
        <v>70405</v>
      </c>
    </row>
    <row r="4" spans="1:4" ht="14.25" customHeight="1" x14ac:dyDescent="0.2">
      <c r="A4" s="28" t="s">
        <v>436</v>
      </c>
      <c r="B4" s="100">
        <v>77628</v>
      </c>
      <c r="C4" s="101">
        <f>StateSenatorSenateDistrict9General[[#This Row],[Part of Nassau County Vote Results]]</f>
        <v>77628</v>
      </c>
      <c r="D4" s="113">
        <f>SUM(StateSenatorSenateDistrict9General[[#This Row],[Total Votes by Party]],C5)</f>
        <v>83898</v>
      </c>
    </row>
    <row r="5" spans="1:4" ht="14.25" customHeight="1" x14ac:dyDescent="0.2">
      <c r="A5" s="28" t="s">
        <v>437</v>
      </c>
      <c r="B5" s="100">
        <v>6270</v>
      </c>
      <c r="C5" s="101">
        <f>StateSenatorSenateDistrict9General[[#This Row],[Part of Nassau County Vote Results]]</f>
        <v>6270</v>
      </c>
      <c r="D5" s="111"/>
    </row>
    <row r="6" spans="1:4" ht="14.25" customHeight="1" x14ac:dyDescent="0.2">
      <c r="A6" s="29" t="s">
        <v>18</v>
      </c>
      <c r="B6" s="100">
        <v>11258</v>
      </c>
      <c r="C6" s="101">
        <f>StateSenatorSenateDistrict9General[[#This Row],[Part of Nassau County Vote Results]]</f>
        <v>11258</v>
      </c>
      <c r="D6" s="111"/>
    </row>
    <row r="7" spans="1:4" ht="14.25" customHeight="1" x14ac:dyDescent="0.2">
      <c r="A7" s="29" t="s">
        <v>19</v>
      </c>
      <c r="B7" s="100">
        <v>52</v>
      </c>
      <c r="C7" s="101">
        <f>StateSenatorSenateDistrict9General[[#This Row],[Part of Nassau County Vote Results]]</f>
        <v>52</v>
      </c>
      <c r="D7" s="111"/>
    </row>
    <row r="8" spans="1:4" ht="14.25" customHeight="1" x14ac:dyDescent="0.2">
      <c r="A8" s="29" t="s">
        <v>20</v>
      </c>
      <c r="B8" s="100">
        <v>334</v>
      </c>
      <c r="C8" s="101">
        <f>StateSenatorSenateDistrict9General[[#This Row],[Part of Nassau County Vote Results]]</f>
        <v>334</v>
      </c>
      <c r="D8" s="111"/>
    </row>
    <row r="9" spans="1:4" ht="14.25" customHeight="1" x14ac:dyDescent="0.2">
      <c r="A9" s="103" t="s">
        <v>21</v>
      </c>
      <c r="B9" s="100">
        <f>SUM(StateSenatorSenateDistrict9General[Part of Nassau County Vote Results])</f>
        <v>165947</v>
      </c>
      <c r="C9" s="101">
        <f>SUM(StateSenatorSenateDistrict9General[Total Votes by Party])</f>
        <v>165947</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75F0-B87E-4DD6-B27B-B51BA4384029}">
  <sheetPr>
    <pageSetUpPr fitToPage="1"/>
  </sheetPr>
  <dimension ref="A1:D11"/>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438</v>
      </c>
      <c r="B1" s="108"/>
      <c r="C1" s="108"/>
      <c r="D1" s="108"/>
    </row>
    <row r="2" spans="1:4" ht="28.5" customHeight="1" x14ac:dyDescent="0.2">
      <c r="A2" s="123" t="s">
        <v>93</v>
      </c>
      <c r="B2" s="124" t="s">
        <v>232</v>
      </c>
      <c r="C2" s="125" t="s">
        <v>84</v>
      </c>
      <c r="D2" s="126" t="s">
        <v>85</v>
      </c>
    </row>
    <row r="3" spans="1:4" ht="14.25" customHeight="1" x14ac:dyDescent="0.2">
      <c r="A3" s="127" t="s">
        <v>439</v>
      </c>
      <c r="B3" s="118">
        <v>65391</v>
      </c>
      <c r="C3" s="101">
        <f>StateSenatorSenateDistrict10General[[#This Row],[Part of Queens County Vote Results]]</f>
        <v>65391</v>
      </c>
      <c r="D3" s="128">
        <f>SUM(StateSenatorSenateDistrict10General[[#This Row],[Total Votes by Party]],C6)</f>
        <v>68074</v>
      </c>
    </row>
    <row r="4" spans="1:4" ht="14.25" customHeight="1" x14ac:dyDescent="0.2">
      <c r="A4" s="127" t="s">
        <v>440</v>
      </c>
      <c r="B4" s="118">
        <v>25129</v>
      </c>
      <c r="C4" s="101">
        <f>StateSenatorSenateDistrict10General[[#This Row],[Part of Queens County Vote Results]]</f>
        <v>25129</v>
      </c>
      <c r="D4" s="128">
        <f>SUM(StateSenatorSenateDistrict10General[[#This Row],[Total Votes by Party]],C5,C7)</f>
        <v>27673</v>
      </c>
    </row>
    <row r="5" spans="1:4" ht="14.25" customHeight="1" x14ac:dyDescent="0.2">
      <c r="A5" s="127" t="s">
        <v>441</v>
      </c>
      <c r="B5" s="118">
        <v>2151</v>
      </c>
      <c r="C5" s="101">
        <f>StateSenatorSenateDistrict10General[[#This Row],[Part of Queens County Vote Results]]</f>
        <v>2151</v>
      </c>
      <c r="D5" s="115"/>
    </row>
    <row r="6" spans="1:4" ht="14.25" customHeight="1" x14ac:dyDescent="0.2">
      <c r="A6" s="127" t="s">
        <v>442</v>
      </c>
      <c r="B6" s="118">
        <v>2683</v>
      </c>
      <c r="C6" s="101">
        <f>StateSenatorSenateDistrict10General[[#This Row],[Part of Queens County Vote Results]]</f>
        <v>2683</v>
      </c>
      <c r="D6" s="115"/>
    </row>
    <row r="7" spans="1:4" ht="14.25" customHeight="1" x14ac:dyDescent="0.2">
      <c r="A7" s="127" t="s">
        <v>443</v>
      </c>
      <c r="B7" s="118">
        <v>393</v>
      </c>
      <c r="C7" s="101">
        <f>StateSenatorSenateDistrict10General[[#This Row],[Part of Queens County Vote Results]]</f>
        <v>393</v>
      </c>
      <c r="D7" s="115"/>
    </row>
    <row r="8" spans="1:4" ht="14.25" customHeight="1" x14ac:dyDescent="0.2">
      <c r="A8" s="129" t="s">
        <v>18</v>
      </c>
      <c r="B8" s="100">
        <v>4182</v>
      </c>
      <c r="C8" s="101">
        <f>StateSenatorSenateDistrict10General[[#This Row],[Part of Queens County Vote Results]]</f>
        <v>4182</v>
      </c>
      <c r="D8" s="115"/>
    </row>
    <row r="9" spans="1:4" ht="14.25" customHeight="1" x14ac:dyDescent="0.2">
      <c r="A9" s="129" t="s">
        <v>19</v>
      </c>
      <c r="B9" s="100">
        <v>179</v>
      </c>
      <c r="C9" s="101">
        <f>StateSenatorSenateDistrict10General[[#This Row],[Part of Queens County Vote Results]]</f>
        <v>179</v>
      </c>
      <c r="D9" s="115"/>
    </row>
    <row r="10" spans="1:4" ht="14.25" customHeight="1" x14ac:dyDescent="0.2">
      <c r="A10" s="129" t="s">
        <v>20</v>
      </c>
      <c r="B10" s="100">
        <v>144</v>
      </c>
      <c r="C10" s="101">
        <f>StateSenatorSenateDistrict10General[[#This Row],[Part of Queens County Vote Results]]</f>
        <v>144</v>
      </c>
      <c r="D10" s="115"/>
    </row>
    <row r="11" spans="1:4" ht="14.25" customHeight="1" x14ac:dyDescent="0.2">
      <c r="A11" s="129" t="s">
        <v>21</v>
      </c>
      <c r="B11" s="119">
        <f>SUM(StateSenatorSenateDistrict10General[Part of Queens County Vote Results])</f>
        <v>100252</v>
      </c>
      <c r="C11" s="102">
        <f>SUM(StateSenatorSenateDistrict10General[Total Votes by Party])</f>
        <v>100252</v>
      </c>
      <c r="D11" s="114"/>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5432-6DA1-4343-89C9-FA4B5F28B283}">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444</v>
      </c>
      <c r="B1" s="108"/>
      <c r="C1" s="108"/>
      <c r="D1" s="108"/>
      <c r="E1" s="108"/>
    </row>
    <row r="2" spans="1:5" ht="28.5" customHeight="1" x14ac:dyDescent="0.2">
      <c r="A2" s="6" t="s">
        <v>93</v>
      </c>
      <c r="B2" s="7" t="s">
        <v>281</v>
      </c>
      <c r="C2" s="7" t="s">
        <v>232</v>
      </c>
      <c r="D2" s="8" t="s">
        <v>84</v>
      </c>
      <c r="E2" s="9" t="s">
        <v>85</v>
      </c>
    </row>
    <row r="3" spans="1:5" ht="14.25" customHeight="1" x14ac:dyDescent="0.2">
      <c r="A3" s="120" t="s">
        <v>445</v>
      </c>
      <c r="B3" s="118">
        <v>0</v>
      </c>
      <c r="C3" s="118">
        <v>52998</v>
      </c>
      <c r="D3" s="101">
        <f>SUM(B3,C3)</f>
        <v>52998</v>
      </c>
      <c r="E3" s="113">
        <f>SUM(StateSenatorSenateDistrict11General[[#This Row],[Total Votes by Party]],D6)</f>
        <v>56263</v>
      </c>
    </row>
    <row r="4" spans="1:5" ht="14.25" customHeight="1" x14ac:dyDescent="0.2">
      <c r="A4" s="28" t="s">
        <v>446</v>
      </c>
      <c r="B4" s="118">
        <v>1</v>
      </c>
      <c r="C4" s="118">
        <v>43524</v>
      </c>
      <c r="D4" s="101">
        <f t="shared" ref="D4:D9" si="0">SUM(B4,C4)</f>
        <v>43525</v>
      </c>
      <c r="E4" s="113">
        <f>SUM(StateSenatorSenateDistrict11General[[#This Row],[Total Votes by Party]],D5)</f>
        <v>47208</v>
      </c>
    </row>
    <row r="5" spans="1:5" ht="14.25" customHeight="1" x14ac:dyDescent="0.2">
      <c r="A5" s="28" t="s">
        <v>447</v>
      </c>
      <c r="B5" s="118">
        <v>0</v>
      </c>
      <c r="C5" s="118">
        <v>3683</v>
      </c>
      <c r="D5" s="101">
        <f t="shared" si="0"/>
        <v>3683</v>
      </c>
      <c r="E5" s="111"/>
    </row>
    <row r="6" spans="1:5" ht="14.25" customHeight="1" x14ac:dyDescent="0.2">
      <c r="A6" s="28" t="s">
        <v>448</v>
      </c>
      <c r="B6" s="118">
        <v>0</v>
      </c>
      <c r="C6" s="118">
        <v>3265</v>
      </c>
      <c r="D6" s="101">
        <f t="shared" si="0"/>
        <v>3265</v>
      </c>
      <c r="E6" s="111"/>
    </row>
    <row r="7" spans="1:5" ht="14.25" customHeight="1" x14ac:dyDescent="0.2">
      <c r="A7" s="29" t="s">
        <v>18</v>
      </c>
      <c r="B7" s="100">
        <v>0</v>
      </c>
      <c r="C7" s="100">
        <v>6087</v>
      </c>
      <c r="D7" s="101">
        <f t="shared" si="0"/>
        <v>6087</v>
      </c>
      <c r="E7" s="111"/>
    </row>
    <row r="8" spans="1:5" ht="14.25" customHeight="1" x14ac:dyDescent="0.2">
      <c r="A8" s="29" t="s">
        <v>19</v>
      </c>
      <c r="B8" s="100">
        <v>0</v>
      </c>
      <c r="C8" s="100">
        <v>359</v>
      </c>
      <c r="D8" s="101">
        <f t="shared" si="0"/>
        <v>359</v>
      </c>
      <c r="E8" s="111"/>
    </row>
    <row r="9" spans="1:5" ht="14.25" customHeight="1" x14ac:dyDescent="0.2">
      <c r="A9" s="29" t="s">
        <v>20</v>
      </c>
      <c r="B9" s="100">
        <v>0</v>
      </c>
      <c r="C9" s="100">
        <v>439</v>
      </c>
      <c r="D9" s="101">
        <f t="shared" si="0"/>
        <v>439</v>
      </c>
      <c r="E9" s="111"/>
    </row>
    <row r="10" spans="1:5" ht="14.25" customHeight="1" x14ac:dyDescent="0.2">
      <c r="A10" s="103" t="s">
        <v>21</v>
      </c>
      <c r="B10" s="100">
        <f>SUM(StateSenatorSenateDistrict11General[Part of Bronx County Vote Results])</f>
        <v>1</v>
      </c>
      <c r="C10" s="100">
        <f>SUM(StateSenatorSenateDistrict11General[Part of Queens County Vote Results])</f>
        <v>110355</v>
      </c>
      <c r="D10" s="101">
        <f>SUM(StateSenatorSenateDistrict11General[Total Votes by Party])</f>
        <v>110356</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0E82D-CEA0-432C-AF93-6F2AA1F3900F}">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449</v>
      </c>
      <c r="B1" s="108"/>
      <c r="C1" s="108"/>
      <c r="D1" s="108"/>
      <c r="E1" s="108"/>
    </row>
    <row r="2" spans="1:5" ht="28.5" customHeight="1" x14ac:dyDescent="0.2">
      <c r="A2" s="6" t="s">
        <v>93</v>
      </c>
      <c r="B2" s="7" t="s">
        <v>253</v>
      </c>
      <c r="C2" s="7" t="s">
        <v>232</v>
      </c>
      <c r="D2" s="8" t="s">
        <v>84</v>
      </c>
      <c r="E2" s="9" t="s">
        <v>85</v>
      </c>
    </row>
    <row r="3" spans="1:5" ht="14.25" customHeight="1" x14ac:dyDescent="0.2">
      <c r="A3" s="28" t="s">
        <v>450</v>
      </c>
      <c r="B3" s="118">
        <v>1</v>
      </c>
      <c r="C3" s="118">
        <v>48819</v>
      </c>
      <c r="D3" s="101">
        <f t="shared" ref="D3:D8" si="0">SUM(B3:C3)</f>
        <v>48820</v>
      </c>
      <c r="E3" s="113">
        <f>SUM(StateSenatorSenateDistrict12General[[#This Row],[Total Votes by Party]],D5)</f>
        <v>58869</v>
      </c>
    </row>
    <row r="4" spans="1:5" ht="14.25" customHeight="1" x14ac:dyDescent="0.2">
      <c r="A4" s="28" t="s">
        <v>451</v>
      </c>
      <c r="B4" s="118">
        <v>2</v>
      </c>
      <c r="C4" s="100">
        <v>28190</v>
      </c>
      <c r="D4" s="101">
        <f>SUM(B4:C4)</f>
        <v>28192</v>
      </c>
      <c r="E4" s="113">
        <f>SUM(StateSenatorSenateDistrict12General[[#This Row],[Total Votes by Party]])</f>
        <v>28192</v>
      </c>
    </row>
    <row r="5" spans="1:5" ht="14.25" customHeight="1" x14ac:dyDescent="0.2">
      <c r="A5" s="28" t="s">
        <v>452</v>
      </c>
      <c r="B5" s="118">
        <v>0</v>
      </c>
      <c r="C5" s="100">
        <v>10049</v>
      </c>
      <c r="D5" s="101">
        <f>SUM(B5:C5)</f>
        <v>10049</v>
      </c>
      <c r="E5" s="111"/>
    </row>
    <row r="6" spans="1:5" ht="14.25" customHeight="1" x14ac:dyDescent="0.2">
      <c r="A6" s="29" t="s">
        <v>18</v>
      </c>
      <c r="B6" s="100">
        <v>0</v>
      </c>
      <c r="C6" s="100">
        <v>7012</v>
      </c>
      <c r="D6" s="101">
        <f t="shared" si="0"/>
        <v>7012</v>
      </c>
      <c r="E6" s="111"/>
    </row>
    <row r="7" spans="1:5" ht="14.25" customHeight="1" x14ac:dyDescent="0.2">
      <c r="A7" s="29" t="s">
        <v>19</v>
      </c>
      <c r="B7" s="100">
        <v>0</v>
      </c>
      <c r="C7" s="100">
        <v>566</v>
      </c>
      <c r="D7" s="101">
        <f t="shared" si="0"/>
        <v>566</v>
      </c>
      <c r="E7" s="111"/>
    </row>
    <row r="8" spans="1:5" ht="14.25" customHeight="1" x14ac:dyDescent="0.2">
      <c r="A8" s="29" t="s">
        <v>20</v>
      </c>
      <c r="B8" s="100">
        <v>0</v>
      </c>
      <c r="C8" s="100">
        <v>290</v>
      </c>
      <c r="D8" s="101">
        <f t="shared" si="0"/>
        <v>290</v>
      </c>
      <c r="E8" s="111"/>
    </row>
    <row r="9" spans="1:5" ht="14.25" customHeight="1" x14ac:dyDescent="0.2">
      <c r="A9" s="103" t="s">
        <v>21</v>
      </c>
      <c r="B9" s="100">
        <f>SUM(StateSenatorSenateDistrict12General[Part of Kings County Vote Results])</f>
        <v>3</v>
      </c>
      <c r="C9" s="100">
        <f>SUM(StateSenatorSenateDistrict12General[Part of Queens County Vote Results])</f>
        <v>94926</v>
      </c>
      <c r="D9" s="101">
        <f>SUM(StateSenatorSenateDistrict12General[Total Votes by Party])</f>
        <v>94929</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6161C-3FE7-47C4-AF2E-881B048B954A}">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453</v>
      </c>
      <c r="B1" s="108"/>
      <c r="C1" s="108"/>
      <c r="D1" s="108"/>
    </row>
    <row r="2" spans="1:4" ht="28.5" customHeight="1" x14ac:dyDescent="0.2">
      <c r="A2" s="6" t="s">
        <v>93</v>
      </c>
      <c r="B2" s="7" t="s">
        <v>232</v>
      </c>
      <c r="C2" s="8" t="s">
        <v>84</v>
      </c>
      <c r="D2" s="9" t="s">
        <v>85</v>
      </c>
    </row>
    <row r="3" spans="1:4" ht="14.25" customHeight="1" x14ac:dyDescent="0.2">
      <c r="A3" s="28" t="s">
        <v>454</v>
      </c>
      <c r="B3" s="118">
        <v>40572</v>
      </c>
      <c r="C3" s="101">
        <f>StateSenatorSenateDistrict13General[[#This Row],[Part of Queens County Vote Results]]</f>
        <v>40572</v>
      </c>
      <c r="D3" s="113">
        <f>SUM(StateSenatorSenateDistrict13General[[#This Row],[Total Votes by Party]],C4)</f>
        <v>48367</v>
      </c>
    </row>
    <row r="4" spans="1:4" ht="14.25" customHeight="1" x14ac:dyDescent="0.2">
      <c r="A4" s="28" t="s">
        <v>455</v>
      </c>
      <c r="B4" s="118">
        <v>7795</v>
      </c>
      <c r="C4" s="101">
        <f>StateSenatorSenateDistrict13General[[#This Row],[Part of Queens County Vote Results]]</f>
        <v>7795</v>
      </c>
      <c r="D4" s="111"/>
    </row>
    <row r="5" spans="1:4" ht="14.25" customHeight="1" x14ac:dyDescent="0.2">
      <c r="A5" s="29" t="s">
        <v>18</v>
      </c>
      <c r="B5" s="100">
        <v>19833</v>
      </c>
      <c r="C5" s="101">
        <f>StateSenatorSenateDistrict13General[[#This Row],[Part of Queens County Vote Results]]</f>
        <v>19833</v>
      </c>
      <c r="D5" s="111"/>
    </row>
    <row r="6" spans="1:4" ht="14.25" customHeight="1" x14ac:dyDescent="0.2">
      <c r="A6" s="29" t="s">
        <v>19</v>
      </c>
      <c r="B6" s="100">
        <v>217</v>
      </c>
      <c r="C6" s="101">
        <f>StateSenatorSenateDistrict13General[[#This Row],[Part of Queens County Vote Results]]</f>
        <v>217</v>
      </c>
      <c r="D6" s="111"/>
    </row>
    <row r="7" spans="1:4" ht="14.25" customHeight="1" x14ac:dyDescent="0.2">
      <c r="A7" s="29" t="s">
        <v>20</v>
      </c>
      <c r="B7" s="100">
        <v>810</v>
      </c>
      <c r="C7" s="101">
        <f>StateSenatorSenateDistrict13General[[#This Row],[Part of Queens County Vote Results]]</f>
        <v>810</v>
      </c>
      <c r="D7" s="111"/>
    </row>
    <row r="8" spans="1:4" ht="14.25" customHeight="1" x14ac:dyDescent="0.2">
      <c r="A8" s="103" t="s">
        <v>21</v>
      </c>
      <c r="B8" s="100">
        <f>SUM(StateSenatorSenateDistrict13General[Part of Queens County Vote Results])</f>
        <v>69227</v>
      </c>
      <c r="C8" s="101">
        <f>SUM(StateSenatorSenateDistrict13General[Total Votes by Party])</f>
        <v>69227</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0413-9EBA-48BC-A455-36480C9C7A03}">
  <sheetPr>
    <pageSetUpPr fitToPage="1"/>
  </sheetPr>
  <dimension ref="A1:K15"/>
  <sheetViews>
    <sheetView zoomScaleNormal="100" zoomScaleSheetLayoutView="90" workbookViewId="0">
      <pane xSplit="1" topLeftCell="B1" activePane="topRight" state="frozen"/>
      <selection activeCell="A30" sqref="A30"/>
      <selection pane="topRight" sqref="A1:I1"/>
    </sheetView>
  </sheetViews>
  <sheetFormatPr defaultRowHeight="12.75" x14ac:dyDescent="0.2"/>
  <cols>
    <col min="1" max="1" width="25.7109375" customWidth="1"/>
    <col min="2" max="5" width="17.7109375" customWidth="1"/>
    <col min="6" max="11" width="20.5703125" customWidth="1"/>
    <col min="12" max="12" width="18.7109375" customWidth="1"/>
    <col min="13" max="17" width="15.7109375" customWidth="1"/>
    <col min="18" max="19" width="23.5703125" customWidth="1"/>
  </cols>
  <sheetData>
    <row r="1" spans="1:11" ht="39.950000000000003" customHeight="1" x14ac:dyDescent="0.2">
      <c r="A1" s="147" t="s">
        <v>111</v>
      </c>
      <c r="B1" s="147"/>
      <c r="C1" s="147"/>
      <c r="D1" s="147"/>
      <c r="E1" s="147"/>
      <c r="F1" s="147"/>
      <c r="G1" s="147"/>
      <c r="H1" s="147"/>
      <c r="I1" s="147"/>
      <c r="J1" s="108"/>
      <c r="K1" s="108"/>
    </row>
    <row r="2" spans="1:11" ht="28.5" customHeight="1" x14ac:dyDescent="0.2">
      <c r="A2" s="19" t="s">
        <v>93</v>
      </c>
      <c r="B2" s="7" t="s">
        <v>112</v>
      </c>
      <c r="C2" s="7" t="s">
        <v>113</v>
      </c>
      <c r="D2" s="7" t="s">
        <v>114</v>
      </c>
      <c r="E2" s="7" t="s">
        <v>115</v>
      </c>
      <c r="F2" s="48" t="s">
        <v>116</v>
      </c>
      <c r="G2" s="48" t="s">
        <v>117</v>
      </c>
      <c r="H2" s="48" t="s">
        <v>118</v>
      </c>
      <c r="I2" s="7" t="s">
        <v>119</v>
      </c>
      <c r="J2" s="20" t="s">
        <v>84</v>
      </c>
      <c r="K2" s="21" t="s">
        <v>85</v>
      </c>
    </row>
    <row r="3" spans="1:11" ht="14.25" customHeight="1" x14ac:dyDescent="0.2">
      <c r="A3" s="28" t="s">
        <v>120</v>
      </c>
      <c r="B3" s="100">
        <v>12913</v>
      </c>
      <c r="C3" s="100">
        <v>9915</v>
      </c>
      <c r="D3" s="109">
        <v>171478</v>
      </c>
      <c r="E3" s="100">
        <v>24064</v>
      </c>
      <c r="F3" s="100">
        <v>5420</v>
      </c>
      <c r="G3" s="110">
        <v>12694</v>
      </c>
      <c r="H3" s="100">
        <v>13573</v>
      </c>
      <c r="I3" s="100">
        <v>3467</v>
      </c>
      <c r="J3" s="101">
        <f t="shared" ref="J3:J13" si="0">SUM(B3:I3)</f>
        <v>253524</v>
      </c>
      <c r="K3" s="113">
        <f>SUM(RepInCongressCongressionalDistrict19General247248250251[[#This Row],[Total Votes by Party]],J9)</f>
        <v>278185</v>
      </c>
    </row>
    <row r="4" spans="1:11" ht="14.25" customHeight="1" x14ac:dyDescent="0.2">
      <c r="A4" s="28" t="s">
        <v>121</v>
      </c>
      <c r="B4" s="100">
        <v>11778</v>
      </c>
      <c r="C4" s="100">
        <v>8964</v>
      </c>
      <c r="D4" s="109">
        <v>157489</v>
      </c>
      <c r="E4" s="100">
        <v>22378</v>
      </c>
      <c r="F4" s="100">
        <v>4823</v>
      </c>
      <c r="G4" s="110">
        <v>11613</v>
      </c>
      <c r="H4" s="100">
        <v>12216</v>
      </c>
      <c r="I4" s="100">
        <v>3153</v>
      </c>
      <c r="J4" s="101">
        <f t="shared" si="0"/>
        <v>232414</v>
      </c>
      <c r="K4" s="113">
        <f>SUM(RepInCongressCongressionalDistrict19General247248250251[[#This Row],[Total Votes by Party]],J10)</f>
        <v>256751</v>
      </c>
    </row>
    <row r="5" spans="1:11" ht="14.25" customHeight="1" x14ac:dyDescent="0.2">
      <c r="A5" s="28" t="s">
        <v>122</v>
      </c>
      <c r="B5" s="100">
        <v>17668</v>
      </c>
      <c r="C5" s="100">
        <v>16730</v>
      </c>
      <c r="D5" s="109">
        <v>139724</v>
      </c>
      <c r="E5" s="100">
        <v>27795</v>
      </c>
      <c r="F5" s="100">
        <v>7157</v>
      </c>
      <c r="G5" s="110">
        <v>26303</v>
      </c>
      <c r="H5" s="100">
        <v>23606</v>
      </c>
      <c r="I5" s="100">
        <v>5455</v>
      </c>
      <c r="J5" s="101">
        <f t="shared" ref="J5:J7" si="1">SUM(B5:I5)</f>
        <v>264438</v>
      </c>
      <c r="K5" s="113">
        <f>SUM(RepInCongressCongressionalDistrict19General247248250251[[#This Row],[Total Votes by Party]],J7)</f>
        <v>308019</v>
      </c>
    </row>
    <row r="6" spans="1:11" ht="14.25" customHeight="1" x14ac:dyDescent="0.2">
      <c r="A6" s="28" t="s">
        <v>123</v>
      </c>
      <c r="B6" s="100">
        <v>16421</v>
      </c>
      <c r="C6" s="100">
        <v>15256</v>
      </c>
      <c r="D6" s="109">
        <v>117546</v>
      </c>
      <c r="E6" s="100">
        <v>24663</v>
      </c>
      <c r="F6" s="100">
        <v>6982</v>
      </c>
      <c r="G6" s="110">
        <v>24846</v>
      </c>
      <c r="H6" s="100">
        <v>21637</v>
      </c>
      <c r="I6" s="100">
        <v>4883</v>
      </c>
      <c r="J6" s="101">
        <f t="shared" si="1"/>
        <v>232234</v>
      </c>
      <c r="K6" s="113">
        <f>SUM(RepInCongressCongressionalDistrict19General247248250251[[#This Row],[Total Votes by Party]],J8)</f>
        <v>272152</v>
      </c>
    </row>
    <row r="7" spans="1:11" ht="14.25" customHeight="1" x14ac:dyDescent="0.2">
      <c r="A7" s="29" t="s">
        <v>124</v>
      </c>
      <c r="B7" s="100">
        <v>2624</v>
      </c>
      <c r="C7" s="100">
        <v>2446</v>
      </c>
      <c r="D7" s="109">
        <v>25550</v>
      </c>
      <c r="E7" s="100">
        <v>4350</v>
      </c>
      <c r="F7" s="100">
        <v>928</v>
      </c>
      <c r="G7" s="110">
        <v>2789</v>
      </c>
      <c r="H7" s="100">
        <v>4108</v>
      </c>
      <c r="I7" s="100">
        <v>786</v>
      </c>
      <c r="J7" s="101">
        <f t="shared" si="1"/>
        <v>43581</v>
      </c>
      <c r="K7" s="111"/>
    </row>
    <row r="8" spans="1:11" ht="14.25" customHeight="1" x14ac:dyDescent="0.2">
      <c r="A8" s="28" t="s">
        <v>125</v>
      </c>
      <c r="B8" s="100">
        <v>2465</v>
      </c>
      <c r="C8" s="100">
        <v>2315</v>
      </c>
      <c r="D8" s="109">
        <v>22918</v>
      </c>
      <c r="E8" s="100">
        <v>4090</v>
      </c>
      <c r="F8" s="100">
        <v>911</v>
      </c>
      <c r="G8" s="110">
        <v>2662</v>
      </c>
      <c r="H8" s="100">
        <v>3830</v>
      </c>
      <c r="I8" s="100">
        <v>727</v>
      </c>
      <c r="J8" s="101">
        <f t="shared" si="0"/>
        <v>39918</v>
      </c>
      <c r="K8" s="111"/>
    </row>
    <row r="9" spans="1:11" ht="14.25" customHeight="1" x14ac:dyDescent="0.2">
      <c r="A9" s="28" t="s">
        <v>126</v>
      </c>
      <c r="B9" s="100">
        <v>1316</v>
      </c>
      <c r="C9" s="100">
        <v>1031</v>
      </c>
      <c r="D9" s="109">
        <v>16673</v>
      </c>
      <c r="E9" s="100">
        <v>2061</v>
      </c>
      <c r="F9" s="100">
        <v>569</v>
      </c>
      <c r="G9" s="110">
        <v>1332</v>
      </c>
      <c r="H9" s="100">
        <v>1325</v>
      </c>
      <c r="I9" s="100">
        <v>354</v>
      </c>
      <c r="J9" s="101">
        <f t="shared" si="0"/>
        <v>24661</v>
      </c>
      <c r="K9" s="111"/>
    </row>
    <row r="10" spans="1:11" ht="14.25" customHeight="1" x14ac:dyDescent="0.2">
      <c r="A10" s="28" t="s">
        <v>127</v>
      </c>
      <c r="B10" s="100">
        <v>1260</v>
      </c>
      <c r="C10" s="100">
        <v>949</v>
      </c>
      <c r="D10" s="109">
        <v>16879</v>
      </c>
      <c r="E10" s="100">
        <v>1969</v>
      </c>
      <c r="F10" s="100">
        <v>493</v>
      </c>
      <c r="G10" s="110">
        <v>1226</v>
      </c>
      <c r="H10" s="100">
        <v>1237</v>
      </c>
      <c r="I10" s="100">
        <v>324</v>
      </c>
      <c r="J10" s="101">
        <f t="shared" si="0"/>
        <v>24337</v>
      </c>
      <c r="K10" s="111"/>
    </row>
    <row r="11" spans="1:11" ht="14.25" customHeight="1" x14ac:dyDescent="0.2">
      <c r="A11" s="29" t="s">
        <v>18</v>
      </c>
      <c r="B11" s="100">
        <v>6941</v>
      </c>
      <c r="C11" s="100">
        <v>5156</v>
      </c>
      <c r="D11" s="109">
        <v>65501</v>
      </c>
      <c r="E11" s="100">
        <v>10125</v>
      </c>
      <c r="F11" s="100">
        <v>3123</v>
      </c>
      <c r="G11" s="110">
        <v>7877</v>
      </c>
      <c r="H11" s="100">
        <v>8407</v>
      </c>
      <c r="I11" s="100">
        <v>2121</v>
      </c>
      <c r="J11" s="101">
        <f t="shared" si="0"/>
        <v>109251</v>
      </c>
      <c r="K11" s="111"/>
    </row>
    <row r="12" spans="1:11" ht="14.25" customHeight="1" x14ac:dyDescent="0.2">
      <c r="A12" s="29" t="s">
        <v>19</v>
      </c>
      <c r="B12" s="100">
        <v>78</v>
      </c>
      <c r="C12" s="100">
        <v>34</v>
      </c>
      <c r="D12" s="109">
        <v>764</v>
      </c>
      <c r="E12" s="100">
        <v>109</v>
      </c>
      <c r="F12" s="100">
        <v>42</v>
      </c>
      <c r="G12" s="110">
        <v>278</v>
      </c>
      <c r="H12" s="100">
        <v>73</v>
      </c>
      <c r="I12" s="100">
        <v>28</v>
      </c>
      <c r="J12" s="101">
        <f t="shared" si="0"/>
        <v>1406</v>
      </c>
      <c r="K12" s="111"/>
    </row>
    <row r="13" spans="1:11" ht="14.25" customHeight="1" x14ac:dyDescent="0.2">
      <c r="A13" s="29" t="s">
        <v>20</v>
      </c>
      <c r="B13" s="100">
        <v>26</v>
      </c>
      <c r="C13" s="100">
        <v>20</v>
      </c>
      <c r="D13" s="109">
        <v>210</v>
      </c>
      <c r="E13" s="100">
        <v>24</v>
      </c>
      <c r="F13" s="100">
        <v>6</v>
      </c>
      <c r="G13" s="110">
        <v>24</v>
      </c>
      <c r="H13" s="100">
        <v>18</v>
      </c>
      <c r="I13" s="100">
        <v>12</v>
      </c>
      <c r="J13" s="101">
        <f t="shared" si="0"/>
        <v>340</v>
      </c>
      <c r="K13" s="111"/>
    </row>
    <row r="14" spans="1:11" ht="14.25" customHeight="1" x14ac:dyDescent="0.2">
      <c r="A14" s="103" t="s">
        <v>21</v>
      </c>
      <c r="B14" s="100">
        <f>SUM(RepInCongressCongressionalDistrict19General247248250251[Cayuga County
Vote Results])</f>
        <v>73490</v>
      </c>
      <c r="C14" s="100">
        <f>SUM(RepInCongressCongressionalDistrict19General247248250251[Livingston County
Vote Results])</f>
        <v>62816</v>
      </c>
      <c r="D14" s="109">
        <f>SUM(RepInCongressCongressionalDistrict19General247248250251[Monroe County
Vote Results])</f>
        <v>734732</v>
      </c>
      <c r="E14" s="100">
        <f>SUM(RepInCongressCongressionalDistrict19General247248250251[Ontario County 
Vote Results])</f>
        <v>121628</v>
      </c>
      <c r="F14" s="100">
        <f>SUM(RepInCongressCongressionalDistrict19General247248250251[Seneca County
Vote Results])</f>
        <v>30454</v>
      </c>
      <c r="G14" s="100">
        <f>SUM(RepInCongressCongressionalDistrict19General247248250251[Steuben County
Vote Results])</f>
        <v>91644</v>
      </c>
      <c r="H14" s="110">
        <f>SUM(RepInCongressCongressionalDistrict19General247248250251[Wayne County
Vote Results])</f>
        <v>90030</v>
      </c>
      <c r="I14" s="100">
        <f>SUM(RepInCongressCongressionalDistrict19General247248250251[Yates County 
Vote Results])</f>
        <v>21310</v>
      </c>
      <c r="J14" s="101">
        <f>SUM(RepInCongressCongressionalDistrict19General247248250251[Total Votes by Party])</f>
        <v>1226104</v>
      </c>
      <c r="K14" s="111"/>
    </row>
    <row r="15" spans="1:11" ht="14.25" x14ac:dyDescent="0.2">
      <c r="B15" s="70"/>
      <c r="C15" s="70"/>
      <c r="D15" s="70"/>
      <c r="F15" s="70"/>
      <c r="G15" s="70"/>
      <c r="H15" s="70"/>
      <c r="I15" s="70"/>
    </row>
  </sheetData>
  <mergeCells count="1">
    <mergeCell ref="A1:I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AEC25-00F2-4EAB-AD55-9E2BDF057024}">
  <sheetPr>
    <pageSetUpPr fitToPage="1"/>
  </sheetPr>
  <dimension ref="A1:D7"/>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456</v>
      </c>
      <c r="B1" s="108"/>
      <c r="C1" s="108"/>
      <c r="D1" s="108"/>
    </row>
    <row r="2" spans="1:4" ht="28.5" customHeight="1" x14ac:dyDescent="0.2">
      <c r="A2" s="6" t="s">
        <v>93</v>
      </c>
      <c r="B2" s="7" t="s">
        <v>232</v>
      </c>
      <c r="C2" s="8" t="s">
        <v>84</v>
      </c>
      <c r="D2" s="9" t="s">
        <v>85</v>
      </c>
    </row>
    <row r="3" spans="1:4" ht="14.25" customHeight="1" x14ac:dyDescent="0.2">
      <c r="A3" s="28" t="s">
        <v>457</v>
      </c>
      <c r="B3" s="118">
        <v>89194</v>
      </c>
      <c r="C3" s="101">
        <f>StateSenatorSenateDistrict14General[[#This Row],[Part of Queens County Vote Results]]</f>
        <v>89194</v>
      </c>
      <c r="D3" s="113">
        <f>SUM(StateSenatorSenateDistrict14General[[#This Row],[Total Votes by Party]])</f>
        <v>89194</v>
      </c>
    </row>
    <row r="4" spans="1:4" ht="14.25" customHeight="1" x14ac:dyDescent="0.2">
      <c r="A4" s="29" t="s">
        <v>18</v>
      </c>
      <c r="B4" s="100">
        <v>21881</v>
      </c>
      <c r="C4" s="101">
        <f>StateSenatorSenateDistrict14General[[#This Row],[Part of Queens County Vote Results]]</f>
        <v>21881</v>
      </c>
      <c r="D4" s="111"/>
    </row>
    <row r="5" spans="1:4" ht="14.25" customHeight="1" x14ac:dyDescent="0.2">
      <c r="A5" s="29" t="s">
        <v>19</v>
      </c>
      <c r="B5" s="100">
        <v>532</v>
      </c>
      <c r="C5" s="101">
        <f>StateSenatorSenateDistrict14General[[#This Row],[Part of Queens County Vote Results]]</f>
        <v>532</v>
      </c>
      <c r="D5" s="111"/>
    </row>
    <row r="6" spans="1:4" ht="14.25" customHeight="1" x14ac:dyDescent="0.2">
      <c r="A6" s="29" t="s">
        <v>20</v>
      </c>
      <c r="B6" s="100">
        <v>912</v>
      </c>
      <c r="C6" s="101">
        <f>StateSenatorSenateDistrict14General[[#This Row],[Part of Queens County Vote Results]]</f>
        <v>912</v>
      </c>
      <c r="D6" s="111"/>
    </row>
    <row r="7" spans="1:4" ht="14.25" customHeight="1" x14ac:dyDescent="0.2">
      <c r="A7" s="103" t="s">
        <v>21</v>
      </c>
      <c r="B7" s="100">
        <f>SUM(StateSenatorSenateDistrict14General[Part of Queens County Vote Results])</f>
        <v>112519</v>
      </c>
      <c r="C7" s="101">
        <f>SUM(StateSenatorSenateDistrict14General[Total Votes by Party])</f>
        <v>112519</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1B3BE-C72D-41F5-B742-43FF59269BD6}">
  <sheetPr>
    <pageSetUpPr fitToPage="1"/>
  </sheetPr>
  <dimension ref="A1:E9"/>
  <sheetViews>
    <sheetView workbookViewId="0"/>
  </sheetViews>
  <sheetFormatPr defaultRowHeight="12.75" x14ac:dyDescent="0.2"/>
  <cols>
    <col min="1" max="1" width="27.140625" customWidth="1"/>
    <col min="2" max="5" width="20.5703125" customWidth="1"/>
    <col min="6" max="7" width="23.5703125" customWidth="1"/>
  </cols>
  <sheetData>
    <row r="1" spans="1:5" ht="24.95" customHeight="1" x14ac:dyDescent="0.2">
      <c r="A1" s="72" t="s">
        <v>458</v>
      </c>
      <c r="B1" s="108"/>
      <c r="C1" s="108"/>
      <c r="D1" s="108"/>
      <c r="E1" s="108"/>
    </row>
    <row r="2" spans="1:5" ht="28.5" customHeight="1" x14ac:dyDescent="0.2">
      <c r="A2" s="6" t="s">
        <v>93</v>
      </c>
      <c r="B2" s="7" t="s">
        <v>253</v>
      </c>
      <c r="C2" s="7" t="s">
        <v>232</v>
      </c>
      <c r="D2" s="8" t="s">
        <v>84</v>
      </c>
      <c r="E2" s="9" t="s">
        <v>85</v>
      </c>
    </row>
    <row r="3" spans="1:5" ht="14.25" customHeight="1" x14ac:dyDescent="0.2">
      <c r="A3" s="28" t="s">
        <v>459</v>
      </c>
      <c r="B3" s="118">
        <v>20</v>
      </c>
      <c r="C3" s="118">
        <v>53093</v>
      </c>
      <c r="D3" s="101">
        <f t="shared" ref="D3:D7" si="0">SUM(B3:C3)</f>
        <v>53113</v>
      </c>
      <c r="E3" s="113">
        <f>SUM(StateSenatorSenateDistrict15General[[#This Row],[Total Votes by Party]])</f>
        <v>53113</v>
      </c>
    </row>
    <row r="4" spans="1:5" ht="14.25" customHeight="1" x14ac:dyDescent="0.2">
      <c r="A4" s="28" t="s">
        <v>460</v>
      </c>
      <c r="B4" s="118">
        <v>0</v>
      </c>
      <c r="C4" s="118">
        <v>15972</v>
      </c>
      <c r="D4" s="101">
        <f t="shared" si="0"/>
        <v>15972</v>
      </c>
      <c r="E4" s="113">
        <f>SUM(StateSenatorSenateDistrict15General[[#This Row],[Total Votes by Party]])</f>
        <v>15972</v>
      </c>
    </row>
    <row r="5" spans="1:5" ht="14.25" customHeight="1" x14ac:dyDescent="0.2">
      <c r="A5" s="29" t="s">
        <v>18</v>
      </c>
      <c r="B5" s="100">
        <v>7</v>
      </c>
      <c r="C5" s="100">
        <v>23648</v>
      </c>
      <c r="D5" s="101">
        <f t="shared" si="0"/>
        <v>23655</v>
      </c>
      <c r="E5" s="111"/>
    </row>
    <row r="6" spans="1:5" ht="14.25" customHeight="1" x14ac:dyDescent="0.2">
      <c r="A6" s="29" t="s">
        <v>19</v>
      </c>
      <c r="B6" s="100">
        <v>0</v>
      </c>
      <c r="C6" s="100">
        <v>313</v>
      </c>
      <c r="D6" s="101">
        <f t="shared" si="0"/>
        <v>313</v>
      </c>
      <c r="E6" s="111"/>
    </row>
    <row r="7" spans="1:5" ht="14.25" customHeight="1" x14ac:dyDescent="0.2">
      <c r="A7" s="29" t="s">
        <v>20</v>
      </c>
      <c r="B7" s="100">
        <v>0</v>
      </c>
      <c r="C7" s="100">
        <v>348</v>
      </c>
      <c r="D7" s="101">
        <f t="shared" si="0"/>
        <v>348</v>
      </c>
      <c r="E7" s="111"/>
    </row>
    <row r="8" spans="1:5" ht="14.25" customHeight="1" x14ac:dyDescent="0.2">
      <c r="A8" s="103" t="s">
        <v>21</v>
      </c>
      <c r="B8" s="100">
        <f>SUM(StateSenatorSenateDistrict15General[Part of Kings County Vote Results])</f>
        <v>27</v>
      </c>
      <c r="C8" s="100">
        <f>SUM(StateSenatorSenateDistrict15General[Part of Queens County Vote Results])</f>
        <v>93374</v>
      </c>
      <c r="D8" s="101">
        <f>SUM(StateSenatorSenateDistrict15General[Total Votes by Party])</f>
        <v>93401</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F1C37-CBA8-4D4E-95DA-40A32182A030}">
  <sheetPr>
    <pageSetUpPr fitToPage="1"/>
  </sheetPr>
  <dimension ref="A1:D9"/>
  <sheetViews>
    <sheetView zoomScaleNormal="10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461</v>
      </c>
      <c r="B1" s="108"/>
      <c r="C1" s="108"/>
      <c r="D1" s="108"/>
    </row>
    <row r="2" spans="1:4" ht="28.5" customHeight="1" x14ac:dyDescent="0.2">
      <c r="A2" s="6" t="s">
        <v>93</v>
      </c>
      <c r="B2" s="7" t="s">
        <v>232</v>
      </c>
      <c r="C2" s="8" t="s">
        <v>84</v>
      </c>
      <c r="D2" s="9" t="s">
        <v>85</v>
      </c>
    </row>
    <row r="3" spans="1:4" ht="14.25" customHeight="1" x14ac:dyDescent="0.2">
      <c r="A3" s="28" t="s">
        <v>462</v>
      </c>
      <c r="B3" s="118">
        <v>43841</v>
      </c>
      <c r="C3" s="101">
        <f>StateSenatorSenateDistrict16General[[#This Row],[Part of Queens County Vote Results]]</f>
        <v>43841</v>
      </c>
      <c r="D3" s="113">
        <f>SUM(StateSenatorSenateDistrict16General[[#This Row],[Total Votes by Party]],C5)</f>
        <v>48470</v>
      </c>
    </row>
    <row r="4" spans="1:4" ht="14.25" customHeight="1" x14ac:dyDescent="0.2">
      <c r="A4" s="28" t="s">
        <v>463</v>
      </c>
      <c r="B4" s="118">
        <v>12299</v>
      </c>
      <c r="C4" s="101">
        <f>StateSenatorSenateDistrict16General[[#This Row],[Part of Queens County Vote Results]]</f>
        <v>12299</v>
      </c>
      <c r="D4" s="113">
        <f>SUM(StateSenatorSenateDistrict16General[[#This Row],[Total Votes by Party]])</f>
        <v>12299</v>
      </c>
    </row>
    <row r="5" spans="1:4" ht="14.25" customHeight="1" x14ac:dyDescent="0.2">
      <c r="A5" s="28" t="s">
        <v>464</v>
      </c>
      <c r="B5" s="118">
        <v>4629</v>
      </c>
      <c r="C5" s="101">
        <f>StateSenatorSenateDistrict16General[[#This Row],[Part of Queens County Vote Results]]</f>
        <v>4629</v>
      </c>
      <c r="D5" s="111"/>
    </row>
    <row r="6" spans="1:4" ht="14.25" customHeight="1" x14ac:dyDescent="0.2">
      <c r="A6" s="29" t="s">
        <v>18</v>
      </c>
      <c r="B6" s="100">
        <v>18282</v>
      </c>
      <c r="C6" s="101">
        <f>StateSenatorSenateDistrict16General[[#This Row],[Part of Queens County Vote Results]]</f>
        <v>18282</v>
      </c>
      <c r="D6" s="111"/>
    </row>
    <row r="7" spans="1:4" ht="14.25" customHeight="1" x14ac:dyDescent="0.2">
      <c r="A7" s="29" t="s">
        <v>19</v>
      </c>
      <c r="B7" s="100">
        <v>397</v>
      </c>
      <c r="C7" s="101">
        <f>StateSenatorSenateDistrict16General[[#This Row],[Part of Queens County Vote Results]]</f>
        <v>397</v>
      </c>
      <c r="D7" s="111"/>
    </row>
    <row r="8" spans="1:4" ht="14.25" customHeight="1" x14ac:dyDescent="0.2">
      <c r="A8" s="29" t="s">
        <v>20</v>
      </c>
      <c r="B8" s="100">
        <v>286</v>
      </c>
      <c r="C8" s="101">
        <f>StateSenatorSenateDistrict16General[[#This Row],[Part of Queens County Vote Results]]</f>
        <v>286</v>
      </c>
      <c r="D8" s="111"/>
    </row>
    <row r="9" spans="1:4" ht="14.25" customHeight="1" x14ac:dyDescent="0.2">
      <c r="A9" s="103" t="s">
        <v>21</v>
      </c>
      <c r="B9" s="100">
        <f>SUM(StateSenatorSenateDistrict16General[Part of Queens County Vote Results])</f>
        <v>79734</v>
      </c>
      <c r="C9" s="101">
        <f>SUM(StateSenatorSenateDistrict16General[Total Votes by Party])</f>
        <v>79734</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A936-526F-42E8-98F9-7C3A7681F9CF}">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465</v>
      </c>
      <c r="B1" s="108"/>
      <c r="C1" s="108"/>
      <c r="D1" s="108"/>
    </row>
    <row r="2" spans="1:4" ht="28.5" customHeight="1" x14ac:dyDescent="0.2">
      <c r="A2" s="6" t="s">
        <v>93</v>
      </c>
      <c r="B2" s="7" t="s">
        <v>253</v>
      </c>
      <c r="C2" s="8" t="s">
        <v>84</v>
      </c>
      <c r="D2" s="9" t="s">
        <v>85</v>
      </c>
    </row>
    <row r="3" spans="1:4" ht="14.25" customHeight="1" x14ac:dyDescent="0.2">
      <c r="A3" s="28" t="s">
        <v>466</v>
      </c>
      <c r="B3" s="118">
        <v>22679</v>
      </c>
      <c r="C3" s="101">
        <f>StateSenatorSenateDistrict17General[[#This Row],[Part of Kings County Vote Results]]</f>
        <v>22679</v>
      </c>
      <c r="D3" s="113">
        <f>SUM(StateSenatorSenateDistrict17General[[#This Row],[Total Votes by Party]],C6)</f>
        <v>25364</v>
      </c>
    </row>
    <row r="4" spans="1:4" ht="14.25" customHeight="1" x14ac:dyDescent="0.2">
      <c r="A4" s="28" t="s">
        <v>467</v>
      </c>
      <c r="B4" s="118">
        <v>27938</v>
      </c>
      <c r="C4" s="101">
        <f>StateSenatorSenateDistrict17General[[#This Row],[Part of Kings County Vote Results]]</f>
        <v>27938</v>
      </c>
      <c r="D4" s="113">
        <f>SUM(StateSenatorSenateDistrict17General[[#This Row],[Total Votes by Party]],C5)</f>
        <v>30868</v>
      </c>
    </row>
    <row r="5" spans="1:4" ht="14.25" customHeight="1" x14ac:dyDescent="0.2">
      <c r="A5" s="28" t="s">
        <v>468</v>
      </c>
      <c r="B5" s="118">
        <v>2930</v>
      </c>
      <c r="C5" s="101">
        <f>StateSenatorSenateDistrict17General[[#This Row],[Part of Kings County Vote Results]]</f>
        <v>2930</v>
      </c>
      <c r="D5" s="111"/>
    </row>
    <row r="6" spans="1:4" ht="14.25" customHeight="1" x14ac:dyDescent="0.2">
      <c r="A6" s="28" t="s">
        <v>469</v>
      </c>
      <c r="B6" s="118">
        <v>2685</v>
      </c>
      <c r="C6" s="101">
        <f>StateSenatorSenateDistrict17General[[#This Row],[Part of Kings County Vote Results]]</f>
        <v>2685</v>
      </c>
      <c r="D6" s="111"/>
    </row>
    <row r="7" spans="1:4" ht="14.25" customHeight="1" x14ac:dyDescent="0.2">
      <c r="A7" s="29" t="s">
        <v>18</v>
      </c>
      <c r="B7" s="118">
        <v>5094</v>
      </c>
      <c r="C7" s="101">
        <f>StateSenatorSenateDistrict17General[[#This Row],[Part of Kings County Vote Results]]</f>
        <v>5094</v>
      </c>
      <c r="D7" s="111"/>
    </row>
    <row r="8" spans="1:4" ht="14.25" customHeight="1" x14ac:dyDescent="0.2">
      <c r="A8" s="29" t="s">
        <v>19</v>
      </c>
      <c r="B8" s="118">
        <v>180</v>
      </c>
      <c r="C8" s="101">
        <f>StateSenatorSenateDistrict17General[[#This Row],[Part of Kings County Vote Results]]</f>
        <v>180</v>
      </c>
      <c r="D8" s="111"/>
    </row>
    <row r="9" spans="1:4" ht="14.25" customHeight="1" x14ac:dyDescent="0.2">
      <c r="A9" s="29" t="s">
        <v>20</v>
      </c>
      <c r="B9" s="118">
        <v>240</v>
      </c>
      <c r="C9" s="101">
        <f>StateSenatorSenateDistrict17General[[#This Row],[Part of Kings County Vote Results]]</f>
        <v>240</v>
      </c>
      <c r="D9" s="111"/>
    </row>
    <row r="10" spans="1:4" ht="14.25" customHeight="1" x14ac:dyDescent="0.2">
      <c r="A10" s="103" t="s">
        <v>21</v>
      </c>
      <c r="B10" s="100">
        <f>SUM(StateSenatorSenateDistrict17General[Part of Kings County Vote Results])</f>
        <v>61746</v>
      </c>
      <c r="C10" s="101">
        <f>SUM(StateSenatorSenateDistrict17General[Total Votes by Party])</f>
        <v>61746</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6E811-7FED-4F9B-99C0-7273D275F41D}">
  <sheetPr>
    <pageSetUpPr fitToPage="1"/>
  </sheetPr>
  <dimension ref="A1:E9"/>
  <sheetViews>
    <sheetView workbookViewId="0"/>
  </sheetViews>
  <sheetFormatPr defaultRowHeight="12.75" x14ac:dyDescent="0.2"/>
  <cols>
    <col min="1" max="1" width="28.5703125" customWidth="1"/>
    <col min="2" max="5" width="20.5703125" customWidth="1"/>
    <col min="6" max="7" width="23.5703125" customWidth="1"/>
  </cols>
  <sheetData>
    <row r="1" spans="1:5" ht="24.95" customHeight="1" x14ac:dyDescent="0.2">
      <c r="A1" s="72" t="s">
        <v>470</v>
      </c>
      <c r="B1" s="108"/>
      <c r="C1" s="108"/>
      <c r="D1" s="108"/>
      <c r="E1" s="108"/>
    </row>
    <row r="2" spans="1:5" ht="28.5" customHeight="1" x14ac:dyDescent="0.2">
      <c r="A2" s="6" t="s">
        <v>93</v>
      </c>
      <c r="B2" s="7" t="s">
        <v>253</v>
      </c>
      <c r="C2" s="7" t="s">
        <v>232</v>
      </c>
      <c r="D2" s="8" t="s">
        <v>84</v>
      </c>
      <c r="E2" s="9" t="s">
        <v>85</v>
      </c>
    </row>
    <row r="3" spans="1:5" ht="14.25" customHeight="1" x14ac:dyDescent="0.2">
      <c r="A3" s="28" t="s">
        <v>471</v>
      </c>
      <c r="B3" s="118">
        <v>51584</v>
      </c>
      <c r="C3" s="118">
        <v>3216</v>
      </c>
      <c r="D3" s="101">
        <f t="shared" ref="D3:D7" si="0">SUM(B3,C3)</f>
        <v>54800</v>
      </c>
      <c r="E3" s="113">
        <f>SUM(StateSenatorSenateDistrict18General[[#This Row],[Total Votes by Party]],D4)</f>
        <v>67889</v>
      </c>
    </row>
    <row r="4" spans="1:5" ht="14.25" customHeight="1" x14ac:dyDescent="0.2">
      <c r="A4" s="28" t="s">
        <v>472</v>
      </c>
      <c r="B4" s="118">
        <v>11880</v>
      </c>
      <c r="C4" s="118">
        <v>1209</v>
      </c>
      <c r="D4" s="101">
        <f t="shared" si="0"/>
        <v>13089</v>
      </c>
      <c r="E4" s="111"/>
    </row>
    <row r="5" spans="1:5" ht="14.25" customHeight="1" x14ac:dyDescent="0.2">
      <c r="A5" s="29" t="s">
        <v>18</v>
      </c>
      <c r="B5" s="118">
        <v>19017</v>
      </c>
      <c r="C5" s="118">
        <v>1111</v>
      </c>
      <c r="D5" s="101">
        <f t="shared" si="0"/>
        <v>20128</v>
      </c>
      <c r="E5" s="111"/>
    </row>
    <row r="6" spans="1:5" ht="14.25" customHeight="1" x14ac:dyDescent="0.2">
      <c r="A6" s="29" t="s">
        <v>19</v>
      </c>
      <c r="B6" s="118">
        <v>356</v>
      </c>
      <c r="C6" s="118">
        <v>22</v>
      </c>
      <c r="D6" s="101">
        <f t="shared" si="0"/>
        <v>378</v>
      </c>
      <c r="E6" s="111"/>
    </row>
    <row r="7" spans="1:5" ht="14.25" customHeight="1" x14ac:dyDescent="0.2">
      <c r="A7" s="29" t="s">
        <v>20</v>
      </c>
      <c r="B7" s="118">
        <v>549</v>
      </c>
      <c r="C7" s="118">
        <v>36</v>
      </c>
      <c r="D7" s="101">
        <f t="shared" si="0"/>
        <v>585</v>
      </c>
      <c r="E7" s="111"/>
    </row>
    <row r="8" spans="1:5" ht="14.25" customHeight="1" x14ac:dyDescent="0.2">
      <c r="A8" s="103" t="s">
        <v>21</v>
      </c>
      <c r="B8" s="100">
        <f>SUM(StateSenatorSenateDistrict18General[Part of Kings County Vote Results])</f>
        <v>83386</v>
      </c>
      <c r="C8" s="100">
        <f>SUM(StateSenatorSenateDistrict18General[Part of Queens County Vote Results])</f>
        <v>5594</v>
      </c>
      <c r="D8" s="101">
        <f>SUM(StateSenatorSenateDistrict18General[Total Votes by Party])</f>
        <v>88980</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3152-EB2F-41FA-8E05-7480F4E3F696}">
  <sheetPr>
    <pageSetUpPr fitToPage="1"/>
  </sheetPr>
  <dimension ref="A1:E8"/>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473</v>
      </c>
      <c r="B1" s="108"/>
      <c r="C1" s="108"/>
      <c r="D1" s="108"/>
      <c r="E1" s="108"/>
    </row>
    <row r="2" spans="1:5" ht="28.5" customHeight="1" x14ac:dyDescent="0.2">
      <c r="A2" s="6" t="s">
        <v>93</v>
      </c>
      <c r="B2" s="7" t="s">
        <v>253</v>
      </c>
      <c r="C2" s="7" t="s">
        <v>232</v>
      </c>
      <c r="D2" s="8" t="s">
        <v>84</v>
      </c>
      <c r="E2" s="9" t="s">
        <v>85</v>
      </c>
    </row>
    <row r="3" spans="1:5" ht="14.25" customHeight="1" x14ac:dyDescent="0.2">
      <c r="A3" s="28" t="s">
        <v>474</v>
      </c>
      <c r="B3" s="118">
        <v>72678</v>
      </c>
      <c r="C3" s="118">
        <v>1333</v>
      </c>
      <c r="D3" s="101">
        <f t="shared" ref="D3:D6" si="0">SUM(B3,C3)</f>
        <v>74011</v>
      </c>
      <c r="E3" s="113">
        <f>SUM(StateSenatorSenateDistrict19General[[#This Row],[Total Votes by Party]])</f>
        <v>74011</v>
      </c>
    </row>
    <row r="4" spans="1:5" ht="14.25" customHeight="1" x14ac:dyDescent="0.2">
      <c r="A4" s="29" t="s">
        <v>18</v>
      </c>
      <c r="B4" s="118">
        <v>14197</v>
      </c>
      <c r="C4" s="118">
        <v>2772</v>
      </c>
      <c r="D4" s="101">
        <f t="shared" si="0"/>
        <v>16969</v>
      </c>
      <c r="E4" s="111"/>
    </row>
    <row r="5" spans="1:5" ht="14.25" customHeight="1" x14ac:dyDescent="0.2">
      <c r="A5" s="29" t="s">
        <v>19</v>
      </c>
      <c r="B5" s="118">
        <v>86</v>
      </c>
      <c r="C5" s="118">
        <v>8</v>
      </c>
      <c r="D5" s="101">
        <f t="shared" si="0"/>
        <v>94</v>
      </c>
      <c r="E5" s="111"/>
    </row>
    <row r="6" spans="1:5" ht="14.25" customHeight="1" x14ac:dyDescent="0.2">
      <c r="A6" s="29" t="s">
        <v>20</v>
      </c>
      <c r="B6" s="118">
        <v>254</v>
      </c>
      <c r="C6" s="118">
        <v>59</v>
      </c>
      <c r="D6" s="101">
        <f t="shared" si="0"/>
        <v>313</v>
      </c>
      <c r="E6" s="111"/>
    </row>
    <row r="7" spans="1:5" ht="14.25" customHeight="1" x14ac:dyDescent="0.2">
      <c r="A7" s="103" t="s">
        <v>21</v>
      </c>
      <c r="B7" s="100">
        <f>SUM(StateSenatorSenateDistrict19General[Part of Kings County Vote Results])</f>
        <v>87215</v>
      </c>
      <c r="C7" s="100">
        <f>SUM(StateSenatorSenateDistrict19General[Part of Queens County Vote Results])</f>
        <v>4172</v>
      </c>
      <c r="D7" s="101">
        <f>SUM(StateSenatorSenateDistrict19General[Total Votes by Party])</f>
        <v>91387</v>
      </c>
      <c r="E7" s="111"/>
    </row>
    <row r="8" spans="1:5" ht="14.25" x14ac:dyDescent="0.2">
      <c r="B8"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49403-A6C5-442B-93F3-F9A73300398C}">
  <sheetPr>
    <pageSetUpPr fitToPage="1"/>
  </sheetPr>
  <dimension ref="A1:D7"/>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475</v>
      </c>
      <c r="B1" s="108"/>
      <c r="C1" s="108"/>
      <c r="D1" s="108"/>
    </row>
    <row r="2" spans="1:4" ht="28.5" customHeight="1" x14ac:dyDescent="0.2">
      <c r="A2" s="6" t="s">
        <v>93</v>
      </c>
      <c r="B2" s="7" t="s">
        <v>253</v>
      </c>
      <c r="C2" s="8" t="s">
        <v>84</v>
      </c>
      <c r="D2" s="9" t="s">
        <v>85</v>
      </c>
    </row>
    <row r="3" spans="1:4" ht="14.25" customHeight="1" x14ac:dyDescent="0.2">
      <c r="A3" s="28" t="s">
        <v>476</v>
      </c>
      <c r="B3" s="118">
        <v>107498</v>
      </c>
      <c r="C3" s="101">
        <f>StateSenatorSenateDistrict20General[[#This Row],[Part of Kings County Vote Results]]</f>
        <v>107498</v>
      </c>
      <c r="D3" s="113">
        <f>SUM(StateSenatorSenateDistrict20General[[#This Row],[Total Votes by Party]])</f>
        <v>107498</v>
      </c>
    </row>
    <row r="4" spans="1:4" ht="14.25" customHeight="1" x14ac:dyDescent="0.2">
      <c r="A4" s="29" t="s">
        <v>18</v>
      </c>
      <c r="B4" s="118">
        <v>19878</v>
      </c>
      <c r="C4" s="101">
        <f>StateSenatorSenateDistrict20General[[#This Row],[Part of Kings County Vote Results]]</f>
        <v>19878</v>
      </c>
      <c r="D4" s="111"/>
    </row>
    <row r="5" spans="1:4" ht="14.25" customHeight="1" x14ac:dyDescent="0.2">
      <c r="A5" s="29" t="s">
        <v>19</v>
      </c>
      <c r="B5" s="118">
        <v>874</v>
      </c>
      <c r="C5" s="101">
        <f>StateSenatorSenateDistrict20General[[#This Row],[Part of Kings County Vote Results]]</f>
        <v>874</v>
      </c>
      <c r="D5" s="111"/>
    </row>
    <row r="6" spans="1:4" ht="14.25" customHeight="1" x14ac:dyDescent="0.2">
      <c r="A6" s="29" t="s">
        <v>20</v>
      </c>
      <c r="B6" s="118">
        <v>714</v>
      </c>
      <c r="C6" s="101">
        <f>StateSenatorSenateDistrict20General[[#This Row],[Part of Kings County Vote Results]]</f>
        <v>714</v>
      </c>
      <c r="D6" s="111"/>
    </row>
    <row r="7" spans="1:4" ht="14.25" customHeight="1" x14ac:dyDescent="0.2">
      <c r="A7" s="103" t="s">
        <v>21</v>
      </c>
      <c r="B7" s="100">
        <f>SUM(StateSenatorSenateDistrict20General[Part of Kings County Vote Results])</f>
        <v>128964</v>
      </c>
      <c r="C7" s="101">
        <f>SUM(StateSenatorSenateDistrict20General[Total Votes by Party])</f>
        <v>128964</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50084-D9F5-4ABB-B876-DC41435D8CE7}">
  <sheetPr>
    <pageSetUpPr fitToPage="1"/>
  </sheetPr>
  <dimension ref="A1:D7"/>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477</v>
      </c>
      <c r="B1" s="108"/>
      <c r="C1" s="108"/>
      <c r="D1" s="108"/>
    </row>
    <row r="2" spans="1:4" ht="28.5" customHeight="1" x14ac:dyDescent="0.2">
      <c r="A2" s="6" t="s">
        <v>93</v>
      </c>
      <c r="B2" s="7" t="s">
        <v>253</v>
      </c>
      <c r="C2" s="8" t="s">
        <v>84</v>
      </c>
      <c r="D2" s="9" t="s">
        <v>85</v>
      </c>
    </row>
    <row r="3" spans="1:4" ht="14.25" customHeight="1" x14ac:dyDescent="0.2">
      <c r="A3" s="28" t="s">
        <v>478</v>
      </c>
      <c r="B3" s="118">
        <v>82275</v>
      </c>
      <c r="C3" s="101">
        <f>StateSenatorSenateDistrict21General[[#This Row],[Part of Kings County Vote Results]]</f>
        <v>82275</v>
      </c>
      <c r="D3" s="113">
        <f>SUM(StateSenatorSenateDistrict21General[[#This Row],[Total Votes by Party]])</f>
        <v>82275</v>
      </c>
    </row>
    <row r="4" spans="1:4" ht="14.25" customHeight="1" x14ac:dyDescent="0.2">
      <c r="A4" s="29" t="s">
        <v>18</v>
      </c>
      <c r="B4" s="118">
        <v>28062</v>
      </c>
      <c r="C4" s="101">
        <f>StateSenatorSenateDistrict21General[[#This Row],[Part of Kings County Vote Results]]</f>
        <v>28062</v>
      </c>
      <c r="D4" s="111"/>
    </row>
    <row r="5" spans="1:4" ht="14.25" customHeight="1" x14ac:dyDescent="0.2">
      <c r="A5" s="29" t="s">
        <v>19</v>
      </c>
      <c r="B5" s="118">
        <v>373</v>
      </c>
      <c r="C5" s="101">
        <f>StateSenatorSenateDistrict21General[[#This Row],[Part of Kings County Vote Results]]</f>
        <v>373</v>
      </c>
      <c r="D5" s="111"/>
    </row>
    <row r="6" spans="1:4" ht="14.25" customHeight="1" x14ac:dyDescent="0.2">
      <c r="A6" s="29" t="s">
        <v>20</v>
      </c>
      <c r="B6" s="118">
        <v>1307</v>
      </c>
      <c r="C6" s="101">
        <f>StateSenatorSenateDistrict21General[[#This Row],[Part of Kings County Vote Results]]</f>
        <v>1307</v>
      </c>
      <c r="D6" s="111"/>
    </row>
    <row r="7" spans="1:4" ht="14.25" customHeight="1" x14ac:dyDescent="0.2">
      <c r="A7" s="103" t="s">
        <v>21</v>
      </c>
      <c r="B7" s="100">
        <f>SUM(StateSenatorSenateDistrict21General[Part of Kings County Vote Results])</f>
        <v>112017</v>
      </c>
      <c r="C7" s="101">
        <f>SUM(StateSenatorSenateDistrict21General[Total Votes by Party])</f>
        <v>112017</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3886E-F1EB-4E6E-86A8-32D0611D2945}">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479</v>
      </c>
      <c r="B1" s="108"/>
      <c r="C1" s="108"/>
      <c r="D1" s="108"/>
    </row>
    <row r="2" spans="1:4" ht="28.5" customHeight="1" x14ac:dyDescent="0.2">
      <c r="A2" s="6" t="s">
        <v>93</v>
      </c>
      <c r="B2" s="7" t="s">
        <v>253</v>
      </c>
      <c r="C2" s="8" t="s">
        <v>84</v>
      </c>
      <c r="D2" s="9" t="s">
        <v>85</v>
      </c>
    </row>
    <row r="3" spans="1:4" ht="14.25" customHeight="1" x14ac:dyDescent="0.2">
      <c r="A3" s="28" t="s">
        <v>480</v>
      </c>
      <c r="B3" s="118">
        <v>21959</v>
      </c>
      <c r="C3" s="101">
        <f>StateSenatorSenateDistrict22General[[#This Row],[Part of Kings County Vote Results]]</f>
        <v>21959</v>
      </c>
      <c r="D3" s="113">
        <f>SUM(StateSenatorSenateDistrict22General[[#This Row],[Total Votes by Party]],C4,C5)</f>
        <v>74999</v>
      </c>
    </row>
    <row r="4" spans="1:4" ht="14.25" customHeight="1" x14ac:dyDescent="0.2">
      <c r="A4" s="28" t="s">
        <v>481</v>
      </c>
      <c r="B4" s="118">
        <v>46468</v>
      </c>
      <c r="C4" s="101">
        <f>StateSenatorSenateDistrict22General[[#This Row],[Part of Kings County Vote Results]]</f>
        <v>46468</v>
      </c>
      <c r="D4" s="111"/>
    </row>
    <row r="5" spans="1:4" ht="14.25" customHeight="1" x14ac:dyDescent="0.2">
      <c r="A5" s="28" t="s">
        <v>482</v>
      </c>
      <c r="B5" s="118">
        <v>6572</v>
      </c>
      <c r="C5" s="101">
        <f>StateSenatorSenateDistrict22General[[#This Row],[Part of Kings County Vote Results]]</f>
        <v>6572</v>
      </c>
      <c r="D5" s="111"/>
    </row>
    <row r="6" spans="1:4" ht="14.25" customHeight="1" x14ac:dyDescent="0.2">
      <c r="A6" s="29" t="s">
        <v>18</v>
      </c>
      <c r="B6" s="118">
        <v>8936</v>
      </c>
      <c r="C6" s="101">
        <f>StateSenatorSenateDistrict22General[[#This Row],[Part of Kings County Vote Results]]</f>
        <v>8936</v>
      </c>
      <c r="D6" s="111"/>
    </row>
    <row r="7" spans="1:4" ht="14.25" customHeight="1" x14ac:dyDescent="0.2">
      <c r="A7" s="29" t="s">
        <v>19</v>
      </c>
      <c r="B7" s="118">
        <v>632</v>
      </c>
      <c r="C7" s="101">
        <f>StateSenatorSenateDistrict22General[[#This Row],[Part of Kings County Vote Results]]</f>
        <v>632</v>
      </c>
      <c r="D7" s="111"/>
    </row>
    <row r="8" spans="1:4" ht="14.25" customHeight="1" x14ac:dyDescent="0.2">
      <c r="A8" s="29" t="s">
        <v>20</v>
      </c>
      <c r="B8" s="118">
        <v>689</v>
      </c>
      <c r="C8" s="101">
        <f>StateSenatorSenateDistrict22General[[#This Row],[Part of Kings County Vote Results]]</f>
        <v>689</v>
      </c>
      <c r="D8" s="111"/>
    </row>
    <row r="9" spans="1:4" ht="14.25" customHeight="1" x14ac:dyDescent="0.2">
      <c r="A9" s="103" t="s">
        <v>21</v>
      </c>
      <c r="B9" s="100">
        <f>SUM(StateSenatorSenateDistrict22General[Part of Kings County Vote Results])</f>
        <v>85256</v>
      </c>
      <c r="C9" s="101">
        <f>SUM(StateSenatorSenateDistrict22General[Total Votes by Party])</f>
        <v>85256</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AF9E-A7FC-45D0-A9FF-F70DB00BCA23}">
  <sheetPr>
    <pageSetUpPr fitToPage="1"/>
  </sheetPr>
  <dimension ref="A1:E9"/>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483</v>
      </c>
      <c r="B1" s="108"/>
      <c r="C1" s="108"/>
      <c r="D1" s="108"/>
      <c r="E1" s="108"/>
    </row>
    <row r="2" spans="1:5" ht="28.5" customHeight="1" x14ac:dyDescent="0.2">
      <c r="A2" s="6" t="s">
        <v>93</v>
      </c>
      <c r="B2" s="7" t="s">
        <v>253</v>
      </c>
      <c r="C2" s="7" t="s">
        <v>484</v>
      </c>
      <c r="D2" s="8" t="s">
        <v>84</v>
      </c>
      <c r="E2" s="9" t="s">
        <v>85</v>
      </c>
    </row>
    <row r="3" spans="1:5" ht="14.25" customHeight="1" x14ac:dyDescent="0.2">
      <c r="A3" s="28" t="s">
        <v>485</v>
      </c>
      <c r="B3" s="130">
        <v>14728</v>
      </c>
      <c r="C3" s="100">
        <v>33009</v>
      </c>
      <c r="D3" s="101">
        <f>SUM(StateSenatorSenateDistrict23General[[#This Row],[Part of Kings County Vote Results]:[Part of Richmond County Vote Results]])</f>
        <v>47737</v>
      </c>
      <c r="E3" s="113">
        <f>SUM(StateSenatorSenateDistrict23General[[#This Row],[Total Votes by Party]])</f>
        <v>47737</v>
      </c>
    </row>
    <row r="4" spans="1:5" ht="14.25" customHeight="1" x14ac:dyDescent="0.2">
      <c r="A4" s="28" t="s">
        <v>486</v>
      </c>
      <c r="B4" s="131">
        <v>19626</v>
      </c>
      <c r="C4" s="100">
        <v>19075</v>
      </c>
      <c r="D4" s="101">
        <f>SUM(StateSenatorSenateDistrict23General[[#This Row],[Part of Kings County Vote Results]:[Part of Richmond County Vote Results]])</f>
        <v>38701</v>
      </c>
      <c r="E4" s="113">
        <f>SUM(StateSenatorSenateDistrict23General[[#This Row],[Total Votes by Party]])</f>
        <v>38701</v>
      </c>
    </row>
    <row r="5" spans="1:5" ht="14.25" customHeight="1" x14ac:dyDescent="0.2">
      <c r="A5" s="29" t="s">
        <v>18</v>
      </c>
      <c r="B5" s="131">
        <v>5444</v>
      </c>
      <c r="C5" s="100">
        <v>2255</v>
      </c>
      <c r="D5" s="101">
        <f>SUM(StateSenatorSenateDistrict23General[[#This Row],[Part of Kings County Vote Results]:[Part of Richmond County Vote Results]])</f>
        <v>7699</v>
      </c>
      <c r="E5" s="111"/>
    </row>
    <row r="6" spans="1:5" ht="14.25" customHeight="1" x14ac:dyDescent="0.2">
      <c r="A6" s="29" t="s">
        <v>19</v>
      </c>
      <c r="B6" s="131">
        <v>100</v>
      </c>
      <c r="C6" s="100">
        <v>122</v>
      </c>
      <c r="D6" s="101">
        <f>SUM(StateSenatorSenateDistrict23General[[#This Row],[Part of Kings County Vote Results]:[Part of Richmond County Vote Results]])</f>
        <v>222</v>
      </c>
      <c r="E6" s="111"/>
    </row>
    <row r="7" spans="1:5" ht="14.25" customHeight="1" x14ac:dyDescent="0.2">
      <c r="A7" s="29" t="s">
        <v>20</v>
      </c>
      <c r="B7" s="132">
        <v>132</v>
      </c>
      <c r="C7" s="100">
        <v>262</v>
      </c>
      <c r="D7" s="101">
        <f>SUM(StateSenatorSenateDistrict23General[[#This Row],[Part of Kings County Vote Results]:[Part of Richmond County Vote Results]])</f>
        <v>394</v>
      </c>
      <c r="E7" s="111"/>
    </row>
    <row r="8" spans="1:5" ht="14.25" customHeight="1" x14ac:dyDescent="0.2">
      <c r="A8" s="103" t="s">
        <v>21</v>
      </c>
      <c r="B8" s="100">
        <f>SUM(StateSenatorSenateDistrict23General[Part of Kings County Vote Results])</f>
        <v>40030</v>
      </c>
      <c r="C8" s="100">
        <f>SUM(StateSenatorSenateDistrict23General[Part of Richmond County Vote Results])</f>
        <v>54723</v>
      </c>
      <c r="D8" s="101">
        <f>SUM(StateSenatorSenateDistrict23General[Total Votes by Party])</f>
        <v>94753</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75921-4944-49BE-A386-542A473186C2}">
  <sheetPr>
    <pageSetUpPr fitToPage="1"/>
  </sheetPr>
  <dimension ref="A1:K21"/>
  <sheetViews>
    <sheetView zoomScaleNormal="100" zoomScaleSheetLayoutView="90" workbookViewId="0">
      <pane xSplit="1" topLeftCell="B1" activePane="topRight" state="frozen"/>
      <selection activeCell="A30" sqref="A30"/>
      <selection pane="topRight" sqref="A1:I1"/>
    </sheetView>
  </sheetViews>
  <sheetFormatPr defaultRowHeight="12.75" x14ac:dyDescent="0.2"/>
  <cols>
    <col min="1" max="1" width="31.42578125" customWidth="1"/>
    <col min="2" max="6" width="17.7109375" customWidth="1"/>
    <col min="7" max="11" width="20.5703125" customWidth="1"/>
    <col min="12" max="12" width="18.7109375" customWidth="1"/>
    <col min="13" max="17" width="15.7109375" customWidth="1"/>
    <col min="18" max="19" width="23.5703125" customWidth="1"/>
  </cols>
  <sheetData>
    <row r="1" spans="1:11" ht="39.950000000000003" customHeight="1" x14ac:dyDescent="0.2">
      <c r="A1" s="147" t="s">
        <v>128</v>
      </c>
      <c r="B1" s="147"/>
      <c r="C1" s="147"/>
      <c r="D1" s="147"/>
      <c r="E1" s="147"/>
      <c r="F1" s="147"/>
      <c r="G1" s="147"/>
      <c r="H1" s="147"/>
      <c r="I1" s="147"/>
      <c r="J1" s="108"/>
      <c r="K1" s="108"/>
    </row>
    <row r="2" spans="1:11" ht="28.5" customHeight="1" x14ac:dyDescent="0.2">
      <c r="A2" s="19" t="s">
        <v>93</v>
      </c>
      <c r="B2" s="7" t="s">
        <v>129</v>
      </c>
      <c r="C2" s="7" t="s">
        <v>130</v>
      </c>
      <c r="D2" s="7" t="s">
        <v>131</v>
      </c>
      <c r="E2" s="7" t="s">
        <v>132</v>
      </c>
      <c r="F2" s="48" t="s">
        <v>133</v>
      </c>
      <c r="G2" s="48" t="s">
        <v>134</v>
      </c>
      <c r="H2" s="48" t="s">
        <v>135</v>
      </c>
      <c r="I2" s="7" t="s">
        <v>136</v>
      </c>
      <c r="J2" s="20" t="s">
        <v>84</v>
      </c>
      <c r="K2" s="21" t="s">
        <v>85</v>
      </c>
    </row>
    <row r="3" spans="1:11" ht="14.25" customHeight="1" x14ac:dyDescent="0.2">
      <c r="A3" s="28" t="s">
        <v>137</v>
      </c>
      <c r="B3" s="100">
        <v>4232</v>
      </c>
      <c r="C3" s="100">
        <v>9196</v>
      </c>
      <c r="D3" s="109">
        <v>17673</v>
      </c>
      <c r="E3" s="100">
        <v>202105</v>
      </c>
      <c r="F3" s="100">
        <v>7094</v>
      </c>
      <c r="G3" s="100">
        <v>35253</v>
      </c>
      <c r="H3" s="100">
        <v>4045</v>
      </c>
      <c r="I3" s="100">
        <v>4079</v>
      </c>
      <c r="J3" s="101">
        <f t="shared" ref="J3:J19" si="0">SUM(B3:I3)</f>
        <v>283677</v>
      </c>
      <c r="K3" s="113">
        <f>SUM(RepInCongressCongressionalDistrict19General247248250251252[[#This Row],[Total Votes by Party]],J7,J11,J15)</f>
        <v>644890</v>
      </c>
    </row>
    <row r="4" spans="1:11" ht="14.25" customHeight="1" x14ac:dyDescent="0.2">
      <c r="A4" s="28" t="s">
        <v>138</v>
      </c>
      <c r="B4" s="100">
        <v>4157</v>
      </c>
      <c r="C4" s="100">
        <v>8733</v>
      </c>
      <c r="D4" s="109">
        <v>16963</v>
      </c>
      <c r="E4" s="100">
        <v>193576</v>
      </c>
      <c r="F4" s="100">
        <v>6811</v>
      </c>
      <c r="G4" s="100">
        <v>32167</v>
      </c>
      <c r="H4" s="100">
        <v>3893</v>
      </c>
      <c r="I4" s="100">
        <v>3939</v>
      </c>
      <c r="J4" s="101">
        <f t="shared" si="0"/>
        <v>270239</v>
      </c>
      <c r="K4" s="113">
        <f>SUM(RepInCongressCongressionalDistrict19General247248250251252[[#This Row],[Total Votes by Party]],J8,J12,J16)</f>
        <v>613403</v>
      </c>
    </row>
    <row r="5" spans="1:11" ht="14.25" customHeight="1" x14ac:dyDescent="0.2">
      <c r="A5" s="28" t="s">
        <v>139</v>
      </c>
      <c r="B5" s="100">
        <v>4099</v>
      </c>
      <c r="C5" s="100">
        <v>8725</v>
      </c>
      <c r="D5" s="109">
        <v>16912</v>
      </c>
      <c r="E5" s="100">
        <v>197472</v>
      </c>
      <c r="F5" s="100">
        <v>6838</v>
      </c>
      <c r="G5" s="100">
        <v>32034</v>
      </c>
      <c r="H5" s="100">
        <v>3946</v>
      </c>
      <c r="I5" s="100">
        <v>4047</v>
      </c>
      <c r="J5" s="101">
        <f t="shared" ref="J5:J6" si="1">SUM(B5:I5)</f>
        <v>274073</v>
      </c>
      <c r="K5" s="113">
        <f>SUM(RepInCongressCongressionalDistrict19General247248250251252[[#This Row],[Total Votes by Party]],J9,J13)</f>
        <v>590320</v>
      </c>
    </row>
    <row r="6" spans="1:11" ht="14.25" customHeight="1" x14ac:dyDescent="0.2">
      <c r="A6" s="29" t="s">
        <v>140</v>
      </c>
      <c r="B6" s="100">
        <v>3933</v>
      </c>
      <c r="C6" s="100">
        <v>8461</v>
      </c>
      <c r="D6" s="109">
        <v>16318</v>
      </c>
      <c r="E6" s="100">
        <v>192655</v>
      </c>
      <c r="F6" s="100">
        <v>6572</v>
      </c>
      <c r="G6" s="100">
        <v>31402</v>
      </c>
      <c r="H6" s="100">
        <v>3882</v>
      </c>
      <c r="I6" s="100">
        <v>3988</v>
      </c>
      <c r="J6" s="101">
        <f t="shared" si="1"/>
        <v>267211</v>
      </c>
      <c r="K6" s="113">
        <f>SUM(RepInCongressCongressionalDistrict19General247248250251252[[#This Row],[Total Votes by Party]],J10,J14)</f>
        <v>585896</v>
      </c>
    </row>
    <row r="7" spans="1:11" ht="14.25" customHeight="1" x14ac:dyDescent="0.2">
      <c r="A7" s="28" t="s">
        <v>141</v>
      </c>
      <c r="B7" s="100">
        <v>11241</v>
      </c>
      <c r="C7" s="100">
        <v>18199</v>
      </c>
      <c r="D7" s="109">
        <v>26938</v>
      </c>
      <c r="E7" s="100">
        <v>150808</v>
      </c>
      <c r="F7" s="100">
        <v>15255</v>
      </c>
      <c r="G7" s="100">
        <v>44708</v>
      </c>
      <c r="H7" s="100">
        <v>9946</v>
      </c>
      <c r="I7" s="100">
        <v>11764</v>
      </c>
      <c r="J7" s="101">
        <f t="shared" ref="J7:J9" si="2">SUM(B7:I7)</f>
        <v>288859</v>
      </c>
      <c r="K7" s="111"/>
    </row>
    <row r="8" spans="1:11" ht="14.25" customHeight="1" x14ac:dyDescent="0.2">
      <c r="A8" s="28" t="s">
        <v>142</v>
      </c>
      <c r="B8" s="100">
        <v>10502</v>
      </c>
      <c r="C8" s="100">
        <v>17050</v>
      </c>
      <c r="D8" s="109">
        <v>25327</v>
      </c>
      <c r="E8" s="100">
        <v>143107</v>
      </c>
      <c r="F8" s="100">
        <v>14299</v>
      </c>
      <c r="G8" s="100">
        <v>40991</v>
      </c>
      <c r="H8" s="100">
        <v>9374</v>
      </c>
      <c r="I8" s="100">
        <v>11458</v>
      </c>
      <c r="J8" s="101">
        <f t="shared" si="2"/>
        <v>272108</v>
      </c>
      <c r="K8" s="111"/>
    </row>
    <row r="9" spans="1:11" ht="14.25" customHeight="1" x14ac:dyDescent="0.2">
      <c r="A9" s="29" t="s">
        <v>143</v>
      </c>
      <c r="B9" s="100">
        <v>10259</v>
      </c>
      <c r="C9" s="100">
        <v>16697</v>
      </c>
      <c r="D9" s="109">
        <v>24786</v>
      </c>
      <c r="E9" s="100">
        <v>140237</v>
      </c>
      <c r="F9" s="100">
        <v>13983</v>
      </c>
      <c r="G9" s="100">
        <v>39867</v>
      </c>
      <c r="H9" s="100">
        <v>9287</v>
      </c>
      <c r="I9" s="100">
        <v>11422</v>
      </c>
      <c r="J9" s="101">
        <f t="shared" si="2"/>
        <v>266538</v>
      </c>
      <c r="K9" s="111"/>
    </row>
    <row r="10" spans="1:11" ht="14.25" customHeight="1" x14ac:dyDescent="0.2">
      <c r="A10" s="28" t="s">
        <v>144</v>
      </c>
      <c r="B10" s="100">
        <v>10289</v>
      </c>
      <c r="C10" s="100">
        <v>16847</v>
      </c>
      <c r="D10" s="109">
        <v>24982</v>
      </c>
      <c r="E10" s="100">
        <v>140929</v>
      </c>
      <c r="F10" s="100">
        <v>14045</v>
      </c>
      <c r="G10" s="100">
        <v>41177</v>
      </c>
      <c r="H10" s="100">
        <v>9364</v>
      </c>
      <c r="I10" s="100">
        <v>11391</v>
      </c>
      <c r="J10" s="101">
        <f t="shared" ref="J10:J12" si="3">SUM(B10:I10)</f>
        <v>269024</v>
      </c>
      <c r="K10" s="111"/>
    </row>
    <row r="11" spans="1:11" ht="14.25" customHeight="1" x14ac:dyDescent="0.2">
      <c r="A11" s="28" t="s">
        <v>145</v>
      </c>
      <c r="B11" s="100">
        <v>1219</v>
      </c>
      <c r="C11" s="100">
        <v>2183</v>
      </c>
      <c r="D11" s="109">
        <v>3916</v>
      </c>
      <c r="E11" s="100">
        <v>28284</v>
      </c>
      <c r="F11" s="100">
        <v>2132</v>
      </c>
      <c r="G11" s="100">
        <v>7128</v>
      </c>
      <c r="H11" s="100">
        <v>1268</v>
      </c>
      <c r="I11" s="100">
        <v>1416</v>
      </c>
      <c r="J11" s="101">
        <f t="shared" si="3"/>
        <v>47546</v>
      </c>
      <c r="K11" s="111"/>
    </row>
    <row r="12" spans="1:11" ht="14.25" customHeight="1" x14ac:dyDescent="0.2">
      <c r="A12" s="29" t="s">
        <v>146</v>
      </c>
      <c r="B12" s="100">
        <v>1146</v>
      </c>
      <c r="C12" s="100">
        <v>2102</v>
      </c>
      <c r="D12" s="109">
        <v>3820</v>
      </c>
      <c r="E12" s="100">
        <v>27919</v>
      </c>
      <c r="F12" s="100">
        <v>2050</v>
      </c>
      <c r="G12" s="100">
        <v>6766</v>
      </c>
      <c r="H12" s="100">
        <v>1199</v>
      </c>
      <c r="I12" s="100">
        <v>1420</v>
      </c>
      <c r="J12" s="101">
        <f t="shared" si="3"/>
        <v>46422</v>
      </c>
      <c r="K12" s="111"/>
    </row>
    <row r="13" spans="1:11" ht="14.25" customHeight="1" x14ac:dyDescent="0.2">
      <c r="A13" s="28" t="s">
        <v>147</v>
      </c>
      <c r="B13" s="100">
        <v>1282</v>
      </c>
      <c r="C13" s="100">
        <v>2254</v>
      </c>
      <c r="D13" s="109">
        <v>4056</v>
      </c>
      <c r="E13" s="100">
        <v>29992</v>
      </c>
      <c r="F13" s="100">
        <v>2176</v>
      </c>
      <c r="G13" s="100">
        <v>7158</v>
      </c>
      <c r="H13" s="100">
        <v>1295</v>
      </c>
      <c r="I13" s="100">
        <v>1496</v>
      </c>
      <c r="J13" s="101">
        <f t="shared" si="0"/>
        <v>49709</v>
      </c>
      <c r="K13" s="111"/>
    </row>
    <row r="14" spans="1:11" ht="14.25" customHeight="1" x14ac:dyDescent="0.2">
      <c r="A14" s="28" t="s">
        <v>148</v>
      </c>
      <c r="B14" s="100">
        <v>1266</v>
      </c>
      <c r="C14" s="100">
        <v>2236</v>
      </c>
      <c r="D14" s="109">
        <v>4035</v>
      </c>
      <c r="E14" s="100">
        <v>29790</v>
      </c>
      <c r="F14" s="100">
        <v>2180</v>
      </c>
      <c r="G14" s="100">
        <v>7345</v>
      </c>
      <c r="H14" s="100">
        <v>1322</v>
      </c>
      <c r="I14" s="100">
        <v>1487</v>
      </c>
      <c r="J14" s="101">
        <f t="shared" si="0"/>
        <v>49661</v>
      </c>
      <c r="K14" s="111"/>
    </row>
    <row r="15" spans="1:11" ht="14.25" customHeight="1" x14ac:dyDescent="0.2">
      <c r="A15" s="28" t="s">
        <v>149</v>
      </c>
      <c r="B15" s="100">
        <v>458</v>
      </c>
      <c r="C15" s="100">
        <v>769</v>
      </c>
      <c r="D15" s="109">
        <v>1579</v>
      </c>
      <c r="E15" s="100">
        <v>17619</v>
      </c>
      <c r="F15" s="100">
        <v>706</v>
      </c>
      <c r="G15" s="100">
        <v>2926</v>
      </c>
      <c r="H15" s="100">
        <v>354</v>
      </c>
      <c r="I15" s="100">
        <v>397</v>
      </c>
      <c r="J15" s="101">
        <f t="shared" si="0"/>
        <v>24808</v>
      </c>
      <c r="K15" s="111"/>
    </row>
    <row r="16" spans="1:11" ht="14.25" customHeight="1" x14ac:dyDescent="0.2">
      <c r="A16" s="28" t="s">
        <v>150</v>
      </c>
      <c r="B16" s="100">
        <v>445</v>
      </c>
      <c r="C16" s="100">
        <v>767</v>
      </c>
      <c r="D16" s="109">
        <v>1569</v>
      </c>
      <c r="E16" s="100">
        <v>17602</v>
      </c>
      <c r="F16" s="100">
        <v>693</v>
      </c>
      <c r="G16" s="100">
        <v>2815</v>
      </c>
      <c r="H16" s="100">
        <v>348</v>
      </c>
      <c r="I16" s="100">
        <v>395</v>
      </c>
      <c r="J16" s="101">
        <f t="shared" si="0"/>
        <v>24634</v>
      </c>
      <c r="K16" s="111"/>
    </row>
    <row r="17" spans="1:11" ht="14.25" customHeight="1" x14ac:dyDescent="0.2">
      <c r="A17" s="29" t="s">
        <v>18</v>
      </c>
      <c r="B17" s="100">
        <v>14087</v>
      </c>
      <c r="C17" s="100">
        <v>23602</v>
      </c>
      <c r="D17" s="109">
        <v>40593</v>
      </c>
      <c r="E17" s="100">
        <v>329966</v>
      </c>
      <c r="F17" s="100">
        <v>20357</v>
      </c>
      <c r="G17" s="100">
        <v>80712</v>
      </c>
      <c r="H17" s="100">
        <v>13649</v>
      </c>
      <c r="I17" s="100">
        <v>8871</v>
      </c>
      <c r="J17" s="101">
        <f t="shared" si="0"/>
        <v>531837</v>
      </c>
      <c r="K17" s="111"/>
    </row>
    <row r="18" spans="1:11" ht="14.25" customHeight="1" x14ac:dyDescent="0.2">
      <c r="A18" s="29" t="s">
        <v>19</v>
      </c>
      <c r="B18" s="100">
        <v>0</v>
      </c>
      <c r="C18" s="100">
        <v>82</v>
      </c>
      <c r="D18" s="109">
        <v>12</v>
      </c>
      <c r="E18" s="100">
        <v>264</v>
      </c>
      <c r="F18" s="100">
        <v>11</v>
      </c>
      <c r="G18" s="100">
        <v>33</v>
      </c>
      <c r="H18" s="100">
        <v>22</v>
      </c>
      <c r="I18" s="100">
        <v>60</v>
      </c>
      <c r="J18" s="101">
        <f t="shared" si="0"/>
        <v>484</v>
      </c>
      <c r="K18" s="111"/>
    </row>
    <row r="19" spans="1:11" ht="14.25" customHeight="1" x14ac:dyDescent="0.2">
      <c r="A19" s="29" t="s">
        <v>20</v>
      </c>
      <c r="B19" s="100">
        <v>61</v>
      </c>
      <c r="C19" s="100">
        <v>13</v>
      </c>
      <c r="D19" s="109">
        <v>161</v>
      </c>
      <c r="E19" s="100">
        <v>4827</v>
      </c>
      <c r="F19" s="100">
        <v>82</v>
      </c>
      <c r="G19" s="100">
        <v>422</v>
      </c>
      <c r="H19" s="100">
        <v>10</v>
      </c>
      <c r="I19" s="100">
        <v>30</v>
      </c>
      <c r="J19" s="101">
        <f t="shared" si="0"/>
        <v>5606</v>
      </c>
      <c r="K19" s="111"/>
    </row>
    <row r="20" spans="1:11" ht="14.25" customHeight="1" x14ac:dyDescent="0.2">
      <c r="A20" s="103" t="s">
        <v>21</v>
      </c>
      <c r="B20" s="100">
        <f>SUM(RepInCongressCongressionalDistrict19General247248250251252[Allegany County
Vote Results])</f>
        <v>78676</v>
      </c>
      <c r="C20" s="100">
        <f>SUM(RepInCongressCongressionalDistrict19General247248250251252[Cattaraugus County
Vote Results])</f>
        <v>137916</v>
      </c>
      <c r="D20" s="109">
        <f>SUM(RepInCongressCongressionalDistrict19General247248250251252[Chautauqua County
Vote Results])</f>
        <v>229640</v>
      </c>
      <c r="E20" s="100">
        <f>SUM(RepInCongressCongressionalDistrict19General247248250251252[Erie County 
Vote Results])</f>
        <v>1847152</v>
      </c>
      <c r="F20" s="100">
        <f>SUM(RepInCongressCongressionalDistrict19General247248250251252[Genesee County
Vote Results])</f>
        <v>115284</v>
      </c>
      <c r="G20" s="100">
        <f>SUM(RepInCongressCongressionalDistrict19General247248250251252[Niagara County
Vote Results])</f>
        <v>412904</v>
      </c>
      <c r="H20" s="100">
        <f>SUM(RepInCongressCongressionalDistrict19General247248250251252[Orleans County
Vote Results])</f>
        <v>73204</v>
      </c>
      <c r="I20" s="100">
        <f>SUM(RepInCongressCongressionalDistrict19General247248250251252[Wyoming County 
Vote Results])</f>
        <v>77660</v>
      </c>
      <c r="J20" s="101">
        <f>SUM(RepInCongressCongressionalDistrict19General247248250251252[Total Votes by Party])</f>
        <v>2972436</v>
      </c>
      <c r="K20" s="111"/>
    </row>
    <row r="21" spans="1:11" ht="14.25" x14ac:dyDescent="0.2">
      <c r="B21" s="70"/>
      <c r="C21" s="70"/>
      <c r="D21" s="70"/>
      <c r="E21" s="70"/>
      <c r="F21" s="70"/>
      <c r="H21" s="70"/>
      <c r="I21" s="70"/>
    </row>
  </sheetData>
  <mergeCells count="1">
    <mergeCell ref="A1:I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7D79-AD85-463C-A4F8-95F70AA5C74D}">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487</v>
      </c>
      <c r="B1" s="108"/>
      <c r="C1" s="108"/>
      <c r="D1" s="108"/>
    </row>
    <row r="2" spans="1:4" ht="28.5" customHeight="1" x14ac:dyDescent="0.2">
      <c r="A2" s="6" t="s">
        <v>93</v>
      </c>
      <c r="B2" s="7" t="s">
        <v>484</v>
      </c>
      <c r="C2" s="8" t="s">
        <v>84</v>
      </c>
      <c r="D2" s="9" t="s">
        <v>85</v>
      </c>
    </row>
    <row r="3" spans="1:4" ht="14.25" customHeight="1" x14ac:dyDescent="0.2">
      <c r="A3" s="28" t="s">
        <v>488</v>
      </c>
      <c r="B3" s="100">
        <v>109201</v>
      </c>
      <c r="C3" s="101">
        <f>StateSenatorSenateDistrict24General[[#This Row],[Part of Richmond County Vote Results]]</f>
        <v>109201</v>
      </c>
      <c r="D3" s="113">
        <f>SUM(StateSenatorSenateDistrict24General[[#This Row],[Total Votes by Party]],C4)</f>
        <v>120644</v>
      </c>
    </row>
    <row r="4" spans="1:4" ht="14.25" customHeight="1" x14ac:dyDescent="0.2">
      <c r="A4" s="28" t="s">
        <v>489</v>
      </c>
      <c r="B4" s="100">
        <v>11443</v>
      </c>
      <c r="C4" s="101">
        <f>StateSenatorSenateDistrict24General[[#This Row],[Part of Richmond County Vote Results]]</f>
        <v>11443</v>
      </c>
      <c r="D4" s="111"/>
    </row>
    <row r="5" spans="1:4" ht="14.25" customHeight="1" x14ac:dyDescent="0.2">
      <c r="A5" s="29" t="s">
        <v>18</v>
      </c>
      <c r="B5" s="100">
        <v>23725</v>
      </c>
      <c r="C5" s="101">
        <f>StateSenatorSenateDistrict24General[[#This Row],[Part of Richmond County Vote Results]]</f>
        <v>23725</v>
      </c>
      <c r="D5" s="111"/>
    </row>
    <row r="6" spans="1:4" ht="14.25" customHeight="1" x14ac:dyDescent="0.2">
      <c r="A6" s="29" t="s">
        <v>19</v>
      </c>
      <c r="B6" s="100">
        <v>325</v>
      </c>
      <c r="C6" s="101">
        <f>StateSenatorSenateDistrict24General[[#This Row],[Part of Richmond County Vote Results]]</f>
        <v>325</v>
      </c>
      <c r="D6" s="111"/>
    </row>
    <row r="7" spans="1:4" ht="14.25" customHeight="1" x14ac:dyDescent="0.2">
      <c r="A7" s="29" t="s">
        <v>20</v>
      </c>
      <c r="B7" s="100">
        <v>2167</v>
      </c>
      <c r="C7" s="101">
        <f>StateSenatorSenateDistrict24General[[#This Row],[Part of Richmond County Vote Results]]</f>
        <v>2167</v>
      </c>
      <c r="D7" s="111"/>
    </row>
    <row r="8" spans="1:4" ht="14.25" customHeight="1" x14ac:dyDescent="0.2">
      <c r="A8" s="103" t="s">
        <v>21</v>
      </c>
      <c r="B8" s="100">
        <f>SUM(StateSenatorSenateDistrict24General[Part of Richmond County Vote Results])</f>
        <v>146861</v>
      </c>
      <c r="C8" s="101">
        <f>SUM(StateSenatorSenateDistrict24General[Total Votes by Party])</f>
        <v>146861</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92E7F-9F82-446C-A594-0FDB79C1D979}">
  <sheetPr>
    <pageSetUpPr fitToPage="1"/>
  </sheetPr>
  <dimension ref="A1:D7"/>
  <sheetViews>
    <sheetView workbookViewId="0"/>
  </sheetViews>
  <sheetFormatPr defaultRowHeight="12.75" x14ac:dyDescent="0.2"/>
  <cols>
    <col min="1" max="1" width="26.42578125" customWidth="1"/>
    <col min="2" max="4" width="20.5703125" customWidth="1"/>
    <col min="5" max="6" width="23.5703125" customWidth="1"/>
  </cols>
  <sheetData>
    <row r="1" spans="1:4" ht="24.95" customHeight="1" x14ac:dyDescent="0.2">
      <c r="A1" s="72" t="s">
        <v>490</v>
      </c>
      <c r="B1" s="108"/>
      <c r="C1" s="108"/>
      <c r="D1" s="108"/>
    </row>
    <row r="2" spans="1:4" ht="28.5" customHeight="1" x14ac:dyDescent="0.2">
      <c r="A2" s="6" t="s">
        <v>93</v>
      </c>
      <c r="B2" s="7" t="s">
        <v>253</v>
      </c>
      <c r="C2" s="8" t="s">
        <v>84</v>
      </c>
      <c r="D2" s="9" t="s">
        <v>85</v>
      </c>
    </row>
    <row r="3" spans="1:4" ht="14.25" customHeight="1" x14ac:dyDescent="0.2">
      <c r="A3" s="28" t="s">
        <v>491</v>
      </c>
      <c r="B3" s="118">
        <v>90484</v>
      </c>
      <c r="C3" s="101">
        <f>StateSenatorSenateDistrict25General[[#This Row],[Part of Kings County Vote Results]]</f>
        <v>90484</v>
      </c>
      <c r="D3" s="113">
        <f>SUM(StateSenatorSenateDistrict25General[[#This Row],[Total Votes by Party]])</f>
        <v>90484</v>
      </c>
    </row>
    <row r="4" spans="1:4" ht="14.25" customHeight="1" x14ac:dyDescent="0.2">
      <c r="A4" s="29" t="s">
        <v>18</v>
      </c>
      <c r="B4" s="118">
        <v>16603</v>
      </c>
      <c r="C4" s="101">
        <f>StateSenatorSenateDistrict25General[[#This Row],[Part of Kings County Vote Results]]</f>
        <v>16603</v>
      </c>
      <c r="D4" s="111"/>
    </row>
    <row r="5" spans="1:4" ht="14.25" customHeight="1" x14ac:dyDescent="0.2">
      <c r="A5" s="29" t="s">
        <v>19</v>
      </c>
      <c r="B5" s="118">
        <v>470</v>
      </c>
      <c r="C5" s="101">
        <f>StateSenatorSenateDistrict25General[[#This Row],[Part of Kings County Vote Results]]</f>
        <v>470</v>
      </c>
      <c r="D5" s="111"/>
    </row>
    <row r="6" spans="1:4" ht="14.25" customHeight="1" x14ac:dyDescent="0.2">
      <c r="A6" s="29" t="s">
        <v>20</v>
      </c>
      <c r="B6" s="118">
        <v>525</v>
      </c>
      <c r="C6" s="101">
        <f>StateSenatorSenateDistrict25General[[#This Row],[Part of Kings County Vote Results]]</f>
        <v>525</v>
      </c>
      <c r="D6" s="111"/>
    </row>
    <row r="7" spans="1:4" ht="14.25" customHeight="1" x14ac:dyDescent="0.2">
      <c r="A7" s="103" t="s">
        <v>21</v>
      </c>
      <c r="B7" s="100">
        <f>SUM(StateSenatorSenateDistrict25General[Part of Kings County Vote Results])</f>
        <v>108082</v>
      </c>
      <c r="C7" s="101">
        <f>SUM(StateSenatorSenateDistrict25General[Total Votes by Party])</f>
        <v>108082</v>
      </c>
      <c r="D7"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A9632-306C-4EDD-A57B-2B9CAC802F0A}">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492</v>
      </c>
      <c r="B1" s="108"/>
      <c r="C1" s="108"/>
      <c r="D1" s="108"/>
      <c r="E1" s="108"/>
    </row>
    <row r="2" spans="1:5" ht="28.5" customHeight="1" x14ac:dyDescent="0.2">
      <c r="A2" s="6" t="s">
        <v>93</v>
      </c>
      <c r="B2" s="7" t="s">
        <v>253</v>
      </c>
      <c r="C2" s="7" t="s">
        <v>267</v>
      </c>
      <c r="D2" s="8" t="s">
        <v>84</v>
      </c>
      <c r="E2" s="9" t="s">
        <v>85</v>
      </c>
    </row>
    <row r="3" spans="1:5" ht="14.25" customHeight="1" x14ac:dyDescent="0.2">
      <c r="A3" s="28" t="s">
        <v>493</v>
      </c>
      <c r="B3" s="118">
        <v>78176</v>
      </c>
      <c r="C3" s="100">
        <v>0</v>
      </c>
      <c r="D3" s="101">
        <f>SUM(StateSenatorSenateDistrict26General[[#This Row],[Part of Kings County Vote Results]:[Part of New York County Vote Results]])</f>
        <v>78176</v>
      </c>
      <c r="E3" s="113">
        <f>SUM(StateSenatorSenateDistrict26General[[#This Row],[Total Votes by Party]],D6)</f>
        <v>91407</v>
      </c>
    </row>
    <row r="4" spans="1:5" ht="14.25" customHeight="1" x14ac:dyDescent="0.2">
      <c r="A4" s="28" t="s">
        <v>494</v>
      </c>
      <c r="B4" s="118">
        <v>21445</v>
      </c>
      <c r="C4" s="100">
        <v>0</v>
      </c>
      <c r="D4" s="101">
        <f>SUM(StateSenatorSenateDistrict26General[[#This Row],[Part of Kings County Vote Results]:[Part of New York County Vote Results]])</f>
        <v>21445</v>
      </c>
      <c r="E4" s="113">
        <f>SUM(StateSenatorSenateDistrict26General[[#This Row],[Total Votes by Party]],D5)</f>
        <v>24639</v>
      </c>
    </row>
    <row r="5" spans="1:5" ht="14.25" customHeight="1" x14ac:dyDescent="0.2">
      <c r="A5" s="28" t="s">
        <v>495</v>
      </c>
      <c r="B5" s="118">
        <v>3194</v>
      </c>
      <c r="C5" s="100">
        <v>0</v>
      </c>
      <c r="D5" s="101">
        <f>SUM(StateSenatorSenateDistrict26General[[#This Row],[Part of Kings County Vote Results]:[Part of New York County Vote Results]])</f>
        <v>3194</v>
      </c>
      <c r="E5" s="111"/>
    </row>
    <row r="6" spans="1:5" ht="14.25" customHeight="1" x14ac:dyDescent="0.2">
      <c r="A6" s="29" t="s">
        <v>496</v>
      </c>
      <c r="B6" s="118">
        <v>13231</v>
      </c>
      <c r="C6" s="100">
        <v>0</v>
      </c>
      <c r="D6" s="101">
        <f>SUM(StateSenatorSenateDistrict26General[[#This Row],[Part of Kings County Vote Results]:[Part of New York County Vote Results]])</f>
        <v>13231</v>
      </c>
      <c r="E6" s="111"/>
    </row>
    <row r="7" spans="1:5" ht="14.25" customHeight="1" x14ac:dyDescent="0.2">
      <c r="A7" s="29" t="s">
        <v>18</v>
      </c>
      <c r="B7" s="118">
        <v>7293</v>
      </c>
      <c r="C7" s="100">
        <v>0</v>
      </c>
      <c r="D7" s="101">
        <f>SUM(StateSenatorSenateDistrict26General[[#This Row],[Part of Kings County Vote Results]:[Part of New York County Vote Results]])</f>
        <v>7293</v>
      </c>
      <c r="E7" s="111"/>
    </row>
    <row r="8" spans="1:5" ht="14.25" customHeight="1" x14ac:dyDescent="0.2">
      <c r="A8" s="29" t="s">
        <v>19</v>
      </c>
      <c r="B8" s="118">
        <v>1220</v>
      </c>
      <c r="C8" s="100">
        <v>2</v>
      </c>
      <c r="D8" s="101">
        <f>SUM(StateSenatorSenateDistrict26General[[#This Row],[Part of Kings County Vote Results]:[Part of New York County Vote Results]])</f>
        <v>1222</v>
      </c>
      <c r="E8" s="111"/>
    </row>
    <row r="9" spans="1:5" ht="14.25" customHeight="1" x14ac:dyDescent="0.2">
      <c r="A9" s="29" t="s">
        <v>20</v>
      </c>
      <c r="B9" s="118">
        <v>357</v>
      </c>
      <c r="C9" s="100">
        <v>0</v>
      </c>
      <c r="D9" s="101">
        <f>SUM(StateSenatorSenateDistrict26General[[#This Row],[Part of Kings County Vote Results]:[Part of New York County Vote Results]])</f>
        <v>357</v>
      </c>
      <c r="E9" s="111"/>
    </row>
    <row r="10" spans="1:5" ht="14.25" customHeight="1" x14ac:dyDescent="0.2">
      <c r="A10" s="103" t="s">
        <v>21</v>
      </c>
      <c r="B10" s="100">
        <f>SUM(StateSenatorSenateDistrict26General[Part of Kings County Vote Results])</f>
        <v>124916</v>
      </c>
      <c r="C10" s="100">
        <f>SUM(StateSenatorSenateDistrict26General[Part of New York County Vote Results])</f>
        <v>2</v>
      </c>
      <c r="D10" s="101">
        <f>SUM(StateSenatorSenateDistrict26General[Total Votes by Party])</f>
        <v>124918</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D2A39-69FD-42CB-BADC-D0280AB9C92E}">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497</v>
      </c>
      <c r="B1" s="108"/>
      <c r="C1" s="108"/>
      <c r="D1" s="108"/>
    </row>
    <row r="2" spans="1:4" ht="28.5" customHeight="1" x14ac:dyDescent="0.2">
      <c r="A2" s="6" t="s">
        <v>93</v>
      </c>
      <c r="B2" s="7" t="s">
        <v>267</v>
      </c>
      <c r="C2" s="8" t="s">
        <v>84</v>
      </c>
      <c r="D2" s="9" t="s">
        <v>85</v>
      </c>
    </row>
    <row r="3" spans="1:4" ht="14.25" customHeight="1" x14ac:dyDescent="0.2">
      <c r="A3" s="28" t="s">
        <v>498</v>
      </c>
      <c r="B3" s="100">
        <v>79048</v>
      </c>
      <c r="C3" s="101">
        <f>StateSenatorSenateDistrict27General[[#This Row],[Part of New York County Vote Results]]</f>
        <v>79048</v>
      </c>
      <c r="D3" s="113">
        <f>SUM(StateSenatorSenateDistrict27General[[#This Row],[Total Votes by Party]],C4)</f>
        <v>88217</v>
      </c>
    </row>
    <row r="4" spans="1:4" ht="14.25" customHeight="1" x14ac:dyDescent="0.2">
      <c r="A4" s="28" t="s">
        <v>499</v>
      </c>
      <c r="B4" s="100">
        <v>9169</v>
      </c>
      <c r="C4" s="101">
        <f>StateSenatorSenateDistrict27General[[#This Row],[Part of New York County Vote Results]]</f>
        <v>9169</v>
      </c>
      <c r="D4" s="111"/>
    </row>
    <row r="5" spans="1:4" ht="14.25" customHeight="1" x14ac:dyDescent="0.2">
      <c r="A5" s="29" t="s">
        <v>18</v>
      </c>
      <c r="B5" s="100">
        <v>25534</v>
      </c>
      <c r="C5" s="101">
        <f>StateSenatorSenateDistrict27General[[#This Row],[Part of New York County Vote Results]]</f>
        <v>25534</v>
      </c>
      <c r="D5" s="111"/>
    </row>
    <row r="6" spans="1:4" ht="14.25" customHeight="1" x14ac:dyDescent="0.2">
      <c r="A6" s="29" t="s">
        <v>19</v>
      </c>
      <c r="B6" s="100">
        <v>2176</v>
      </c>
      <c r="C6" s="101">
        <f>StateSenatorSenateDistrict27General[[#This Row],[Part of New York County Vote Results]]</f>
        <v>2176</v>
      </c>
      <c r="D6" s="111"/>
    </row>
    <row r="7" spans="1:4" ht="14.25" customHeight="1" x14ac:dyDescent="0.2">
      <c r="A7" s="29" t="s">
        <v>20</v>
      </c>
      <c r="B7" s="100">
        <v>807</v>
      </c>
      <c r="C7" s="101">
        <f>StateSenatorSenateDistrict27General[[#This Row],[Part of New York County Vote Results]]</f>
        <v>807</v>
      </c>
      <c r="D7" s="111"/>
    </row>
    <row r="8" spans="1:4" ht="14.25" customHeight="1" x14ac:dyDescent="0.2">
      <c r="A8" s="103" t="s">
        <v>21</v>
      </c>
      <c r="B8" s="100">
        <f>SUM(StateSenatorSenateDistrict27General[Part of New York County Vote Results])</f>
        <v>116734</v>
      </c>
      <c r="C8" s="101">
        <f>SUM(StateSenatorSenateDistrict27General[Total Votes by Party])</f>
        <v>116734</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DB39-8FD6-4272-8333-241995B10088}">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500</v>
      </c>
      <c r="B1" s="108"/>
      <c r="C1" s="108"/>
      <c r="D1" s="108"/>
    </row>
    <row r="2" spans="1:4" ht="28.5" customHeight="1" x14ac:dyDescent="0.2">
      <c r="A2" s="6" t="s">
        <v>93</v>
      </c>
      <c r="B2" s="7" t="s">
        <v>267</v>
      </c>
      <c r="C2" s="8" t="s">
        <v>84</v>
      </c>
      <c r="D2" s="9" t="s">
        <v>85</v>
      </c>
    </row>
    <row r="3" spans="1:4" ht="14.25" customHeight="1" x14ac:dyDescent="0.2">
      <c r="A3" s="28" t="s">
        <v>501</v>
      </c>
      <c r="B3" s="100">
        <v>97851</v>
      </c>
      <c r="C3" s="101">
        <f>StateSenatorSenateDistrict28General[[#This Row],[Part of New York County Vote Results]]</f>
        <v>97851</v>
      </c>
      <c r="D3" s="113">
        <f>SUM(StateSenatorSenateDistrict28General[[#This Row],[Total Votes by Party]])</f>
        <v>97851</v>
      </c>
    </row>
    <row r="4" spans="1:4" ht="14.25" customHeight="1" x14ac:dyDescent="0.2">
      <c r="A4" s="28" t="s">
        <v>502</v>
      </c>
      <c r="B4" s="100">
        <v>30881</v>
      </c>
      <c r="C4" s="101">
        <f>StateSenatorSenateDistrict28General[[#This Row],[Part of New York County Vote Results]]</f>
        <v>30881</v>
      </c>
      <c r="D4" s="113">
        <f>SUM(StateSenatorSenateDistrict28General[[#This Row],[Total Votes by Party]])</f>
        <v>30881</v>
      </c>
    </row>
    <row r="5" spans="1:4" ht="14.25" customHeight="1" x14ac:dyDescent="0.2">
      <c r="A5" s="29" t="s">
        <v>18</v>
      </c>
      <c r="B5" s="100">
        <v>7659</v>
      </c>
      <c r="C5" s="101">
        <f>StateSenatorSenateDistrict28General[[#This Row],[Part of New York County Vote Results]]</f>
        <v>7659</v>
      </c>
      <c r="D5" s="111"/>
    </row>
    <row r="6" spans="1:4" ht="14.25" customHeight="1" x14ac:dyDescent="0.2">
      <c r="A6" s="29" t="s">
        <v>19</v>
      </c>
      <c r="B6" s="100">
        <v>2920</v>
      </c>
      <c r="C6" s="101">
        <f>StateSenatorSenateDistrict28General[[#This Row],[Part of New York County Vote Results]]</f>
        <v>2920</v>
      </c>
      <c r="D6" s="111"/>
    </row>
    <row r="7" spans="1:4" ht="14.25" customHeight="1" x14ac:dyDescent="0.2">
      <c r="A7" s="29" t="s">
        <v>20</v>
      </c>
      <c r="B7" s="100">
        <v>229</v>
      </c>
      <c r="C7" s="101">
        <f>StateSenatorSenateDistrict28General[[#This Row],[Part of New York County Vote Results]]</f>
        <v>229</v>
      </c>
      <c r="D7" s="111"/>
    </row>
    <row r="8" spans="1:4" ht="14.25" customHeight="1" x14ac:dyDescent="0.2">
      <c r="A8" s="103" t="s">
        <v>21</v>
      </c>
      <c r="B8" s="100">
        <f>SUM(StateSenatorSenateDistrict28General[Part of New York County Vote Results])</f>
        <v>139540</v>
      </c>
      <c r="C8" s="101">
        <f>SUM(StateSenatorSenateDistrict28General[Total Votes by Party])</f>
        <v>139540</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D69B4-651E-4CA8-B3EB-E33F5AB30632}">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503</v>
      </c>
      <c r="B1" s="108"/>
      <c r="C1" s="108"/>
      <c r="D1" s="108"/>
      <c r="E1" s="108"/>
    </row>
    <row r="2" spans="1:5" ht="28.5" customHeight="1" x14ac:dyDescent="0.2">
      <c r="A2" s="6" t="s">
        <v>93</v>
      </c>
      <c r="B2" s="7" t="s">
        <v>281</v>
      </c>
      <c r="C2" s="7" t="s">
        <v>267</v>
      </c>
      <c r="D2" s="8" t="s">
        <v>84</v>
      </c>
      <c r="E2" s="9" t="s">
        <v>85</v>
      </c>
    </row>
    <row r="3" spans="1:5" ht="14.25" customHeight="1" x14ac:dyDescent="0.2">
      <c r="A3" s="28" t="s">
        <v>504</v>
      </c>
      <c r="B3" s="100">
        <v>32127</v>
      </c>
      <c r="C3" s="100">
        <v>28857</v>
      </c>
      <c r="D3" s="101">
        <f>SUM(StateSenatorSenateDistrict29General[[#This Row],[Part of Bronx County Vote Results]:[Part of New York County Vote Results]])</f>
        <v>60984</v>
      </c>
      <c r="E3" s="113">
        <f>SUM(StateSenatorSenateDistrict29General[[#This Row],[Total Votes by Party]],D6)</f>
        <v>65717</v>
      </c>
    </row>
    <row r="4" spans="1:5" ht="14.25" customHeight="1" x14ac:dyDescent="0.2">
      <c r="A4" s="28" t="s">
        <v>505</v>
      </c>
      <c r="B4" s="100">
        <v>7191</v>
      </c>
      <c r="C4" s="100">
        <v>6051</v>
      </c>
      <c r="D4" s="101">
        <f>SUM(StateSenatorSenateDistrict29General[[#This Row],[Part of Bronx County Vote Results]:[Part of New York County Vote Results]])</f>
        <v>13242</v>
      </c>
      <c r="E4" s="113">
        <f>SUM(StateSenatorSenateDistrict29General[[#This Row],[Total Votes by Party]],D5)</f>
        <v>14556</v>
      </c>
    </row>
    <row r="5" spans="1:5" ht="14.25" customHeight="1" x14ac:dyDescent="0.2">
      <c r="A5" s="29" t="s">
        <v>506</v>
      </c>
      <c r="B5" s="100">
        <v>786</v>
      </c>
      <c r="C5" s="100">
        <v>528</v>
      </c>
      <c r="D5" s="101">
        <f>SUM(StateSenatorSenateDistrict29General[[#This Row],[Part of Bronx County Vote Results]:[Part of New York County Vote Results]])</f>
        <v>1314</v>
      </c>
      <c r="E5" s="111"/>
    </row>
    <row r="6" spans="1:5" ht="14.25" customHeight="1" x14ac:dyDescent="0.2">
      <c r="A6" s="29" t="s">
        <v>507</v>
      </c>
      <c r="B6" s="100">
        <v>2249</v>
      </c>
      <c r="C6" s="100">
        <v>2484</v>
      </c>
      <c r="D6" s="101">
        <f>SUM(StateSenatorSenateDistrict29General[[#This Row],[Part of Bronx County Vote Results]:[Part of New York County Vote Results]])</f>
        <v>4733</v>
      </c>
      <c r="E6" s="111"/>
    </row>
    <row r="7" spans="1:5" ht="14.25" customHeight="1" x14ac:dyDescent="0.2">
      <c r="A7" s="29" t="s">
        <v>18</v>
      </c>
      <c r="B7" s="100">
        <v>4686</v>
      </c>
      <c r="C7" s="100">
        <v>3863</v>
      </c>
      <c r="D7" s="101">
        <f>SUM(StateSenatorSenateDistrict29General[[#This Row],[Part of Bronx County Vote Results]:[Part of New York County Vote Results]])</f>
        <v>8549</v>
      </c>
      <c r="E7" s="111"/>
    </row>
    <row r="8" spans="1:5" ht="14.25" customHeight="1" x14ac:dyDescent="0.2">
      <c r="A8" s="29" t="s">
        <v>19</v>
      </c>
      <c r="B8" s="100">
        <v>37</v>
      </c>
      <c r="C8" s="100">
        <v>404</v>
      </c>
      <c r="D8" s="101">
        <f>SUM(StateSenatorSenateDistrict29General[[#This Row],[Part of Bronx County Vote Results]:[Part of New York County Vote Results]])</f>
        <v>441</v>
      </c>
      <c r="E8" s="111"/>
    </row>
    <row r="9" spans="1:5" ht="14.25" customHeight="1" x14ac:dyDescent="0.2">
      <c r="A9" s="29" t="s">
        <v>20</v>
      </c>
      <c r="B9" s="100">
        <v>84</v>
      </c>
      <c r="C9" s="100">
        <v>81</v>
      </c>
      <c r="D9" s="101">
        <f>SUM(StateSenatorSenateDistrict29General[[#This Row],[Part of Bronx County Vote Results]:[Part of New York County Vote Results]])</f>
        <v>165</v>
      </c>
      <c r="E9" s="111"/>
    </row>
    <row r="10" spans="1:5" ht="14.25" customHeight="1" x14ac:dyDescent="0.2">
      <c r="A10" s="103" t="s">
        <v>21</v>
      </c>
      <c r="B10" s="100">
        <f>SUM(StateSenatorSenateDistrict29General[Part of Bronx County Vote Results])</f>
        <v>47160</v>
      </c>
      <c r="C10" s="100">
        <f>SUM(StateSenatorSenateDistrict29General[Part of New York County Vote Results])</f>
        <v>42268</v>
      </c>
      <c r="D10" s="101">
        <f>SUM(StateSenatorSenateDistrict29General[Total Votes by Party])</f>
        <v>89428</v>
      </c>
      <c r="E10" s="111"/>
    </row>
    <row r="11" spans="1:5"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0DC3D-3BA5-4222-9EF2-9E5245919CE9}">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508</v>
      </c>
      <c r="B1" s="108"/>
      <c r="C1" s="108"/>
      <c r="D1" s="108"/>
    </row>
    <row r="2" spans="1:4" ht="28.5" customHeight="1" x14ac:dyDescent="0.2">
      <c r="A2" s="6" t="s">
        <v>93</v>
      </c>
      <c r="B2" s="7" t="s">
        <v>267</v>
      </c>
      <c r="C2" s="8" t="s">
        <v>84</v>
      </c>
      <c r="D2" s="9" t="s">
        <v>85</v>
      </c>
    </row>
    <row r="3" spans="1:4" ht="14.25" customHeight="1" x14ac:dyDescent="0.2">
      <c r="A3" s="28" t="s">
        <v>509</v>
      </c>
      <c r="B3" s="100">
        <v>80476</v>
      </c>
      <c r="C3" s="101">
        <f>StateSenatorSenateDistrict30General[[#This Row],[Part of New York County Vote Results]]</f>
        <v>80476</v>
      </c>
      <c r="D3" s="113">
        <f>SUM(StateSenatorSenateDistrict30General[[#This Row],[Total Votes by Party]],C4)</f>
        <v>90523</v>
      </c>
    </row>
    <row r="4" spans="1:4" ht="14.25" customHeight="1" x14ac:dyDescent="0.2">
      <c r="A4" s="28" t="s">
        <v>510</v>
      </c>
      <c r="B4" s="100">
        <v>10047</v>
      </c>
      <c r="C4" s="101">
        <f>StateSenatorSenateDistrict30General[[#This Row],[Part of New York County Vote Results]]</f>
        <v>10047</v>
      </c>
      <c r="D4" s="111"/>
    </row>
    <row r="5" spans="1:4" ht="14.25" customHeight="1" x14ac:dyDescent="0.2">
      <c r="A5" s="29" t="s">
        <v>18</v>
      </c>
      <c r="B5" s="100">
        <v>19709</v>
      </c>
      <c r="C5" s="101">
        <f>StateSenatorSenateDistrict30General[[#This Row],[Part of New York County Vote Results]]</f>
        <v>19709</v>
      </c>
      <c r="D5" s="111"/>
    </row>
    <row r="6" spans="1:4" ht="14.25" customHeight="1" x14ac:dyDescent="0.2">
      <c r="A6" s="29" t="s">
        <v>19</v>
      </c>
      <c r="B6" s="100">
        <v>1024</v>
      </c>
      <c r="C6" s="101">
        <f>StateSenatorSenateDistrict30General[[#This Row],[Part of New York County Vote Results]]</f>
        <v>1024</v>
      </c>
      <c r="D6" s="111"/>
    </row>
    <row r="7" spans="1:4" ht="14.25" customHeight="1" x14ac:dyDescent="0.2">
      <c r="A7" s="29" t="s">
        <v>20</v>
      </c>
      <c r="B7" s="100">
        <v>427</v>
      </c>
      <c r="C7" s="101">
        <f>StateSenatorSenateDistrict30General[[#This Row],[Part of New York County Vote Results]]</f>
        <v>427</v>
      </c>
      <c r="D7" s="111"/>
    </row>
    <row r="8" spans="1:4" ht="14.25" customHeight="1" x14ac:dyDescent="0.2">
      <c r="A8" s="103" t="s">
        <v>21</v>
      </c>
      <c r="B8" s="100">
        <f>SUM(StateSenatorSenateDistrict30General[Part of New York County Vote Results])</f>
        <v>111683</v>
      </c>
      <c r="C8" s="101">
        <f>SUM(StateSenatorSenateDistrict30General[Total Votes by Party])</f>
        <v>111683</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0C17D-492B-4983-B4D9-D76ED17BA1B7}">
  <sheetPr>
    <pageSetUpPr fitToPage="1"/>
  </sheetPr>
  <dimension ref="A1:E9"/>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511</v>
      </c>
      <c r="B1" s="108"/>
      <c r="C1" s="108"/>
      <c r="D1" s="108"/>
      <c r="E1" s="108"/>
    </row>
    <row r="2" spans="1:5" ht="28.5" customHeight="1" x14ac:dyDescent="0.2">
      <c r="A2" s="6" t="s">
        <v>93</v>
      </c>
      <c r="B2" s="7" t="s">
        <v>281</v>
      </c>
      <c r="C2" s="7" t="s">
        <v>267</v>
      </c>
      <c r="D2" s="8" t="s">
        <v>84</v>
      </c>
      <c r="E2" s="9" t="s">
        <v>85</v>
      </c>
    </row>
    <row r="3" spans="1:5" ht="14.25" customHeight="1" x14ac:dyDescent="0.2">
      <c r="A3" s="28" t="s">
        <v>512</v>
      </c>
      <c r="B3" s="100">
        <v>19102</v>
      </c>
      <c r="C3" s="100">
        <v>41986</v>
      </c>
      <c r="D3" s="101">
        <f t="shared" ref="D3:D7" si="0">SUM(B3,C3)</f>
        <v>61088</v>
      </c>
      <c r="E3" s="113">
        <f>SUM(StateSenatorSenateDistrict31General[[#This Row],[Total Votes by Party]],D4)</f>
        <v>70294</v>
      </c>
    </row>
    <row r="4" spans="1:5" ht="14.25" customHeight="1" x14ac:dyDescent="0.2">
      <c r="A4" s="28" t="s">
        <v>513</v>
      </c>
      <c r="B4" s="100">
        <v>2101</v>
      </c>
      <c r="C4" s="100">
        <v>7105</v>
      </c>
      <c r="D4" s="101">
        <f t="shared" si="0"/>
        <v>9206</v>
      </c>
      <c r="E4" s="111"/>
    </row>
    <row r="5" spans="1:5" ht="14.25" customHeight="1" x14ac:dyDescent="0.2">
      <c r="A5" s="29" t="s">
        <v>18</v>
      </c>
      <c r="B5" s="100">
        <v>9666</v>
      </c>
      <c r="C5" s="100">
        <v>16499</v>
      </c>
      <c r="D5" s="101">
        <f t="shared" si="0"/>
        <v>26165</v>
      </c>
      <c r="E5" s="111"/>
    </row>
    <row r="6" spans="1:5" ht="14.25" customHeight="1" x14ac:dyDescent="0.2">
      <c r="A6" s="29" t="s">
        <v>19</v>
      </c>
      <c r="B6" s="100">
        <v>124</v>
      </c>
      <c r="C6" s="100">
        <v>532</v>
      </c>
      <c r="D6" s="101">
        <f t="shared" si="0"/>
        <v>656</v>
      </c>
      <c r="E6" s="111"/>
    </row>
    <row r="7" spans="1:5" ht="14.25" customHeight="1" x14ac:dyDescent="0.2">
      <c r="A7" s="29" t="s">
        <v>20</v>
      </c>
      <c r="B7" s="100">
        <v>130</v>
      </c>
      <c r="C7" s="100">
        <v>346</v>
      </c>
      <c r="D7" s="101">
        <f t="shared" si="0"/>
        <v>476</v>
      </c>
      <c r="E7" s="111"/>
    </row>
    <row r="8" spans="1:5" ht="14.25" customHeight="1" x14ac:dyDescent="0.2">
      <c r="A8" s="103" t="s">
        <v>21</v>
      </c>
      <c r="B8" s="100">
        <f>SUM(StateSenatorSenateDistrict31General[Part of Bronx County Vote Results])</f>
        <v>31123</v>
      </c>
      <c r="C8" s="100">
        <f>SUM(StateSenatorSenateDistrict31General[Part of New York County Vote Results])</f>
        <v>66468</v>
      </c>
      <c r="D8" s="101">
        <f>SUM(StateSenatorSenateDistrict31General[Total Votes by Party])</f>
        <v>97591</v>
      </c>
      <c r="E8" s="111"/>
    </row>
    <row r="9" spans="1:5" ht="14.25" x14ac:dyDescent="0.2">
      <c r="B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39C7-DCDE-4E28-92FE-7CD474154215}">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514</v>
      </c>
      <c r="B1" s="108"/>
      <c r="C1" s="108"/>
      <c r="D1" s="108"/>
    </row>
    <row r="2" spans="1:4" ht="28.5" customHeight="1" x14ac:dyDescent="0.2">
      <c r="A2" s="6" t="s">
        <v>93</v>
      </c>
      <c r="B2" s="7" t="s">
        <v>281</v>
      </c>
      <c r="C2" s="8" t="s">
        <v>84</v>
      </c>
      <c r="D2" s="9" t="s">
        <v>85</v>
      </c>
    </row>
    <row r="3" spans="1:4" ht="14.25" customHeight="1" x14ac:dyDescent="0.2">
      <c r="A3" s="28" t="s">
        <v>515</v>
      </c>
      <c r="B3" s="100">
        <v>45549</v>
      </c>
      <c r="C3" s="101">
        <f>StateSenatorSenateDistrict32General[[#This Row],[Part of Bronx County Vote Results]]</f>
        <v>45549</v>
      </c>
      <c r="D3" s="113">
        <f>SUM(StateSenatorSenateDistrict32General[[#This Row],[Total Votes by Party]])</f>
        <v>45549</v>
      </c>
    </row>
    <row r="4" spans="1:4" ht="14.25" customHeight="1" x14ac:dyDescent="0.2">
      <c r="A4" s="28" t="s">
        <v>516</v>
      </c>
      <c r="B4" s="100">
        <v>10749</v>
      </c>
      <c r="C4" s="101">
        <f>StateSenatorSenateDistrict32General[[#This Row],[Part of Bronx County Vote Results]]</f>
        <v>10749</v>
      </c>
      <c r="D4" s="113">
        <f>SUM(StateSenatorSenateDistrict32General[[#This Row],[Total Votes by Party]],C5)</f>
        <v>11982</v>
      </c>
    </row>
    <row r="5" spans="1:4" ht="14.25" customHeight="1" x14ac:dyDescent="0.2">
      <c r="A5" s="28" t="s">
        <v>517</v>
      </c>
      <c r="B5" s="100">
        <v>1233</v>
      </c>
      <c r="C5" s="101">
        <f>StateSenatorSenateDistrict32General[[#This Row],[Part of Bronx County Vote Results]]</f>
        <v>1233</v>
      </c>
      <c r="D5" s="111"/>
    </row>
    <row r="6" spans="1:4" ht="14.25" customHeight="1" x14ac:dyDescent="0.2">
      <c r="A6" s="29" t="s">
        <v>18</v>
      </c>
      <c r="B6" s="100">
        <v>8131</v>
      </c>
      <c r="C6" s="101">
        <f>StateSenatorSenateDistrict32General[[#This Row],[Part of Bronx County Vote Results]]</f>
        <v>8131</v>
      </c>
      <c r="D6" s="111"/>
    </row>
    <row r="7" spans="1:4" ht="14.25" customHeight="1" x14ac:dyDescent="0.2">
      <c r="A7" s="29" t="s">
        <v>19</v>
      </c>
      <c r="B7" s="100">
        <v>56</v>
      </c>
      <c r="C7" s="101">
        <f>StateSenatorSenateDistrict32General[[#This Row],[Part of Bronx County Vote Results]]</f>
        <v>56</v>
      </c>
      <c r="D7" s="111"/>
    </row>
    <row r="8" spans="1:4" ht="14.25" customHeight="1" x14ac:dyDescent="0.2">
      <c r="A8" s="29" t="s">
        <v>20</v>
      </c>
      <c r="B8" s="100">
        <v>125</v>
      </c>
      <c r="C8" s="101">
        <f>StateSenatorSenateDistrict32General[[#This Row],[Part of Bronx County Vote Results]]</f>
        <v>125</v>
      </c>
      <c r="D8" s="111"/>
    </row>
    <row r="9" spans="1:4" ht="14.25" customHeight="1" x14ac:dyDescent="0.2">
      <c r="A9" s="103" t="s">
        <v>21</v>
      </c>
      <c r="B9" s="100">
        <f>SUM(StateSenatorSenateDistrict32General[Part of Bronx County Vote Results])</f>
        <v>65843</v>
      </c>
      <c r="C9" s="101">
        <f>SUM(StateSenatorSenateDistrict32General[Total Votes by Party])</f>
        <v>65843</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F2922-E3F4-4588-8D62-5AF171DE7F4A}">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518</v>
      </c>
      <c r="B1" s="108"/>
      <c r="C1" s="108"/>
      <c r="D1" s="108"/>
    </row>
    <row r="2" spans="1:4" ht="28.5" customHeight="1" x14ac:dyDescent="0.2">
      <c r="A2" s="6" t="s">
        <v>93</v>
      </c>
      <c r="B2" s="7" t="s">
        <v>281</v>
      </c>
      <c r="C2" s="8" t="s">
        <v>84</v>
      </c>
      <c r="D2" s="9" t="s">
        <v>85</v>
      </c>
    </row>
    <row r="3" spans="1:4" ht="14.25" customHeight="1" x14ac:dyDescent="0.2">
      <c r="A3" s="28" t="s">
        <v>519</v>
      </c>
      <c r="B3" s="100">
        <v>47793</v>
      </c>
      <c r="C3" s="101">
        <f>StateSenatorSenateDistrict33General[[#This Row],[Part of Bronx County Vote Results]]</f>
        <v>47793</v>
      </c>
      <c r="D3" s="113">
        <f>SUM(StateSenatorSenateDistrict33General[[#This Row],[Total Votes by Party]],C6)</f>
        <v>51635</v>
      </c>
    </row>
    <row r="4" spans="1:4" ht="14.25" customHeight="1" x14ac:dyDescent="0.2">
      <c r="A4" s="28" t="s">
        <v>520</v>
      </c>
      <c r="B4" s="100">
        <v>15868</v>
      </c>
      <c r="C4" s="101">
        <f>StateSenatorSenateDistrict33General[[#This Row],[Part of Bronx County Vote Results]]</f>
        <v>15868</v>
      </c>
      <c r="D4" s="113">
        <f>SUM(StateSenatorSenateDistrict33General[[#This Row],[Total Votes by Party]],C5)</f>
        <v>17303</v>
      </c>
    </row>
    <row r="5" spans="1:4" ht="14.25" customHeight="1" x14ac:dyDescent="0.2">
      <c r="A5" s="28" t="s">
        <v>521</v>
      </c>
      <c r="B5" s="100">
        <v>1435</v>
      </c>
      <c r="C5" s="101">
        <f>StateSenatorSenateDistrict33General[[#This Row],[Part of Bronx County Vote Results]]</f>
        <v>1435</v>
      </c>
      <c r="D5" s="111"/>
    </row>
    <row r="6" spans="1:4" ht="14.25" customHeight="1" x14ac:dyDescent="0.2">
      <c r="A6" s="28" t="s">
        <v>522</v>
      </c>
      <c r="B6" s="100">
        <v>3842</v>
      </c>
      <c r="C6" s="101">
        <f>StateSenatorSenateDistrict33General[[#This Row],[Part of Bronx County Vote Results]]</f>
        <v>3842</v>
      </c>
      <c r="D6" s="111"/>
    </row>
    <row r="7" spans="1:4" ht="14.25" customHeight="1" x14ac:dyDescent="0.2">
      <c r="A7" s="29" t="s">
        <v>18</v>
      </c>
      <c r="B7" s="100">
        <v>8098</v>
      </c>
      <c r="C7" s="101">
        <f>StateSenatorSenateDistrict33General[[#This Row],[Part of Bronx County Vote Results]]</f>
        <v>8098</v>
      </c>
      <c r="D7" s="111"/>
    </row>
    <row r="8" spans="1:4" ht="14.25" customHeight="1" x14ac:dyDescent="0.2">
      <c r="A8" s="29" t="s">
        <v>19</v>
      </c>
      <c r="B8" s="100">
        <v>347</v>
      </c>
      <c r="C8" s="101">
        <f>StateSenatorSenateDistrict33General[[#This Row],[Part of Bronx County Vote Results]]</f>
        <v>347</v>
      </c>
      <c r="D8" s="111"/>
    </row>
    <row r="9" spans="1:4" ht="14.25" customHeight="1" x14ac:dyDescent="0.2">
      <c r="A9" s="29" t="s">
        <v>20</v>
      </c>
      <c r="B9" s="100">
        <v>194</v>
      </c>
      <c r="C9" s="101">
        <f>StateSenatorSenateDistrict33General[[#This Row],[Part of Bronx County Vote Results]]</f>
        <v>194</v>
      </c>
      <c r="D9" s="111"/>
    </row>
    <row r="10" spans="1:4" ht="14.25" customHeight="1" x14ac:dyDescent="0.2">
      <c r="A10" s="103" t="s">
        <v>21</v>
      </c>
      <c r="B10" s="100">
        <f>SUM(StateSenatorSenateDistrict33General[Part of Bronx County Vote Results])</f>
        <v>77577</v>
      </c>
      <c r="C10" s="101">
        <f>SUM(StateSenatorSenateDistrict33General[Total Votes by Party])</f>
        <v>77577</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70605-F341-4BD2-9C41-DFAEA95CCF13}">
  <sheetPr>
    <pageSetUpPr fitToPage="1"/>
  </sheetPr>
  <dimension ref="A1:E31"/>
  <sheetViews>
    <sheetView zoomScaleNormal="100" zoomScaleSheetLayoutView="90" workbookViewId="0">
      <pane xSplit="1" topLeftCell="B1" activePane="topRight" state="frozen"/>
      <selection activeCell="A30" sqref="A30"/>
      <selection pane="topRight" sqref="A1:E1"/>
    </sheetView>
  </sheetViews>
  <sheetFormatPr defaultRowHeight="12.75" x14ac:dyDescent="0.2"/>
  <cols>
    <col min="1" max="1" width="25.7109375" customWidth="1"/>
    <col min="2" max="5" width="20.5703125" customWidth="1"/>
    <col min="6" max="6" width="18.7109375" customWidth="1"/>
    <col min="7" max="11" width="15.7109375" customWidth="1"/>
    <col min="12" max="13" width="23.5703125" customWidth="1"/>
  </cols>
  <sheetData>
    <row r="1" spans="1:5" ht="39.950000000000003" customHeight="1" x14ac:dyDescent="0.2">
      <c r="A1" s="147" t="s">
        <v>172</v>
      </c>
      <c r="B1" s="147"/>
      <c r="C1" s="147"/>
      <c r="D1" s="147"/>
      <c r="E1" s="147"/>
    </row>
    <row r="2" spans="1:5" ht="28.5" customHeight="1" x14ac:dyDescent="0.2">
      <c r="A2" s="19" t="s">
        <v>93</v>
      </c>
      <c r="B2" s="7" t="s">
        <v>173</v>
      </c>
      <c r="C2" s="7" t="s">
        <v>174</v>
      </c>
      <c r="D2" s="20" t="s">
        <v>84</v>
      </c>
      <c r="E2" s="21" t="s">
        <v>85</v>
      </c>
    </row>
    <row r="3" spans="1:5" ht="14.25" customHeight="1" x14ac:dyDescent="0.2">
      <c r="A3" s="10" t="s">
        <v>175</v>
      </c>
      <c r="B3" s="11">
        <v>294488</v>
      </c>
      <c r="C3" s="11">
        <v>286153</v>
      </c>
      <c r="D3" s="12">
        <f t="shared" ref="D3:D29" si="0">SUM(B3:C3)</f>
        <v>580641</v>
      </c>
      <c r="E3" s="116">
        <f>SUM(RepInCongressCongressionalDistrict19General247249253254[[#This Row],[Total Votes by Party]],D11,D19)</f>
        <v>1287958</v>
      </c>
    </row>
    <row r="4" spans="1:5" ht="14.25" customHeight="1" x14ac:dyDescent="0.2">
      <c r="A4" s="10" t="s">
        <v>176</v>
      </c>
      <c r="B4" s="11">
        <v>287160</v>
      </c>
      <c r="C4" s="11">
        <v>273895</v>
      </c>
      <c r="D4" s="12">
        <f t="shared" si="0"/>
        <v>561055</v>
      </c>
      <c r="E4" s="116">
        <f>SUM(RepInCongressCongressionalDistrict19General247249253254[[#This Row],[Total Votes by Party]],D12,D20)</f>
        <v>1252194</v>
      </c>
    </row>
    <row r="5" spans="1:5" ht="14.25" customHeight="1" x14ac:dyDescent="0.2">
      <c r="A5" s="10" t="s">
        <v>177</v>
      </c>
      <c r="B5" s="11">
        <v>293763</v>
      </c>
      <c r="C5" s="11">
        <v>285558</v>
      </c>
      <c r="D5" s="12">
        <f t="shared" si="0"/>
        <v>579321</v>
      </c>
      <c r="E5" s="116">
        <f>SUM(RepInCongressCongressionalDistrict19General247249253254[[#This Row],[Total Votes by Party]],D13,D21)</f>
        <v>1271554</v>
      </c>
    </row>
    <row r="6" spans="1:5" ht="14.25" customHeight="1" x14ac:dyDescent="0.2">
      <c r="A6" s="10" t="s">
        <v>178</v>
      </c>
      <c r="B6" s="11">
        <v>288004</v>
      </c>
      <c r="C6" s="11">
        <v>273816</v>
      </c>
      <c r="D6" s="12">
        <f t="shared" si="0"/>
        <v>561820</v>
      </c>
      <c r="E6" s="116">
        <f>SUM(RepInCongressCongressionalDistrict19General247249253254[[#This Row],[Total Votes by Party]],D14,D22)</f>
        <v>1250938</v>
      </c>
    </row>
    <row r="7" spans="1:5" ht="14.25" customHeight="1" x14ac:dyDescent="0.2">
      <c r="A7" s="10" t="s">
        <v>179</v>
      </c>
      <c r="B7" s="11">
        <v>282124</v>
      </c>
      <c r="C7" s="11">
        <v>267910</v>
      </c>
      <c r="D7" s="12">
        <f t="shared" si="0"/>
        <v>550034</v>
      </c>
      <c r="E7" s="116">
        <f>SUM(RepInCongressCongressionalDistrict19General247249253254[[#This Row],[Total Votes by Party]],D15,D23)</f>
        <v>1225263</v>
      </c>
    </row>
    <row r="8" spans="1:5" ht="14.25" customHeight="1" x14ac:dyDescent="0.2">
      <c r="A8" s="15" t="s">
        <v>180</v>
      </c>
      <c r="B8" s="11">
        <v>281764</v>
      </c>
      <c r="C8" s="11">
        <v>267086</v>
      </c>
      <c r="D8" s="12">
        <f t="shared" si="0"/>
        <v>548850</v>
      </c>
      <c r="E8" s="116">
        <f>SUM(RepInCongressCongressionalDistrict19General247249253254[[#This Row],[Total Votes by Party]],D16,D24)</f>
        <v>1224482</v>
      </c>
    </row>
    <row r="9" spans="1:5" ht="14.25" customHeight="1" x14ac:dyDescent="0.2">
      <c r="A9" s="15" t="s">
        <v>181</v>
      </c>
      <c r="B9" s="11">
        <v>281105</v>
      </c>
      <c r="C9" s="11">
        <v>261259</v>
      </c>
      <c r="D9" s="12">
        <f t="shared" si="0"/>
        <v>542364</v>
      </c>
      <c r="E9" s="116">
        <f>SUM(RepInCongressCongressionalDistrict19General247249253254[[#This Row],[Total Votes by Party]],D17,D25)</f>
        <v>1209869</v>
      </c>
    </row>
    <row r="10" spans="1:5" ht="14.25" customHeight="1" x14ac:dyDescent="0.2">
      <c r="A10" s="15" t="s">
        <v>182</v>
      </c>
      <c r="B10" s="11">
        <v>280628</v>
      </c>
      <c r="C10" s="11">
        <v>262686</v>
      </c>
      <c r="D10" s="12">
        <f t="shared" si="0"/>
        <v>543314</v>
      </c>
      <c r="E10" s="116">
        <f>SUM(RepInCongressCongressionalDistrict19General247249253254[[#This Row],[Total Votes by Party]],D18,D26)</f>
        <v>1212359</v>
      </c>
    </row>
    <row r="11" spans="1:5" ht="14.25" customHeight="1" x14ac:dyDescent="0.2">
      <c r="A11" s="15" t="s">
        <v>183</v>
      </c>
      <c r="B11" s="11">
        <v>307997</v>
      </c>
      <c r="C11" s="11">
        <v>328833</v>
      </c>
      <c r="D11" s="12">
        <f t="shared" si="0"/>
        <v>636830</v>
      </c>
      <c r="E11" s="23"/>
    </row>
    <row r="12" spans="1:5" ht="14.25" customHeight="1" x14ac:dyDescent="0.2">
      <c r="A12" s="15" t="s">
        <v>184</v>
      </c>
      <c r="B12" s="11">
        <v>304509</v>
      </c>
      <c r="C12" s="11">
        <v>317412</v>
      </c>
      <c r="D12" s="12">
        <f t="shared" si="0"/>
        <v>621921</v>
      </c>
      <c r="E12" s="23"/>
    </row>
    <row r="13" spans="1:5" ht="14.25" customHeight="1" x14ac:dyDescent="0.2">
      <c r="A13" s="15" t="s">
        <v>185</v>
      </c>
      <c r="B13" s="11">
        <v>303136</v>
      </c>
      <c r="C13" s="11">
        <v>318319</v>
      </c>
      <c r="D13" s="12">
        <f t="shared" si="0"/>
        <v>621455</v>
      </c>
      <c r="E13" s="23"/>
    </row>
    <row r="14" spans="1:5" ht="14.25" customHeight="1" x14ac:dyDescent="0.2">
      <c r="A14" s="10" t="s">
        <v>186</v>
      </c>
      <c r="B14" s="11">
        <v>304104</v>
      </c>
      <c r="C14" s="11">
        <v>315452</v>
      </c>
      <c r="D14" s="12">
        <f t="shared" si="0"/>
        <v>619556</v>
      </c>
      <c r="E14" s="23"/>
    </row>
    <row r="15" spans="1:5" ht="14.25" customHeight="1" x14ac:dyDescent="0.2">
      <c r="A15" s="10" t="s">
        <v>187</v>
      </c>
      <c r="B15" s="11">
        <v>298289</v>
      </c>
      <c r="C15" s="11">
        <v>308861</v>
      </c>
      <c r="D15" s="12">
        <f t="shared" si="0"/>
        <v>607150</v>
      </c>
      <c r="E15" s="23"/>
    </row>
    <row r="16" spans="1:5" ht="14.25" customHeight="1" x14ac:dyDescent="0.2">
      <c r="A16" s="10" t="s">
        <v>188</v>
      </c>
      <c r="B16" s="11">
        <v>298453</v>
      </c>
      <c r="C16" s="11">
        <v>308598</v>
      </c>
      <c r="D16" s="12">
        <f t="shared" si="0"/>
        <v>607051</v>
      </c>
      <c r="E16" s="23"/>
    </row>
    <row r="17" spans="1:5" ht="14.25" customHeight="1" x14ac:dyDescent="0.2">
      <c r="A17" s="10" t="s">
        <v>189</v>
      </c>
      <c r="B17" s="11">
        <v>296468</v>
      </c>
      <c r="C17" s="11">
        <v>303252</v>
      </c>
      <c r="D17" s="12">
        <f t="shared" si="0"/>
        <v>599720</v>
      </c>
      <c r="E17" s="23"/>
    </row>
    <row r="18" spans="1:5" ht="14.25" customHeight="1" x14ac:dyDescent="0.2">
      <c r="A18" s="15" t="s">
        <v>190</v>
      </c>
      <c r="B18" s="11">
        <v>296408</v>
      </c>
      <c r="C18" s="11">
        <v>304756</v>
      </c>
      <c r="D18" s="12">
        <f t="shared" si="0"/>
        <v>601164</v>
      </c>
      <c r="E18" s="23"/>
    </row>
    <row r="19" spans="1:5" ht="14.25" customHeight="1" x14ac:dyDescent="0.2">
      <c r="A19" s="10" t="s">
        <v>191</v>
      </c>
      <c r="B19" s="11">
        <v>27230</v>
      </c>
      <c r="C19" s="11">
        <v>43257</v>
      </c>
      <c r="D19" s="12">
        <f t="shared" si="0"/>
        <v>70487</v>
      </c>
      <c r="E19" s="23"/>
    </row>
    <row r="20" spans="1:5" ht="14.25" customHeight="1" x14ac:dyDescent="0.2">
      <c r="A20" s="10" t="s">
        <v>192</v>
      </c>
      <c r="B20" s="11">
        <v>26953</v>
      </c>
      <c r="C20" s="11">
        <v>42265</v>
      </c>
      <c r="D20" s="12">
        <f t="shared" si="0"/>
        <v>69218</v>
      </c>
      <c r="E20" s="23"/>
    </row>
    <row r="21" spans="1:5" ht="14.25" customHeight="1" x14ac:dyDescent="0.2">
      <c r="A21" s="10" t="s">
        <v>193</v>
      </c>
      <c r="B21" s="11">
        <v>27689</v>
      </c>
      <c r="C21" s="11">
        <v>43089</v>
      </c>
      <c r="D21" s="12">
        <f t="shared" si="0"/>
        <v>70778</v>
      </c>
      <c r="E21" s="23"/>
    </row>
    <row r="22" spans="1:5" ht="14.25" customHeight="1" x14ac:dyDescent="0.2">
      <c r="A22" s="10" t="s">
        <v>194</v>
      </c>
      <c r="B22" s="11">
        <v>27302</v>
      </c>
      <c r="C22" s="11">
        <v>42260</v>
      </c>
      <c r="D22" s="12">
        <f t="shared" si="0"/>
        <v>69562</v>
      </c>
      <c r="E22" s="23"/>
    </row>
    <row r="23" spans="1:5" ht="14.25" customHeight="1" x14ac:dyDescent="0.2">
      <c r="A23" s="15" t="s">
        <v>195</v>
      </c>
      <c r="B23" s="11">
        <v>26570</v>
      </c>
      <c r="C23" s="11">
        <v>41509</v>
      </c>
      <c r="D23" s="12">
        <f t="shared" si="0"/>
        <v>68079</v>
      </c>
      <c r="E23" s="23"/>
    </row>
    <row r="24" spans="1:5" ht="14.25" customHeight="1" x14ac:dyDescent="0.2">
      <c r="A24" s="10" t="s">
        <v>196</v>
      </c>
      <c r="B24" s="11">
        <v>26854</v>
      </c>
      <c r="C24" s="11">
        <v>41727</v>
      </c>
      <c r="D24" s="12">
        <f t="shared" si="0"/>
        <v>68581</v>
      </c>
      <c r="E24" s="23"/>
    </row>
    <row r="25" spans="1:5" ht="14.25" customHeight="1" x14ac:dyDescent="0.2">
      <c r="A25" s="10" t="s">
        <v>197</v>
      </c>
      <c r="B25" s="11">
        <v>26692</v>
      </c>
      <c r="C25" s="11">
        <v>41093</v>
      </c>
      <c r="D25" s="12">
        <f t="shared" si="0"/>
        <v>67785</v>
      </c>
      <c r="E25" s="23"/>
    </row>
    <row r="26" spans="1:5" ht="14.25" customHeight="1" x14ac:dyDescent="0.2">
      <c r="A26" s="10" t="s">
        <v>198</v>
      </c>
      <c r="B26" s="11">
        <v>26616</v>
      </c>
      <c r="C26" s="11">
        <v>41265</v>
      </c>
      <c r="D26" s="12">
        <f t="shared" si="0"/>
        <v>67881</v>
      </c>
      <c r="E26" s="23"/>
    </row>
    <row r="27" spans="1:5" ht="14.25" customHeight="1" x14ac:dyDescent="0.2">
      <c r="A27" s="15" t="s">
        <v>18</v>
      </c>
      <c r="B27" s="11">
        <v>838493</v>
      </c>
      <c r="C27" s="11">
        <v>1130858</v>
      </c>
      <c r="D27" s="12">
        <f t="shared" si="0"/>
        <v>1969351</v>
      </c>
      <c r="E27" s="23"/>
    </row>
    <row r="28" spans="1:5" ht="14.25" customHeight="1" x14ac:dyDescent="0.2">
      <c r="A28" s="15" t="s">
        <v>19</v>
      </c>
      <c r="B28" s="11">
        <v>664</v>
      </c>
      <c r="C28" s="11">
        <v>972</v>
      </c>
      <c r="D28" s="12">
        <f t="shared" si="0"/>
        <v>1636</v>
      </c>
      <c r="E28" s="23"/>
    </row>
    <row r="29" spans="1:5" ht="14.25" customHeight="1" x14ac:dyDescent="0.2">
      <c r="A29" s="15" t="s">
        <v>20</v>
      </c>
      <c r="B29" s="11">
        <v>9225</v>
      </c>
      <c r="C29" s="11">
        <v>4339</v>
      </c>
      <c r="D29" s="12">
        <f t="shared" si="0"/>
        <v>13564</v>
      </c>
      <c r="E29" s="23"/>
    </row>
    <row r="30" spans="1:5" ht="14.25" customHeight="1" x14ac:dyDescent="0.2">
      <c r="A30" s="16" t="s">
        <v>21</v>
      </c>
      <c r="B30" s="11">
        <f>SUM(RepInCongressCongressionalDistrict19General247249253254[Nassau County
Vote Results])</f>
        <v>5762688</v>
      </c>
      <c r="C30" s="11">
        <f>SUM(RepInCongressCongressionalDistrict19General247249253254[Suffolk County 
Vote Results])</f>
        <v>6156480</v>
      </c>
      <c r="D30" s="12">
        <f>SUM(RepInCongressCongressionalDistrict19General247249253254[Total Votes by Party])</f>
        <v>11919168</v>
      </c>
      <c r="E30" s="23"/>
    </row>
    <row r="31" spans="1:5" ht="14.25" x14ac:dyDescent="0.2">
      <c r="C31" s="70"/>
    </row>
  </sheetData>
  <mergeCells count="1">
    <mergeCell ref="A1:E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6DCDF-E1CD-4681-AFAA-033FCFF25EC7}">
  <sheetPr>
    <pageSetUpPr fitToPage="1"/>
  </sheetPr>
  <dimension ref="A1:E10"/>
  <sheetViews>
    <sheetView workbookViewId="0"/>
  </sheetViews>
  <sheetFormatPr defaultRowHeight="12.75" x14ac:dyDescent="0.2"/>
  <cols>
    <col min="1" max="1" width="25.5703125" customWidth="1"/>
    <col min="2" max="5" width="23.28515625" customWidth="1"/>
    <col min="6" max="7" width="23.5703125" customWidth="1"/>
  </cols>
  <sheetData>
    <row r="1" spans="1:5" ht="24.95" customHeight="1" x14ac:dyDescent="0.2">
      <c r="A1" s="72" t="s">
        <v>523</v>
      </c>
      <c r="B1" s="108"/>
      <c r="C1" s="108"/>
      <c r="D1" s="108"/>
      <c r="E1" s="108"/>
    </row>
    <row r="2" spans="1:5" ht="28.5" customHeight="1" x14ac:dyDescent="0.2">
      <c r="A2" s="6" t="s">
        <v>93</v>
      </c>
      <c r="B2" s="7" t="s">
        <v>1278</v>
      </c>
      <c r="C2" s="7" t="s">
        <v>296</v>
      </c>
      <c r="D2" s="8" t="s">
        <v>84</v>
      </c>
      <c r="E2" s="9" t="s">
        <v>85</v>
      </c>
    </row>
    <row r="3" spans="1:5" ht="14.25" customHeight="1" x14ac:dyDescent="0.2">
      <c r="A3" s="28" t="s">
        <v>524</v>
      </c>
      <c r="B3" s="100">
        <v>43150</v>
      </c>
      <c r="C3" s="100">
        <v>15177</v>
      </c>
      <c r="D3" s="101">
        <f>SUM(StateSenatorSenateDistrict34General[[#This Row],[Part of Bronx County
Vote Results]:[Part of Westchester County Vote Results]])</f>
        <v>58327</v>
      </c>
      <c r="E3" s="113">
        <f>SUM(StateSenatorSenateDistrict34General[[#This Row],[Total Votes by Party]])</f>
        <v>58327</v>
      </c>
    </row>
    <row r="4" spans="1:5" ht="14.25" customHeight="1" x14ac:dyDescent="0.2">
      <c r="A4" s="28" t="s">
        <v>525</v>
      </c>
      <c r="B4" s="100">
        <v>18846</v>
      </c>
      <c r="C4" s="100">
        <v>6549</v>
      </c>
      <c r="D4" s="101">
        <f>SUM(StateSenatorSenateDistrict34General[[#This Row],[Part of Bronx County
Vote Results]:[Part of Westchester County Vote Results]])</f>
        <v>25395</v>
      </c>
      <c r="E4" s="113">
        <f>SUM(StateSenatorSenateDistrict34General[[#This Row],[Total Votes by Party]],D5)</f>
        <v>27908</v>
      </c>
    </row>
    <row r="5" spans="1:5" ht="14.25" customHeight="1" x14ac:dyDescent="0.2">
      <c r="A5" s="28" t="s">
        <v>526</v>
      </c>
      <c r="B5" s="100">
        <v>1980</v>
      </c>
      <c r="C5" s="100">
        <v>533</v>
      </c>
      <c r="D5" s="101">
        <f>SUM(StateSenatorSenateDistrict34General[[#This Row],[Part of Bronx County
Vote Results]:[Part of Westchester County Vote Results]])</f>
        <v>2513</v>
      </c>
      <c r="E5" s="111"/>
    </row>
    <row r="6" spans="1:5" ht="14.25" customHeight="1" x14ac:dyDescent="0.2">
      <c r="A6" s="29" t="s">
        <v>18</v>
      </c>
      <c r="B6" s="100">
        <v>7043</v>
      </c>
      <c r="C6" s="100">
        <v>2384</v>
      </c>
      <c r="D6" s="101">
        <f>SUM(StateSenatorSenateDistrict34General[[#This Row],[Part of Bronx County
Vote Results]:[Part of Westchester County Vote Results]])</f>
        <v>9427</v>
      </c>
      <c r="E6" s="111"/>
    </row>
    <row r="7" spans="1:5" ht="14.25" customHeight="1" x14ac:dyDescent="0.2">
      <c r="A7" s="29" t="s">
        <v>19</v>
      </c>
      <c r="B7" s="100">
        <v>112</v>
      </c>
      <c r="C7" s="100"/>
      <c r="D7" s="101">
        <f>SUM(StateSenatorSenateDistrict34General[[#This Row],[Part of Bronx County
Vote Results]:[Part of Westchester County Vote Results]])</f>
        <v>112</v>
      </c>
      <c r="E7" s="111"/>
    </row>
    <row r="8" spans="1:5" ht="14.25" customHeight="1" x14ac:dyDescent="0.2">
      <c r="A8" s="29" t="s">
        <v>20</v>
      </c>
      <c r="B8" s="100">
        <v>200</v>
      </c>
      <c r="C8" s="100">
        <v>8</v>
      </c>
      <c r="D8" s="101">
        <f>SUM(StateSenatorSenateDistrict34General[[#This Row],[Part of Bronx County
Vote Results]:[Part of Westchester County Vote Results]])</f>
        <v>208</v>
      </c>
      <c r="E8" s="111"/>
    </row>
    <row r="9" spans="1:5" ht="14.25" customHeight="1" x14ac:dyDescent="0.2">
      <c r="A9" s="103" t="s">
        <v>21</v>
      </c>
      <c r="B9" s="100">
        <f>SUM(StateSenatorSenateDistrict34General[Part of Bronx County
Vote Results])</f>
        <v>71331</v>
      </c>
      <c r="C9" s="100">
        <f>SUM(StateSenatorSenateDistrict34General[Part of Westchester County Vote Results])</f>
        <v>24651</v>
      </c>
      <c r="D9" s="101">
        <f>SUM(StateSenatorSenateDistrict34General[Total Votes by Party])</f>
        <v>95982</v>
      </c>
      <c r="E9" s="111"/>
    </row>
    <row r="10" spans="1:5" ht="14.25" x14ac:dyDescent="0.2">
      <c r="B10" s="70"/>
      <c r="C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A1C57-F747-4C2E-9CB9-410C323D08A1}">
  <sheetPr>
    <pageSetUpPr fitToPage="1"/>
  </sheetPr>
  <dimension ref="A1:D10"/>
  <sheetViews>
    <sheetView workbookViewId="0"/>
  </sheetViews>
  <sheetFormatPr defaultRowHeight="12.75" x14ac:dyDescent="0.2"/>
  <cols>
    <col min="1" max="1" width="25.5703125" customWidth="1"/>
    <col min="2" max="4" width="23" customWidth="1"/>
    <col min="5" max="6" width="23.5703125" customWidth="1"/>
  </cols>
  <sheetData>
    <row r="1" spans="1:4" ht="24.95" customHeight="1" x14ac:dyDescent="0.2">
      <c r="A1" s="72" t="s">
        <v>527</v>
      </c>
      <c r="B1" s="108"/>
      <c r="C1" s="108"/>
      <c r="D1" s="108"/>
    </row>
    <row r="2" spans="1:4" ht="28.5" customHeight="1" x14ac:dyDescent="0.2">
      <c r="A2" s="6" t="s">
        <v>93</v>
      </c>
      <c r="B2" s="7" t="s">
        <v>296</v>
      </c>
      <c r="C2" s="8" t="s">
        <v>84</v>
      </c>
      <c r="D2" s="9" t="s">
        <v>85</v>
      </c>
    </row>
    <row r="3" spans="1:4" ht="14.25" customHeight="1" x14ac:dyDescent="0.2">
      <c r="A3" s="28" t="s">
        <v>528</v>
      </c>
      <c r="B3" s="100">
        <v>77106</v>
      </c>
      <c r="C3" s="101">
        <f>StateSenatorSenateDistrict35General[[#This Row],[Part of Westchester County Vote Results]]</f>
        <v>77106</v>
      </c>
      <c r="D3" s="113">
        <f>SUM(StateSenatorSenateDistrict35General[[#This Row],[Total Votes by Party]],C5)</f>
        <v>81254</v>
      </c>
    </row>
    <row r="4" spans="1:4" ht="14.25" customHeight="1" x14ac:dyDescent="0.2">
      <c r="A4" s="28" t="s">
        <v>529</v>
      </c>
      <c r="B4" s="100">
        <v>41541</v>
      </c>
      <c r="C4" s="101">
        <f>StateSenatorSenateDistrict35General[[#This Row],[Part of Westchester County Vote Results]]</f>
        <v>41541</v>
      </c>
      <c r="D4" s="113">
        <f>SUM(StateSenatorSenateDistrict35General[[#This Row],[Total Votes by Party]])</f>
        <v>41541</v>
      </c>
    </row>
    <row r="5" spans="1:4" ht="14.25" customHeight="1" x14ac:dyDescent="0.2">
      <c r="A5" s="28" t="s">
        <v>530</v>
      </c>
      <c r="B5" s="100">
        <v>4148</v>
      </c>
      <c r="C5" s="101">
        <f>StateSenatorSenateDistrict35General[[#This Row],[Part of Westchester County Vote Results]]</f>
        <v>4148</v>
      </c>
      <c r="D5" s="111"/>
    </row>
    <row r="6" spans="1:4" ht="14.25" customHeight="1" x14ac:dyDescent="0.2">
      <c r="A6" s="29" t="s">
        <v>18</v>
      </c>
      <c r="B6" s="100">
        <v>10589</v>
      </c>
      <c r="C6" s="101">
        <f>StateSenatorSenateDistrict35General[[#This Row],[Part of Westchester County Vote Results]]</f>
        <v>10589</v>
      </c>
      <c r="D6" s="111"/>
    </row>
    <row r="7" spans="1:4" ht="14.25" customHeight="1" x14ac:dyDescent="0.2">
      <c r="A7" s="29" t="s">
        <v>19</v>
      </c>
      <c r="B7" s="100"/>
      <c r="C7" s="101">
        <f>StateSenatorSenateDistrict35General[[#This Row],[Part of Westchester County Vote Results]]</f>
        <v>0</v>
      </c>
      <c r="D7" s="111"/>
    </row>
    <row r="8" spans="1:4" ht="14.25" customHeight="1" x14ac:dyDescent="0.2">
      <c r="A8" s="29" t="s">
        <v>20</v>
      </c>
      <c r="B8" s="100">
        <v>55</v>
      </c>
      <c r="C8" s="101">
        <f>StateSenatorSenateDistrict35General[[#This Row],[Part of Westchester County Vote Results]]</f>
        <v>55</v>
      </c>
      <c r="D8" s="111"/>
    </row>
    <row r="9" spans="1:4" ht="14.25" customHeight="1" x14ac:dyDescent="0.2">
      <c r="A9" s="103" t="s">
        <v>21</v>
      </c>
      <c r="B9" s="100">
        <f>SUM(StateSenatorSenateDistrict35General[Part of Westchester County Vote Results])</f>
        <v>133439</v>
      </c>
      <c r="C9" s="101">
        <f>SUM(StateSenatorSenateDistrict35General[Total Votes by Party])</f>
        <v>133439</v>
      </c>
      <c r="D9" s="111"/>
    </row>
    <row r="10" spans="1:4"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4A9D1-C370-4582-9572-E284DA49A26D}">
  <sheetPr>
    <pageSetUpPr fitToPage="1"/>
  </sheetPr>
  <dimension ref="A1:E10"/>
  <sheetViews>
    <sheetView workbookViewId="0"/>
  </sheetViews>
  <sheetFormatPr defaultRowHeight="12.75" x14ac:dyDescent="0.2"/>
  <cols>
    <col min="1" max="1" width="25.5703125" customWidth="1"/>
    <col min="2" max="5" width="22.42578125" customWidth="1"/>
    <col min="6" max="7" width="23.5703125" customWidth="1"/>
  </cols>
  <sheetData>
    <row r="1" spans="1:5" ht="24.95" customHeight="1" x14ac:dyDescent="0.2">
      <c r="A1" s="72" t="s">
        <v>531</v>
      </c>
      <c r="B1" s="108"/>
      <c r="C1" s="108"/>
      <c r="D1" s="108"/>
      <c r="E1" s="108"/>
    </row>
    <row r="2" spans="1:5" ht="28.5" customHeight="1" x14ac:dyDescent="0.2">
      <c r="A2" s="6" t="s">
        <v>93</v>
      </c>
      <c r="B2" s="7" t="s">
        <v>281</v>
      </c>
      <c r="C2" s="7" t="s">
        <v>296</v>
      </c>
      <c r="D2" s="8" t="s">
        <v>84</v>
      </c>
      <c r="E2" s="9" t="s">
        <v>85</v>
      </c>
    </row>
    <row r="3" spans="1:5" ht="14.25" customHeight="1" x14ac:dyDescent="0.2">
      <c r="A3" s="28" t="s">
        <v>532</v>
      </c>
      <c r="B3" s="100">
        <v>58190</v>
      </c>
      <c r="C3" s="100">
        <v>19404</v>
      </c>
      <c r="D3" s="101">
        <f>SUM(StateSenatorSenateDistrict36General[[#This Row],[Part of Bronx County Vote Results]:[Part of Westchester County Vote Results]])</f>
        <v>77594</v>
      </c>
      <c r="E3" s="113">
        <f>SUM(StateSenatorSenateDistrict36General[[#This Row],[Total Votes by Party]])</f>
        <v>77594</v>
      </c>
    </row>
    <row r="4" spans="1:5" ht="14.25" customHeight="1" x14ac:dyDescent="0.2">
      <c r="A4" s="28" t="s">
        <v>533</v>
      </c>
      <c r="B4" s="100">
        <v>5494</v>
      </c>
      <c r="C4" s="100">
        <v>1592</v>
      </c>
      <c r="D4" s="101">
        <f>SUM(StateSenatorSenateDistrict36General[[#This Row],[Part of Bronx County Vote Results]:[Part of Westchester County Vote Results]])</f>
        <v>7086</v>
      </c>
      <c r="E4" s="113">
        <f>SUM(StateSenatorSenateDistrict36General[[#This Row],[Total Votes by Party]])</f>
        <v>7086</v>
      </c>
    </row>
    <row r="5" spans="1:5" ht="14.25" customHeight="1" x14ac:dyDescent="0.2">
      <c r="A5" s="29" t="s">
        <v>18</v>
      </c>
      <c r="B5" s="100">
        <v>10359</v>
      </c>
      <c r="C5" s="100">
        <v>4269</v>
      </c>
      <c r="D5" s="101">
        <f>SUM(StateSenatorSenateDistrict36General[[#This Row],[Part of Bronx County Vote Results]:[Part of Westchester County Vote Results]])</f>
        <v>14628</v>
      </c>
      <c r="E5" s="111"/>
    </row>
    <row r="6" spans="1:5" ht="14.25" customHeight="1" x14ac:dyDescent="0.2">
      <c r="A6" s="29" t="s">
        <v>19</v>
      </c>
      <c r="B6" s="100">
        <v>141</v>
      </c>
      <c r="C6" s="100"/>
      <c r="D6" s="101">
        <f>SUM(StateSenatorSenateDistrict36General[[#This Row],[Part of Bronx County Vote Results]:[Part of Westchester County Vote Results]])</f>
        <v>141</v>
      </c>
      <c r="E6" s="111"/>
    </row>
    <row r="7" spans="1:5" ht="14.25" customHeight="1" x14ac:dyDescent="0.2">
      <c r="A7" s="29" t="s">
        <v>20</v>
      </c>
      <c r="B7" s="100">
        <v>127</v>
      </c>
      <c r="C7" s="100">
        <v>6</v>
      </c>
      <c r="D7" s="101">
        <f>SUM(StateSenatorSenateDistrict36General[[#This Row],[Part of Bronx County Vote Results]:[Part of Westchester County Vote Results]])</f>
        <v>133</v>
      </c>
      <c r="E7" s="111"/>
    </row>
    <row r="8" spans="1:5" ht="14.25" customHeight="1" x14ac:dyDescent="0.2">
      <c r="A8" s="103" t="s">
        <v>21</v>
      </c>
      <c r="B8" s="100">
        <f>SUM(StateSenatorSenateDistrict36General[Part of Bronx County Vote Results])</f>
        <v>74311</v>
      </c>
      <c r="C8" s="100">
        <f>SUM(StateSenatorSenateDistrict36General[Part of Westchester County Vote Results])</f>
        <v>25271</v>
      </c>
      <c r="D8" s="101">
        <f>SUM(StateSenatorSenateDistrict36General[Total Votes by Party])</f>
        <v>99582</v>
      </c>
      <c r="E8" s="111"/>
    </row>
    <row r="9" spans="1:5" ht="14.25" x14ac:dyDescent="0.2">
      <c r="C9" s="70"/>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77ADA-7420-4D27-BC5D-8F6FA78382AF}">
  <sheetPr>
    <pageSetUpPr fitToPage="1"/>
  </sheetPr>
  <dimension ref="A1:D11"/>
  <sheetViews>
    <sheetView workbookViewId="0"/>
  </sheetViews>
  <sheetFormatPr defaultRowHeight="12.75" x14ac:dyDescent="0.2"/>
  <cols>
    <col min="1" max="1" width="25.5703125" customWidth="1"/>
    <col min="2" max="4" width="22.42578125" customWidth="1"/>
    <col min="5" max="6" width="23.5703125" customWidth="1"/>
  </cols>
  <sheetData>
    <row r="1" spans="1:4" ht="24.95" customHeight="1" x14ac:dyDescent="0.2">
      <c r="A1" s="72" t="s">
        <v>534</v>
      </c>
      <c r="B1" s="108"/>
      <c r="C1" s="108"/>
      <c r="D1" s="108"/>
    </row>
    <row r="2" spans="1:4" ht="28.5" customHeight="1" x14ac:dyDescent="0.2">
      <c r="A2" s="6" t="s">
        <v>93</v>
      </c>
      <c r="B2" s="7" t="s">
        <v>296</v>
      </c>
      <c r="C2" s="8" t="s">
        <v>84</v>
      </c>
      <c r="D2" s="9" t="s">
        <v>85</v>
      </c>
    </row>
    <row r="3" spans="1:4" ht="14.25" customHeight="1" x14ac:dyDescent="0.2">
      <c r="A3" s="28" t="s">
        <v>535</v>
      </c>
      <c r="B3" s="100">
        <v>87008</v>
      </c>
      <c r="C3" s="101">
        <f>StateSenatorSenateDistrict37General[[#This Row],[Part of Westchester County Vote Results]]</f>
        <v>87008</v>
      </c>
      <c r="D3" s="113">
        <f>SUM(StateSenatorSenateDistrict37General[[#This Row],[Total Votes by Party]],C6)</f>
        <v>90881</v>
      </c>
    </row>
    <row r="4" spans="1:4" ht="14.25" customHeight="1" x14ac:dyDescent="0.2">
      <c r="A4" s="28" t="s">
        <v>536</v>
      </c>
      <c r="B4" s="100">
        <v>52077</v>
      </c>
      <c r="C4" s="101">
        <f>StateSenatorSenateDistrict37General[[#This Row],[Part of Westchester County Vote Results]]</f>
        <v>52077</v>
      </c>
      <c r="D4" s="113">
        <f>SUM(StateSenatorSenateDistrict37General[[#This Row],[Total Votes by Party]],C5)</f>
        <v>56284</v>
      </c>
    </row>
    <row r="5" spans="1:4" ht="14.25" customHeight="1" x14ac:dyDescent="0.2">
      <c r="A5" s="28" t="s">
        <v>537</v>
      </c>
      <c r="B5" s="100">
        <v>4207</v>
      </c>
      <c r="C5" s="101">
        <f>StateSenatorSenateDistrict37General[[#This Row],[Part of Westchester County Vote Results]]</f>
        <v>4207</v>
      </c>
      <c r="D5" s="111"/>
    </row>
    <row r="6" spans="1:4" ht="14.25" customHeight="1" x14ac:dyDescent="0.2">
      <c r="A6" s="28" t="s">
        <v>538</v>
      </c>
      <c r="B6" s="100">
        <v>3873</v>
      </c>
      <c r="C6" s="101">
        <f>StateSenatorSenateDistrict37General[[#This Row],[Part of Westchester County Vote Results]]</f>
        <v>3873</v>
      </c>
      <c r="D6" s="111"/>
    </row>
    <row r="7" spans="1:4" ht="14.25" customHeight="1" x14ac:dyDescent="0.2">
      <c r="A7" s="29" t="s">
        <v>18</v>
      </c>
      <c r="B7" s="100">
        <v>11376</v>
      </c>
      <c r="C7" s="101">
        <f>StateSenatorSenateDistrict37General[[#This Row],[Part of Westchester County Vote Results]]</f>
        <v>11376</v>
      </c>
      <c r="D7" s="111"/>
    </row>
    <row r="8" spans="1:4" ht="14.25" customHeight="1" x14ac:dyDescent="0.2">
      <c r="A8" s="29" t="s">
        <v>19</v>
      </c>
      <c r="B8" s="100"/>
      <c r="C8" s="101">
        <f>StateSenatorSenateDistrict37General[[#This Row],[Part of Westchester County Vote Results]]</f>
        <v>0</v>
      </c>
      <c r="D8" s="111"/>
    </row>
    <row r="9" spans="1:4" ht="14.25" customHeight="1" x14ac:dyDescent="0.2">
      <c r="A9" s="29" t="s">
        <v>20</v>
      </c>
      <c r="B9" s="100">
        <v>59</v>
      </c>
      <c r="C9" s="101">
        <f>StateSenatorSenateDistrict37General[[#This Row],[Part of Westchester County Vote Results]]</f>
        <v>59</v>
      </c>
      <c r="D9" s="111"/>
    </row>
    <row r="10" spans="1:4" ht="14.25" customHeight="1" x14ac:dyDescent="0.2">
      <c r="A10" s="103" t="s">
        <v>21</v>
      </c>
      <c r="B10" s="100">
        <f>SUM(StateSenatorSenateDistrict37General[Part of Westchester County Vote Results])</f>
        <v>158600</v>
      </c>
      <c r="C10" s="101">
        <f>SUM(StateSenatorSenateDistrict37General[Total Votes by Party])</f>
        <v>158600</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C20A4-AEAF-4756-B4EC-C4B8B7C3966D}">
  <sheetPr>
    <pageSetUpPr fitToPage="1"/>
  </sheetPr>
  <dimension ref="A1:D11"/>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539</v>
      </c>
      <c r="B1" s="108"/>
      <c r="C1" s="108"/>
      <c r="D1" s="108"/>
    </row>
    <row r="2" spans="1:4" ht="28.5" customHeight="1" x14ac:dyDescent="0.2">
      <c r="A2" s="6" t="s">
        <v>93</v>
      </c>
      <c r="B2" s="7" t="s">
        <v>540</v>
      </c>
      <c r="C2" s="8" t="s">
        <v>84</v>
      </c>
      <c r="D2" s="9" t="s">
        <v>85</v>
      </c>
    </row>
    <row r="3" spans="1:4" ht="14.25" customHeight="1" x14ac:dyDescent="0.2">
      <c r="A3" s="28" t="s">
        <v>541</v>
      </c>
      <c r="B3" s="100">
        <v>59750</v>
      </c>
      <c r="C3" s="101">
        <f>SUM(StateSenatorSenateDistrict38General[[#This Row],[Part of Rockland County Vote Results]])</f>
        <v>59750</v>
      </c>
      <c r="D3" s="113">
        <f>SUM(StateSenatorSenateDistrict38General[[#This Row],[Total Votes by Party]])</f>
        <v>59750</v>
      </c>
    </row>
    <row r="4" spans="1:4" ht="14.25" customHeight="1" x14ac:dyDescent="0.2">
      <c r="A4" s="28" t="s">
        <v>542</v>
      </c>
      <c r="B4" s="100">
        <v>63428</v>
      </c>
      <c r="C4" s="101">
        <f>SUM(StateSenatorSenateDistrict38General[[#This Row],[Part of Rockland County Vote Results]])</f>
        <v>63428</v>
      </c>
      <c r="D4" s="113">
        <f>SUM(StateSenatorSenateDistrict38General[[#This Row],[Total Votes by Party]],C5)</f>
        <v>69278</v>
      </c>
    </row>
    <row r="5" spans="1:4" ht="14.25" customHeight="1" x14ac:dyDescent="0.2">
      <c r="A5" s="28" t="s">
        <v>543</v>
      </c>
      <c r="B5" s="100">
        <v>5850</v>
      </c>
      <c r="C5" s="101">
        <f>SUM(StateSenatorSenateDistrict38General[[#This Row],[Part of Rockland County Vote Results]])</f>
        <v>5850</v>
      </c>
      <c r="D5" s="111"/>
    </row>
    <row r="6" spans="1:4" ht="14.25" customHeight="1" x14ac:dyDescent="0.2">
      <c r="A6" s="28" t="s">
        <v>544</v>
      </c>
      <c r="B6" s="100">
        <v>3099</v>
      </c>
      <c r="C6" s="101">
        <f>SUM(StateSenatorSenateDistrict38General[[#This Row],[Part of Rockland County Vote Results]])</f>
        <v>3099</v>
      </c>
      <c r="D6" s="113">
        <f>SUM(StateSenatorSenateDistrict38General[[#This Row],[Total Votes by Party]])</f>
        <v>3099</v>
      </c>
    </row>
    <row r="7" spans="1:4" ht="14.25" customHeight="1" x14ac:dyDescent="0.2">
      <c r="A7" s="29" t="s">
        <v>18</v>
      </c>
      <c r="B7" s="100">
        <v>10176</v>
      </c>
      <c r="C7" s="101">
        <f>SUM(StateSenatorSenateDistrict38General[[#This Row],[Part of Rockland County Vote Results]])</f>
        <v>10176</v>
      </c>
      <c r="D7" s="111"/>
    </row>
    <row r="8" spans="1:4" ht="14.25" customHeight="1" x14ac:dyDescent="0.2">
      <c r="A8" s="29" t="s">
        <v>19</v>
      </c>
      <c r="B8" s="100">
        <v>394</v>
      </c>
      <c r="C8" s="101">
        <f>SUM(StateSenatorSenateDistrict38General[[#This Row],[Part of Rockland County Vote Results]])</f>
        <v>394</v>
      </c>
      <c r="D8" s="111"/>
    </row>
    <row r="9" spans="1:4" ht="14.25" customHeight="1" x14ac:dyDescent="0.2">
      <c r="A9" s="29" t="s">
        <v>20</v>
      </c>
      <c r="B9" s="100">
        <v>159</v>
      </c>
      <c r="C9" s="101">
        <f>SUM(StateSenatorSenateDistrict38General[[#This Row],[Part of Rockland County Vote Results]])</f>
        <v>159</v>
      </c>
      <c r="D9" s="111"/>
    </row>
    <row r="10" spans="1:4" ht="14.25" customHeight="1" x14ac:dyDescent="0.2">
      <c r="A10" s="103" t="s">
        <v>21</v>
      </c>
      <c r="B10" s="100">
        <f>SUM(StateSenatorSenateDistrict38General[Part of Rockland County Vote Results])</f>
        <v>142856</v>
      </c>
      <c r="C10" s="101">
        <f>SUM(StateSenatorSenateDistrict38General[Total Votes by Party])</f>
        <v>142856</v>
      </c>
      <c r="D10" s="111"/>
    </row>
    <row r="11" spans="1:4" ht="14.25" x14ac:dyDescent="0.2">
      <c r="B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17A2-8B5D-42E3-9AB6-89B72322E10A}">
  <sheetPr>
    <pageSetUpPr fitToPage="1"/>
  </sheetPr>
  <dimension ref="A1:F11"/>
  <sheetViews>
    <sheetView zoomScaleNormal="100" zoomScaleSheetLayoutView="100"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545</v>
      </c>
      <c r="B1" s="108"/>
      <c r="C1" s="108"/>
      <c r="D1" s="108"/>
      <c r="E1" s="108"/>
      <c r="F1" s="108"/>
    </row>
    <row r="2" spans="1:6" ht="28.5" customHeight="1" x14ac:dyDescent="0.2">
      <c r="A2" s="6" t="s">
        <v>93</v>
      </c>
      <c r="B2" s="7" t="s">
        <v>546</v>
      </c>
      <c r="C2" s="7" t="s">
        <v>547</v>
      </c>
      <c r="D2" s="7" t="s">
        <v>548</v>
      </c>
      <c r="E2" s="8" t="s">
        <v>84</v>
      </c>
      <c r="F2" s="9" t="s">
        <v>85</v>
      </c>
    </row>
    <row r="3" spans="1:6" ht="14.25" customHeight="1" x14ac:dyDescent="0.2">
      <c r="A3" s="28" t="s">
        <v>549</v>
      </c>
      <c r="B3" s="100">
        <v>46262</v>
      </c>
      <c r="C3" s="100">
        <v>15327</v>
      </c>
      <c r="D3" s="100">
        <v>6167</v>
      </c>
      <c r="E3" s="101">
        <f>SUM(StateSenatorSenateDistrict39General[[#This Row],[Part of Dutchess County Vote Results]:[Part of Putnam County Vote Results]])</f>
        <v>67756</v>
      </c>
      <c r="F3" s="113">
        <f>SUM(StateSenatorSenateDistrict39General[[#This Row],[Total Votes by Party]],E6)</f>
        <v>73520</v>
      </c>
    </row>
    <row r="4" spans="1:6" ht="14.25" customHeight="1" x14ac:dyDescent="0.2">
      <c r="A4" s="28" t="s">
        <v>550</v>
      </c>
      <c r="B4" s="100">
        <v>47825</v>
      </c>
      <c r="C4" s="100">
        <v>14171</v>
      </c>
      <c r="D4" s="100">
        <v>5316</v>
      </c>
      <c r="E4" s="101">
        <f>SUM(StateSenatorSenateDistrict39General[[#This Row],[Part of Dutchess County Vote Results]:[Part of Putnam County Vote Results]])</f>
        <v>67312</v>
      </c>
      <c r="F4" s="113">
        <f>SUM(StateSenatorSenateDistrict39General[[#This Row],[Total Votes by Party]],E5)</f>
        <v>75594</v>
      </c>
    </row>
    <row r="5" spans="1:6" ht="14.25" customHeight="1" x14ac:dyDescent="0.2">
      <c r="A5" s="28" t="s">
        <v>551</v>
      </c>
      <c r="B5" s="100">
        <v>5994</v>
      </c>
      <c r="C5" s="100">
        <v>1633</v>
      </c>
      <c r="D5" s="100">
        <v>655</v>
      </c>
      <c r="E5" s="101">
        <f>SUM(StateSenatorSenateDistrict39General[[#This Row],[Part of Dutchess County Vote Results]:[Part of Putnam County Vote Results]])</f>
        <v>8282</v>
      </c>
      <c r="F5" s="111"/>
    </row>
    <row r="6" spans="1:6" ht="14.25" customHeight="1" x14ac:dyDescent="0.2">
      <c r="A6" s="28" t="s">
        <v>552</v>
      </c>
      <c r="B6" s="100">
        <v>4013</v>
      </c>
      <c r="C6" s="100">
        <v>1307</v>
      </c>
      <c r="D6" s="100">
        <v>444</v>
      </c>
      <c r="E6" s="101">
        <f>SUM(StateSenatorSenateDistrict39General[[#This Row],[Part of Dutchess County Vote Results]:[Part of Putnam County Vote Results]])</f>
        <v>5764</v>
      </c>
      <c r="F6" s="111"/>
    </row>
    <row r="7" spans="1:6" ht="14.25" customHeight="1" x14ac:dyDescent="0.2">
      <c r="A7" s="29" t="s">
        <v>18</v>
      </c>
      <c r="B7" s="100">
        <v>4987</v>
      </c>
      <c r="C7" s="100">
        <v>2713</v>
      </c>
      <c r="D7" s="100">
        <v>634</v>
      </c>
      <c r="E7" s="101">
        <f>SUM(StateSenatorSenateDistrict39General[[#This Row],[Part of Dutchess County Vote Results]:[Part of Putnam County Vote Results]])</f>
        <v>8334</v>
      </c>
      <c r="F7" s="111"/>
    </row>
    <row r="8" spans="1:6" ht="14.25" customHeight="1" x14ac:dyDescent="0.2">
      <c r="A8" s="29" t="s">
        <v>19</v>
      </c>
      <c r="B8" s="100">
        <v>61</v>
      </c>
      <c r="C8" s="100">
        <v>15</v>
      </c>
      <c r="D8" s="100">
        <v>7</v>
      </c>
      <c r="E8" s="101">
        <f>SUM(StateSenatorSenateDistrict39General[[#This Row],[Part of Dutchess County Vote Results]:[Part of Putnam County Vote Results]])</f>
        <v>83</v>
      </c>
      <c r="F8" s="111"/>
    </row>
    <row r="9" spans="1:6" ht="14.25" customHeight="1" x14ac:dyDescent="0.2">
      <c r="A9" s="29" t="s">
        <v>20</v>
      </c>
      <c r="B9" s="100">
        <v>43</v>
      </c>
      <c r="C9" s="100">
        <v>18</v>
      </c>
      <c r="D9" s="100">
        <v>2</v>
      </c>
      <c r="E9" s="101">
        <f>SUM(StateSenatorSenateDistrict39General[[#This Row],[Part of Dutchess County Vote Results]:[Part of Putnam County Vote Results]])</f>
        <v>63</v>
      </c>
      <c r="F9" s="111"/>
    </row>
    <row r="10" spans="1:6" ht="14.25" customHeight="1" x14ac:dyDescent="0.2">
      <c r="A10" s="103" t="s">
        <v>21</v>
      </c>
      <c r="B10" s="100">
        <f>SUM(StateSenatorSenateDistrict39General[Part of Dutchess County Vote Results])</f>
        <v>109185</v>
      </c>
      <c r="C10" s="100">
        <f>SUM(StateSenatorSenateDistrict39General[Part of Orange County Vote Results])</f>
        <v>35184</v>
      </c>
      <c r="D10" s="100">
        <f>SUM(StateSenatorSenateDistrict39General[Part of Putnam County Vote Results])</f>
        <v>13225</v>
      </c>
      <c r="E10" s="101">
        <f>SUM(StateSenatorSenateDistrict39General[Total Votes by Party])</f>
        <v>157594</v>
      </c>
      <c r="F10" s="111"/>
    </row>
    <row r="11" spans="1:6" ht="14.25" x14ac:dyDescent="0.2">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4BB48-3969-4122-8522-344FADD151EB}">
  <sheetPr>
    <pageSetUpPr fitToPage="1"/>
  </sheetPr>
  <dimension ref="A1:F11"/>
  <sheetViews>
    <sheetView zoomScaleNormal="100" zoomScaleSheetLayoutView="100" workbookViewId="0"/>
  </sheetViews>
  <sheetFormatPr defaultRowHeight="12.75" x14ac:dyDescent="0.2"/>
  <cols>
    <col min="1" max="1" width="26.85546875" customWidth="1"/>
    <col min="2" max="6" width="23.7109375" customWidth="1"/>
    <col min="7" max="8" width="23.5703125" customWidth="1"/>
  </cols>
  <sheetData>
    <row r="1" spans="1:6" ht="24.95" customHeight="1" x14ac:dyDescent="0.2">
      <c r="A1" s="72" t="s">
        <v>553</v>
      </c>
      <c r="B1" s="108"/>
      <c r="C1" s="108"/>
      <c r="D1" s="108"/>
      <c r="E1" s="108"/>
      <c r="F1" s="108"/>
    </row>
    <row r="2" spans="1:6" ht="28.5" customHeight="1" x14ac:dyDescent="0.2">
      <c r="A2" s="6" t="s">
        <v>93</v>
      </c>
      <c r="B2" s="7" t="s">
        <v>1275</v>
      </c>
      <c r="C2" s="7" t="s">
        <v>1276</v>
      </c>
      <c r="D2" s="7" t="s">
        <v>296</v>
      </c>
      <c r="E2" s="8" t="s">
        <v>84</v>
      </c>
      <c r="F2" s="9" t="s">
        <v>85</v>
      </c>
    </row>
    <row r="3" spans="1:6" ht="14.25" customHeight="1" x14ac:dyDescent="0.2">
      <c r="A3" s="28" t="s">
        <v>554</v>
      </c>
      <c r="B3" s="100">
        <v>15286</v>
      </c>
      <c r="C3" s="100">
        <v>2836</v>
      </c>
      <c r="D3" s="100">
        <v>65966</v>
      </c>
      <c r="E3" s="101">
        <f>SUM(StateSenatorSenateDistrict40General[[#This Row],[Part of Putnam County
Vote Results]:[Part of Westchester County Vote Results]])</f>
        <v>84088</v>
      </c>
      <c r="F3" s="113">
        <f>SUM(StateSenatorSenateDistrict40General[[#This Row],[Total Votes by Party]],E6)</f>
        <v>88582</v>
      </c>
    </row>
    <row r="4" spans="1:6" ht="14.25" customHeight="1" x14ac:dyDescent="0.2">
      <c r="A4" s="28" t="s">
        <v>555</v>
      </c>
      <c r="B4" s="100">
        <v>22417</v>
      </c>
      <c r="C4" s="100">
        <v>4282</v>
      </c>
      <c r="D4" s="100">
        <v>43052</v>
      </c>
      <c r="E4" s="101">
        <f>SUM(StateSenatorSenateDistrict40General[[#This Row],[Part of Putnam County
Vote Results]:[Part of Westchester County Vote Results]])</f>
        <v>69751</v>
      </c>
      <c r="F4" s="113">
        <f>SUM(StateSenatorSenateDistrict40General[[#This Row],[Total Votes by Party]],E5)</f>
        <v>76660</v>
      </c>
    </row>
    <row r="5" spans="1:6" ht="14.25" customHeight="1" x14ac:dyDescent="0.2">
      <c r="A5" s="28" t="s">
        <v>556</v>
      </c>
      <c r="B5" s="100">
        <v>2324</v>
      </c>
      <c r="C5" s="100">
        <v>468</v>
      </c>
      <c r="D5" s="100">
        <v>4117</v>
      </c>
      <c r="E5" s="101">
        <f>SUM(StateSenatorSenateDistrict40General[[#This Row],[Part of Putnam County
Vote Results]:[Part of Westchester County Vote Results]])</f>
        <v>6909</v>
      </c>
      <c r="F5" s="111"/>
    </row>
    <row r="6" spans="1:6" ht="14.25" customHeight="1" x14ac:dyDescent="0.2">
      <c r="A6" s="28" t="s">
        <v>557</v>
      </c>
      <c r="B6" s="100">
        <v>932</v>
      </c>
      <c r="C6" s="100">
        <v>152</v>
      </c>
      <c r="D6" s="100">
        <v>3410</v>
      </c>
      <c r="E6" s="101">
        <f>SUM(StateSenatorSenateDistrict40General[[#This Row],[Part of Putnam County
Vote Results]:[Part of Westchester County Vote Results]])</f>
        <v>4494</v>
      </c>
      <c r="F6" s="111"/>
    </row>
    <row r="7" spans="1:6" ht="14.25" customHeight="1" x14ac:dyDescent="0.2">
      <c r="A7" s="29" t="s">
        <v>18</v>
      </c>
      <c r="B7" s="100">
        <v>2216</v>
      </c>
      <c r="C7" s="100">
        <v>703</v>
      </c>
      <c r="D7" s="100">
        <v>6430</v>
      </c>
      <c r="E7" s="101">
        <f>SUM(StateSenatorSenateDistrict40General[[#This Row],[Part of Putnam County
Vote Results]:[Part of Westchester County Vote Results]])</f>
        <v>9349</v>
      </c>
      <c r="F7" s="111"/>
    </row>
    <row r="8" spans="1:6" ht="14.25" customHeight="1" x14ac:dyDescent="0.2">
      <c r="A8" s="29" t="s">
        <v>19</v>
      </c>
      <c r="B8" s="100">
        <v>10</v>
      </c>
      <c r="C8" s="100">
        <v>3</v>
      </c>
      <c r="D8" s="100"/>
      <c r="E8" s="101">
        <f>SUM(StateSenatorSenateDistrict40General[[#This Row],[Part of Putnam County
Vote Results]:[Part of Westchester County Vote Results]])</f>
        <v>13</v>
      </c>
      <c r="F8" s="111"/>
    </row>
    <row r="9" spans="1:6" ht="14.25" customHeight="1" x14ac:dyDescent="0.2">
      <c r="A9" s="29" t="s">
        <v>20</v>
      </c>
      <c r="B9" s="100">
        <v>11</v>
      </c>
      <c r="C9" s="100">
        <v>3</v>
      </c>
      <c r="D9" s="100">
        <v>45</v>
      </c>
      <c r="E9" s="101">
        <f>SUM(StateSenatorSenateDistrict40General[[#This Row],[Part of Putnam County
Vote Results]:[Part of Westchester County Vote Results]])</f>
        <v>59</v>
      </c>
      <c r="F9" s="111"/>
    </row>
    <row r="10" spans="1:6" ht="14.25" customHeight="1" x14ac:dyDescent="0.2">
      <c r="A10" s="103" t="s">
        <v>21</v>
      </c>
      <c r="B10" s="100">
        <f>SUM(StateSenatorSenateDistrict40General[Part of Putnam County
Vote Results])</f>
        <v>43196</v>
      </c>
      <c r="C10" s="100">
        <f>SUM(StateSenatorSenateDistrict40General[Part of Rockland County
Vote Results])</f>
        <v>8447</v>
      </c>
      <c r="D10" s="100">
        <f>SUM(StateSenatorSenateDistrict40General[Part of Westchester County Vote Results])</f>
        <v>123020</v>
      </c>
      <c r="E10" s="101">
        <f>SUM(StateSenatorSenateDistrict40General[Total Votes by Party])</f>
        <v>174663</v>
      </c>
      <c r="F10" s="111"/>
    </row>
    <row r="11" spans="1:6" ht="14.25" x14ac:dyDescent="0.2">
      <c r="C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02A7D-56FC-4D3B-A728-AA93EDCB925F}">
  <sheetPr>
    <pageSetUpPr fitToPage="1"/>
  </sheetPr>
  <dimension ref="A1:G11"/>
  <sheetViews>
    <sheetView workbookViewId="0"/>
  </sheetViews>
  <sheetFormatPr defaultRowHeight="12.75" x14ac:dyDescent="0.2"/>
  <cols>
    <col min="1" max="1" width="27.85546875" customWidth="1"/>
    <col min="2" max="7" width="20.5703125" customWidth="1"/>
    <col min="8" max="9" width="23.5703125" customWidth="1"/>
  </cols>
  <sheetData>
    <row r="1" spans="1:7" ht="24.95" customHeight="1" x14ac:dyDescent="0.2">
      <c r="A1" s="72" t="s">
        <v>558</v>
      </c>
      <c r="B1" s="108"/>
      <c r="C1" s="108"/>
      <c r="D1" s="108"/>
      <c r="E1" s="108"/>
      <c r="F1" s="108"/>
      <c r="G1" s="108"/>
    </row>
    <row r="2" spans="1:7" ht="28.5" customHeight="1" x14ac:dyDescent="0.2">
      <c r="A2" s="6" t="s">
        <v>93</v>
      </c>
      <c r="B2" s="7" t="s">
        <v>559</v>
      </c>
      <c r="C2" s="7" t="s">
        <v>546</v>
      </c>
      <c r="D2" s="7" t="s">
        <v>560</v>
      </c>
      <c r="E2" s="7" t="s">
        <v>561</v>
      </c>
      <c r="F2" s="8" t="s">
        <v>84</v>
      </c>
      <c r="G2" s="9" t="s">
        <v>85</v>
      </c>
    </row>
    <row r="3" spans="1:7" ht="14.25" customHeight="1" x14ac:dyDescent="0.2">
      <c r="A3" s="28" t="s">
        <v>562</v>
      </c>
      <c r="B3" s="100">
        <v>18148</v>
      </c>
      <c r="C3" s="100">
        <v>21751</v>
      </c>
      <c r="D3" s="100">
        <v>9665</v>
      </c>
      <c r="E3" s="100">
        <v>39040</v>
      </c>
      <c r="F3" s="101">
        <f>SUM(StateSenatorSenateDistrict41General[[#This Row],[Columbia County
Vote Results]:[Part of Ulster County Vote Results]])</f>
        <v>88604</v>
      </c>
      <c r="G3" s="113">
        <f>SUM(StateSenatorSenateDistrict41General[[#This Row],[Total Votes by Party]],F6)</f>
        <v>102154</v>
      </c>
    </row>
    <row r="4" spans="1:7" ht="14.25" customHeight="1" x14ac:dyDescent="0.2">
      <c r="A4" s="28" t="s">
        <v>563</v>
      </c>
      <c r="B4" s="100">
        <v>12636</v>
      </c>
      <c r="C4" s="100">
        <v>16942</v>
      </c>
      <c r="D4" s="100">
        <v>11779</v>
      </c>
      <c r="E4" s="100">
        <v>21368</v>
      </c>
      <c r="F4" s="101">
        <f>SUM(StateSenatorSenateDistrict41General[[#This Row],[Columbia County
Vote Results]:[Part of Ulster County Vote Results]])</f>
        <v>62725</v>
      </c>
      <c r="G4" s="113">
        <f>SUM(StateSenatorSenateDistrict41General[[#This Row],[Total Votes by Party]],F5)</f>
        <v>72022</v>
      </c>
    </row>
    <row r="5" spans="1:7" ht="14.25" customHeight="1" x14ac:dyDescent="0.2">
      <c r="A5" s="28" t="s">
        <v>564</v>
      </c>
      <c r="B5" s="100">
        <v>1972</v>
      </c>
      <c r="C5" s="100">
        <v>2128</v>
      </c>
      <c r="D5" s="100">
        <v>1689</v>
      </c>
      <c r="E5" s="100">
        <v>3508</v>
      </c>
      <c r="F5" s="101">
        <f>SUM(StateSenatorSenateDistrict41General[[#This Row],[Columbia County
Vote Results]:[Part of Ulster County Vote Results]])</f>
        <v>9297</v>
      </c>
      <c r="G5" s="111"/>
    </row>
    <row r="6" spans="1:7" ht="14.25" customHeight="1" x14ac:dyDescent="0.2">
      <c r="A6" s="28" t="s">
        <v>565</v>
      </c>
      <c r="B6" s="100">
        <v>2482</v>
      </c>
      <c r="C6" s="100">
        <v>2279</v>
      </c>
      <c r="D6" s="100">
        <v>1533</v>
      </c>
      <c r="E6" s="100">
        <v>7256</v>
      </c>
      <c r="F6" s="101">
        <f>SUM(StateSenatorSenateDistrict41General[[#This Row],[Columbia County
Vote Results]:[Part of Ulster County Vote Results]])</f>
        <v>13550</v>
      </c>
      <c r="G6" s="111"/>
    </row>
    <row r="7" spans="1:7" ht="14.25" customHeight="1" x14ac:dyDescent="0.2">
      <c r="A7" s="29" t="s">
        <v>18</v>
      </c>
      <c r="B7" s="100">
        <v>901</v>
      </c>
      <c r="C7" s="100">
        <v>1724</v>
      </c>
      <c r="D7" s="100">
        <v>924</v>
      </c>
      <c r="E7" s="100">
        <v>2388</v>
      </c>
      <c r="F7" s="101">
        <f>SUM(StateSenatorSenateDistrict41General[[#This Row],[Columbia County
Vote Results]:[Part of Ulster County Vote Results]])</f>
        <v>5937</v>
      </c>
      <c r="G7" s="111"/>
    </row>
    <row r="8" spans="1:7" ht="14.25" customHeight="1" x14ac:dyDescent="0.2">
      <c r="A8" s="29" t="s">
        <v>19</v>
      </c>
      <c r="B8" s="100">
        <v>16</v>
      </c>
      <c r="C8" s="100">
        <v>11</v>
      </c>
      <c r="D8" s="100">
        <v>7</v>
      </c>
      <c r="E8" s="100">
        <v>34</v>
      </c>
      <c r="F8" s="101">
        <f>SUM(StateSenatorSenateDistrict41General[[#This Row],[Columbia County
Vote Results]:[Part of Ulster County Vote Results]])</f>
        <v>68</v>
      </c>
      <c r="G8" s="111"/>
    </row>
    <row r="9" spans="1:7" ht="14.25" customHeight="1" x14ac:dyDescent="0.2">
      <c r="A9" s="29" t="s">
        <v>20</v>
      </c>
      <c r="B9" s="100">
        <v>25</v>
      </c>
      <c r="C9" s="100">
        <v>18</v>
      </c>
      <c r="D9" s="100">
        <v>12</v>
      </c>
      <c r="E9" s="100">
        <v>29</v>
      </c>
      <c r="F9" s="101">
        <f>SUM(StateSenatorSenateDistrict41General[[#This Row],[Columbia County
Vote Results]:[Part of Ulster County Vote Results]])</f>
        <v>84</v>
      </c>
      <c r="G9" s="111"/>
    </row>
    <row r="10" spans="1:7" ht="14.25" customHeight="1" x14ac:dyDescent="0.2">
      <c r="A10" s="103" t="s">
        <v>21</v>
      </c>
      <c r="B10" s="100">
        <f>SUM(StateSenatorSenateDistrict41General[Columbia County
Vote Results])</f>
        <v>36180</v>
      </c>
      <c r="C10" s="100">
        <f>SUM(StateSenatorSenateDistrict41General[Part of Dutchess County Vote Results])</f>
        <v>44853</v>
      </c>
      <c r="D10" s="100">
        <f>SUM(StateSenatorSenateDistrict41General[Green County
Vote Results])</f>
        <v>25609</v>
      </c>
      <c r="E10" s="100">
        <f>SUM(StateSenatorSenateDistrict41General[Part of Ulster County Vote Results])</f>
        <v>73623</v>
      </c>
      <c r="F10" s="101">
        <f>SUM(StateSenatorSenateDistrict41General[Total Votes by Party])</f>
        <v>180265</v>
      </c>
      <c r="G10" s="111"/>
    </row>
    <row r="11" spans="1:7" ht="14.25" x14ac:dyDescent="0.2">
      <c r="B11" s="70"/>
      <c r="C11" s="70"/>
      <c r="E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20647-54A2-4643-BF69-99B4AAA3D791}">
  <sheetPr>
    <pageSetUpPr fitToPage="1"/>
  </sheetPr>
  <dimension ref="A1:D10"/>
  <sheetViews>
    <sheetView zoomScaleNormal="100" zoomScaleSheetLayoutView="10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566</v>
      </c>
      <c r="B1" s="108"/>
      <c r="C1" s="108"/>
      <c r="D1" s="108"/>
    </row>
    <row r="2" spans="1:4" ht="28.5" customHeight="1" x14ac:dyDescent="0.2">
      <c r="A2" s="6" t="s">
        <v>93</v>
      </c>
      <c r="B2" s="7" t="s">
        <v>547</v>
      </c>
      <c r="C2" s="8" t="s">
        <v>84</v>
      </c>
      <c r="D2" s="9" t="s">
        <v>85</v>
      </c>
    </row>
    <row r="3" spans="1:4" ht="14.25" customHeight="1" x14ac:dyDescent="0.2">
      <c r="A3" s="28" t="s">
        <v>567</v>
      </c>
      <c r="B3" s="100">
        <v>68764</v>
      </c>
      <c r="C3" s="101">
        <f>SUM(StateSenatorSenateDistrict42General[[#This Row],[Part of Orange County Vote Results]])</f>
        <v>68764</v>
      </c>
      <c r="D3" s="113">
        <f>SUM(StateSenatorSenateDistrict42General[[#This Row],[Total Votes by Party]],C6)</f>
        <v>73420</v>
      </c>
    </row>
    <row r="4" spans="1:4" ht="14.25" customHeight="1" x14ac:dyDescent="0.2">
      <c r="A4" s="28" t="s">
        <v>568</v>
      </c>
      <c r="B4" s="100">
        <v>54614</v>
      </c>
      <c r="C4" s="101">
        <f>SUM(StateSenatorSenateDistrict42General[[#This Row],[Part of Orange County Vote Results]])</f>
        <v>54614</v>
      </c>
      <c r="D4" s="113">
        <f>SUM(StateSenatorSenateDistrict42General[[#This Row],[Total Votes by Party]])</f>
        <v>54614</v>
      </c>
    </row>
    <row r="5" spans="1:4" ht="14.25" customHeight="1" x14ac:dyDescent="0.2">
      <c r="A5" s="28" t="s">
        <v>569</v>
      </c>
      <c r="B5" s="100">
        <v>6694</v>
      </c>
      <c r="C5" s="101">
        <f>SUM(StateSenatorSenateDistrict42General[[#This Row],[Part of Orange County Vote Results]])</f>
        <v>6694</v>
      </c>
      <c r="D5" s="113">
        <f>SUM(StateSenatorSenateDistrict42General[[#This Row],[Total Votes by Party]])</f>
        <v>6694</v>
      </c>
    </row>
    <row r="6" spans="1:4" ht="14.25" customHeight="1" x14ac:dyDescent="0.2">
      <c r="A6" s="28" t="s">
        <v>570</v>
      </c>
      <c r="B6" s="100">
        <v>4656</v>
      </c>
      <c r="C6" s="101">
        <f>SUM(StateSenatorSenateDistrict42General[[#This Row],[Part of Orange County Vote Results]])</f>
        <v>4656</v>
      </c>
      <c r="D6" s="111"/>
    </row>
    <row r="7" spans="1:4" ht="14.25" customHeight="1" x14ac:dyDescent="0.2">
      <c r="A7" s="29" t="s">
        <v>18</v>
      </c>
      <c r="B7" s="100">
        <v>8032</v>
      </c>
      <c r="C7" s="101">
        <f>SUM(StateSenatorSenateDistrict42General[[#This Row],[Part of Orange County Vote Results]])</f>
        <v>8032</v>
      </c>
      <c r="D7" s="111"/>
    </row>
    <row r="8" spans="1:4" ht="14.25" customHeight="1" x14ac:dyDescent="0.2">
      <c r="A8" s="29" t="s">
        <v>19</v>
      </c>
      <c r="B8" s="100">
        <v>214</v>
      </c>
      <c r="C8" s="101">
        <f>SUM(StateSenatorSenateDistrict42General[[#This Row],[Part of Orange County Vote Results]])</f>
        <v>214</v>
      </c>
      <c r="D8" s="111"/>
    </row>
    <row r="9" spans="1:4" ht="14.25" customHeight="1" x14ac:dyDescent="0.2">
      <c r="A9" s="29" t="s">
        <v>20</v>
      </c>
      <c r="B9" s="100">
        <v>77</v>
      </c>
      <c r="C9" s="101">
        <f>SUM(StateSenatorSenateDistrict42General[[#This Row],[Part of Orange County Vote Results]])</f>
        <v>77</v>
      </c>
      <c r="D9" s="111"/>
    </row>
    <row r="10" spans="1:4" ht="14.25" customHeight="1" x14ac:dyDescent="0.2">
      <c r="A10" s="103" t="s">
        <v>21</v>
      </c>
      <c r="B10" s="100">
        <f>SUM(StateSenatorSenateDistrict42General[Part of Orange County Vote Results])</f>
        <v>143051</v>
      </c>
      <c r="C10" s="101">
        <f>SUM(StateSenatorSenateDistrict42General[Total Votes by Party])</f>
        <v>143051</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5473-B2D4-4998-9878-2FDE46AC04CE}">
  <sheetPr>
    <pageSetUpPr fitToPage="1"/>
  </sheetPr>
  <dimension ref="A1:F10"/>
  <sheetViews>
    <sheetView zoomScaleNormal="100" zoomScaleSheetLayoutView="100" workbookViewId="0"/>
  </sheetViews>
  <sheetFormatPr defaultRowHeight="12.75" x14ac:dyDescent="0.2"/>
  <cols>
    <col min="1" max="1" width="25.5703125" customWidth="1"/>
    <col min="2" max="6" width="22.42578125" customWidth="1"/>
    <col min="7" max="8" width="23.5703125" customWidth="1"/>
  </cols>
  <sheetData>
    <row r="1" spans="1:6" ht="24.95" customHeight="1" x14ac:dyDescent="0.2">
      <c r="A1" s="72" t="s">
        <v>571</v>
      </c>
      <c r="B1" s="108"/>
      <c r="C1" s="108"/>
      <c r="D1" s="108"/>
      <c r="E1" s="108"/>
      <c r="F1" s="108"/>
    </row>
    <row r="2" spans="1:6" ht="28.5" customHeight="1" x14ac:dyDescent="0.2">
      <c r="A2" s="6" t="s">
        <v>93</v>
      </c>
      <c r="B2" s="7" t="s">
        <v>1279</v>
      </c>
      <c r="C2" s="7" t="s">
        <v>573</v>
      </c>
      <c r="D2" s="7" t="s">
        <v>574</v>
      </c>
      <c r="E2" s="8" t="s">
        <v>84</v>
      </c>
      <c r="F2" s="9" t="s">
        <v>85</v>
      </c>
    </row>
    <row r="3" spans="1:6" ht="14.25" customHeight="1" x14ac:dyDescent="0.2">
      <c r="A3" s="28" t="s">
        <v>575</v>
      </c>
      <c r="B3" s="100">
        <v>28799</v>
      </c>
      <c r="C3" s="100">
        <v>32650</v>
      </c>
      <c r="D3" s="100">
        <v>6375</v>
      </c>
      <c r="E3" s="101">
        <f>SUM(StateSenatorSenateDistrict43General[[#This Row],[Part of Albany County
Vote Results]:[Part of Washington County Vote Results]])</f>
        <v>67824</v>
      </c>
      <c r="F3" s="113">
        <f>SUM(StateSenatorSenateDistrict43General[[#This Row],[Total Votes by Party]])</f>
        <v>67824</v>
      </c>
    </row>
    <row r="4" spans="1:6" ht="14.25" customHeight="1" x14ac:dyDescent="0.2">
      <c r="A4" s="28" t="s">
        <v>576</v>
      </c>
      <c r="B4" s="100">
        <v>22677</v>
      </c>
      <c r="C4" s="100">
        <v>36838</v>
      </c>
      <c r="D4" s="100">
        <v>10309</v>
      </c>
      <c r="E4" s="101">
        <f>SUM(StateSenatorSenateDistrict43General[[#This Row],[Part of Albany County
Vote Results]:[Part of Washington County Vote Results]])</f>
        <v>69824</v>
      </c>
      <c r="F4" s="113">
        <f>SUM(StateSenatorSenateDistrict43General[[#This Row],[Total Votes by Party]],E5)</f>
        <v>81727</v>
      </c>
    </row>
    <row r="5" spans="1:6" ht="14.25" customHeight="1" x14ac:dyDescent="0.2">
      <c r="A5" s="28" t="s">
        <v>577</v>
      </c>
      <c r="B5" s="100">
        <v>3135</v>
      </c>
      <c r="C5" s="100">
        <v>7217</v>
      </c>
      <c r="D5" s="100">
        <v>1551</v>
      </c>
      <c r="E5" s="101">
        <f>SUM(StateSenatorSenateDistrict43General[[#This Row],[Part of Albany County
Vote Results]:[Part of Washington County Vote Results]])</f>
        <v>11903</v>
      </c>
      <c r="F5" s="111"/>
    </row>
    <row r="6" spans="1:6" ht="14.25" customHeight="1" x14ac:dyDescent="0.2">
      <c r="A6" s="29" t="s">
        <v>18</v>
      </c>
      <c r="B6" s="100">
        <v>3082</v>
      </c>
      <c r="C6" s="100">
        <v>2851</v>
      </c>
      <c r="D6" s="100">
        <v>892</v>
      </c>
      <c r="E6" s="101">
        <f>SUM(StateSenatorSenateDistrict43General[[#This Row],[Part of Albany County
Vote Results]:[Part of Washington County Vote Results]])</f>
        <v>6825</v>
      </c>
      <c r="F6" s="111"/>
    </row>
    <row r="7" spans="1:6" ht="14.25" customHeight="1" x14ac:dyDescent="0.2">
      <c r="A7" s="29" t="s">
        <v>19</v>
      </c>
      <c r="B7" s="100">
        <v>29</v>
      </c>
      <c r="C7" s="100">
        <v>13</v>
      </c>
      <c r="D7" s="100">
        <v>13</v>
      </c>
      <c r="E7" s="101">
        <f>SUM(StateSenatorSenateDistrict43General[[#This Row],[Part of Albany County
Vote Results]:[Part of Washington County Vote Results]])</f>
        <v>55</v>
      </c>
      <c r="F7" s="111"/>
    </row>
    <row r="8" spans="1:6" ht="14.25" customHeight="1" x14ac:dyDescent="0.2">
      <c r="A8" s="29" t="s">
        <v>20</v>
      </c>
      <c r="B8" s="100">
        <v>61</v>
      </c>
      <c r="C8" s="100">
        <v>43</v>
      </c>
      <c r="D8" s="100">
        <v>8</v>
      </c>
      <c r="E8" s="101">
        <f>SUM(StateSenatorSenateDistrict43General[[#This Row],[Part of Albany County
Vote Results]:[Part of Washington County Vote Results]])</f>
        <v>112</v>
      </c>
      <c r="F8" s="111"/>
    </row>
    <row r="9" spans="1:6" ht="14.25" customHeight="1" x14ac:dyDescent="0.2">
      <c r="A9" s="103" t="s">
        <v>21</v>
      </c>
      <c r="B9" s="100">
        <f>SUM(StateSenatorSenateDistrict43General[Part of Albany County
Vote Results])</f>
        <v>57783</v>
      </c>
      <c r="C9" s="100">
        <f>SUM(StateSenatorSenateDistrict43General[Rensselaer County 
Vote Results])</f>
        <v>79612</v>
      </c>
      <c r="D9" s="100">
        <f>SUM(StateSenatorSenateDistrict43General[Part of Washington County Vote Results])</f>
        <v>19148</v>
      </c>
      <c r="E9" s="101">
        <f>SUM(StateSenatorSenateDistrict43General[Total Votes by Party])</f>
        <v>156543</v>
      </c>
      <c r="F9" s="111"/>
    </row>
    <row r="10" spans="1:6" ht="14.25" x14ac:dyDescent="0.2">
      <c r="B10" s="70"/>
      <c r="D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AAAD6-4423-492E-9226-13AC15FCD559}">
  <sheetPr>
    <pageSetUpPr fitToPage="1"/>
  </sheetPr>
  <dimension ref="A1:H22"/>
  <sheetViews>
    <sheetView zoomScaleNormal="100" zoomScaleSheetLayoutView="90" workbookViewId="0">
      <pane xSplit="1" topLeftCell="B1" activePane="topRight" state="frozen"/>
      <selection activeCell="A30" sqref="A30"/>
      <selection pane="topRight" sqref="A1:F1"/>
    </sheetView>
  </sheetViews>
  <sheetFormatPr defaultRowHeight="12.75" x14ac:dyDescent="0.2"/>
  <cols>
    <col min="1" max="1" width="29.5703125" customWidth="1"/>
    <col min="2" max="8" width="20.5703125" customWidth="1"/>
    <col min="9" max="9" width="18.7109375" customWidth="1"/>
    <col min="10" max="14" width="15.7109375" customWidth="1"/>
    <col min="15" max="16" width="23.5703125" customWidth="1"/>
  </cols>
  <sheetData>
    <row r="1" spans="1:8" ht="39.75" customHeight="1" x14ac:dyDescent="0.2">
      <c r="A1" s="147" t="s">
        <v>151</v>
      </c>
      <c r="B1" s="147"/>
      <c r="C1" s="147"/>
      <c r="D1" s="147"/>
      <c r="E1" s="147"/>
      <c r="F1" s="147"/>
    </row>
    <row r="2" spans="1:8" ht="28.5" customHeight="1" x14ac:dyDescent="0.2">
      <c r="A2" s="19" t="s">
        <v>93</v>
      </c>
      <c r="B2" s="7" t="s">
        <v>152</v>
      </c>
      <c r="C2" s="7" t="s">
        <v>153</v>
      </c>
      <c r="D2" s="7" t="s">
        <v>154</v>
      </c>
      <c r="E2" s="7" t="s">
        <v>155</v>
      </c>
      <c r="F2" s="7" t="s">
        <v>156</v>
      </c>
      <c r="G2" s="20" t="s">
        <v>84</v>
      </c>
      <c r="H2" s="21" t="s">
        <v>85</v>
      </c>
    </row>
    <row r="3" spans="1:8" ht="14.25" customHeight="1" x14ac:dyDescent="0.2">
      <c r="A3" s="10" t="s">
        <v>157</v>
      </c>
      <c r="B3" s="53">
        <v>72666</v>
      </c>
      <c r="C3" s="11">
        <v>79521</v>
      </c>
      <c r="D3" s="22">
        <v>22122</v>
      </c>
      <c r="E3" s="11">
        <v>64641</v>
      </c>
      <c r="F3" s="11">
        <v>257519</v>
      </c>
      <c r="G3" s="12">
        <f t="shared" ref="G3:G20" si="0">SUM(B3:F3)</f>
        <v>496469</v>
      </c>
      <c r="H3" s="116">
        <f>SUM(RepInCongressCongressionalDistrict19General247249253[[#This Row],[Total Votes by Party]],G13)</f>
        <v>539257</v>
      </c>
    </row>
    <row r="4" spans="1:8" ht="14.25" customHeight="1" x14ac:dyDescent="0.2">
      <c r="A4" s="10" t="s">
        <v>158</v>
      </c>
      <c r="B4" s="53">
        <v>66479</v>
      </c>
      <c r="C4" s="11">
        <v>72958</v>
      </c>
      <c r="D4" s="22">
        <v>20091</v>
      </c>
      <c r="E4" s="11">
        <v>60238</v>
      </c>
      <c r="F4" s="11">
        <v>238120</v>
      </c>
      <c r="G4" s="12">
        <f t="shared" si="0"/>
        <v>457886</v>
      </c>
      <c r="H4" s="116">
        <f>SUM(RepInCongressCongressionalDistrict19General247249253[[#This Row],[Total Votes by Party]],G14)</f>
        <v>494302</v>
      </c>
    </row>
    <row r="5" spans="1:8" ht="14.25" customHeight="1" x14ac:dyDescent="0.2">
      <c r="A5" s="10" t="s">
        <v>159</v>
      </c>
      <c r="B5" s="53">
        <v>67253</v>
      </c>
      <c r="C5" s="11">
        <v>73340</v>
      </c>
      <c r="D5" s="22">
        <v>20637</v>
      </c>
      <c r="E5" s="11">
        <v>61987</v>
      </c>
      <c r="F5" s="11">
        <v>244463</v>
      </c>
      <c r="G5" s="12">
        <f t="shared" si="0"/>
        <v>467680</v>
      </c>
      <c r="H5" s="116">
        <f>SUM(RepInCongressCongressionalDistrict19General247249253[[#This Row],[Total Votes by Party]],G15)</f>
        <v>508715</v>
      </c>
    </row>
    <row r="6" spans="1:8" ht="14.25" customHeight="1" x14ac:dyDescent="0.2">
      <c r="A6" s="10" t="s">
        <v>160</v>
      </c>
      <c r="B6" s="53">
        <v>67268</v>
      </c>
      <c r="C6" s="11">
        <v>72858</v>
      </c>
      <c r="D6" s="22">
        <v>20493</v>
      </c>
      <c r="E6" s="11">
        <v>60797</v>
      </c>
      <c r="F6" s="11">
        <v>242829</v>
      </c>
      <c r="G6" s="12">
        <f t="shared" si="0"/>
        <v>464245</v>
      </c>
      <c r="H6" s="116">
        <f>SUM(RepInCongressCongressionalDistrict19General247249253[[#This Row],[Total Votes by Party]],G16)</f>
        <v>500328</v>
      </c>
    </row>
    <row r="7" spans="1:8" ht="14.25" customHeight="1" x14ac:dyDescent="0.2">
      <c r="A7" s="10" t="s">
        <v>161</v>
      </c>
      <c r="B7" s="53">
        <v>66196</v>
      </c>
      <c r="C7" s="11">
        <v>71655</v>
      </c>
      <c r="D7" s="22">
        <v>20073</v>
      </c>
      <c r="E7" s="11">
        <v>60257</v>
      </c>
      <c r="F7" s="11">
        <v>237654</v>
      </c>
      <c r="G7" s="12">
        <f t="shared" si="0"/>
        <v>455835</v>
      </c>
      <c r="H7" s="116">
        <f>SUM(RepInCongressCongressionalDistrict19General247249253[[#This Row],[Total Votes by Party]],G17)</f>
        <v>489339</v>
      </c>
    </row>
    <row r="8" spans="1:8" ht="14.25" customHeight="1" x14ac:dyDescent="0.2">
      <c r="A8" s="15" t="s">
        <v>162</v>
      </c>
      <c r="B8" s="53">
        <v>59273</v>
      </c>
      <c r="C8" s="11">
        <v>68806</v>
      </c>
      <c r="D8" s="22">
        <v>26365</v>
      </c>
      <c r="E8" s="11">
        <v>57275</v>
      </c>
      <c r="F8" s="11">
        <v>137224</v>
      </c>
      <c r="G8" s="12">
        <f t="shared" si="0"/>
        <v>348943</v>
      </c>
      <c r="H8" s="116">
        <f>SUM(RepInCongressCongressionalDistrict19General247249253[[#This Row],[Total Votes by Party]])</f>
        <v>348943</v>
      </c>
    </row>
    <row r="9" spans="1:8" ht="14.25" customHeight="1" x14ac:dyDescent="0.2">
      <c r="A9" s="10" t="s">
        <v>163</v>
      </c>
      <c r="B9" s="53">
        <v>57630</v>
      </c>
      <c r="C9" s="11">
        <v>65823</v>
      </c>
      <c r="D9" s="22">
        <v>25582</v>
      </c>
      <c r="E9" s="11">
        <v>56038</v>
      </c>
      <c r="F9" s="11">
        <v>136098</v>
      </c>
      <c r="G9" s="12">
        <f t="shared" si="0"/>
        <v>341171</v>
      </c>
      <c r="H9" s="116">
        <f>SUM(RepInCongressCongressionalDistrict19General247249253[[#This Row],[Total Votes by Party]])</f>
        <v>341171</v>
      </c>
    </row>
    <row r="10" spans="1:8" ht="14.25" customHeight="1" x14ac:dyDescent="0.2">
      <c r="A10" s="10" t="s">
        <v>164</v>
      </c>
      <c r="B10" s="53">
        <v>57891</v>
      </c>
      <c r="C10" s="11">
        <v>66478</v>
      </c>
      <c r="D10" s="22">
        <v>25464</v>
      </c>
      <c r="E10" s="11">
        <v>55385</v>
      </c>
      <c r="F10" s="11">
        <v>134898</v>
      </c>
      <c r="G10" s="12">
        <f t="shared" si="0"/>
        <v>340116</v>
      </c>
      <c r="H10" s="116">
        <f>SUM(RepInCongressCongressionalDistrict19General247249253[[#This Row],[Total Votes by Party]])</f>
        <v>340116</v>
      </c>
    </row>
    <row r="11" spans="1:8" ht="14.25" customHeight="1" x14ac:dyDescent="0.2">
      <c r="A11" s="10" t="s">
        <v>165</v>
      </c>
      <c r="B11" s="53">
        <v>57446</v>
      </c>
      <c r="C11" s="11">
        <v>65729</v>
      </c>
      <c r="D11" s="22">
        <v>25267</v>
      </c>
      <c r="E11" s="11">
        <v>55535</v>
      </c>
      <c r="F11" s="11">
        <v>133235</v>
      </c>
      <c r="G11" s="12">
        <f t="shared" si="0"/>
        <v>337212</v>
      </c>
      <c r="H11" s="116">
        <f>SUM(RepInCongressCongressionalDistrict19General247249253[[#This Row],[Total Votes by Party]])</f>
        <v>337212</v>
      </c>
    </row>
    <row r="12" spans="1:8" ht="14.25" customHeight="1" x14ac:dyDescent="0.2">
      <c r="A12" s="10" t="s">
        <v>166</v>
      </c>
      <c r="B12" s="53">
        <v>56962</v>
      </c>
      <c r="C12" s="11">
        <v>64797</v>
      </c>
      <c r="D12" s="22">
        <v>25114</v>
      </c>
      <c r="E12" s="11">
        <v>56189</v>
      </c>
      <c r="F12" s="11">
        <v>134474</v>
      </c>
      <c r="G12" s="12">
        <f t="shared" si="0"/>
        <v>337536</v>
      </c>
      <c r="H12" s="116">
        <f>SUM(RepInCongressCongressionalDistrict19General247249253[[#This Row],[Total Votes by Party]])</f>
        <v>337536</v>
      </c>
    </row>
    <row r="13" spans="1:8" ht="14.25" customHeight="1" x14ac:dyDescent="0.2">
      <c r="A13" s="15" t="s">
        <v>167</v>
      </c>
      <c r="B13" s="53">
        <v>8074</v>
      </c>
      <c r="C13" s="11">
        <v>8715</v>
      </c>
      <c r="D13" s="22">
        <v>3128</v>
      </c>
      <c r="E13" s="11">
        <v>6607</v>
      </c>
      <c r="F13" s="11">
        <v>16264</v>
      </c>
      <c r="G13" s="12">
        <f t="shared" si="0"/>
        <v>42788</v>
      </c>
      <c r="H13" s="23"/>
    </row>
    <row r="14" spans="1:8" ht="14.25" customHeight="1" x14ac:dyDescent="0.2">
      <c r="A14" s="10" t="s">
        <v>168</v>
      </c>
      <c r="B14" s="53">
        <v>6828</v>
      </c>
      <c r="C14" s="11">
        <v>7783</v>
      </c>
      <c r="D14" s="22">
        <v>2670</v>
      </c>
      <c r="E14" s="11">
        <v>5738</v>
      </c>
      <c r="F14" s="11">
        <v>13397</v>
      </c>
      <c r="G14" s="12">
        <f t="shared" si="0"/>
        <v>36416</v>
      </c>
      <c r="H14" s="23"/>
    </row>
    <row r="15" spans="1:8" ht="14.25" customHeight="1" x14ac:dyDescent="0.2">
      <c r="A15" s="10" t="s">
        <v>169</v>
      </c>
      <c r="B15" s="53">
        <v>7471</v>
      </c>
      <c r="C15" s="11">
        <v>8135</v>
      </c>
      <c r="D15" s="22">
        <v>2968</v>
      </c>
      <c r="E15" s="11">
        <v>6770</v>
      </c>
      <c r="F15" s="11">
        <v>15691</v>
      </c>
      <c r="G15" s="12">
        <f t="shared" si="0"/>
        <v>41035</v>
      </c>
      <c r="H15" s="23"/>
    </row>
    <row r="16" spans="1:8" ht="14.25" customHeight="1" x14ac:dyDescent="0.2">
      <c r="A16" s="10" t="s">
        <v>170</v>
      </c>
      <c r="B16" s="53">
        <v>6554</v>
      </c>
      <c r="C16" s="11">
        <v>6992</v>
      </c>
      <c r="D16" s="22">
        <v>2706</v>
      </c>
      <c r="E16" s="11">
        <v>5700</v>
      </c>
      <c r="F16" s="11">
        <v>14131</v>
      </c>
      <c r="G16" s="12">
        <f t="shared" si="0"/>
        <v>36083</v>
      </c>
      <c r="H16" s="23"/>
    </row>
    <row r="17" spans="1:8" ht="14.25" customHeight="1" x14ac:dyDescent="0.2">
      <c r="A17" s="10" t="s">
        <v>171</v>
      </c>
      <c r="B17" s="53">
        <v>6242</v>
      </c>
      <c r="C17" s="11">
        <v>6666</v>
      </c>
      <c r="D17" s="22">
        <v>2505</v>
      </c>
      <c r="E17" s="11">
        <v>5513</v>
      </c>
      <c r="F17" s="11">
        <v>12578</v>
      </c>
      <c r="G17" s="12">
        <f t="shared" si="0"/>
        <v>33504</v>
      </c>
      <c r="H17" s="23"/>
    </row>
    <row r="18" spans="1:8" ht="14.25" customHeight="1" x14ac:dyDescent="0.2">
      <c r="A18" s="15" t="s">
        <v>18</v>
      </c>
      <c r="B18" s="53">
        <v>104299</v>
      </c>
      <c r="C18" s="11">
        <v>149109</v>
      </c>
      <c r="D18" s="22">
        <v>36595</v>
      </c>
      <c r="E18" s="11">
        <v>136076</v>
      </c>
      <c r="F18" s="11">
        <v>355918</v>
      </c>
      <c r="G18" s="12">
        <f t="shared" si="0"/>
        <v>781997</v>
      </c>
      <c r="H18" s="23"/>
    </row>
    <row r="19" spans="1:8" ht="14.25" customHeight="1" x14ac:dyDescent="0.2">
      <c r="A19" s="15" t="s">
        <v>19</v>
      </c>
      <c r="B19" s="53">
        <v>1270</v>
      </c>
      <c r="C19" s="11">
        <v>1390</v>
      </c>
      <c r="D19" s="22">
        <v>260</v>
      </c>
      <c r="E19" s="11">
        <v>1055</v>
      </c>
      <c r="F19" s="11"/>
      <c r="G19" s="12">
        <f t="shared" si="0"/>
        <v>3975</v>
      </c>
      <c r="H19" s="23"/>
    </row>
    <row r="20" spans="1:8" ht="14.25" customHeight="1" x14ac:dyDescent="0.2">
      <c r="A20" s="15" t="s">
        <v>20</v>
      </c>
      <c r="B20" s="53">
        <v>388</v>
      </c>
      <c r="C20" s="11">
        <v>420</v>
      </c>
      <c r="D20" s="22">
        <v>65</v>
      </c>
      <c r="E20" s="11">
        <v>714</v>
      </c>
      <c r="F20" s="11">
        <v>412</v>
      </c>
      <c r="G20" s="12">
        <f t="shared" si="0"/>
        <v>1999</v>
      </c>
      <c r="H20" s="23"/>
    </row>
    <row r="21" spans="1:8" ht="14.25" customHeight="1" x14ac:dyDescent="0.2">
      <c r="A21" s="16" t="s">
        <v>21</v>
      </c>
      <c r="B21" s="53">
        <f>SUM(RepInCongressCongressionalDistrict19General247249253[Dutchess County
Vote Results])</f>
        <v>770190</v>
      </c>
      <c r="C21" s="11">
        <f>SUM(RepInCongressCongressionalDistrict19General247249253[Orange County
Vote Results])</f>
        <v>891175</v>
      </c>
      <c r="D21" s="22">
        <f>SUM(RepInCongressCongressionalDistrict19General247249253[Putnam County
Vote Results])</f>
        <v>282105</v>
      </c>
      <c r="E21" s="11">
        <f>SUM(RepInCongressCongressionalDistrict19General247249253[Rockland County 
Vote Results])</f>
        <v>756515</v>
      </c>
      <c r="F21" s="11">
        <f>SUM(RepInCongressCongressionalDistrict19General247249253[Westchester County 
Vote Results])</f>
        <v>2324905</v>
      </c>
      <c r="G21" s="12">
        <f>SUM(RepInCongressCongressionalDistrict19General247249253[Total Votes by Party])</f>
        <v>5024890</v>
      </c>
      <c r="H21" s="23"/>
    </row>
    <row r="22" spans="1:8" ht="14.25" x14ac:dyDescent="0.2">
      <c r="B22" s="70"/>
      <c r="D22" s="70"/>
      <c r="E22" s="70"/>
      <c r="F22" s="70"/>
    </row>
  </sheetData>
  <mergeCells count="1">
    <mergeCell ref="A1:F1"/>
  </mergeCells>
  <pageMargins left="0.25" right="0.25" top="0.25" bottom="0.25" header="0.25" footer="0.25"/>
  <pageSetup paperSize="5" scale="76" fitToHeight="0" orientation="landscape" r:id="rId1"/>
  <headerFooter alignWithMargins="0">
    <oddFooter>&amp;RPage &amp;P of &amp;N</oddFooter>
  </headerFooter>
  <tableParts count="1">
    <tablePart r:id="rId2"/>
  </tablePart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818F-2245-4D96-AD66-5707994C24A4}">
  <sheetPr>
    <pageSetUpPr fitToPage="1"/>
  </sheetPr>
  <dimension ref="A1:E11"/>
  <sheetViews>
    <sheetView workbookViewId="0"/>
  </sheetViews>
  <sheetFormatPr defaultRowHeight="12.75" x14ac:dyDescent="0.2"/>
  <cols>
    <col min="1" max="1" width="25.5703125" customWidth="1"/>
    <col min="2" max="5" width="22.28515625" customWidth="1"/>
    <col min="6" max="7" width="23.5703125" customWidth="1"/>
  </cols>
  <sheetData>
    <row r="1" spans="1:5" ht="24.95" customHeight="1" x14ac:dyDescent="0.2">
      <c r="A1" s="72" t="s">
        <v>578</v>
      </c>
      <c r="B1" s="108"/>
      <c r="C1" s="108"/>
      <c r="D1" s="108"/>
      <c r="E1" s="108"/>
    </row>
    <row r="2" spans="1:5" ht="28.5" customHeight="1" x14ac:dyDescent="0.2">
      <c r="A2" s="6" t="s">
        <v>93</v>
      </c>
      <c r="B2" s="7" t="s">
        <v>579</v>
      </c>
      <c r="C2" s="7" t="s">
        <v>580</v>
      </c>
      <c r="D2" s="8" t="s">
        <v>84</v>
      </c>
      <c r="E2" s="9" t="s">
        <v>85</v>
      </c>
    </row>
    <row r="3" spans="1:5" ht="14.25" customHeight="1" x14ac:dyDescent="0.2">
      <c r="A3" s="28" t="s">
        <v>581</v>
      </c>
      <c r="B3" s="100">
        <v>46473</v>
      </c>
      <c r="C3" s="100">
        <v>15781</v>
      </c>
      <c r="D3" s="101">
        <f>SUM(StateSenatorSenateDistrict44General[[#This Row],[Saratoga County 
Vote Results]:[Part of Schenectady County Vote Results]])</f>
        <v>62254</v>
      </c>
      <c r="E3" s="113">
        <f>SUM(StateSenatorSenateDistrict44General[[#This Row],[Total Votes by Party]],D6)</f>
        <v>67284</v>
      </c>
    </row>
    <row r="4" spans="1:5" ht="14.25" customHeight="1" x14ac:dyDescent="0.2">
      <c r="A4" s="28" t="s">
        <v>582</v>
      </c>
      <c r="B4" s="100">
        <v>68911</v>
      </c>
      <c r="C4" s="100">
        <v>12192</v>
      </c>
      <c r="D4" s="101">
        <f>SUM(StateSenatorSenateDistrict44General[[#This Row],[Saratoga County 
Vote Results]:[Part of Schenectady County Vote Results]])</f>
        <v>81103</v>
      </c>
      <c r="E4" s="113">
        <f>SUM(StateSenatorSenateDistrict44General[[#This Row],[Total Votes by Party]],D5)</f>
        <v>92445</v>
      </c>
    </row>
    <row r="5" spans="1:5" ht="14.25" customHeight="1" x14ac:dyDescent="0.2">
      <c r="A5" s="28" t="s">
        <v>583</v>
      </c>
      <c r="B5" s="100">
        <v>9269</v>
      </c>
      <c r="C5" s="100">
        <v>2073</v>
      </c>
      <c r="D5" s="101">
        <f>SUM(StateSenatorSenateDistrict44General[[#This Row],[Saratoga County 
Vote Results]:[Part of Schenectady County Vote Results]])</f>
        <v>11342</v>
      </c>
      <c r="E5" s="111"/>
    </row>
    <row r="6" spans="1:5" ht="14.25" customHeight="1" x14ac:dyDescent="0.2">
      <c r="A6" s="28" t="s">
        <v>584</v>
      </c>
      <c r="B6" s="100">
        <v>3497</v>
      </c>
      <c r="C6" s="100">
        <v>1533</v>
      </c>
      <c r="D6" s="101">
        <f>SUM(StateSenatorSenateDistrict44General[[#This Row],[Saratoga County 
Vote Results]:[Part of Schenectady County Vote Results]])</f>
        <v>5030</v>
      </c>
      <c r="E6" s="111"/>
    </row>
    <row r="7" spans="1:5" ht="14.25" customHeight="1" x14ac:dyDescent="0.2">
      <c r="A7" s="29" t="s">
        <v>18</v>
      </c>
      <c r="B7" s="100">
        <v>4604</v>
      </c>
      <c r="C7" s="100">
        <v>1760</v>
      </c>
      <c r="D7" s="101">
        <f>SUM(StateSenatorSenateDistrict44General[[#This Row],[Saratoga County 
Vote Results]:[Part of Schenectady County Vote Results]])</f>
        <v>6364</v>
      </c>
      <c r="E7" s="111"/>
    </row>
    <row r="8" spans="1:5" ht="14.25" customHeight="1" x14ac:dyDescent="0.2">
      <c r="A8" s="29" t="s">
        <v>19</v>
      </c>
      <c r="B8" s="100">
        <v>14</v>
      </c>
      <c r="C8" s="100">
        <v>13</v>
      </c>
      <c r="D8" s="101">
        <f>SUM(StateSenatorSenateDistrict44General[[#This Row],[Saratoga County 
Vote Results]:[Part of Schenectady County Vote Results]])</f>
        <v>27</v>
      </c>
      <c r="E8" s="111"/>
    </row>
    <row r="9" spans="1:5" ht="14.25" customHeight="1" x14ac:dyDescent="0.2">
      <c r="A9" s="29" t="s">
        <v>20</v>
      </c>
      <c r="B9" s="100">
        <v>49</v>
      </c>
      <c r="C9" s="100">
        <v>36</v>
      </c>
      <c r="D9" s="101">
        <f>SUM(StateSenatorSenateDistrict44General[[#This Row],[Saratoga County 
Vote Results]:[Part of Schenectady County Vote Results]])</f>
        <v>85</v>
      </c>
      <c r="E9" s="111"/>
    </row>
    <row r="10" spans="1:5" ht="14.25" customHeight="1" x14ac:dyDescent="0.2">
      <c r="A10" s="103" t="s">
        <v>21</v>
      </c>
      <c r="B10" s="100">
        <f>SUM(StateSenatorSenateDistrict44General[Saratoga County 
Vote Results])</f>
        <v>132817</v>
      </c>
      <c r="C10" s="100">
        <f>SUM(StateSenatorSenateDistrict44General[Part of Schenectady County Vote Results])</f>
        <v>33388</v>
      </c>
      <c r="D10" s="101">
        <f>SUM(StateSenatorSenateDistrict44General[Total Votes by Party])</f>
        <v>166205</v>
      </c>
      <c r="E10" s="111"/>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CF40D-BB0E-472C-B438-BFE5D989E0E9}">
  <sheetPr>
    <pageSetUpPr fitToPage="1"/>
  </sheetPr>
  <dimension ref="A1:I9"/>
  <sheetViews>
    <sheetView zoomScaleNormal="100" zoomScaleSheetLayoutView="100" workbookViewId="0"/>
  </sheetViews>
  <sheetFormatPr defaultRowHeight="12.75" x14ac:dyDescent="0.2"/>
  <cols>
    <col min="1" max="1" width="25.5703125" style="108" customWidth="1"/>
    <col min="2" max="9" width="23.42578125" style="108" customWidth="1"/>
    <col min="10" max="11" width="23.5703125" style="108" customWidth="1"/>
    <col min="12" max="16384" width="9.140625" style="108"/>
  </cols>
  <sheetData>
    <row r="1" spans="1:9" ht="24.95" customHeight="1" x14ac:dyDescent="0.2">
      <c r="A1" s="72" t="s">
        <v>585</v>
      </c>
    </row>
    <row r="2" spans="1:9" ht="28.5" customHeight="1" x14ac:dyDescent="0.2">
      <c r="A2" s="6" t="s">
        <v>93</v>
      </c>
      <c r="B2" s="7" t="s">
        <v>1280</v>
      </c>
      <c r="C2" s="7" t="s">
        <v>1281</v>
      </c>
      <c r="D2" s="7" t="s">
        <v>1282</v>
      </c>
      <c r="E2" s="7" t="s">
        <v>588</v>
      </c>
      <c r="F2" s="7" t="s">
        <v>1283</v>
      </c>
      <c r="G2" s="7" t="s">
        <v>574</v>
      </c>
      <c r="H2" s="8" t="s">
        <v>84</v>
      </c>
      <c r="I2" s="9" t="s">
        <v>85</v>
      </c>
    </row>
    <row r="3" spans="1:9" ht="14.25" customHeight="1" x14ac:dyDescent="0.2">
      <c r="A3" s="28" t="s">
        <v>589</v>
      </c>
      <c r="B3" s="100">
        <v>21677</v>
      </c>
      <c r="C3" s="100">
        <v>11233</v>
      </c>
      <c r="D3" s="100">
        <v>12027</v>
      </c>
      <c r="E3" s="100">
        <v>17373</v>
      </c>
      <c r="F3" s="100">
        <v>21595</v>
      </c>
      <c r="G3" s="100">
        <v>6609</v>
      </c>
      <c r="H3" s="101">
        <f>SUM(StateSenatorSenateDistrict45General[[#This Row],[Clinton County
Vote Results]:[Part of Washington County Vote Results]])</f>
        <v>90514</v>
      </c>
      <c r="I3" s="113">
        <f>SUM(StateSenatorSenateDistrict45General[[#This Row],[Total Votes by Party]],H4)</f>
        <v>106073</v>
      </c>
    </row>
    <row r="4" spans="1:9" ht="14.25" customHeight="1" x14ac:dyDescent="0.2">
      <c r="A4" s="28" t="s">
        <v>590</v>
      </c>
      <c r="B4" s="100">
        <v>3838</v>
      </c>
      <c r="C4" s="100">
        <v>1651</v>
      </c>
      <c r="D4" s="100">
        <v>2140</v>
      </c>
      <c r="E4" s="100">
        <v>3175</v>
      </c>
      <c r="F4" s="100">
        <v>3766</v>
      </c>
      <c r="G4" s="100">
        <v>989</v>
      </c>
      <c r="H4" s="101">
        <f>SUM(StateSenatorSenateDistrict45General[[#This Row],[Clinton County
Vote Results]:[Part of Washington County Vote Results]])</f>
        <v>15559</v>
      </c>
      <c r="I4" s="111"/>
    </row>
    <row r="5" spans="1:9" ht="14.25" customHeight="1" x14ac:dyDescent="0.2">
      <c r="A5" s="29" t="s">
        <v>18</v>
      </c>
      <c r="B5" s="100">
        <v>10459</v>
      </c>
      <c r="C5" s="100">
        <v>6546</v>
      </c>
      <c r="D5" s="100">
        <v>5317</v>
      </c>
      <c r="E5" s="100">
        <v>8695</v>
      </c>
      <c r="F5" s="100">
        <v>10528</v>
      </c>
      <c r="G5" s="100">
        <v>2054</v>
      </c>
      <c r="H5" s="101">
        <f>SUM(StateSenatorSenateDistrict45General[[#This Row],[Clinton County
Vote Results]:[Part of Washington County Vote Results]])</f>
        <v>43599</v>
      </c>
      <c r="I5" s="111"/>
    </row>
    <row r="6" spans="1:9" ht="14.25" customHeight="1" x14ac:dyDescent="0.2">
      <c r="A6" s="29" t="s">
        <v>19</v>
      </c>
      <c r="B6" s="100">
        <v>3</v>
      </c>
      <c r="C6" s="100">
        <v>21</v>
      </c>
      <c r="D6" s="100">
        <v>4</v>
      </c>
      <c r="E6" s="100">
        <v>0</v>
      </c>
      <c r="F6" s="100">
        <v>2</v>
      </c>
      <c r="G6" s="100">
        <v>3</v>
      </c>
      <c r="H6" s="101">
        <f>SUM(StateSenatorSenateDistrict45General[[#This Row],[Clinton County
Vote Results]:[Part of Washington County Vote Results]])</f>
        <v>33</v>
      </c>
      <c r="I6" s="111"/>
    </row>
    <row r="7" spans="1:9" ht="14.25" customHeight="1" x14ac:dyDescent="0.2">
      <c r="A7" s="29" t="s">
        <v>20</v>
      </c>
      <c r="B7" s="100">
        <v>261</v>
      </c>
      <c r="C7" s="100">
        <v>78</v>
      </c>
      <c r="D7" s="100">
        <v>102</v>
      </c>
      <c r="E7" s="100">
        <v>136</v>
      </c>
      <c r="F7" s="100">
        <v>427</v>
      </c>
      <c r="G7" s="100">
        <v>52</v>
      </c>
      <c r="H7" s="101">
        <f>SUM(StateSenatorSenateDistrict45General[[#This Row],[Clinton County
Vote Results]:[Part of Washington County Vote Results]])</f>
        <v>1056</v>
      </c>
      <c r="I7" s="111"/>
    </row>
    <row r="8" spans="1:9" ht="14.25" customHeight="1" x14ac:dyDescent="0.2">
      <c r="A8" s="103" t="s">
        <v>21</v>
      </c>
      <c r="B8" s="100">
        <f>SUM(StateSenatorSenateDistrict45General[Clinton County
Vote Results])</f>
        <v>36238</v>
      </c>
      <c r="C8" s="100">
        <f>SUM(StateSenatorSenateDistrict45General[Essex County
Vote Results])</f>
        <v>19529</v>
      </c>
      <c r="D8" s="100">
        <f>SUM(StateSenatorSenateDistrict45General[Franklin County
Vote Results])</f>
        <v>19590</v>
      </c>
      <c r="E8" s="100">
        <f>SUM(StateSenatorSenateDistrict45General[Part of St. Lawrence County Vote Results])</f>
        <v>29379</v>
      </c>
      <c r="F8" s="100">
        <f>SUM(StateSenatorSenateDistrict45General[Warren County
Vote Results])</f>
        <v>36318</v>
      </c>
      <c r="G8" s="100">
        <f>SUM(StateSenatorSenateDistrict45General[Part of Washington County Vote Results])</f>
        <v>9707</v>
      </c>
      <c r="H8" s="101">
        <f>SUM(StateSenatorSenateDistrict45General[Total Votes by Party])</f>
        <v>150761</v>
      </c>
      <c r="I8" s="111"/>
    </row>
    <row r="9" spans="1:9" ht="14.25" x14ac:dyDescent="0.2">
      <c r="B9" s="70"/>
      <c r="C9" s="70"/>
      <c r="D9" s="70"/>
      <c r="F9" s="70"/>
      <c r="G9" s="70"/>
    </row>
  </sheetData>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D4398-41B2-4C24-A25D-DFA6DA7F3356}">
  <sheetPr>
    <pageSetUpPr fitToPage="1"/>
  </sheetPr>
  <dimension ref="A1:F11"/>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591</v>
      </c>
      <c r="B1" s="108"/>
      <c r="C1" s="108"/>
      <c r="D1" s="108"/>
      <c r="E1" s="108"/>
      <c r="F1" s="108"/>
    </row>
    <row r="2" spans="1:6" ht="28.5" customHeight="1" x14ac:dyDescent="0.2">
      <c r="A2" s="6" t="s">
        <v>93</v>
      </c>
      <c r="B2" s="7" t="s">
        <v>572</v>
      </c>
      <c r="C2" s="7" t="s">
        <v>592</v>
      </c>
      <c r="D2" s="7" t="s">
        <v>580</v>
      </c>
      <c r="E2" s="8" t="s">
        <v>84</v>
      </c>
      <c r="F2" s="9" t="s">
        <v>85</v>
      </c>
    </row>
    <row r="3" spans="1:6" ht="14.25" customHeight="1" x14ac:dyDescent="0.2">
      <c r="A3" s="28" t="s">
        <v>593</v>
      </c>
      <c r="B3" s="100">
        <v>51965</v>
      </c>
      <c r="C3" s="109">
        <v>6200</v>
      </c>
      <c r="D3" s="100">
        <v>15434</v>
      </c>
      <c r="E3" s="101">
        <f>SUM(StateSenatorSenateDistrict46General[[#This Row],[Part of Albany County Vote Results]:[Part of Schenectady County Vote Results]])</f>
        <v>73599</v>
      </c>
      <c r="F3" s="113">
        <f>SUM(StateSenatorSenateDistrict46General[[#This Row],[Total Votes by Party]],E6)</f>
        <v>81976</v>
      </c>
    </row>
    <row r="4" spans="1:6" ht="14.25" customHeight="1" x14ac:dyDescent="0.2">
      <c r="A4" s="28" t="s">
        <v>594</v>
      </c>
      <c r="B4" s="100">
        <v>26688</v>
      </c>
      <c r="C4" s="109">
        <v>11392</v>
      </c>
      <c r="D4" s="100">
        <v>17193</v>
      </c>
      <c r="E4" s="101">
        <f>SUM(StateSenatorSenateDistrict46General[[#This Row],[Part of Albany County Vote Results]:[Part of Schenectady County Vote Results]])</f>
        <v>55273</v>
      </c>
      <c r="F4" s="113">
        <f>SUM(StateSenatorSenateDistrict46General[[#This Row],[Total Votes by Party]],E5)</f>
        <v>64599</v>
      </c>
    </row>
    <row r="5" spans="1:6" ht="14.25" customHeight="1" x14ac:dyDescent="0.2">
      <c r="A5" s="28" t="s">
        <v>595</v>
      </c>
      <c r="B5" s="100">
        <v>4318</v>
      </c>
      <c r="C5" s="109">
        <v>1424</v>
      </c>
      <c r="D5" s="100">
        <v>3584</v>
      </c>
      <c r="E5" s="101">
        <f>SUM(StateSenatorSenateDistrict46General[[#This Row],[Part of Albany County Vote Results]:[Part of Schenectady County Vote Results]])</f>
        <v>9326</v>
      </c>
      <c r="F5" s="111"/>
    </row>
    <row r="6" spans="1:6" ht="14.25" customHeight="1" x14ac:dyDescent="0.2">
      <c r="A6" s="28" t="s">
        <v>596</v>
      </c>
      <c r="B6" s="100">
        <v>6401</v>
      </c>
      <c r="C6" s="109">
        <v>556</v>
      </c>
      <c r="D6" s="100">
        <v>1420</v>
      </c>
      <c r="E6" s="101">
        <f>SUM(StateSenatorSenateDistrict46General[[#This Row],[Part of Albany County Vote Results]:[Part of Schenectady County Vote Results]])</f>
        <v>8377</v>
      </c>
      <c r="F6" s="111"/>
    </row>
    <row r="7" spans="1:6" ht="14.25" customHeight="1" x14ac:dyDescent="0.2">
      <c r="A7" s="29" t="s">
        <v>18</v>
      </c>
      <c r="B7" s="100">
        <v>3558</v>
      </c>
      <c r="C7" s="109">
        <v>1332</v>
      </c>
      <c r="D7" s="100">
        <v>2059</v>
      </c>
      <c r="E7" s="101">
        <f>SUM(StateSenatorSenateDistrict46General[[#This Row],[Part of Albany County Vote Results]:[Part of Schenectady County Vote Results]])</f>
        <v>6949</v>
      </c>
      <c r="F7" s="111"/>
    </row>
    <row r="8" spans="1:6" ht="14.25" customHeight="1" x14ac:dyDescent="0.2">
      <c r="A8" s="29" t="s">
        <v>19</v>
      </c>
      <c r="B8" s="100">
        <v>39</v>
      </c>
      <c r="C8" s="109">
        <v>7</v>
      </c>
      <c r="D8" s="100">
        <v>10</v>
      </c>
      <c r="E8" s="101">
        <f>SUM(StateSenatorSenateDistrict46General[[#This Row],[Part of Albany County Vote Results]:[Part of Schenectady County Vote Results]])</f>
        <v>56</v>
      </c>
      <c r="F8" s="111"/>
    </row>
    <row r="9" spans="1:6" ht="14.25" customHeight="1" x14ac:dyDescent="0.2">
      <c r="A9" s="29" t="s">
        <v>20</v>
      </c>
      <c r="B9" s="100">
        <v>120</v>
      </c>
      <c r="C9" s="109">
        <v>11</v>
      </c>
      <c r="D9" s="100">
        <v>24</v>
      </c>
      <c r="E9" s="101">
        <f>SUM(StateSenatorSenateDistrict46General[[#This Row],[Part of Albany County Vote Results]:[Part of Schenectady County Vote Results]])</f>
        <v>155</v>
      </c>
      <c r="F9" s="111"/>
    </row>
    <row r="10" spans="1:6" ht="14.25" customHeight="1" x14ac:dyDescent="0.2">
      <c r="A10" s="103" t="s">
        <v>21</v>
      </c>
      <c r="B10" s="100">
        <f>SUM(StateSenatorSenateDistrict46General[Part of Albany County Vote Results])</f>
        <v>93089</v>
      </c>
      <c r="C10" s="109">
        <f>SUM(StateSenatorSenateDistrict46General[Montgomery County Vote Results])</f>
        <v>20922</v>
      </c>
      <c r="D10" s="100">
        <f>SUM(StateSenatorSenateDistrict46General[Part of Schenectady County Vote Results])</f>
        <v>39724</v>
      </c>
      <c r="E10" s="101">
        <f>SUM(StateSenatorSenateDistrict46General[Total Votes by Party])</f>
        <v>153735</v>
      </c>
      <c r="F10" s="111"/>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1E0A6-E3E9-4657-ABCE-7A143D15B054}">
  <sheetPr>
    <pageSetUpPr fitToPage="1"/>
  </sheetPr>
  <dimension ref="A1:D9"/>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597</v>
      </c>
      <c r="B1" s="108"/>
      <c r="C1" s="108"/>
      <c r="D1" s="108"/>
    </row>
    <row r="2" spans="1:4" ht="28.5" customHeight="1" x14ac:dyDescent="0.2">
      <c r="A2" s="6" t="s">
        <v>93</v>
      </c>
      <c r="B2" s="7" t="s">
        <v>267</v>
      </c>
      <c r="C2" s="8" t="s">
        <v>84</v>
      </c>
      <c r="D2" s="9" t="s">
        <v>85</v>
      </c>
    </row>
    <row r="3" spans="1:4" ht="14.25" customHeight="1" x14ac:dyDescent="0.2">
      <c r="A3" s="28" t="s">
        <v>598</v>
      </c>
      <c r="B3" s="100">
        <v>103859</v>
      </c>
      <c r="C3" s="101">
        <f>SUM(StateSenatorSenateDistrict47General[[#This Row],[Part of New York County Vote Results]])</f>
        <v>103859</v>
      </c>
      <c r="D3" s="113">
        <f>SUM(StateSenatorSenateDistrict47General[[#This Row],[Total Votes by Party]],C5)</f>
        <v>112711</v>
      </c>
    </row>
    <row r="4" spans="1:4" ht="14.25" customHeight="1" x14ac:dyDescent="0.2">
      <c r="A4" s="28" t="s">
        <v>599</v>
      </c>
      <c r="B4" s="100">
        <v>21537</v>
      </c>
      <c r="C4" s="101">
        <f>SUM(StateSenatorSenateDistrict47General[[#This Row],[Part of New York County Vote Results]])</f>
        <v>21537</v>
      </c>
      <c r="D4" s="113">
        <f>SUM(StateSenatorSenateDistrict47General[[#This Row],[Total Votes by Party]])</f>
        <v>21537</v>
      </c>
    </row>
    <row r="5" spans="1:4" ht="14.25" customHeight="1" x14ac:dyDescent="0.2">
      <c r="A5" s="28" t="s">
        <v>600</v>
      </c>
      <c r="B5" s="100">
        <v>8852</v>
      </c>
      <c r="C5" s="101">
        <f>SUM(StateSenatorSenateDistrict47General[[#This Row],[Part of New York County Vote Results]])</f>
        <v>8852</v>
      </c>
      <c r="D5" s="111"/>
    </row>
    <row r="6" spans="1:4" ht="14.25" customHeight="1" x14ac:dyDescent="0.2">
      <c r="A6" s="29" t="s">
        <v>18</v>
      </c>
      <c r="B6" s="100">
        <v>9925</v>
      </c>
      <c r="C6" s="101">
        <f>SUM(StateSenatorSenateDistrict47General[[#This Row],[Part of New York County Vote Results]])</f>
        <v>9925</v>
      </c>
      <c r="D6" s="111"/>
    </row>
    <row r="7" spans="1:4" ht="14.25" customHeight="1" x14ac:dyDescent="0.2">
      <c r="A7" s="29" t="s">
        <v>19</v>
      </c>
      <c r="B7" s="100">
        <v>2944</v>
      </c>
      <c r="C7" s="101">
        <f>SUM(StateSenatorSenateDistrict47General[[#This Row],[Part of New York County Vote Results]])</f>
        <v>2944</v>
      </c>
      <c r="D7" s="111"/>
    </row>
    <row r="8" spans="1:4" ht="14.25" customHeight="1" x14ac:dyDescent="0.2">
      <c r="A8" s="29" t="s">
        <v>20</v>
      </c>
      <c r="B8" s="100">
        <v>280</v>
      </c>
      <c r="C8" s="101">
        <f>SUM(StateSenatorSenateDistrict47General[[#This Row],[Part of New York County Vote Results]])</f>
        <v>280</v>
      </c>
      <c r="D8" s="111"/>
    </row>
    <row r="9" spans="1:4" ht="14.25" customHeight="1" x14ac:dyDescent="0.2">
      <c r="A9" s="103" t="s">
        <v>21</v>
      </c>
      <c r="B9" s="100">
        <f>SUM(StateSenatorSenateDistrict47General[Part of New York County Vote Results])</f>
        <v>147397</v>
      </c>
      <c r="C9" s="101">
        <f>SUM(StateSenatorSenateDistrict47General[Total Votes by Party])</f>
        <v>147397</v>
      </c>
      <c r="D9"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419D-83D8-4D55-9C11-30C66BFD0D20}">
  <sheetPr>
    <pageSetUpPr fitToPage="1"/>
  </sheetPr>
  <dimension ref="A1:E10"/>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601</v>
      </c>
      <c r="B1" s="108"/>
      <c r="C1" s="108"/>
      <c r="D1" s="108"/>
      <c r="E1" s="108"/>
    </row>
    <row r="2" spans="1:5" ht="28.5" customHeight="1" x14ac:dyDescent="0.2">
      <c r="A2" s="6" t="s">
        <v>93</v>
      </c>
      <c r="B2" s="7" t="s">
        <v>602</v>
      </c>
      <c r="C2" s="7" t="s">
        <v>603</v>
      </c>
      <c r="D2" s="8" t="s">
        <v>84</v>
      </c>
      <c r="E2" s="9" t="s">
        <v>85</v>
      </c>
    </row>
    <row r="3" spans="1:5" ht="14.25" customHeight="1" x14ac:dyDescent="0.2">
      <c r="A3" s="28" t="s">
        <v>604</v>
      </c>
      <c r="B3" s="100">
        <v>14223</v>
      </c>
      <c r="C3" s="100">
        <v>57004</v>
      </c>
      <c r="D3" s="101">
        <f>SUM(StateSenatorSenateDistrict48General[[#This Row],[Cayuga County Vote Results]:[Part of Onondaga County Vote Results]])</f>
        <v>71227</v>
      </c>
      <c r="E3" s="113">
        <f>SUM(StateSenatorSenateDistrict48General[[#This Row],[Total Votes by Party]],D5)</f>
        <v>78782</v>
      </c>
    </row>
    <row r="4" spans="1:5" ht="14.25" customHeight="1" x14ac:dyDescent="0.2">
      <c r="A4" s="28" t="s">
        <v>605</v>
      </c>
      <c r="B4" s="100">
        <v>18631</v>
      </c>
      <c r="C4" s="100">
        <v>37349</v>
      </c>
      <c r="D4" s="101">
        <f>SUM(StateSenatorSenateDistrict48General[[#This Row],[Cayuga County Vote Results]:[Part of Onondaga County Vote Results]])</f>
        <v>55980</v>
      </c>
      <c r="E4" s="113">
        <f>SUM(StateSenatorSenateDistrict48General[[#This Row],[Total Votes by Party]])</f>
        <v>55980</v>
      </c>
    </row>
    <row r="5" spans="1:5" ht="14.25" customHeight="1" x14ac:dyDescent="0.2">
      <c r="A5" s="28" t="s">
        <v>606</v>
      </c>
      <c r="B5" s="100">
        <v>1553</v>
      </c>
      <c r="C5" s="100">
        <v>6002</v>
      </c>
      <c r="D5" s="101">
        <f>SUM(StateSenatorSenateDistrict48General[[#This Row],[Cayuga County Vote Results]:[Part of Onondaga County Vote Results]])</f>
        <v>7555</v>
      </c>
      <c r="E5" s="111"/>
    </row>
    <row r="6" spans="1:5" ht="14.25" customHeight="1" x14ac:dyDescent="0.2">
      <c r="A6" s="29" t="s">
        <v>18</v>
      </c>
      <c r="B6" s="100">
        <v>2309</v>
      </c>
      <c r="C6" s="100">
        <v>5011</v>
      </c>
      <c r="D6" s="101">
        <f>SUM(StateSenatorSenateDistrict48General[[#This Row],[Cayuga County Vote Results]:[Part of Onondaga County Vote Results]])</f>
        <v>7320</v>
      </c>
      <c r="E6" s="111"/>
    </row>
    <row r="7" spans="1:5" ht="14.25" customHeight="1" x14ac:dyDescent="0.2">
      <c r="A7" s="29" t="s">
        <v>19</v>
      </c>
      <c r="B7" s="100">
        <v>10</v>
      </c>
      <c r="C7" s="100">
        <v>27</v>
      </c>
      <c r="D7" s="101">
        <f>SUM(StateSenatorSenateDistrict48General[[#This Row],[Cayuga County Vote Results]:[Part of Onondaga County Vote Results]])</f>
        <v>37</v>
      </c>
      <c r="E7" s="111"/>
    </row>
    <row r="8" spans="1:5" ht="14.25" customHeight="1" x14ac:dyDescent="0.2">
      <c r="A8" s="29" t="s">
        <v>20</v>
      </c>
      <c r="B8" s="100">
        <v>19</v>
      </c>
      <c r="C8" s="100">
        <v>125</v>
      </c>
      <c r="D8" s="101">
        <f>SUM(StateSenatorSenateDistrict48General[[#This Row],[Cayuga County Vote Results]:[Part of Onondaga County Vote Results]])</f>
        <v>144</v>
      </c>
      <c r="E8" s="111"/>
    </row>
    <row r="9" spans="1:5" ht="14.25" customHeight="1" x14ac:dyDescent="0.2">
      <c r="A9" s="103" t="s">
        <v>21</v>
      </c>
      <c r="B9" s="100">
        <f>SUM(StateSenatorSenateDistrict48General[Cayuga County Vote Results])</f>
        <v>36745</v>
      </c>
      <c r="C9" s="100">
        <f>SUM(StateSenatorSenateDistrict48General[Part of Onondaga County Vote Results])</f>
        <v>105518</v>
      </c>
      <c r="D9" s="101">
        <f>SUM(StateSenatorSenateDistrict48General[Total Votes by Party])</f>
        <v>142263</v>
      </c>
      <c r="E9" s="111"/>
    </row>
    <row r="10" spans="1:5"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1D340-04F9-4446-9CE8-ACA2B5AEF911}">
  <sheetPr>
    <pageSetUpPr fitToPage="1"/>
  </sheetPr>
  <dimension ref="A1:J9"/>
  <sheetViews>
    <sheetView workbookViewId="0"/>
  </sheetViews>
  <sheetFormatPr defaultRowHeight="12.75" x14ac:dyDescent="0.2"/>
  <cols>
    <col min="1" max="1" width="25.5703125" customWidth="1"/>
    <col min="2" max="10" width="23.140625" customWidth="1"/>
    <col min="11" max="12" width="23.5703125" customWidth="1"/>
  </cols>
  <sheetData>
    <row r="1" spans="1:10" ht="24.95" customHeight="1" x14ac:dyDescent="0.2">
      <c r="A1" s="72" t="s">
        <v>607</v>
      </c>
      <c r="B1" s="106"/>
      <c r="C1" s="106"/>
      <c r="D1" s="106"/>
      <c r="E1" s="106"/>
      <c r="F1" s="106"/>
      <c r="G1" s="106"/>
      <c r="H1" s="106"/>
      <c r="I1" s="106"/>
      <c r="J1" s="106"/>
    </row>
    <row r="2" spans="1:10" ht="28.5" customHeight="1" x14ac:dyDescent="0.2">
      <c r="A2" s="91" t="s">
        <v>93</v>
      </c>
      <c r="B2" s="92" t="s">
        <v>1284</v>
      </c>
      <c r="C2" s="92" t="s">
        <v>1285</v>
      </c>
      <c r="D2" s="92" t="s">
        <v>609</v>
      </c>
      <c r="E2" s="92" t="s">
        <v>1286</v>
      </c>
      <c r="F2" s="92" t="s">
        <v>610</v>
      </c>
      <c r="G2" s="92" t="s">
        <v>1287</v>
      </c>
      <c r="H2" s="92" t="s">
        <v>588</v>
      </c>
      <c r="I2" s="93" t="s">
        <v>84</v>
      </c>
      <c r="J2" s="94" t="s">
        <v>85</v>
      </c>
    </row>
    <row r="3" spans="1:10" ht="14.25" customHeight="1" x14ac:dyDescent="0.2">
      <c r="A3" s="95" t="s">
        <v>612</v>
      </c>
      <c r="B3" s="96">
        <v>15730</v>
      </c>
      <c r="C3" s="96">
        <v>2324</v>
      </c>
      <c r="D3" s="96">
        <v>17375</v>
      </c>
      <c r="E3" s="96">
        <v>29464</v>
      </c>
      <c r="F3" s="96">
        <v>9553</v>
      </c>
      <c r="G3" s="96">
        <v>9353</v>
      </c>
      <c r="H3" s="96">
        <v>10583</v>
      </c>
      <c r="I3" s="97">
        <f>SUM(StateSenatorSenateDistrict49General[[#This Row],[Fulton County
Vote Results]:[Part of St. Lawrence County Vote Results]])</f>
        <v>94382</v>
      </c>
      <c r="J3" s="117">
        <f>SUM(StateSenatorSenateDistrict49General[[#This Row],[Total Votes by Party]],I4)</f>
        <v>108119</v>
      </c>
    </row>
    <row r="4" spans="1:10" ht="14.25" customHeight="1" x14ac:dyDescent="0.2">
      <c r="A4" s="95" t="s">
        <v>613</v>
      </c>
      <c r="B4" s="96">
        <v>2122</v>
      </c>
      <c r="C4" s="96">
        <v>295</v>
      </c>
      <c r="D4" s="96">
        <v>2730</v>
      </c>
      <c r="E4" s="96">
        <v>4454</v>
      </c>
      <c r="F4" s="96">
        <v>1212</v>
      </c>
      <c r="G4" s="96">
        <v>1308</v>
      </c>
      <c r="H4" s="96">
        <v>1616</v>
      </c>
      <c r="I4" s="97">
        <f>SUM(StateSenatorSenateDistrict49General[[#This Row],[Fulton County
Vote Results]:[Part of St. Lawrence County Vote Results]])</f>
        <v>13737</v>
      </c>
      <c r="J4" s="107"/>
    </row>
    <row r="5" spans="1:10" ht="14.25" customHeight="1" x14ac:dyDescent="0.2">
      <c r="A5" s="98" t="s">
        <v>18</v>
      </c>
      <c r="B5" s="96">
        <v>6205</v>
      </c>
      <c r="C5" s="96">
        <v>816</v>
      </c>
      <c r="D5" s="96">
        <v>6117</v>
      </c>
      <c r="E5" s="96">
        <v>9028</v>
      </c>
      <c r="F5" s="96">
        <v>2433</v>
      </c>
      <c r="G5" s="96">
        <v>2665</v>
      </c>
      <c r="H5" s="96">
        <v>2932</v>
      </c>
      <c r="I5" s="97">
        <f>SUM(StateSenatorSenateDistrict49General[[#This Row],[Fulton County
Vote Results]:[Part of St. Lawrence County Vote Results]])</f>
        <v>30196</v>
      </c>
      <c r="J5" s="107"/>
    </row>
    <row r="6" spans="1:10" ht="14.25" customHeight="1" x14ac:dyDescent="0.2">
      <c r="A6" s="98" t="s">
        <v>19</v>
      </c>
      <c r="B6" s="96">
        <v>8</v>
      </c>
      <c r="C6" s="96">
        <v>0</v>
      </c>
      <c r="D6" s="96">
        <v>95</v>
      </c>
      <c r="E6" s="96">
        <v>5</v>
      </c>
      <c r="F6" s="96">
        <v>4</v>
      </c>
      <c r="G6" s="96">
        <v>0</v>
      </c>
      <c r="H6" s="96">
        <v>0</v>
      </c>
      <c r="I6" s="97">
        <f>SUM(StateSenatorSenateDistrict49General[[#This Row],[Fulton County
Vote Results]:[Part of St. Lawrence County Vote Results]])</f>
        <v>112</v>
      </c>
      <c r="J6" s="107"/>
    </row>
    <row r="7" spans="1:10" ht="14.25" customHeight="1" x14ac:dyDescent="0.2">
      <c r="A7" s="98" t="s">
        <v>20</v>
      </c>
      <c r="B7" s="96">
        <v>93</v>
      </c>
      <c r="C7" s="96">
        <v>7</v>
      </c>
      <c r="D7" s="96">
        <v>78</v>
      </c>
      <c r="E7" s="96">
        <v>251</v>
      </c>
      <c r="F7" s="96">
        <v>44</v>
      </c>
      <c r="G7" s="96">
        <v>87</v>
      </c>
      <c r="H7" s="96">
        <v>39</v>
      </c>
      <c r="I7" s="97">
        <f>SUM(StateSenatorSenateDistrict49General[[#This Row],[Fulton County
Vote Results]:[Part of St. Lawrence County Vote Results]])</f>
        <v>599</v>
      </c>
      <c r="J7" s="107"/>
    </row>
    <row r="8" spans="1:10" ht="14.25" customHeight="1" x14ac:dyDescent="0.2">
      <c r="A8" s="99" t="s">
        <v>21</v>
      </c>
      <c r="B8" s="96">
        <f>SUM(StateSenatorSenateDistrict49General[Fulton County
Vote Results])</f>
        <v>24158</v>
      </c>
      <c r="C8" s="96">
        <f>SUM(StateSenatorSenateDistrict49General[Hamilton County
Vote Results])</f>
        <v>3442</v>
      </c>
      <c r="D8" s="96">
        <f>SUM(StateSenatorSenateDistrict49General[Part of Herkimer County Vote Results])</f>
        <v>26395</v>
      </c>
      <c r="E8" s="96">
        <f>SUM(StateSenatorSenateDistrict49General[Jefferson County
Vote Results])</f>
        <v>43202</v>
      </c>
      <c r="F8" s="96">
        <f>SUM(StateSenatorSenateDistrict49General[Lewis County
Vote Results])</f>
        <v>13246</v>
      </c>
      <c r="G8" s="96">
        <f>SUM(StateSenatorSenateDistrict49General[Part of Oswego County
Vote Results])</f>
        <v>13413</v>
      </c>
      <c r="H8" s="96">
        <f>SUM(StateSenatorSenateDistrict49General[Part of St. Lawrence County Vote Results])</f>
        <v>15170</v>
      </c>
      <c r="I8" s="97">
        <f>SUM(StateSenatorSenateDistrict49General[Total Votes by Party])</f>
        <v>139026</v>
      </c>
      <c r="J8" s="107"/>
    </row>
    <row r="9" spans="1:10" ht="14.25" x14ac:dyDescent="0.2">
      <c r="B9" s="70"/>
      <c r="C9" s="70"/>
      <c r="D9" s="70"/>
      <c r="E9" s="70"/>
      <c r="F9" s="70"/>
      <c r="H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41A0A-C7EF-48FF-9F37-0C44ECA756D2}">
  <sheetPr>
    <pageSetUpPr fitToPage="1"/>
  </sheetPr>
  <dimension ref="A1:E11"/>
  <sheetViews>
    <sheetView workbookViewId="0"/>
  </sheetViews>
  <sheetFormatPr defaultRowHeight="12.75" x14ac:dyDescent="0.2"/>
  <cols>
    <col min="1" max="1" width="25.5703125" customWidth="1"/>
    <col min="2" max="5" width="20.5703125" customWidth="1"/>
    <col min="6" max="7" width="23.5703125" customWidth="1"/>
  </cols>
  <sheetData>
    <row r="1" spans="1:5" ht="24.95" customHeight="1" x14ac:dyDescent="0.2">
      <c r="A1" s="72" t="s">
        <v>614</v>
      </c>
      <c r="B1" s="108"/>
      <c r="C1" s="108"/>
      <c r="D1" s="108"/>
      <c r="E1" s="108"/>
    </row>
    <row r="2" spans="1:5" ht="28.5" customHeight="1" x14ac:dyDescent="0.2">
      <c r="A2" s="6" t="s">
        <v>93</v>
      </c>
      <c r="B2" s="7" t="s">
        <v>603</v>
      </c>
      <c r="C2" s="7" t="s">
        <v>611</v>
      </c>
      <c r="D2" s="8" t="s">
        <v>84</v>
      </c>
      <c r="E2" s="9" t="s">
        <v>85</v>
      </c>
    </row>
    <row r="3" spans="1:5" ht="14.25" customHeight="1" x14ac:dyDescent="0.2">
      <c r="A3" s="28" t="s">
        <v>615</v>
      </c>
      <c r="B3" s="100">
        <v>61151</v>
      </c>
      <c r="C3" s="100">
        <v>14156</v>
      </c>
      <c r="D3" s="101">
        <f>SUM(StateSenatorSenateDistrict50General[[#This Row],[Part of Onondaga County Vote Results]:[Part of Oswego County Vote Results]])</f>
        <v>75307</v>
      </c>
      <c r="E3" s="113">
        <f>SUM(StateSenatorSenateDistrict50General[[#This Row],[Total Votes by Party]],D6)</f>
        <v>81673</v>
      </c>
    </row>
    <row r="4" spans="1:5" ht="14.25" customHeight="1" x14ac:dyDescent="0.2">
      <c r="A4" s="28" t="s">
        <v>616</v>
      </c>
      <c r="B4" s="100">
        <v>48729</v>
      </c>
      <c r="C4" s="100">
        <v>21548</v>
      </c>
      <c r="D4" s="101">
        <f>SUM(StateSenatorSenateDistrict50General[[#This Row],[Part of Onondaga County Vote Results]:[Part of Oswego County Vote Results]])</f>
        <v>70277</v>
      </c>
      <c r="E4" s="113">
        <f>SUM(StateSenatorSenateDistrict50General[[#This Row],[Total Votes by Party]],D5)</f>
        <v>80163</v>
      </c>
    </row>
    <row r="5" spans="1:5" ht="14.25" customHeight="1" x14ac:dyDescent="0.2">
      <c r="A5" s="28" t="s">
        <v>617</v>
      </c>
      <c r="B5" s="100">
        <v>7270</v>
      </c>
      <c r="C5" s="100">
        <v>2616</v>
      </c>
      <c r="D5" s="101">
        <f>SUM(StateSenatorSenateDistrict50General[[#This Row],[Part of Onondaga County Vote Results]:[Part of Oswego County Vote Results]])</f>
        <v>9886</v>
      </c>
      <c r="E5" s="111"/>
    </row>
    <row r="6" spans="1:5" ht="14.25" customHeight="1" x14ac:dyDescent="0.2">
      <c r="A6" s="28" t="s">
        <v>618</v>
      </c>
      <c r="B6" s="100">
        <v>5032</v>
      </c>
      <c r="C6" s="100">
        <v>1334</v>
      </c>
      <c r="D6" s="101">
        <f>SUM(StateSenatorSenateDistrict50General[[#This Row],[Part of Onondaga County Vote Results]:[Part of Oswego County Vote Results]])</f>
        <v>6366</v>
      </c>
      <c r="E6" s="111"/>
    </row>
    <row r="7" spans="1:5" ht="14.25" customHeight="1" x14ac:dyDescent="0.2">
      <c r="A7" s="29" t="s">
        <v>18</v>
      </c>
      <c r="B7" s="100">
        <v>3889</v>
      </c>
      <c r="C7" s="100">
        <v>1511</v>
      </c>
      <c r="D7" s="101">
        <f>SUM(StateSenatorSenateDistrict50General[[#This Row],[Part of Onondaga County Vote Results]:[Part of Oswego County Vote Results]])</f>
        <v>5400</v>
      </c>
      <c r="E7" s="111"/>
    </row>
    <row r="8" spans="1:5" ht="14.25" customHeight="1" x14ac:dyDescent="0.2">
      <c r="A8" s="29" t="s">
        <v>19</v>
      </c>
      <c r="B8" s="100">
        <v>35</v>
      </c>
      <c r="C8" s="100">
        <v>19</v>
      </c>
      <c r="D8" s="101">
        <f>SUM(StateSenatorSenateDistrict50General[[#This Row],[Part of Onondaga County Vote Results]:[Part of Oswego County Vote Results]])</f>
        <v>54</v>
      </c>
      <c r="E8" s="111"/>
    </row>
    <row r="9" spans="1:5" ht="14.25" customHeight="1" x14ac:dyDescent="0.2">
      <c r="A9" s="29" t="s">
        <v>20</v>
      </c>
      <c r="B9" s="100">
        <v>83</v>
      </c>
      <c r="C9" s="100">
        <v>31</v>
      </c>
      <c r="D9" s="101">
        <f>SUM(StateSenatorSenateDistrict50General[[#This Row],[Part of Onondaga County Vote Results]:[Part of Oswego County Vote Results]])</f>
        <v>114</v>
      </c>
      <c r="E9" s="111"/>
    </row>
    <row r="10" spans="1:5" ht="14.25" customHeight="1" x14ac:dyDescent="0.2">
      <c r="A10" s="103" t="s">
        <v>21</v>
      </c>
      <c r="B10" s="100">
        <f>SUM(StateSenatorSenateDistrict50General[Part of Onondaga County Vote Results])</f>
        <v>126189</v>
      </c>
      <c r="C10" s="100">
        <f>SUM(StateSenatorSenateDistrict50General[Part of Oswego County Vote Results])</f>
        <v>41215</v>
      </c>
      <c r="D10" s="101">
        <f>SUM(StateSenatorSenateDistrict50General[Total Votes by Party])</f>
        <v>167404</v>
      </c>
      <c r="E10" s="111"/>
    </row>
    <row r="11" spans="1:5" ht="14.25" x14ac:dyDescent="0.2">
      <c r="C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8483F-9267-4167-AB81-FDF88AEDCD0A}">
  <sheetPr>
    <pageSetUpPr fitToPage="1"/>
  </sheetPr>
  <dimension ref="A1:J11"/>
  <sheetViews>
    <sheetView workbookViewId="0">
      <pane xSplit="1" topLeftCell="B1" activePane="topRight" state="frozen"/>
      <selection activeCell="A30" sqref="A30"/>
      <selection pane="topRight"/>
    </sheetView>
  </sheetViews>
  <sheetFormatPr defaultRowHeight="12.75" x14ac:dyDescent="0.2"/>
  <cols>
    <col min="1" max="1" width="25.5703125" customWidth="1"/>
    <col min="2" max="10" width="20.5703125" customWidth="1"/>
    <col min="11" max="12" width="23.5703125" customWidth="1"/>
  </cols>
  <sheetData>
    <row r="1" spans="1:10" ht="24.95" customHeight="1" x14ac:dyDescent="0.2">
      <c r="A1" s="72" t="s">
        <v>619</v>
      </c>
      <c r="B1" s="108"/>
      <c r="C1" s="108"/>
      <c r="D1" s="108"/>
      <c r="E1" s="108"/>
      <c r="F1" s="108"/>
      <c r="G1" s="108"/>
      <c r="H1" s="108"/>
      <c r="I1" s="108"/>
      <c r="J1" s="108"/>
    </row>
    <row r="2" spans="1:10" ht="28.5" customHeight="1" x14ac:dyDescent="0.2">
      <c r="A2" s="19" t="s">
        <v>93</v>
      </c>
      <c r="B2" s="7" t="s">
        <v>620</v>
      </c>
      <c r="C2" s="7" t="s">
        <v>621</v>
      </c>
      <c r="D2" s="7" t="s">
        <v>1288</v>
      </c>
      <c r="E2" s="7" t="s">
        <v>622</v>
      </c>
      <c r="F2" s="7" t="s">
        <v>1289</v>
      </c>
      <c r="G2" s="7" t="s">
        <v>1290</v>
      </c>
      <c r="H2" s="7" t="s">
        <v>561</v>
      </c>
      <c r="I2" s="20" t="s">
        <v>84</v>
      </c>
      <c r="J2" s="21" t="s">
        <v>85</v>
      </c>
    </row>
    <row r="3" spans="1:10" ht="14.25" customHeight="1" x14ac:dyDescent="0.2">
      <c r="A3" s="28" t="s">
        <v>624</v>
      </c>
      <c r="B3" s="100">
        <v>4717</v>
      </c>
      <c r="C3" s="100">
        <v>4320</v>
      </c>
      <c r="D3" s="100">
        <v>7577</v>
      </c>
      <c r="E3" s="100">
        <v>10390</v>
      </c>
      <c r="F3" s="100">
        <v>4325</v>
      </c>
      <c r="G3" s="100">
        <v>12352</v>
      </c>
      <c r="H3" s="100">
        <v>11939</v>
      </c>
      <c r="I3" s="101">
        <f>SUM(StateSenatorSenateDistrict51General[[#This Row],[Part of Broome County Vote Results]:[Part of Ulster County Vote Results]])</f>
        <v>55620</v>
      </c>
      <c r="J3" s="113">
        <f>SUM(StateSenatorSenateDistrict51General[[#This Row],[Total Votes by Party]],I6)</f>
        <v>62485</v>
      </c>
    </row>
    <row r="4" spans="1:10" ht="14.25" customHeight="1" x14ac:dyDescent="0.2">
      <c r="A4" s="28" t="s">
        <v>625</v>
      </c>
      <c r="B4" s="100">
        <v>9662</v>
      </c>
      <c r="C4" s="100">
        <v>8011</v>
      </c>
      <c r="D4" s="100">
        <v>12855</v>
      </c>
      <c r="E4" s="100">
        <v>14224</v>
      </c>
      <c r="F4" s="100">
        <v>9552</v>
      </c>
      <c r="G4" s="100">
        <v>17519</v>
      </c>
      <c r="H4" s="100">
        <v>9960</v>
      </c>
      <c r="I4" s="101">
        <f>SUM(StateSenatorSenateDistrict51General[[#This Row],[Part of Broome County Vote Results]:[Part of Ulster County Vote Results]])</f>
        <v>81783</v>
      </c>
      <c r="J4" s="113">
        <f>SUM(StateSenatorSenateDistrict51General[[#This Row],[Total Votes by Party]],I5)</f>
        <v>91282</v>
      </c>
    </row>
    <row r="5" spans="1:10" ht="14.25" customHeight="1" x14ac:dyDescent="0.2">
      <c r="A5" s="28" t="s">
        <v>626</v>
      </c>
      <c r="B5" s="100">
        <v>899</v>
      </c>
      <c r="C5" s="100">
        <v>675</v>
      </c>
      <c r="D5" s="100">
        <v>1179</v>
      </c>
      <c r="E5" s="100">
        <v>1834</v>
      </c>
      <c r="F5" s="100">
        <v>1276</v>
      </c>
      <c r="G5" s="100">
        <v>2154</v>
      </c>
      <c r="H5" s="100">
        <v>1482</v>
      </c>
      <c r="I5" s="101">
        <f>SUM(StateSenatorSenateDistrict51General[[#This Row],[Part of Broome County Vote Results]:[Part of Ulster County Vote Results]])</f>
        <v>9499</v>
      </c>
      <c r="J5" s="111"/>
    </row>
    <row r="6" spans="1:10" ht="14.25" customHeight="1" x14ac:dyDescent="0.2">
      <c r="A6" s="28" t="s">
        <v>627</v>
      </c>
      <c r="B6" s="100">
        <v>519</v>
      </c>
      <c r="C6" s="100">
        <v>453</v>
      </c>
      <c r="D6" s="100">
        <v>887</v>
      </c>
      <c r="E6" s="100">
        <v>1067</v>
      </c>
      <c r="F6" s="100">
        <v>512</v>
      </c>
      <c r="G6" s="100">
        <v>1526</v>
      </c>
      <c r="H6" s="100">
        <v>1901</v>
      </c>
      <c r="I6" s="101">
        <f>SUM(StateSenatorSenateDistrict51General[[#This Row],[Part of Broome County Vote Results]:[Part of Ulster County Vote Results]])</f>
        <v>6865</v>
      </c>
      <c r="J6" s="111"/>
    </row>
    <row r="7" spans="1:10" ht="14.25" customHeight="1" x14ac:dyDescent="0.2">
      <c r="A7" s="29" t="s">
        <v>18</v>
      </c>
      <c r="B7" s="100">
        <v>986</v>
      </c>
      <c r="C7" s="100">
        <v>678</v>
      </c>
      <c r="D7" s="100">
        <v>879</v>
      </c>
      <c r="E7" s="100">
        <v>1127</v>
      </c>
      <c r="F7" s="100">
        <v>522</v>
      </c>
      <c r="G7" s="100">
        <v>1997</v>
      </c>
      <c r="H7" s="100">
        <v>1092</v>
      </c>
      <c r="I7" s="101">
        <f>SUM(StateSenatorSenateDistrict51General[[#This Row],[Part of Broome County Vote Results]:[Part of Ulster County Vote Results]])</f>
        <v>7281</v>
      </c>
      <c r="J7" s="111"/>
    </row>
    <row r="8" spans="1:10" ht="14.25" customHeight="1" x14ac:dyDescent="0.2">
      <c r="A8" s="29" t="s">
        <v>19</v>
      </c>
      <c r="B8" s="100">
        <v>3</v>
      </c>
      <c r="C8" s="100">
        <v>1</v>
      </c>
      <c r="D8" s="100">
        <v>8</v>
      </c>
      <c r="E8" s="100">
        <v>10</v>
      </c>
      <c r="F8" s="100">
        <v>14</v>
      </c>
      <c r="G8" s="100">
        <v>12</v>
      </c>
      <c r="H8" s="100">
        <v>16</v>
      </c>
      <c r="I8" s="101">
        <f>SUM(StateSenatorSenateDistrict51General[[#This Row],[Part of Broome County Vote Results]:[Part of Ulster County Vote Results]])</f>
        <v>64</v>
      </c>
      <c r="J8" s="111"/>
    </row>
    <row r="9" spans="1:10" ht="14.25" customHeight="1" x14ac:dyDescent="0.2">
      <c r="A9" s="29" t="s">
        <v>20</v>
      </c>
      <c r="B9" s="100">
        <v>11</v>
      </c>
      <c r="C9" s="100">
        <v>9</v>
      </c>
      <c r="D9" s="100">
        <v>16</v>
      </c>
      <c r="E9" s="100">
        <v>26</v>
      </c>
      <c r="F9" s="100">
        <v>7</v>
      </c>
      <c r="G9" s="100">
        <v>13</v>
      </c>
      <c r="H9" s="100">
        <v>11</v>
      </c>
      <c r="I9" s="101">
        <f>SUM(StateSenatorSenateDistrict51General[[#This Row],[Part of Broome County Vote Results]:[Part of Ulster County Vote Results]])</f>
        <v>93</v>
      </c>
      <c r="J9" s="111"/>
    </row>
    <row r="10" spans="1:10" ht="14.25" customHeight="1" x14ac:dyDescent="0.2">
      <c r="A10" s="103" t="s">
        <v>21</v>
      </c>
      <c r="B10" s="100">
        <f>SUM(StateSenatorSenateDistrict51General[Part of Broome County Vote Results])</f>
        <v>16797</v>
      </c>
      <c r="C10" s="100">
        <f>SUM(StateSenatorSenateDistrict51General[Part of Chenango County Vote Results])</f>
        <v>14147</v>
      </c>
      <c r="D10" s="100">
        <f>SUM(StateSenatorSenateDistrict51General[Delaware County
Vote Results])</f>
        <v>23401</v>
      </c>
      <c r="E10" s="100">
        <f>SUM(StateSenatorSenateDistrict51General[Otsego County Vote Results])</f>
        <v>28678</v>
      </c>
      <c r="F10" s="100">
        <f>SUM(StateSenatorSenateDistrict51General[Schoharie County
Vote Results])</f>
        <v>16208</v>
      </c>
      <c r="G10" s="100">
        <f>SUM(StateSenatorSenateDistrict51General[Sullivan County
Vote Results])</f>
        <v>35573</v>
      </c>
      <c r="H10" s="100">
        <f>SUM(StateSenatorSenateDistrict51General[Part of Ulster County Vote Results])</f>
        <v>26401</v>
      </c>
      <c r="I10" s="101">
        <f>SUM(StateSenatorSenateDistrict51General[Total Votes by Party])</f>
        <v>161205</v>
      </c>
      <c r="J10" s="111"/>
    </row>
    <row r="11" spans="1:10" ht="14.25" x14ac:dyDescent="0.2">
      <c r="B11" s="70"/>
      <c r="C11" s="70"/>
      <c r="D11" s="70"/>
      <c r="F11" s="70"/>
      <c r="G11" s="70"/>
      <c r="H11" s="70"/>
    </row>
  </sheetData>
  <pageMargins left="0.25" right="0.25" top="0.25" bottom="0.25" header="0.25" footer="0.25"/>
  <pageSetup paperSize="5" scale="86" fitToHeight="0" orientation="landscape" r:id="rId1"/>
  <headerFooter alignWithMargins="0">
    <oddFooter>&amp;RPage &amp;P of &amp;N</oddFooter>
  </headerFooter>
  <tableParts count="1">
    <tablePart r:id="rId2"/>
  </tablePar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9A8D0-B339-4253-989D-AA01F451B864}">
  <sheetPr>
    <pageSetUpPr fitToPage="1"/>
  </sheetPr>
  <dimension ref="A1:F11"/>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628</v>
      </c>
      <c r="B1" s="108"/>
      <c r="C1" s="108"/>
      <c r="D1" s="108"/>
      <c r="E1" s="108"/>
      <c r="F1" s="108"/>
    </row>
    <row r="2" spans="1:6" ht="28.5" customHeight="1" x14ac:dyDescent="0.2">
      <c r="A2" s="6" t="s">
        <v>93</v>
      </c>
      <c r="B2" s="7" t="s">
        <v>620</v>
      </c>
      <c r="C2" s="7" t="s">
        <v>1291</v>
      </c>
      <c r="D2" s="7" t="s">
        <v>1292</v>
      </c>
      <c r="E2" s="8" t="s">
        <v>84</v>
      </c>
      <c r="F2" s="9" t="s">
        <v>85</v>
      </c>
    </row>
    <row r="3" spans="1:6" ht="14.25" customHeight="1" x14ac:dyDescent="0.2">
      <c r="A3" s="28" t="s">
        <v>629</v>
      </c>
      <c r="B3" s="100">
        <v>33264</v>
      </c>
      <c r="C3" s="100">
        <v>8833</v>
      </c>
      <c r="D3" s="100">
        <v>27546</v>
      </c>
      <c r="E3" s="101">
        <f>SUM(StateSenatorSenateDistrict52General[[#This Row],[Part of Broome County Vote Results]:[Tompkins County
Vote Results]])</f>
        <v>69643</v>
      </c>
      <c r="F3" s="113">
        <f>SUM(StateSenatorSenateDistrict52General[[#This Row],[Total Votes by Party]],E5)</f>
        <v>79175</v>
      </c>
    </row>
    <row r="4" spans="1:6" ht="14.25" customHeight="1" x14ac:dyDescent="0.2">
      <c r="A4" s="28" t="s">
        <v>630</v>
      </c>
      <c r="B4" s="100">
        <v>33548</v>
      </c>
      <c r="C4" s="100">
        <v>11098</v>
      </c>
      <c r="D4" s="100">
        <v>11715</v>
      </c>
      <c r="E4" s="101">
        <f>SUM(StateSenatorSenateDistrict52General[[#This Row],[Part of Broome County Vote Results]:[Tompkins County
Vote Results]])</f>
        <v>56361</v>
      </c>
      <c r="F4" s="113">
        <f>SUM(StateSenatorSenateDistrict52General[[#This Row],[Total Votes by Party]],E6)</f>
        <v>58429</v>
      </c>
    </row>
    <row r="5" spans="1:6" ht="14.25" customHeight="1" x14ac:dyDescent="0.2">
      <c r="A5" s="28" t="s">
        <v>631</v>
      </c>
      <c r="B5" s="100">
        <v>3699</v>
      </c>
      <c r="C5" s="100">
        <v>638</v>
      </c>
      <c r="D5" s="100">
        <v>5195</v>
      </c>
      <c r="E5" s="101">
        <f>SUM(StateSenatorSenateDistrict52General[[#This Row],[Part of Broome County Vote Results]:[Tompkins County
Vote Results]])</f>
        <v>9532</v>
      </c>
      <c r="F5" s="111"/>
    </row>
    <row r="6" spans="1:6" ht="14.25" customHeight="1" x14ac:dyDescent="0.2">
      <c r="A6" s="28" t="s">
        <v>632</v>
      </c>
      <c r="B6" s="100">
        <v>929</v>
      </c>
      <c r="C6" s="100">
        <v>623</v>
      </c>
      <c r="D6" s="100">
        <v>516</v>
      </c>
      <c r="E6" s="101">
        <f>SUM(StateSenatorSenateDistrict52General[[#This Row],[Part of Broome County Vote Results]:[Tompkins County
Vote Results]])</f>
        <v>2068</v>
      </c>
      <c r="F6" s="111"/>
    </row>
    <row r="7" spans="1:6" ht="14.25" customHeight="1" x14ac:dyDescent="0.2">
      <c r="A7" s="29" t="s">
        <v>18</v>
      </c>
      <c r="B7" s="100">
        <v>3246</v>
      </c>
      <c r="C7" s="100">
        <v>1131</v>
      </c>
      <c r="D7" s="100">
        <v>1616</v>
      </c>
      <c r="E7" s="101">
        <f>SUM(StateSenatorSenateDistrict52General[[#This Row],[Part of Broome County Vote Results]:[Tompkins County
Vote Results]])</f>
        <v>5993</v>
      </c>
      <c r="F7" s="111"/>
    </row>
    <row r="8" spans="1:6" ht="14.25" customHeight="1" x14ac:dyDescent="0.2">
      <c r="A8" s="29" t="s">
        <v>19</v>
      </c>
      <c r="B8" s="100">
        <v>44</v>
      </c>
      <c r="C8" s="100">
        <v>0</v>
      </c>
      <c r="D8" s="100">
        <v>36</v>
      </c>
      <c r="E8" s="101">
        <f>SUM(StateSenatorSenateDistrict52General[[#This Row],[Part of Broome County Vote Results]:[Tompkins County
Vote Results]])</f>
        <v>80</v>
      </c>
      <c r="F8" s="111"/>
    </row>
    <row r="9" spans="1:6" ht="14.25" customHeight="1" x14ac:dyDescent="0.2">
      <c r="A9" s="29" t="s">
        <v>20</v>
      </c>
      <c r="B9" s="100">
        <v>80</v>
      </c>
      <c r="C9" s="100">
        <v>7</v>
      </c>
      <c r="D9" s="100">
        <v>53</v>
      </c>
      <c r="E9" s="101">
        <f>SUM(StateSenatorSenateDistrict52General[[#This Row],[Part of Broome County Vote Results]:[Tompkins County
Vote Results]])</f>
        <v>140</v>
      </c>
      <c r="F9" s="111"/>
    </row>
    <row r="10" spans="1:6" ht="14.25" customHeight="1" x14ac:dyDescent="0.2">
      <c r="A10" s="103" t="s">
        <v>21</v>
      </c>
      <c r="B10" s="100">
        <f>SUM(StateSenatorSenateDistrict52General[Part of Broome County Vote Results])</f>
        <v>74810</v>
      </c>
      <c r="C10" s="100">
        <f>SUM(StateSenatorSenateDistrict52General[Cortland County
Vote Results])</f>
        <v>22330</v>
      </c>
      <c r="D10" s="100">
        <f>SUM(StateSenatorSenateDistrict52General[Tompkins County
Vote Results])</f>
        <v>46677</v>
      </c>
      <c r="E10" s="101">
        <f>SUM(StateSenatorSenateDistrict52General[Total Votes by Party])</f>
        <v>143817</v>
      </c>
      <c r="F10" s="111"/>
    </row>
    <row r="11" spans="1:6" ht="14.25" x14ac:dyDescent="0.2">
      <c r="B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AE436-2DAC-4403-9399-576699360643}">
  <sheetPr>
    <pageSetUpPr fitToPage="1"/>
  </sheetPr>
  <dimension ref="A1:G11"/>
  <sheetViews>
    <sheetView workbookViewId="0"/>
  </sheetViews>
  <sheetFormatPr defaultRowHeight="12.75" x14ac:dyDescent="0.2"/>
  <cols>
    <col min="1" max="1" width="25.5703125" customWidth="1"/>
    <col min="2" max="7" width="20.5703125" customWidth="1"/>
    <col min="8" max="9" width="23.5703125" customWidth="1"/>
  </cols>
  <sheetData>
    <row r="1" spans="1:7" ht="24.95" customHeight="1" x14ac:dyDescent="0.2">
      <c r="A1" s="72" t="s">
        <v>633</v>
      </c>
      <c r="B1" s="108"/>
      <c r="C1" s="108"/>
      <c r="D1" s="108"/>
      <c r="E1" s="108"/>
      <c r="F1" s="108"/>
      <c r="G1" s="108"/>
    </row>
    <row r="2" spans="1:7" ht="28.5" customHeight="1" x14ac:dyDescent="0.2">
      <c r="A2" s="6" t="s">
        <v>93</v>
      </c>
      <c r="B2" s="7" t="s">
        <v>621</v>
      </c>
      <c r="C2" s="7" t="s">
        <v>609</v>
      </c>
      <c r="D2" s="7" t="s">
        <v>360</v>
      </c>
      <c r="E2" s="7" t="s">
        <v>634</v>
      </c>
      <c r="F2" s="8" t="s">
        <v>84</v>
      </c>
      <c r="G2" s="9" t="s">
        <v>85</v>
      </c>
    </row>
    <row r="3" spans="1:7" ht="14.25" customHeight="1" x14ac:dyDescent="0.2">
      <c r="A3" s="28" t="s">
        <v>635</v>
      </c>
      <c r="B3" s="100">
        <v>2177</v>
      </c>
      <c r="C3" s="100">
        <v>365</v>
      </c>
      <c r="D3" s="100">
        <v>11344</v>
      </c>
      <c r="E3" s="100">
        <v>24399</v>
      </c>
      <c r="F3" s="101">
        <f>SUM(StateSenatorSenateDistrict53General[[#This Row],[Part of Chenango County Vote Results]:[Oneida County
 Vote Results]])</f>
        <v>38285</v>
      </c>
      <c r="G3" s="113">
        <f>SUM(StateSenatorSenateDistrict53General[[#This Row],[Total Votes by Party]],F6)</f>
        <v>42206</v>
      </c>
    </row>
    <row r="4" spans="1:7" ht="14.25" customHeight="1" x14ac:dyDescent="0.2">
      <c r="A4" s="28" t="s">
        <v>636</v>
      </c>
      <c r="B4" s="100">
        <v>5208</v>
      </c>
      <c r="C4" s="100">
        <v>1904</v>
      </c>
      <c r="D4" s="100">
        <v>18053</v>
      </c>
      <c r="E4" s="100">
        <v>63858</v>
      </c>
      <c r="F4" s="101">
        <f>SUM(StateSenatorSenateDistrict53General[[#This Row],[Part of Chenango County Vote Results]:[Oneida County
 Vote Results]])</f>
        <v>89023</v>
      </c>
      <c r="G4" s="113">
        <f>SUM(StateSenatorSenateDistrict53General[[#This Row],[Total Votes by Party]],F5)</f>
        <v>99459</v>
      </c>
    </row>
    <row r="5" spans="1:7" ht="14.25" customHeight="1" x14ac:dyDescent="0.2">
      <c r="A5" s="28" t="s">
        <v>637</v>
      </c>
      <c r="B5" s="100">
        <v>454</v>
      </c>
      <c r="C5" s="100">
        <v>245</v>
      </c>
      <c r="D5" s="100">
        <v>2354</v>
      </c>
      <c r="E5" s="100">
        <v>7383</v>
      </c>
      <c r="F5" s="101">
        <f>SUM(StateSenatorSenateDistrict53General[[#This Row],[Part of Chenango County Vote Results]:[Oneida County
 Vote Results]])</f>
        <v>10436</v>
      </c>
      <c r="G5" s="111"/>
    </row>
    <row r="6" spans="1:7" ht="14.25" customHeight="1" x14ac:dyDescent="0.2">
      <c r="A6" s="28" t="s">
        <v>638</v>
      </c>
      <c r="B6" s="100">
        <v>273</v>
      </c>
      <c r="C6" s="100">
        <v>61</v>
      </c>
      <c r="D6" s="100">
        <v>1202</v>
      </c>
      <c r="E6" s="100">
        <v>2385</v>
      </c>
      <c r="F6" s="101">
        <f>SUM(StateSenatorSenateDistrict53General[[#This Row],[Part of Chenango County Vote Results]:[Oneida County
 Vote Results]])</f>
        <v>3921</v>
      </c>
      <c r="G6" s="111"/>
    </row>
    <row r="7" spans="1:7" ht="14.25" customHeight="1" x14ac:dyDescent="0.2">
      <c r="A7" s="29" t="s">
        <v>18</v>
      </c>
      <c r="B7" s="100">
        <v>466</v>
      </c>
      <c r="C7" s="100">
        <v>53</v>
      </c>
      <c r="D7" s="100">
        <v>1272</v>
      </c>
      <c r="E7" s="100">
        <v>3171</v>
      </c>
      <c r="F7" s="101">
        <f>SUM(StateSenatorSenateDistrict53General[[#This Row],[Part of Chenango County Vote Results]:[Oneida County
 Vote Results]])</f>
        <v>4962</v>
      </c>
      <c r="G7" s="111"/>
    </row>
    <row r="8" spans="1:7" ht="14.25" customHeight="1" x14ac:dyDescent="0.2">
      <c r="A8" s="29" t="s">
        <v>19</v>
      </c>
      <c r="B8" s="100">
        <v>4</v>
      </c>
      <c r="C8" s="100">
        <v>1</v>
      </c>
      <c r="D8" s="100">
        <v>22</v>
      </c>
      <c r="E8" s="100">
        <v>103</v>
      </c>
      <c r="F8" s="101">
        <f>SUM(StateSenatorSenateDistrict53General[[#This Row],[Part of Chenango County Vote Results]:[Oneida County
 Vote Results]])</f>
        <v>130</v>
      </c>
      <c r="G8" s="111"/>
    </row>
    <row r="9" spans="1:7" ht="14.25" customHeight="1" x14ac:dyDescent="0.2">
      <c r="A9" s="29" t="s">
        <v>20</v>
      </c>
      <c r="B9" s="100">
        <v>10</v>
      </c>
      <c r="C9" s="100">
        <v>0</v>
      </c>
      <c r="D9" s="100">
        <v>18</v>
      </c>
      <c r="E9" s="100">
        <v>43</v>
      </c>
      <c r="F9" s="101">
        <f>SUM(StateSenatorSenateDistrict53General[[#This Row],[Part of Chenango County Vote Results]:[Oneida County
 Vote Results]])</f>
        <v>71</v>
      </c>
      <c r="G9" s="111"/>
    </row>
    <row r="10" spans="1:7" ht="14.25" customHeight="1" x14ac:dyDescent="0.2">
      <c r="A10" s="103" t="s">
        <v>21</v>
      </c>
      <c r="B10" s="100">
        <f>SUM(StateSenatorSenateDistrict53General[Part of Chenango County Vote Results])</f>
        <v>8592</v>
      </c>
      <c r="C10" s="100">
        <f>SUM(StateSenatorSenateDistrict53General[Part of Herkimer County Vote Results])</f>
        <v>2629</v>
      </c>
      <c r="D10" s="100">
        <f>SUM(StateSenatorSenateDistrict53General[Madison County
 Vote Results])</f>
        <v>34265</v>
      </c>
      <c r="E10" s="100">
        <f>SUM(StateSenatorSenateDistrict53General[Oneida County
 Vote Results])</f>
        <v>101342</v>
      </c>
      <c r="F10" s="101">
        <f>SUM(StateSenatorSenateDistrict53General[Total Votes by Party])</f>
        <v>146828</v>
      </c>
      <c r="G10" s="111"/>
    </row>
    <row r="11" spans="1:7" ht="14.25" x14ac:dyDescent="0.2">
      <c r="B11" s="70"/>
      <c r="C11" s="70"/>
      <c r="D11"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C7563-21BD-40E9-897C-0F8406848F9E}">
  <sheetPr>
    <pageSetUpPr fitToPage="1"/>
  </sheetPr>
  <dimension ref="A1:D21"/>
  <sheetViews>
    <sheetView zoomScaleNormal="100" zoomScaleSheetLayoutView="120" workbookViewId="0">
      <selection sqref="A1:D1"/>
    </sheetView>
  </sheetViews>
  <sheetFormatPr defaultRowHeight="12.75" x14ac:dyDescent="0.2"/>
  <cols>
    <col min="1" max="1" width="25.5703125" customWidth="1"/>
    <col min="2" max="4" width="20.5703125" customWidth="1"/>
    <col min="5" max="6" width="23.5703125" customWidth="1"/>
  </cols>
  <sheetData>
    <row r="1" spans="1:4" ht="39.950000000000003" customHeight="1" x14ac:dyDescent="0.2">
      <c r="A1" s="147" t="s">
        <v>199</v>
      </c>
      <c r="B1" s="147"/>
      <c r="C1" s="147"/>
      <c r="D1" s="147"/>
    </row>
    <row r="2" spans="1:4" ht="28.5" customHeight="1" x14ac:dyDescent="0.2">
      <c r="A2" s="6" t="s">
        <v>93</v>
      </c>
      <c r="B2" s="7" t="s">
        <v>200</v>
      </c>
      <c r="C2" s="8" t="s">
        <v>84</v>
      </c>
      <c r="D2" s="9" t="s">
        <v>85</v>
      </c>
    </row>
    <row r="3" spans="1:4" ht="14.25" customHeight="1" x14ac:dyDescent="0.2">
      <c r="A3" s="28" t="s">
        <v>201</v>
      </c>
      <c r="B3" s="100">
        <v>382199</v>
      </c>
      <c r="C3" s="101">
        <f>RepInCongressCongressionalDistrict1General245255[[#This Row],[Queens County 
Vote Results]]</f>
        <v>382199</v>
      </c>
      <c r="D3" s="113">
        <f>SUM(RepInCongressCongressionalDistrict1General245255[[#This Row],[Total Votes by Party]],C10,C14)</f>
        <v>590492</v>
      </c>
    </row>
    <row r="4" spans="1:4" ht="14.25" customHeight="1" x14ac:dyDescent="0.2">
      <c r="A4" s="28" t="s">
        <v>202</v>
      </c>
      <c r="B4" s="105">
        <v>365168</v>
      </c>
      <c r="C4" s="101">
        <f>RepInCongressCongressionalDistrict1General245255[[#This Row],[Queens County 
Vote Results]]</f>
        <v>365168</v>
      </c>
      <c r="D4" s="113">
        <f>SUM(RepInCongressCongressionalDistrict1General245255[[#This Row],[Total Votes by Party]])</f>
        <v>365168</v>
      </c>
    </row>
    <row r="5" spans="1:4" ht="14.25" customHeight="1" x14ac:dyDescent="0.2">
      <c r="A5" s="28" t="s">
        <v>203</v>
      </c>
      <c r="B5" s="105">
        <v>378274</v>
      </c>
      <c r="C5" s="101">
        <f>RepInCongressCongressionalDistrict1General245255[[#This Row],[Queens County 
Vote Results]]</f>
        <v>378274</v>
      </c>
      <c r="D5" s="113">
        <f>SUM(RepInCongressCongressionalDistrict1General245255[[#This Row],[Total Votes by Party]])</f>
        <v>378274</v>
      </c>
    </row>
    <row r="6" spans="1:4" ht="14.25" customHeight="1" x14ac:dyDescent="0.2">
      <c r="A6" s="28" t="s">
        <v>204</v>
      </c>
      <c r="B6" s="105">
        <v>400569</v>
      </c>
      <c r="C6" s="101">
        <f>RepInCongressCongressionalDistrict1General245255[[#This Row],[Queens County 
Vote Results]]</f>
        <v>400569</v>
      </c>
      <c r="D6" s="113">
        <f>SUM(RepInCongressCongressionalDistrict1General245255[[#This Row],[Total Votes by Party]])</f>
        <v>400569</v>
      </c>
    </row>
    <row r="7" spans="1:4" ht="14.25" customHeight="1" x14ac:dyDescent="0.2">
      <c r="A7" s="28" t="s">
        <v>205</v>
      </c>
      <c r="B7" s="105">
        <v>355615</v>
      </c>
      <c r="C7" s="101">
        <f>RepInCongressCongressionalDistrict1General245255[[#This Row],[Queens County 
Vote Results]]</f>
        <v>355615</v>
      </c>
      <c r="D7" s="113">
        <f>SUM(RepInCongressCongressionalDistrict1General245255[[#This Row],[Total Votes by Party]],C11,C15)</f>
        <v>554622</v>
      </c>
    </row>
    <row r="8" spans="1:4" ht="14.25" customHeight="1" x14ac:dyDescent="0.2">
      <c r="A8" s="28" t="s">
        <v>206</v>
      </c>
      <c r="B8" s="105">
        <v>393552</v>
      </c>
      <c r="C8" s="101">
        <f>RepInCongressCongressionalDistrict1General245255[[#This Row],[Queens County 
Vote Results]]</f>
        <v>393552</v>
      </c>
      <c r="D8" s="113">
        <f>SUM(RepInCongressCongressionalDistrict1General245255[[#This Row],[Total Votes by Party]])</f>
        <v>393552</v>
      </c>
    </row>
    <row r="9" spans="1:4" ht="14.25" customHeight="1" x14ac:dyDescent="0.2">
      <c r="A9" s="28" t="s">
        <v>207</v>
      </c>
      <c r="B9" s="105">
        <v>389985</v>
      </c>
      <c r="C9" s="101">
        <f>RepInCongressCongressionalDistrict1General245255[[#This Row],[Queens County 
Vote Results]]</f>
        <v>389985</v>
      </c>
      <c r="D9" s="113">
        <f>SUM(RepInCongressCongressionalDistrict1General245255[[#This Row],[Total Votes by Party]])</f>
        <v>389985</v>
      </c>
    </row>
    <row r="10" spans="1:4" ht="14.25" customHeight="1" x14ac:dyDescent="0.2">
      <c r="A10" s="28" t="s">
        <v>208</v>
      </c>
      <c r="B10" s="105">
        <v>192170</v>
      </c>
      <c r="C10" s="101">
        <f>RepInCongressCongressionalDistrict1General245255[[#This Row],[Queens County 
Vote Results]]</f>
        <v>192170</v>
      </c>
      <c r="D10" s="111"/>
    </row>
    <row r="11" spans="1:4" ht="14.25" customHeight="1" x14ac:dyDescent="0.2">
      <c r="A11" s="28" t="s">
        <v>209</v>
      </c>
      <c r="B11" s="105">
        <v>182661</v>
      </c>
      <c r="C11" s="101">
        <f>RepInCongressCongressionalDistrict1General245255[[#This Row],[Queens County 
Vote Results]]</f>
        <v>182661</v>
      </c>
      <c r="D11" s="111"/>
    </row>
    <row r="12" spans="1:4" ht="14.25" customHeight="1" x14ac:dyDescent="0.2">
      <c r="A12" s="28" t="s">
        <v>210</v>
      </c>
      <c r="B12" s="100">
        <v>193690</v>
      </c>
      <c r="C12" s="101">
        <f>RepInCongressCongressionalDistrict1General245255[[#This Row],[Queens County 
Vote Results]]</f>
        <v>193690</v>
      </c>
      <c r="D12" s="113">
        <f>SUM(RepInCongressCongressionalDistrict1General245255[[#This Row],[Total Votes by Party]],C16)</f>
        <v>211059</v>
      </c>
    </row>
    <row r="13" spans="1:4" ht="14.25" customHeight="1" x14ac:dyDescent="0.2">
      <c r="A13" s="28" t="s">
        <v>211</v>
      </c>
      <c r="B13" s="100">
        <v>195997</v>
      </c>
      <c r="C13" s="101">
        <f>RepInCongressCongressionalDistrict1General245255[[#This Row],[Queens County 
Vote Results]]</f>
        <v>195997</v>
      </c>
      <c r="D13" s="113">
        <f>SUM(RepInCongressCongressionalDistrict1General245255[[#This Row],[Total Votes by Party]],C17)</f>
        <v>214552</v>
      </c>
    </row>
    <row r="14" spans="1:4" ht="14.25" customHeight="1" x14ac:dyDescent="0.2">
      <c r="A14" s="28" t="s">
        <v>212</v>
      </c>
      <c r="B14" s="100">
        <v>16123</v>
      </c>
      <c r="C14" s="101">
        <f>RepInCongressCongressionalDistrict1General245255[[#This Row],[Queens County 
Vote Results]]</f>
        <v>16123</v>
      </c>
      <c r="D14" s="111"/>
    </row>
    <row r="15" spans="1:4" ht="14.25" customHeight="1" x14ac:dyDescent="0.2">
      <c r="A15" s="28" t="s">
        <v>213</v>
      </c>
      <c r="B15" s="105">
        <v>16346</v>
      </c>
      <c r="C15" s="101">
        <f>RepInCongressCongressionalDistrict1General245255[[#This Row],[Queens County 
Vote Results]]</f>
        <v>16346</v>
      </c>
      <c r="D15" s="111"/>
    </row>
    <row r="16" spans="1:4" ht="14.25" customHeight="1" x14ac:dyDescent="0.2">
      <c r="A16" s="28" t="s">
        <v>214</v>
      </c>
      <c r="B16" s="105">
        <v>17369</v>
      </c>
      <c r="C16" s="101">
        <f>RepInCongressCongressionalDistrict1General245255[[#This Row],[Queens County 
Vote Results]]</f>
        <v>17369</v>
      </c>
      <c r="D16" s="111"/>
    </row>
    <row r="17" spans="1:4" ht="14.25" customHeight="1" x14ac:dyDescent="0.2">
      <c r="A17" s="28" t="s">
        <v>215</v>
      </c>
      <c r="B17" s="100">
        <v>18555</v>
      </c>
      <c r="C17" s="101">
        <f>RepInCongressCongressionalDistrict1General245255[[#This Row],[Queens County 
Vote Results]]</f>
        <v>18555</v>
      </c>
      <c r="D17" s="111"/>
    </row>
    <row r="18" spans="1:4" ht="14.25" customHeight="1" x14ac:dyDescent="0.2">
      <c r="A18" s="29" t="s">
        <v>18</v>
      </c>
      <c r="B18" s="100">
        <v>1512364</v>
      </c>
      <c r="C18" s="101">
        <f>RepInCongressCongressionalDistrict1General245255[[#This Row],[Queens County 
Vote Results]]</f>
        <v>1512364</v>
      </c>
      <c r="D18" s="111"/>
    </row>
    <row r="19" spans="1:4" ht="14.25" customHeight="1" x14ac:dyDescent="0.2">
      <c r="A19" s="29" t="s">
        <v>19</v>
      </c>
      <c r="B19" s="100">
        <v>20965</v>
      </c>
      <c r="C19" s="101">
        <f>RepInCongressCongressionalDistrict1General245255[[#This Row],[Queens County 
Vote Results]]</f>
        <v>20965</v>
      </c>
      <c r="D19" s="111"/>
    </row>
    <row r="20" spans="1:4" ht="14.25" customHeight="1" x14ac:dyDescent="0.2">
      <c r="A20" s="29" t="s">
        <v>20</v>
      </c>
      <c r="B20" s="100">
        <v>21957</v>
      </c>
      <c r="C20" s="102">
        <f>RepInCongressCongressionalDistrict1General245255[[#This Row],[Queens County 
Vote Results]]</f>
        <v>21957</v>
      </c>
      <c r="D20" s="114"/>
    </row>
    <row r="21" spans="1:4" ht="14.25" customHeight="1" x14ac:dyDescent="0.2">
      <c r="A21" s="103" t="s">
        <v>21</v>
      </c>
      <c r="B21" s="100">
        <f>SUM(RepInCongressCongressionalDistrict1General245255[Queens County 
Vote Results])</f>
        <v>5053559</v>
      </c>
      <c r="C21" s="102">
        <f>SUM(RepInCongressCongressionalDistrict1General245255[Total Votes by Party])</f>
        <v>5053559</v>
      </c>
      <c r="D21" s="115"/>
    </row>
  </sheetData>
  <mergeCells count="1">
    <mergeCell ref="A1:D1"/>
  </mergeCells>
  <pageMargins left="0.25" right="0.25" top="0.25" bottom="0.25" header="0.25" footer="0.25"/>
  <pageSetup paperSize="5" fitToHeight="0" orientation="landscape" r:id="rId1"/>
  <headerFooter alignWithMargins="0">
    <oddFooter>&amp;RPage &amp;P of &amp;N</oddFooter>
  </headerFooter>
  <rowBreaks count="8" manualBreakCount="8">
    <brk id="47" max="4" man="1"/>
    <brk id="90" max="4" man="1"/>
    <brk id="133" max="4" man="1"/>
    <brk id="175" max="16383" man="1"/>
    <brk id="199" max="16383" man="1"/>
    <brk id="233" max="16383" man="1"/>
    <brk id="271" max="16383" man="1"/>
    <brk id="313" max="16383" man="1"/>
  </rowBreaks>
  <tableParts count="1">
    <tablePart r:id="rId2"/>
  </tablePart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BBD8-04D6-4EF7-A9A4-1BB4B713DC48}">
  <sheetPr>
    <pageSetUpPr fitToPage="1"/>
  </sheetPr>
  <dimension ref="A1:G10"/>
  <sheetViews>
    <sheetView workbookViewId="0"/>
  </sheetViews>
  <sheetFormatPr defaultRowHeight="12.75" x14ac:dyDescent="0.2"/>
  <cols>
    <col min="1" max="1" width="25.5703125" customWidth="1"/>
    <col min="2" max="7" width="20.5703125" customWidth="1"/>
    <col min="8" max="9" width="23.5703125" customWidth="1"/>
  </cols>
  <sheetData>
    <row r="1" spans="1:7" ht="24.95" customHeight="1" x14ac:dyDescent="0.2">
      <c r="A1" s="72" t="s">
        <v>639</v>
      </c>
      <c r="B1" s="108"/>
      <c r="C1" s="108"/>
      <c r="D1" s="108"/>
      <c r="E1" s="108"/>
      <c r="F1" s="108"/>
      <c r="G1" s="108"/>
    </row>
    <row r="2" spans="1:7" ht="28.5" customHeight="1" x14ac:dyDescent="0.2">
      <c r="A2" s="6" t="s">
        <v>93</v>
      </c>
      <c r="B2" s="7" t="s">
        <v>113</v>
      </c>
      <c r="C2" s="7" t="s">
        <v>640</v>
      </c>
      <c r="D2" s="7" t="s">
        <v>1293</v>
      </c>
      <c r="E2" s="7" t="s">
        <v>118</v>
      </c>
      <c r="F2" s="8" t="s">
        <v>84</v>
      </c>
      <c r="G2" s="9" t="s">
        <v>85</v>
      </c>
    </row>
    <row r="3" spans="1:7" ht="14.25" customHeight="1" x14ac:dyDescent="0.2">
      <c r="A3" s="28" t="s">
        <v>641</v>
      </c>
      <c r="B3" s="100">
        <v>9544</v>
      </c>
      <c r="C3" s="100">
        <v>12212</v>
      </c>
      <c r="D3" s="100">
        <v>22470</v>
      </c>
      <c r="E3" s="100">
        <v>12662</v>
      </c>
      <c r="F3" s="101">
        <f>SUM(StateSenatorSenateDistrict54General[[#This Row],[Livingston County
Vote Results]:[Wayne County
Vote Results]])</f>
        <v>56888</v>
      </c>
      <c r="G3" s="113">
        <f>SUM(StateSenatorSenateDistrict54General[[#This Row],[Total Votes by Party]])</f>
        <v>56888</v>
      </c>
    </row>
    <row r="4" spans="1:7" ht="14.25" customHeight="1" x14ac:dyDescent="0.2">
      <c r="A4" s="28" t="s">
        <v>642</v>
      </c>
      <c r="B4" s="100">
        <v>17607</v>
      </c>
      <c r="C4" s="100">
        <v>14516</v>
      </c>
      <c r="D4" s="100">
        <v>31101</v>
      </c>
      <c r="E4" s="100">
        <v>25772</v>
      </c>
      <c r="F4" s="101">
        <f>SUM(StateSenatorSenateDistrict54General[[#This Row],[Livingston County
Vote Results]:[Wayne County
Vote Results]])</f>
        <v>88996</v>
      </c>
      <c r="G4" s="113">
        <f>SUM(StateSenatorSenateDistrict54General[[#This Row],[Total Votes by Party]],F5)</f>
        <v>103437</v>
      </c>
    </row>
    <row r="5" spans="1:7" ht="14.25" customHeight="1" x14ac:dyDescent="0.2">
      <c r="A5" s="28" t="s">
        <v>643</v>
      </c>
      <c r="B5" s="100">
        <v>2463</v>
      </c>
      <c r="C5" s="100">
        <v>2744</v>
      </c>
      <c r="D5" s="100">
        <v>4785</v>
      </c>
      <c r="E5" s="100">
        <v>4449</v>
      </c>
      <c r="F5" s="101">
        <f>SUM(StateSenatorSenateDistrict54General[[#This Row],[Livingston County
Vote Results]:[Wayne County
Vote Results]])</f>
        <v>14441</v>
      </c>
      <c r="G5" s="111"/>
    </row>
    <row r="6" spans="1:7" ht="14.25" customHeight="1" x14ac:dyDescent="0.2">
      <c r="A6" s="29" t="s">
        <v>18</v>
      </c>
      <c r="B6" s="100">
        <v>1785</v>
      </c>
      <c r="C6" s="100">
        <v>1810</v>
      </c>
      <c r="D6" s="100">
        <v>2418</v>
      </c>
      <c r="E6" s="100">
        <v>2106</v>
      </c>
      <c r="F6" s="101">
        <f>SUM(StateSenatorSenateDistrict54General[[#This Row],[Livingston County
Vote Results]:[Wayne County
Vote Results]])</f>
        <v>8119</v>
      </c>
      <c r="G6" s="111"/>
    </row>
    <row r="7" spans="1:7" ht="14.25" customHeight="1" x14ac:dyDescent="0.2">
      <c r="A7" s="29" t="s">
        <v>19</v>
      </c>
      <c r="B7" s="100">
        <v>0</v>
      </c>
      <c r="C7" s="100">
        <v>2</v>
      </c>
      <c r="D7" s="100">
        <v>19</v>
      </c>
      <c r="E7" s="100">
        <v>11</v>
      </c>
      <c r="F7" s="101">
        <f>SUM(StateSenatorSenateDistrict54General[[#This Row],[Livingston County
Vote Results]:[Wayne County
Vote Results]])</f>
        <v>32</v>
      </c>
      <c r="G7" s="111"/>
    </row>
    <row r="8" spans="1:7" ht="14.25" customHeight="1" x14ac:dyDescent="0.2">
      <c r="A8" s="29" t="s">
        <v>20</v>
      </c>
      <c r="B8" s="100">
        <v>9</v>
      </c>
      <c r="C8" s="100">
        <v>6</v>
      </c>
      <c r="D8" s="100">
        <v>21</v>
      </c>
      <c r="E8" s="100">
        <v>15</v>
      </c>
      <c r="F8" s="101">
        <f>SUM(StateSenatorSenateDistrict54General[[#This Row],[Livingston County
Vote Results]:[Wayne County
Vote Results]])</f>
        <v>51</v>
      </c>
      <c r="G8" s="111"/>
    </row>
    <row r="9" spans="1:7" ht="14.25" customHeight="1" x14ac:dyDescent="0.2">
      <c r="A9" s="103" t="s">
        <v>21</v>
      </c>
      <c r="B9" s="100">
        <f>SUM(StateSenatorSenateDistrict54General[Livingston County
Vote Results])</f>
        <v>31408</v>
      </c>
      <c r="C9" s="100">
        <f>SUM(StateSenatorSenateDistrict54General[Part of Monroe County Vote Results])</f>
        <v>31290</v>
      </c>
      <c r="D9" s="100">
        <f>SUM(StateSenatorSenateDistrict54General[Ontario County
Vote Results])</f>
        <v>60814</v>
      </c>
      <c r="E9" s="100">
        <f>SUM(StateSenatorSenateDistrict54General[Wayne County
Vote Results])</f>
        <v>45015</v>
      </c>
      <c r="F9" s="101">
        <f>SUM(StateSenatorSenateDistrict54General[Total Votes by Party])</f>
        <v>168527</v>
      </c>
      <c r="G9" s="111"/>
    </row>
    <row r="10" spans="1:7" ht="14.25" x14ac:dyDescent="0.2">
      <c r="B10" s="70"/>
      <c r="C10" s="70"/>
      <c r="E10" s="70"/>
    </row>
  </sheetData>
  <pageMargins left="0.25" right="0.25" top="0.25" bottom="0.25" header="0.25" footer="0.25"/>
  <pageSetup paperSize="5" scale="91" fitToHeight="0" orientation="landscape" r:id="rId1"/>
  <headerFooter alignWithMargins="0">
    <oddFooter>&amp;RPage &amp;P of &amp;N</oddFooter>
  </headerFooter>
  <tableParts count="1">
    <tablePart r:id="rId2"/>
  </tablePart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6224-7A2B-4C4F-A00F-C966259DD424}">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644</v>
      </c>
      <c r="B1" s="108"/>
      <c r="C1" s="108"/>
      <c r="D1" s="108"/>
    </row>
    <row r="2" spans="1:4" ht="28.5" customHeight="1" x14ac:dyDescent="0.2">
      <c r="A2" s="6" t="s">
        <v>93</v>
      </c>
      <c r="B2" s="7" t="s">
        <v>640</v>
      </c>
      <c r="C2" s="8" t="s">
        <v>84</v>
      </c>
      <c r="D2" s="9" t="s">
        <v>85</v>
      </c>
    </row>
    <row r="3" spans="1:4" ht="14.25" customHeight="1" x14ac:dyDescent="0.2">
      <c r="A3" s="28" t="s">
        <v>645</v>
      </c>
      <c r="B3" s="100">
        <v>89485</v>
      </c>
      <c r="C3" s="101">
        <f>SUM(StateSenatorSenateDistrict55General[[#This Row],[Part of Monroe County Vote Results]])</f>
        <v>89485</v>
      </c>
      <c r="D3" s="113">
        <f>SUM(StateSenatorSenateDistrict55General[[#This Row],[Total Votes by Party]],C6)</f>
        <v>97740</v>
      </c>
    </row>
    <row r="4" spans="1:4" ht="14.25" customHeight="1" x14ac:dyDescent="0.2">
      <c r="A4" s="28" t="s">
        <v>646</v>
      </c>
      <c r="B4" s="100">
        <v>52531</v>
      </c>
      <c r="C4" s="101">
        <f>SUM(StateSenatorSenateDistrict55General[[#This Row],[Part of Monroe County Vote Results]])</f>
        <v>52531</v>
      </c>
      <c r="D4" s="113">
        <f>SUM(StateSenatorSenateDistrict55General[[#This Row],[Total Votes by Party]],C5)</f>
        <v>60980</v>
      </c>
    </row>
    <row r="5" spans="1:4" ht="14.25" customHeight="1" x14ac:dyDescent="0.2">
      <c r="A5" s="28" t="s">
        <v>647</v>
      </c>
      <c r="B5" s="100">
        <v>8449</v>
      </c>
      <c r="C5" s="101">
        <f>SUM(StateSenatorSenateDistrict55General[[#This Row],[Part of Monroe County Vote Results]])</f>
        <v>8449</v>
      </c>
      <c r="D5" s="111"/>
    </row>
    <row r="6" spans="1:4" ht="14.25" customHeight="1" x14ac:dyDescent="0.2">
      <c r="A6" s="28" t="s">
        <v>648</v>
      </c>
      <c r="B6" s="100">
        <v>8255</v>
      </c>
      <c r="C6" s="101">
        <f>SUM(StateSenatorSenateDistrict55General[[#This Row],[Part of Monroe County Vote Results]])</f>
        <v>8255</v>
      </c>
      <c r="D6" s="111"/>
    </row>
    <row r="7" spans="1:4" ht="14.25" customHeight="1" x14ac:dyDescent="0.2">
      <c r="A7" s="29" t="s">
        <v>18</v>
      </c>
      <c r="B7" s="100">
        <v>6507</v>
      </c>
      <c r="C7" s="101">
        <f>SUM(StateSenatorSenateDistrict55General[[#This Row],[Part of Monroe County Vote Results]])</f>
        <v>6507</v>
      </c>
      <c r="D7" s="111"/>
    </row>
    <row r="8" spans="1:4" ht="14.25" customHeight="1" x14ac:dyDescent="0.2">
      <c r="A8" s="29" t="s">
        <v>19</v>
      </c>
      <c r="B8" s="100">
        <v>35</v>
      </c>
      <c r="C8" s="101">
        <f>SUM(StateSenatorSenateDistrict55General[[#This Row],[Part of Monroe County Vote Results]])</f>
        <v>35</v>
      </c>
      <c r="D8" s="111"/>
    </row>
    <row r="9" spans="1:4" ht="14.25" customHeight="1" x14ac:dyDescent="0.2">
      <c r="A9" s="29" t="s">
        <v>20</v>
      </c>
      <c r="B9" s="100">
        <v>45</v>
      </c>
      <c r="C9" s="101">
        <f>SUM(StateSenatorSenateDistrict55General[[#This Row],[Part of Monroe County Vote Results]])</f>
        <v>45</v>
      </c>
      <c r="D9" s="111"/>
    </row>
    <row r="10" spans="1:4" ht="14.25" customHeight="1" x14ac:dyDescent="0.2">
      <c r="A10" s="103" t="s">
        <v>21</v>
      </c>
      <c r="B10" s="100">
        <f>SUM(StateSenatorSenateDistrict55General[Part of Monroe County Vote Results])</f>
        <v>165307</v>
      </c>
      <c r="C10" s="101">
        <f>SUM(StateSenatorSenateDistrict55General[Total Votes by Party])</f>
        <v>165307</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89054-DB2F-456B-955A-CAE02C1F3F9C}">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649</v>
      </c>
      <c r="B1" s="108"/>
      <c r="C1" s="108"/>
      <c r="D1" s="108"/>
    </row>
    <row r="2" spans="1:4" ht="28.5" customHeight="1" x14ac:dyDescent="0.2">
      <c r="A2" s="6" t="s">
        <v>93</v>
      </c>
      <c r="B2" s="7" t="s">
        <v>640</v>
      </c>
      <c r="C2" s="8" t="s">
        <v>84</v>
      </c>
      <c r="D2" s="9" t="s">
        <v>85</v>
      </c>
    </row>
    <row r="3" spans="1:4" ht="14.25" customHeight="1" x14ac:dyDescent="0.2">
      <c r="A3" s="28" t="s">
        <v>650</v>
      </c>
      <c r="B3" s="100">
        <v>70091</v>
      </c>
      <c r="C3" s="101">
        <f>StateSenatorSenateDistrict56General[[#This Row],[Part of Monroe County Vote Results]]</f>
        <v>70091</v>
      </c>
      <c r="D3" s="113">
        <f>SUM(StateSenatorSenateDistrict56General[[#This Row],[Total Votes by Party]],C6)</f>
        <v>76341</v>
      </c>
    </row>
    <row r="4" spans="1:4" ht="14.25" customHeight="1" x14ac:dyDescent="0.2">
      <c r="A4" s="28" t="s">
        <v>651</v>
      </c>
      <c r="B4" s="100">
        <v>45830</v>
      </c>
      <c r="C4" s="101">
        <f>StateSenatorSenateDistrict56General[[#This Row],[Part of Monroe County Vote Results]]</f>
        <v>45830</v>
      </c>
      <c r="D4" s="113">
        <f>SUM(StateSenatorSenateDistrict56General[[#This Row],[Total Votes by Party]],C5)</f>
        <v>53292</v>
      </c>
    </row>
    <row r="5" spans="1:4" ht="14.25" customHeight="1" x14ac:dyDescent="0.2">
      <c r="A5" s="28" t="s">
        <v>652</v>
      </c>
      <c r="B5" s="100">
        <v>7462</v>
      </c>
      <c r="C5" s="101">
        <f>StateSenatorSenateDistrict56General[[#This Row],[Part of Monroe County Vote Results]]</f>
        <v>7462</v>
      </c>
      <c r="D5" s="111"/>
    </row>
    <row r="6" spans="1:4" ht="14.25" customHeight="1" x14ac:dyDescent="0.2">
      <c r="A6" s="28" t="s">
        <v>653</v>
      </c>
      <c r="B6" s="100">
        <v>6250</v>
      </c>
      <c r="C6" s="101">
        <f>StateSenatorSenateDistrict56General[[#This Row],[Part of Monroe County Vote Results]]</f>
        <v>6250</v>
      </c>
      <c r="D6" s="111"/>
    </row>
    <row r="7" spans="1:4" ht="14.25" customHeight="1" x14ac:dyDescent="0.2">
      <c r="A7" s="29" t="s">
        <v>18</v>
      </c>
      <c r="B7" s="100">
        <v>5592</v>
      </c>
      <c r="C7" s="101">
        <f>StateSenatorSenateDistrict56General[[#This Row],[Part of Monroe County Vote Results]]</f>
        <v>5592</v>
      </c>
      <c r="D7" s="111"/>
    </row>
    <row r="8" spans="1:4" ht="14.25" customHeight="1" x14ac:dyDescent="0.2">
      <c r="A8" s="29" t="s">
        <v>19</v>
      </c>
      <c r="B8" s="100">
        <v>59</v>
      </c>
      <c r="C8" s="101">
        <f>StateSenatorSenateDistrict56General[[#This Row],[Part of Monroe County Vote Results]]</f>
        <v>59</v>
      </c>
      <c r="D8" s="111"/>
    </row>
    <row r="9" spans="1:4" ht="14.25" customHeight="1" x14ac:dyDescent="0.2">
      <c r="A9" s="29" t="s">
        <v>20</v>
      </c>
      <c r="B9" s="100">
        <v>69</v>
      </c>
      <c r="C9" s="101">
        <f>StateSenatorSenateDistrict56General[[#This Row],[Part of Monroe County Vote Results]]</f>
        <v>69</v>
      </c>
      <c r="D9" s="111"/>
    </row>
    <row r="10" spans="1:4" ht="14.25" customHeight="1" x14ac:dyDescent="0.2">
      <c r="A10" s="103" t="s">
        <v>21</v>
      </c>
      <c r="B10" s="100">
        <f>SUM(StateSenatorSenateDistrict56General[Part of Monroe County Vote Results])</f>
        <v>135353</v>
      </c>
      <c r="C10" s="101">
        <f>SUM(StateSenatorSenateDistrict56General[Total Votes by Party])</f>
        <v>135353</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C1D3-0052-407C-90ED-715564F3D03E}">
  <sheetPr>
    <pageSetUpPr fitToPage="1"/>
  </sheetPr>
  <dimension ref="A1:H9"/>
  <sheetViews>
    <sheetView workbookViewId="0"/>
  </sheetViews>
  <sheetFormatPr defaultRowHeight="12.75" x14ac:dyDescent="0.2"/>
  <cols>
    <col min="1" max="1" width="25.5703125" customWidth="1"/>
    <col min="2" max="8" width="20.5703125" customWidth="1"/>
    <col min="9" max="10" width="23.5703125" customWidth="1"/>
  </cols>
  <sheetData>
    <row r="1" spans="1:8" ht="24.95" customHeight="1" x14ac:dyDescent="0.2">
      <c r="A1" s="72" t="s">
        <v>654</v>
      </c>
      <c r="B1" s="108"/>
      <c r="C1" s="108"/>
      <c r="D1" s="108"/>
      <c r="E1" s="108"/>
      <c r="F1" s="108"/>
      <c r="G1" s="108"/>
      <c r="H1" s="108"/>
    </row>
    <row r="2" spans="1:8" ht="28.5" customHeight="1" x14ac:dyDescent="0.2">
      <c r="A2" s="6" t="s">
        <v>93</v>
      </c>
      <c r="B2" s="7" t="s">
        <v>655</v>
      </c>
      <c r="C2" s="7" t="s">
        <v>130</v>
      </c>
      <c r="D2" s="7" t="s">
        <v>656</v>
      </c>
      <c r="E2" s="7" t="s">
        <v>133</v>
      </c>
      <c r="F2" s="7" t="s">
        <v>1294</v>
      </c>
      <c r="G2" s="8" t="s">
        <v>84</v>
      </c>
      <c r="H2" s="9" t="s">
        <v>85</v>
      </c>
    </row>
    <row r="3" spans="1:8" ht="14.25" customHeight="1" x14ac:dyDescent="0.2">
      <c r="A3" s="28" t="s">
        <v>657</v>
      </c>
      <c r="B3" s="100">
        <v>6913</v>
      </c>
      <c r="C3" s="100">
        <v>22777</v>
      </c>
      <c r="D3" s="100">
        <v>35921</v>
      </c>
      <c r="E3" s="100">
        <v>18811</v>
      </c>
      <c r="F3" s="100">
        <v>13399</v>
      </c>
      <c r="G3" s="101">
        <f>SUM(StateSenatorSenateDistrict57General[[#This Row],[Part of Allegany County Vote Results]:[Wyoming County
Vote Results]])</f>
        <v>97821</v>
      </c>
      <c r="H3" s="113">
        <f>SUM(StateSenatorSenateDistrict57General[[#This Row],[Total Votes by Party]],G4)</f>
        <v>114704</v>
      </c>
    </row>
    <row r="4" spans="1:8" ht="14.25" customHeight="1" x14ac:dyDescent="0.2">
      <c r="A4" s="28" t="s">
        <v>658</v>
      </c>
      <c r="B4" s="100">
        <v>870</v>
      </c>
      <c r="C4" s="100">
        <v>3848</v>
      </c>
      <c r="D4" s="100">
        <v>6800</v>
      </c>
      <c r="E4" s="100">
        <v>3372</v>
      </c>
      <c r="F4" s="100">
        <v>1993</v>
      </c>
      <c r="G4" s="101">
        <f>SUM(StateSenatorSenateDistrict57General[[#This Row],[Part of Allegany County Vote Results]:[Wyoming County
Vote Results]])</f>
        <v>16883</v>
      </c>
      <c r="H4" s="111"/>
    </row>
    <row r="5" spans="1:8" ht="14.25" customHeight="1" x14ac:dyDescent="0.2">
      <c r="A5" s="29" t="s">
        <v>18</v>
      </c>
      <c r="B5" s="100">
        <v>1678</v>
      </c>
      <c r="C5" s="100">
        <v>7757</v>
      </c>
      <c r="D5" s="100">
        <v>14415</v>
      </c>
      <c r="E5" s="100">
        <v>6549</v>
      </c>
      <c r="F5" s="100">
        <v>3974</v>
      </c>
      <c r="G5" s="101">
        <f>SUM(StateSenatorSenateDistrict57General[[#This Row],[Part of Allegany County Vote Results]:[Wyoming County
Vote Results]])</f>
        <v>34373</v>
      </c>
      <c r="H5" s="111"/>
    </row>
    <row r="6" spans="1:8" ht="14.25" customHeight="1" x14ac:dyDescent="0.2">
      <c r="A6" s="29" t="s">
        <v>19</v>
      </c>
      <c r="B6" s="100">
        <v>0</v>
      </c>
      <c r="C6" s="100">
        <v>46</v>
      </c>
      <c r="D6" s="100">
        <v>5</v>
      </c>
      <c r="E6" s="100">
        <v>4</v>
      </c>
      <c r="F6" s="100">
        <v>10</v>
      </c>
      <c r="G6" s="101">
        <f>SUM(StateSenatorSenateDistrict57General[[#This Row],[Part of Allegany County Vote Results]:[Wyoming County
Vote Results]])</f>
        <v>65</v>
      </c>
      <c r="H6" s="111"/>
    </row>
    <row r="7" spans="1:8" ht="14.25" customHeight="1" x14ac:dyDescent="0.2">
      <c r="A7" s="29" t="s">
        <v>20</v>
      </c>
      <c r="B7" s="100">
        <v>31</v>
      </c>
      <c r="C7" s="100">
        <v>51</v>
      </c>
      <c r="D7" s="100">
        <v>269</v>
      </c>
      <c r="E7" s="100">
        <v>85</v>
      </c>
      <c r="F7" s="100">
        <v>39</v>
      </c>
      <c r="G7" s="101">
        <f>SUM(StateSenatorSenateDistrict57General[[#This Row],[Part of Allegany County Vote Results]:[Wyoming County
Vote Results]])</f>
        <v>475</v>
      </c>
      <c r="H7" s="111"/>
    </row>
    <row r="8" spans="1:8" ht="14.25" customHeight="1" x14ac:dyDescent="0.2">
      <c r="A8" s="103" t="s">
        <v>21</v>
      </c>
      <c r="B8" s="100">
        <f>SUM(StateSenatorSenateDistrict57General[Part of Allegany County Vote Results])</f>
        <v>9492</v>
      </c>
      <c r="C8" s="100">
        <f>SUM(StateSenatorSenateDistrict57General[Cattaraugus County
Vote Results])</f>
        <v>34479</v>
      </c>
      <c r="D8" s="100">
        <f>SUM(StateSenatorSenateDistrict57General[[ Chautauqua County Vote Results]])</f>
        <v>57410</v>
      </c>
      <c r="E8" s="100">
        <f>SUM(StateSenatorSenateDistrict57General[Genesee County
Vote Results])</f>
        <v>28821</v>
      </c>
      <c r="F8" s="100">
        <f>SUM(StateSenatorSenateDistrict57General[Wyoming County
Vote Results])</f>
        <v>19415</v>
      </c>
      <c r="G8" s="101">
        <f>SUM(StateSenatorSenateDistrict57General[Total Votes by Party])</f>
        <v>149617</v>
      </c>
      <c r="H8" s="111"/>
    </row>
    <row r="9" spans="1:8" ht="14.25" x14ac:dyDescent="0.2">
      <c r="B9" s="70"/>
      <c r="C9" s="70"/>
      <c r="D9" s="70"/>
      <c r="F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30D8-F391-4AFE-BD1D-7C4F33D05356}">
  <sheetPr>
    <pageSetUpPr fitToPage="1"/>
  </sheetPr>
  <dimension ref="A1:J9"/>
  <sheetViews>
    <sheetView workbookViewId="0">
      <pane xSplit="1" topLeftCell="B1" activePane="topRight" state="frozen"/>
      <selection activeCell="A30" sqref="A30"/>
      <selection pane="topRight"/>
    </sheetView>
  </sheetViews>
  <sheetFormatPr defaultRowHeight="12.75" x14ac:dyDescent="0.2"/>
  <cols>
    <col min="1" max="1" width="25.5703125" customWidth="1"/>
    <col min="2" max="10" width="20.5703125" customWidth="1"/>
    <col min="11" max="12" width="23.5703125" customWidth="1"/>
  </cols>
  <sheetData>
    <row r="1" spans="1:10" ht="24.95" customHeight="1" x14ac:dyDescent="0.2">
      <c r="A1" s="72" t="s">
        <v>659</v>
      </c>
      <c r="B1" s="108"/>
      <c r="C1" s="108"/>
      <c r="D1" s="108"/>
      <c r="E1" s="108"/>
      <c r="F1" s="108"/>
      <c r="G1" s="108"/>
      <c r="H1" s="108"/>
      <c r="I1" s="108"/>
      <c r="J1" s="108"/>
    </row>
    <row r="2" spans="1:10" ht="28.5" customHeight="1" x14ac:dyDescent="0.2">
      <c r="A2" s="6" t="s">
        <v>93</v>
      </c>
      <c r="B2" s="7" t="s">
        <v>655</v>
      </c>
      <c r="C2" s="7" t="s">
        <v>1295</v>
      </c>
      <c r="D2" s="7" t="s">
        <v>1296</v>
      </c>
      <c r="E2" s="7" t="s">
        <v>116</v>
      </c>
      <c r="F2" s="7" t="s">
        <v>117</v>
      </c>
      <c r="G2" s="7" t="s">
        <v>1297</v>
      </c>
      <c r="H2" s="7" t="s">
        <v>1298</v>
      </c>
      <c r="I2" s="8" t="s">
        <v>84</v>
      </c>
      <c r="J2" s="9" t="s">
        <v>85</v>
      </c>
    </row>
    <row r="3" spans="1:10" ht="14.25" customHeight="1" x14ac:dyDescent="0.2">
      <c r="A3" s="28" t="s">
        <v>660</v>
      </c>
      <c r="B3" s="100">
        <v>6484</v>
      </c>
      <c r="C3" s="100">
        <v>24222</v>
      </c>
      <c r="D3" s="100">
        <v>6115</v>
      </c>
      <c r="E3" s="100">
        <v>8947</v>
      </c>
      <c r="F3" s="100">
        <v>31582</v>
      </c>
      <c r="G3" s="100">
        <v>15570</v>
      </c>
      <c r="H3" s="100">
        <v>6575</v>
      </c>
      <c r="I3" s="101">
        <f>SUM(StateSenatorSenateDistrict58General[[#This Row],[Part of Allegany County Vote Results]:[Yates County
Vote Results]])</f>
        <v>99495</v>
      </c>
      <c r="J3" s="113">
        <f>SUM(StateSenatorSenateDistrict58General[[#This Row],[Total Votes by Party]],I4)</f>
        <v>114814</v>
      </c>
    </row>
    <row r="4" spans="1:10" ht="14.25" customHeight="1" x14ac:dyDescent="0.2">
      <c r="A4" s="28" t="s">
        <v>661</v>
      </c>
      <c r="B4" s="100">
        <v>1037</v>
      </c>
      <c r="C4" s="100">
        <v>4051</v>
      </c>
      <c r="D4" s="100">
        <v>991</v>
      </c>
      <c r="E4" s="100">
        <v>1779</v>
      </c>
      <c r="F4" s="100">
        <v>4228</v>
      </c>
      <c r="G4" s="100">
        <v>2082</v>
      </c>
      <c r="H4" s="100">
        <v>1151</v>
      </c>
      <c r="I4" s="101">
        <f>SUM(StateSenatorSenateDistrict58General[[#This Row],[Part of Allegany County Vote Results]:[Yates County
Vote Results]])</f>
        <v>15319</v>
      </c>
      <c r="J4" s="111"/>
    </row>
    <row r="5" spans="1:10" ht="14.25" customHeight="1" x14ac:dyDescent="0.2">
      <c r="A5" s="29" t="s">
        <v>18</v>
      </c>
      <c r="B5" s="100">
        <v>2598</v>
      </c>
      <c r="C5" s="100">
        <v>9469</v>
      </c>
      <c r="D5" s="100">
        <v>2399</v>
      </c>
      <c r="E5" s="100">
        <v>4411</v>
      </c>
      <c r="F5" s="100">
        <v>9643</v>
      </c>
      <c r="G5" s="100">
        <v>6992</v>
      </c>
      <c r="H5" s="100">
        <v>2864</v>
      </c>
      <c r="I5" s="101">
        <f>SUM(StateSenatorSenateDistrict58General[[#This Row],[Part of Allegany County Vote Results]:[Yates County
Vote Results]])</f>
        <v>38376</v>
      </c>
      <c r="J5" s="111"/>
    </row>
    <row r="6" spans="1:10" ht="14.25" customHeight="1" x14ac:dyDescent="0.2">
      <c r="A6" s="29" t="s">
        <v>19</v>
      </c>
      <c r="B6" s="100">
        <v>0</v>
      </c>
      <c r="C6" s="100">
        <v>2</v>
      </c>
      <c r="D6" s="100">
        <v>1</v>
      </c>
      <c r="E6" s="100">
        <v>6</v>
      </c>
      <c r="F6" s="100">
        <v>79</v>
      </c>
      <c r="G6" s="100">
        <v>1</v>
      </c>
      <c r="H6" s="100">
        <v>3</v>
      </c>
      <c r="I6" s="101">
        <f>SUM(StateSenatorSenateDistrict58General[[#This Row],[Part of Allegany County Vote Results]:[Yates County
Vote Results]])</f>
        <v>92</v>
      </c>
      <c r="J6" s="111"/>
    </row>
    <row r="7" spans="1:10" ht="14.25" customHeight="1" x14ac:dyDescent="0.2">
      <c r="A7" s="29" t="s">
        <v>20</v>
      </c>
      <c r="B7" s="100">
        <v>58</v>
      </c>
      <c r="C7" s="100">
        <v>180</v>
      </c>
      <c r="D7" s="100">
        <v>56</v>
      </c>
      <c r="E7" s="100">
        <v>84</v>
      </c>
      <c r="F7" s="100">
        <v>290</v>
      </c>
      <c r="G7" s="100">
        <v>167</v>
      </c>
      <c r="H7" s="100">
        <v>62</v>
      </c>
      <c r="I7" s="101">
        <f>SUM(StateSenatorSenateDistrict58General[[#This Row],[Part of Allegany County Vote Results]:[Yates County
Vote Results]])</f>
        <v>897</v>
      </c>
      <c r="J7" s="111"/>
    </row>
    <row r="8" spans="1:10" ht="14.25" customHeight="1" x14ac:dyDescent="0.2">
      <c r="A8" s="103" t="s">
        <v>21</v>
      </c>
      <c r="B8" s="100">
        <f>SUM(StateSenatorSenateDistrict58General[Part of Allegany County Vote Results])</f>
        <v>10177</v>
      </c>
      <c r="C8" s="100">
        <f>SUM(StateSenatorSenateDistrict58General[Chemung County
Vote Results])</f>
        <v>37924</v>
      </c>
      <c r="D8" s="100">
        <f>SUM(StateSenatorSenateDistrict58General[Schuyler County
Vote Results])</f>
        <v>9562</v>
      </c>
      <c r="E8" s="100">
        <f>SUM(StateSenatorSenateDistrict58General[Seneca County
Vote Results])</f>
        <v>15227</v>
      </c>
      <c r="F8" s="100">
        <f>SUM(StateSenatorSenateDistrict58General[Steuben County
Vote Results])</f>
        <v>45822</v>
      </c>
      <c r="G8" s="100">
        <f>SUM(StateSenatorSenateDistrict58General[Tioga County
Vote Results])</f>
        <v>24812</v>
      </c>
      <c r="H8" s="100">
        <f>SUM(StateSenatorSenateDistrict58General[Yates County
Vote Results])</f>
        <v>10655</v>
      </c>
      <c r="I8" s="101">
        <f>SUM(StateSenatorSenateDistrict58General[Total Votes by Party])</f>
        <v>154179</v>
      </c>
      <c r="J8" s="111"/>
    </row>
    <row r="9" spans="1:10" ht="14.25" x14ac:dyDescent="0.2">
      <c r="B9" s="70"/>
      <c r="C9" s="70"/>
      <c r="D9" s="70"/>
      <c r="E9" s="70"/>
      <c r="F9" s="70"/>
      <c r="G9" s="70"/>
      <c r="H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9B681-77A5-4A68-9420-E4261D9822CA}">
  <sheetPr>
    <pageSetUpPr fitToPage="1"/>
  </sheetPr>
  <dimension ref="A1:F9"/>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662</v>
      </c>
      <c r="B1" s="108"/>
      <c r="C1" s="108"/>
      <c r="D1" s="108"/>
      <c r="E1" s="108"/>
      <c r="F1" s="108"/>
    </row>
    <row r="2" spans="1:6" ht="28.5" customHeight="1" x14ac:dyDescent="0.2">
      <c r="A2" s="6" t="s">
        <v>93</v>
      </c>
      <c r="B2" s="7" t="s">
        <v>253</v>
      </c>
      <c r="C2" s="7" t="s">
        <v>267</v>
      </c>
      <c r="D2" s="7" t="s">
        <v>232</v>
      </c>
      <c r="E2" s="8" t="s">
        <v>84</v>
      </c>
      <c r="F2" s="9" t="s">
        <v>85</v>
      </c>
    </row>
    <row r="3" spans="1:6" ht="14.25" customHeight="1" x14ac:dyDescent="0.2">
      <c r="A3" s="28" t="s">
        <v>663</v>
      </c>
      <c r="B3" s="100">
        <v>20371</v>
      </c>
      <c r="C3" s="100">
        <v>30398</v>
      </c>
      <c r="D3" s="100">
        <v>33610</v>
      </c>
      <c r="E3" s="101">
        <f>SUM(StateSenatorSenateDistrict59General[[#This Row],[Part of Kings County Vote Results]:[Part of Queens County Vote Results]])</f>
        <v>84379</v>
      </c>
      <c r="F3" s="113">
        <f>SUM(StateSenatorSenateDistrict59General[[#This Row],[Total Votes by Party]],E4)</f>
        <v>100073</v>
      </c>
    </row>
    <row r="4" spans="1:6" ht="14.25" customHeight="1" x14ac:dyDescent="0.2">
      <c r="A4" s="28" t="s">
        <v>664</v>
      </c>
      <c r="B4" s="100">
        <v>4942</v>
      </c>
      <c r="C4" s="100">
        <v>3015</v>
      </c>
      <c r="D4" s="100">
        <v>7737</v>
      </c>
      <c r="E4" s="101">
        <f>SUM(StateSenatorSenateDistrict59General[[#This Row],[Part of Kings County Vote Results]:[Part of Queens County Vote Results]])</f>
        <v>15694</v>
      </c>
      <c r="F4" s="111"/>
    </row>
    <row r="5" spans="1:6" ht="14.25" customHeight="1" x14ac:dyDescent="0.2">
      <c r="A5" s="29" t="s">
        <v>18</v>
      </c>
      <c r="B5" s="100">
        <v>4435</v>
      </c>
      <c r="C5" s="100">
        <v>7978</v>
      </c>
      <c r="D5" s="100">
        <v>9489</v>
      </c>
      <c r="E5" s="101">
        <f>SUM(StateSenatorSenateDistrict59General[[#This Row],[Part of Kings County Vote Results]:[Part of Queens County Vote Results]])</f>
        <v>21902</v>
      </c>
      <c r="F5" s="111"/>
    </row>
    <row r="6" spans="1:6" ht="14.25" customHeight="1" x14ac:dyDescent="0.2">
      <c r="A6" s="29" t="s">
        <v>19</v>
      </c>
      <c r="B6" s="100">
        <v>280</v>
      </c>
      <c r="C6" s="100">
        <v>760</v>
      </c>
      <c r="D6" s="100">
        <v>402</v>
      </c>
      <c r="E6" s="101">
        <f>SUM(StateSenatorSenateDistrict59General[[#This Row],[Part of Kings County Vote Results]:[Part of Queens County Vote Results]])</f>
        <v>1442</v>
      </c>
      <c r="F6" s="111"/>
    </row>
    <row r="7" spans="1:6" ht="14.25" customHeight="1" x14ac:dyDescent="0.2">
      <c r="A7" s="29" t="s">
        <v>20</v>
      </c>
      <c r="B7" s="100">
        <v>240</v>
      </c>
      <c r="C7" s="100">
        <v>356</v>
      </c>
      <c r="D7" s="100">
        <v>546</v>
      </c>
      <c r="E7" s="101">
        <f>SUM(StateSenatorSenateDistrict59General[[#This Row],[Part of Kings County Vote Results]:[Part of Queens County Vote Results]])</f>
        <v>1142</v>
      </c>
      <c r="F7" s="111"/>
    </row>
    <row r="8" spans="1:6" ht="14.25" customHeight="1" x14ac:dyDescent="0.2">
      <c r="A8" s="103" t="s">
        <v>21</v>
      </c>
      <c r="B8" s="100">
        <f>SUM(StateSenatorSenateDistrict59General[Part of Kings County Vote Results])</f>
        <v>30268</v>
      </c>
      <c r="C8" s="100">
        <f>SUM(StateSenatorSenateDistrict59General[Part of New York County Vote Results])</f>
        <v>42507</v>
      </c>
      <c r="D8" s="100">
        <f>SUM(StateSenatorSenateDistrict59General[Part of Queens County Vote Results])</f>
        <v>51784</v>
      </c>
      <c r="E8" s="101">
        <f>SUM(StateSenatorSenateDistrict59General[Total Votes by Party])</f>
        <v>124559</v>
      </c>
      <c r="F8" s="111"/>
    </row>
    <row r="9" spans="1:6" ht="14.25" x14ac:dyDescent="0.2">
      <c r="B9" s="70"/>
      <c r="D9"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2EA94-D29D-45E2-A6AD-D9C4AAD06DA1}">
  <sheetPr>
    <pageSetUpPr fitToPage="1"/>
  </sheetPr>
  <dimension ref="A1:D8"/>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665</v>
      </c>
      <c r="B1" s="108"/>
      <c r="C1" s="108"/>
      <c r="D1" s="108"/>
    </row>
    <row r="2" spans="1:4" ht="28.5" customHeight="1" x14ac:dyDescent="0.2">
      <c r="A2" s="6" t="s">
        <v>93</v>
      </c>
      <c r="B2" s="7" t="s">
        <v>1299</v>
      </c>
      <c r="C2" s="8" t="s">
        <v>84</v>
      </c>
      <c r="D2" s="9" t="s">
        <v>85</v>
      </c>
    </row>
    <row r="3" spans="1:4" ht="14.25" customHeight="1" x14ac:dyDescent="0.2">
      <c r="A3" s="28" t="s">
        <v>666</v>
      </c>
      <c r="B3" s="100">
        <v>109393</v>
      </c>
      <c r="C3" s="101">
        <f>StateSenatorSenateDistrict60General[[#This Row],[Part of Erie County
Vote Results]]</f>
        <v>109393</v>
      </c>
      <c r="D3" s="113">
        <f>SUM(StateSenatorSenateDistrict60General[[#This Row],[Total Votes by Party]],C4)</f>
        <v>136892</v>
      </c>
    </row>
    <row r="4" spans="1:4" ht="14.25" customHeight="1" x14ac:dyDescent="0.2">
      <c r="A4" s="28" t="s">
        <v>667</v>
      </c>
      <c r="B4" s="100">
        <v>27499</v>
      </c>
      <c r="C4" s="101">
        <f>StateSenatorSenateDistrict60General[[#This Row],[Part of Erie County
Vote Results]]</f>
        <v>27499</v>
      </c>
      <c r="D4" s="111"/>
    </row>
    <row r="5" spans="1:4" ht="14.25" customHeight="1" x14ac:dyDescent="0.2">
      <c r="A5" s="29" t="s">
        <v>18</v>
      </c>
      <c r="B5" s="100">
        <v>55298</v>
      </c>
      <c r="C5" s="101">
        <f>StateSenatorSenateDistrict60General[[#This Row],[Part of Erie County
Vote Results]]</f>
        <v>55298</v>
      </c>
      <c r="D5" s="111"/>
    </row>
    <row r="6" spans="1:4" ht="14.25" customHeight="1" x14ac:dyDescent="0.2">
      <c r="A6" s="29" t="s">
        <v>19</v>
      </c>
      <c r="B6" s="100">
        <v>12</v>
      </c>
      <c r="C6" s="101">
        <f>StateSenatorSenateDistrict60General[[#This Row],[Part of Erie County
Vote Results]]</f>
        <v>12</v>
      </c>
      <c r="D6" s="111"/>
    </row>
    <row r="7" spans="1:4" ht="14.25" customHeight="1" x14ac:dyDescent="0.2">
      <c r="A7" s="29" t="s">
        <v>20</v>
      </c>
      <c r="B7" s="100">
        <v>1424</v>
      </c>
      <c r="C7" s="101">
        <f>StateSenatorSenateDistrict60General[[#This Row],[Part of Erie County
Vote Results]]</f>
        <v>1424</v>
      </c>
      <c r="D7" s="111"/>
    </row>
    <row r="8" spans="1:4" ht="14.25" customHeight="1" x14ac:dyDescent="0.2">
      <c r="A8" s="103" t="s">
        <v>21</v>
      </c>
      <c r="B8" s="100">
        <f>SUM(StateSenatorSenateDistrict60General[Part of Erie County
Vote Results])</f>
        <v>193626</v>
      </c>
      <c r="C8" s="101">
        <f>SUM(StateSenatorSenateDistrict60General[Total Votes by Party])</f>
        <v>193626</v>
      </c>
      <c r="D8"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C5CB-C39A-4149-BDC2-BA5AD67EFB92}">
  <sheetPr>
    <pageSetUpPr fitToPage="1"/>
  </sheetPr>
  <dimension ref="A1:D10"/>
  <sheetViews>
    <sheetView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668</v>
      </c>
      <c r="B1" s="108"/>
      <c r="C1" s="108"/>
      <c r="D1" s="108"/>
    </row>
    <row r="2" spans="1:4" ht="28.5" customHeight="1" x14ac:dyDescent="0.2">
      <c r="A2" s="6" t="s">
        <v>93</v>
      </c>
      <c r="B2" s="7" t="s">
        <v>1299</v>
      </c>
      <c r="C2" s="8" t="s">
        <v>84</v>
      </c>
      <c r="D2" s="9" t="s">
        <v>85</v>
      </c>
    </row>
    <row r="3" spans="1:4" ht="14.25" customHeight="1" x14ac:dyDescent="0.2">
      <c r="A3" s="28" t="s">
        <v>669</v>
      </c>
      <c r="B3" s="100">
        <v>80274</v>
      </c>
      <c r="C3" s="101">
        <f>SUM(StateSenatorSenateDistrict61General[[#This Row],[Part of Erie County
Vote Results]])</f>
        <v>80274</v>
      </c>
      <c r="D3" s="113">
        <f>SUM(StateSenatorSenateDistrict61General[[#This Row],[Total Votes by Party]],C6)</f>
        <v>88420</v>
      </c>
    </row>
    <row r="4" spans="1:4" ht="14.25" customHeight="1" x14ac:dyDescent="0.2">
      <c r="A4" s="28" t="s">
        <v>670</v>
      </c>
      <c r="B4" s="100">
        <v>46343</v>
      </c>
      <c r="C4" s="101">
        <f>SUM(StateSenatorSenateDistrict61General[[#This Row],[Part of Erie County
Vote Results]])</f>
        <v>46343</v>
      </c>
      <c r="D4" s="113">
        <f>SUM(StateSenatorSenateDistrict61General[[#This Row],[Total Votes by Party]],C5)</f>
        <v>54666</v>
      </c>
    </row>
    <row r="5" spans="1:4" ht="14.25" customHeight="1" x14ac:dyDescent="0.2">
      <c r="A5" s="28" t="s">
        <v>671</v>
      </c>
      <c r="B5" s="100">
        <v>8323</v>
      </c>
      <c r="C5" s="101">
        <f>SUM(StateSenatorSenateDistrict61General[[#This Row],[Part of Erie County
Vote Results]])</f>
        <v>8323</v>
      </c>
      <c r="D5" s="111"/>
    </row>
    <row r="6" spans="1:4" ht="14.25" customHeight="1" x14ac:dyDescent="0.2">
      <c r="A6" s="28" t="s">
        <v>672</v>
      </c>
      <c r="B6" s="100">
        <v>8146</v>
      </c>
      <c r="C6" s="101">
        <f>SUM(StateSenatorSenateDistrict61General[[#This Row],[Part of Erie County
Vote Results]])</f>
        <v>8146</v>
      </c>
      <c r="D6" s="111"/>
    </row>
    <row r="7" spans="1:4" ht="14.25" customHeight="1" x14ac:dyDescent="0.2">
      <c r="A7" s="29" t="s">
        <v>18</v>
      </c>
      <c r="B7" s="100">
        <v>9365</v>
      </c>
      <c r="C7" s="101">
        <f>SUM(StateSenatorSenateDistrict61General[[#This Row],[Part of Erie County
Vote Results]])</f>
        <v>9365</v>
      </c>
      <c r="D7" s="111"/>
    </row>
    <row r="8" spans="1:4" ht="14.25" customHeight="1" x14ac:dyDescent="0.2">
      <c r="A8" s="29" t="s">
        <v>19</v>
      </c>
      <c r="B8" s="100">
        <v>52</v>
      </c>
      <c r="C8" s="101">
        <f>SUM(StateSenatorSenateDistrict61General[[#This Row],[Part of Erie County
Vote Results]])</f>
        <v>52</v>
      </c>
      <c r="D8" s="111"/>
    </row>
    <row r="9" spans="1:4" ht="14.25" customHeight="1" x14ac:dyDescent="0.2">
      <c r="A9" s="29" t="s">
        <v>20</v>
      </c>
      <c r="B9" s="100">
        <v>160</v>
      </c>
      <c r="C9" s="101">
        <f>SUM(StateSenatorSenateDistrict61General[[#This Row],[Part of Erie County
Vote Results]])</f>
        <v>160</v>
      </c>
      <c r="D9" s="111"/>
    </row>
    <row r="10" spans="1:4" ht="14.25" customHeight="1" x14ac:dyDescent="0.2">
      <c r="A10" s="103" t="s">
        <v>21</v>
      </c>
      <c r="B10" s="100">
        <f>SUM(StateSenatorSenateDistrict61General[Part of Erie County
Vote Results])</f>
        <v>152663</v>
      </c>
      <c r="C10" s="101">
        <f>SUM(StateSenatorSenateDistrict61General[Total Votes by Party])</f>
        <v>152663</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B12C9-B6CB-47AB-9634-6640E7B72D3A}">
  <sheetPr>
    <pageSetUpPr fitToPage="1"/>
  </sheetPr>
  <dimension ref="A1:F10"/>
  <sheetViews>
    <sheetView workbookViewId="0"/>
  </sheetViews>
  <sheetFormatPr defaultRowHeight="12.75" x14ac:dyDescent="0.2"/>
  <cols>
    <col min="1" max="1" width="25.5703125" customWidth="1"/>
    <col min="2" max="6" width="20.5703125" customWidth="1"/>
    <col min="7" max="8" width="23.5703125" customWidth="1"/>
  </cols>
  <sheetData>
    <row r="1" spans="1:6" ht="24.95" customHeight="1" x14ac:dyDescent="0.2">
      <c r="A1" s="72" t="s">
        <v>673</v>
      </c>
      <c r="B1" s="108"/>
      <c r="C1" s="108"/>
      <c r="D1" s="108"/>
      <c r="E1" s="108"/>
      <c r="F1" s="108"/>
    </row>
    <row r="2" spans="1:6" ht="28.5" customHeight="1" x14ac:dyDescent="0.2">
      <c r="A2" s="6" t="s">
        <v>93</v>
      </c>
      <c r="B2" s="7" t="s">
        <v>640</v>
      </c>
      <c r="C2" s="7" t="s">
        <v>134</v>
      </c>
      <c r="D2" s="7" t="s">
        <v>135</v>
      </c>
      <c r="E2" s="8" t="s">
        <v>84</v>
      </c>
      <c r="F2" s="9" t="s">
        <v>85</v>
      </c>
    </row>
    <row r="3" spans="1:6" ht="14.25" customHeight="1" x14ac:dyDescent="0.2">
      <c r="A3" s="28" t="s">
        <v>674</v>
      </c>
      <c r="B3" s="100">
        <v>21459</v>
      </c>
      <c r="C3" s="100">
        <v>60115</v>
      </c>
      <c r="D3" s="100">
        <v>12248</v>
      </c>
      <c r="E3" s="101">
        <f>SUM(StateSenatorSenateDistrict62General[[#This Row],[Part of Monroe County Vote Results]:[Orleans County
Vote Results]])</f>
        <v>93822</v>
      </c>
      <c r="F3" s="113">
        <f>SUM(StateSenatorSenateDistrict62General[[#This Row],[Total Votes by Party]],E4)</f>
        <v>113744</v>
      </c>
    </row>
    <row r="4" spans="1:6" ht="14.25" customHeight="1" x14ac:dyDescent="0.2">
      <c r="A4" s="28" t="s">
        <v>675</v>
      </c>
      <c r="B4" s="100">
        <v>4401</v>
      </c>
      <c r="C4" s="100">
        <v>13525</v>
      </c>
      <c r="D4" s="100">
        <v>1996</v>
      </c>
      <c r="E4" s="101">
        <f>SUM(StateSenatorSenateDistrict62General[[#This Row],[Part of Monroe County Vote Results]:[Orleans County
Vote Results]])</f>
        <v>19922</v>
      </c>
      <c r="F4" s="111"/>
    </row>
    <row r="5" spans="1:6" ht="14.25" customHeight="1" x14ac:dyDescent="0.2">
      <c r="A5" s="29" t="s">
        <v>18</v>
      </c>
      <c r="B5" s="100">
        <v>9386</v>
      </c>
      <c r="C5" s="100">
        <v>29064</v>
      </c>
      <c r="D5" s="100">
        <v>4022</v>
      </c>
      <c r="E5" s="101">
        <f>SUM(StateSenatorSenateDistrict62General[[#This Row],[Part of Monroe County Vote Results]:[Orleans County
Vote Results]])</f>
        <v>42472</v>
      </c>
      <c r="F5" s="111"/>
    </row>
    <row r="6" spans="1:6" ht="14.25" customHeight="1" x14ac:dyDescent="0.2">
      <c r="A6" s="29" t="s">
        <v>19</v>
      </c>
      <c r="B6" s="100">
        <v>0</v>
      </c>
      <c r="C6" s="100">
        <v>11</v>
      </c>
      <c r="D6" s="100">
        <v>0</v>
      </c>
      <c r="E6" s="101">
        <f>SUM(StateSenatorSenateDistrict62General[[#This Row],[Part of Monroe County Vote Results]:[Orleans County
Vote Results]])</f>
        <v>11</v>
      </c>
      <c r="F6" s="111"/>
    </row>
    <row r="7" spans="1:6" ht="14.25" customHeight="1" x14ac:dyDescent="0.2">
      <c r="A7" s="29" t="s">
        <v>20</v>
      </c>
      <c r="B7" s="100">
        <v>170</v>
      </c>
      <c r="C7" s="100">
        <v>511</v>
      </c>
      <c r="D7" s="100">
        <v>35</v>
      </c>
      <c r="E7" s="101">
        <f>SUM(StateSenatorSenateDistrict62General[[#This Row],[Part of Monroe County Vote Results]:[Orleans County
Vote Results]])</f>
        <v>716</v>
      </c>
      <c r="F7" s="111"/>
    </row>
    <row r="8" spans="1:6" ht="14.25" customHeight="1" x14ac:dyDescent="0.2">
      <c r="A8" s="103" t="s">
        <v>21</v>
      </c>
      <c r="B8" s="100">
        <f>SUM(StateSenatorSenateDistrict62General[Part of Monroe County Vote Results])</f>
        <v>35416</v>
      </c>
      <c r="C8" s="100">
        <f>SUM(StateSenatorSenateDistrict62General[Niagara County
Vote Results])</f>
        <v>103226</v>
      </c>
      <c r="D8" s="100">
        <f>SUM(StateSenatorSenateDistrict62General[Orleans County
Vote Results])</f>
        <v>18301</v>
      </c>
      <c r="E8" s="101">
        <f>SUM(StateSenatorSenateDistrict62General[Total Votes by Party])</f>
        <v>156943</v>
      </c>
      <c r="F8" s="111"/>
    </row>
    <row r="9" spans="1:6" ht="14.25" x14ac:dyDescent="0.2">
      <c r="B9" s="70"/>
      <c r="D9" s="70"/>
    </row>
    <row r="10" spans="1:6" ht="14.25" x14ac:dyDescent="0.2">
      <c r="B10" s="70"/>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1563-D2A8-4150-B6FB-8948A4B6521F}">
  <sheetPr>
    <pageSetUpPr fitToPage="1"/>
  </sheetPr>
  <dimension ref="A1:D10"/>
  <sheetViews>
    <sheetView zoomScaleNormal="100" workbookViewId="0"/>
  </sheetViews>
  <sheetFormatPr defaultRowHeight="12.75" x14ac:dyDescent="0.2"/>
  <cols>
    <col min="1" max="1" width="25.5703125" customWidth="1"/>
    <col min="2" max="4" width="20.5703125" customWidth="1"/>
    <col min="5" max="6" width="23.5703125" customWidth="1"/>
  </cols>
  <sheetData>
    <row r="1" spans="1:4" ht="24.95" customHeight="1" x14ac:dyDescent="0.2">
      <c r="A1" s="72" t="s">
        <v>676</v>
      </c>
      <c r="B1" s="108"/>
      <c r="C1" s="108"/>
      <c r="D1" s="108"/>
    </row>
    <row r="2" spans="1:4" ht="28.5" customHeight="1" x14ac:dyDescent="0.2">
      <c r="A2" s="6" t="s">
        <v>93</v>
      </c>
      <c r="B2" s="7" t="s">
        <v>1299</v>
      </c>
      <c r="C2" s="8" t="s">
        <v>84</v>
      </c>
      <c r="D2" s="9" t="s">
        <v>85</v>
      </c>
    </row>
    <row r="3" spans="1:4" ht="14.25" customHeight="1" x14ac:dyDescent="0.2">
      <c r="A3" s="28" t="s">
        <v>677</v>
      </c>
      <c r="B3" s="100">
        <v>64386</v>
      </c>
      <c r="C3" s="101">
        <f>StateSenatorSenateDistrict63General[[#This Row],[Part of Erie County
Vote Results]]</f>
        <v>64386</v>
      </c>
      <c r="D3" s="113">
        <f>SUM(StateSenatorSenateDistrict63General[[#This Row],[Total Votes by Party]],C6)</f>
        <v>69966</v>
      </c>
    </row>
    <row r="4" spans="1:4" ht="14.25" customHeight="1" x14ac:dyDescent="0.2">
      <c r="A4" s="28" t="s">
        <v>678</v>
      </c>
      <c r="B4" s="100">
        <v>30043</v>
      </c>
      <c r="C4" s="101">
        <f>StateSenatorSenateDistrict63General[[#This Row],[Part of Erie County
Vote Results]]</f>
        <v>30043</v>
      </c>
      <c r="D4" s="113">
        <f>SUM(StateSenatorSenateDistrict63General[[#This Row],[Total Votes by Party]],C5)</f>
        <v>35384</v>
      </c>
    </row>
    <row r="5" spans="1:4" ht="14.25" customHeight="1" x14ac:dyDescent="0.2">
      <c r="A5" s="28" t="s">
        <v>679</v>
      </c>
      <c r="B5" s="100">
        <v>5341</v>
      </c>
      <c r="C5" s="101">
        <f>StateSenatorSenateDistrict63General[[#This Row],[Part of Erie County
Vote Results]]</f>
        <v>5341</v>
      </c>
      <c r="D5" s="111"/>
    </row>
    <row r="6" spans="1:4" ht="14.25" customHeight="1" x14ac:dyDescent="0.2">
      <c r="A6" s="28" t="s">
        <v>680</v>
      </c>
      <c r="B6" s="100">
        <v>5580</v>
      </c>
      <c r="C6" s="101">
        <f>StateSenatorSenateDistrict63General[[#This Row],[Part of Erie County
Vote Results]]</f>
        <v>5580</v>
      </c>
      <c r="D6" s="111"/>
    </row>
    <row r="7" spans="1:4" ht="14.25" customHeight="1" x14ac:dyDescent="0.2">
      <c r="A7" s="29" t="s">
        <v>18</v>
      </c>
      <c r="B7" s="100">
        <v>9909</v>
      </c>
      <c r="C7" s="101">
        <f>StateSenatorSenateDistrict63General[[#This Row],[Part of Erie County
Vote Results]]</f>
        <v>9909</v>
      </c>
      <c r="D7" s="111"/>
    </row>
    <row r="8" spans="1:4" ht="14.25" customHeight="1" x14ac:dyDescent="0.2">
      <c r="A8" s="29" t="s">
        <v>19</v>
      </c>
      <c r="B8" s="100">
        <v>60</v>
      </c>
      <c r="C8" s="101">
        <f>StateSenatorSenateDistrict63General[[#This Row],[Part of Erie County
Vote Results]]</f>
        <v>60</v>
      </c>
      <c r="D8" s="111"/>
    </row>
    <row r="9" spans="1:4" ht="14.25" customHeight="1" x14ac:dyDescent="0.2">
      <c r="A9" s="29" t="s">
        <v>20</v>
      </c>
      <c r="B9" s="100">
        <v>180</v>
      </c>
      <c r="C9" s="101">
        <f>StateSenatorSenateDistrict63General[[#This Row],[Part of Erie County
Vote Results]]</f>
        <v>180</v>
      </c>
      <c r="D9" s="111"/>
    </row>
    <row r="10" spans="1:4" ht="14.25" customHeight="1" x14ac:dyDescent="0.2">
      <c r="A10" s="103" t="s">
        <v>21</v>
      </c>
      <c r="B10" s="100">
        <f>SUM(StateSenatorSenateDistrict63General[Part of Erie County
Vote Results])</f>
        <v>115499</v>
      </c>
      <c r="C10" s="101">
        <f>SUM(StateSenatorSenateDistrict63General[Total Votes by Party])</f>
        <v>115499</v>
      </c>
      <c r="D10" s="111"/>
    </row>
  </sheetData>
  <pageMargins left="0.25" right="0.25" top="0.25" bottom="0.25" header="0.25" footer="0.25"/>
  <pageSetup paperSize="5" fitToHeight="0" orientation="landscape" r:id="rId1"/>
  <headerFooter alignWithMargins="0">
    <oddFooter>&amp;RPage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8264C5EB9CF447915BE620534146D9" ma:contentTypeVersion="8" ma:contentTypeDescription="Create a new document." ma:contentTypeScope="" ma:versionID="af74afdf04a8bfb76be65694345116cb">
  <xsd:schema xmlns:xsd="http://www.w3.org/2001/XMLSchema" xmlns:xs="http://www.w3.org/2001/XMLSchema" xmlns:p="http://schemas.microsoft.com/office/2006/metadata/properties" xmlns:ns3="5304020a-ddb8-4e3b-8613-a9cdc13c9b5a" xmlns:ns4="66fb80f0-79fa-403c-9c6a-97da8e62d983" targetNamespace="http://schemas.microsoft.com/office/2006/metadata/properties" ma:root="true" ma:fieldsID="cbbee61594ceccd507bc4d353a77978a" ns3:_="" ns4:_="">
    <xsd:import namespace="5304020a-ddb8-4e3b-8613-a9cdc13c9b5a"/>
    <xsd:import namespace="66fb80f0-79fa-403c-9c6a-97da8e62d98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4020a-ddb8-4e3b-8613-a9cdc13c9b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b80f0-79fa-403c-9c6a-97da8e62d9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304020a-ddb8-4e3b-8613-a9cdc13c9b5a" xsi:nil="true"/>
  </documentManagement>
</p:properties>
</file>

<file path=customXml/itemProps1.xml><?xml version="1.0" encoding="utf-8"?>
<ds:datastoreItem xmlns:ds="http://schemas.openxmlformats.org/officeDocument/2006/customXml" ds:itemID="{A13D355A-ED72-4857-8969-FB670A568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4020a-ddb8-4e3b-8613-a9cdc13c9b5a"/>
    <ds:schemaRef ds:uri="66fb80f0-79fa-403c-9c6a-97da8e62d9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5AA1A5-0811-44B0-AB02-831721365BEE}">
  <ds:schemaRefs>
    <ds:schemaRef ds:uri="http://schemas.microsoft.com/sharepoint/v3/contenttype/forms"/>
  </ds:schemaRefs>
</ds:datastoreItem>
</file>

<file path=customXml/itemProps3.xml><?xml version="1.0" encoding="utf-8"?>
<ds:datastoreItem xmlns:ds="http://schemas.openxmlformats.org/officeDocument/2006/customXml" ds:itemID="{4464FD4B-5470-46EF-822D-CC68B7490DB0}">
  <ds:schemaRefs>
    <ds:schemaRef ds:uri="http://schemas.microsoft.com/office/2006/metadata/properties"/>
    <ds:schemaRef ds:uri="http://purl.org/dc/elements/1.1/"/>
    <ds:schemaRef ds:uri="http://purl.org/dc/terms/"/>
    <ds:schemaRef ds:uri="66fb80f0-79fa-403c-9c6a-97da8e62d983"/>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5304020a-ddb8-4e3b-8613-a9cdc13c9b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250</vt:i4>
      </vt:variant>
      <vt:variant>
        <vt:lpstr>Named Ranges</vt:lpstr>
      </vt:variant>
      <vt:variant>
        <vt:i4>13</vt:i4>
      </vt:variant>
    </vt:vector>
  </HeadingPairs>
  <TitlesOfParts>
    <vt:vector size="263" baseType="lpstr">
      <vt:lpstr>President</vt:lpstr>
      <vt:lpstr>US Senate</vt:lpstr>
      <vt:lpstr>1st JD</vt:lpstr>
      <vt:lpstr>2nd JD</vt:lpstr>
      <vt:lpstr>7th JD</vt:lpstr>
      <vt:lpstr>8th JD</vt:lpstr>
      <vt:lpstr>10th JD</vt:lpstr>
      <vt:lpstr>9th JD</vt:lpstr>
      <vt:lpstr>11th JD</vt:lpstr>
      <vt:lpstr>12th JD</vt:lpstr>
      <vt:lpstr>1st CD</vt:lpstr>
      <vt:lpstr>2nd CD</vt:lpstr>
      <vt:lpstr>3rd CD</vt:lpstr>
      <vt:lpstr>4th CD</vt:lpstr>
      <vt:lpstr>5th CD</vt:lpstr>
      <vt:lpstr>6th CD</vt:lpstr>
      <vt:lpstr>7th CD</vt:lpstr>
      <vt:lpstr>8th CD</vt:lpstr>
      <vt:lpstr>9th CD</vt:lpstr>
      <vt:lpstr>10th CD</vt:lpstr>
      <vt:lpstr>11th CD</vt:lpstr>
      <vt:lpstr>12th CD</vt:lpstr>
      <vt:lpstr>13th CD</vt:lpstr>
      <vt:lpstr>14th CD</vt:lpstr>
      <vt:lpstr>15th CD</vt:lpstr>
      <vt:lpstr>16th CD</vt:lpstr>
      <vt:lpstr>17th CD</vt:lpstr>
      <vt:lpstr>18th CD</vt:lpstr>
      <vt:lpstr>19th CD</vt:lpstr>
      <vt:lpstr>20th CD</vt:lpstr>
      <vt:lpstr>21st CD</vt:lpstr>
      <vt:lpstr>22nd CD</vt:lpstr>
      <vt:lpstr>23rd CD</vt:lpstr>
      <vt:lpstr>24th CD</vt:lpstr>
      <vt:lpstr>25th CD</vt:lpstr>
      <vt:lpstr>26th CD</vt:lpstr>
      <vt:lpstr>1st SD</vt:lpstr>
      <vt:lpstr>2nd SD</vt:lpstr>
      <vt:lpstr>3rd SD</vt:lpstr>
      <vt:lpstr>4th SD</vt:lpstr>
      <vt:lpstr>5th SD</vt:lpstr>
      <vt:lpstr>6th SD</vt:lpstr>
      <vt:lpstr>7th SD</vt:lpstr>
      <vt:lpstr>8th SD</vt:lpstr>
      <vt:lpstr>9th SD</vt:lpstr>
      <vt:lpstr>10th SD</vt:lpstr>
      <vt:lpstr>11th SD</vt:lpstr>
      <vt:lpstr>12th SD</vt:lpstr>
      <vt:lpstr>13th SD</vt:lpstr>
      <vt:lpstr>14th SD</vt:lpstr>
      <vt:lpstr>15th SD</vt:lpstr>
      <vt:lpstr>16th SD</vt:lpstr>
      <vt:lpstr>17th SD</vt:lpstr>
      <vt:lpstr>18th SD</vt:lpstr>
      <vt:lpstr>19th SD</vt:lpstr>
      <vt:lpstr>20th SD</vt:lpstr>
      <vt:lpstr>21st SD</vt:lpstr>
      <vt:lpstr>22nd SD</vt:lpstr>
      <vt:lpstr>23rd SD</vt:lpstr>
      <vt:lpstr>24th SD</vt:lpstr>
      <vt:lpstr>25th SD</vt:lpstr>
      <vt:lpstr>26th SD</vt:lpstr>
      <vt:lpstr>27th SD</vt:lpstr>
      <vt:lpstr>28th SD</vt:lpstr>
      <vt:lpstr>29th SD</vt:lpstr>
      <vt:lpstr>30th SD</vt:lpstr>
      <vt:lpstr>31st SD</vt:lpstr>
      <vt:lpstr>32nd SD</vt:lpstr>
      <vt:lpstr>33rd SD</vt:lpstr>
      <vt:lpstr>34th SD</vt:lpstr>
      <vt:lpstr>35th SD</vt:lpstr>
      <vt:lpstr>36th SD</vt:lpstr>
      <vt:lpstr>37th SD</vt:lpstr>
      <vt:lpstr>38th SD</vt:lpstr>
      <vt:lpstr>39th SD</vt:lpstr>
      <vt:lpstr>40th SD</vt:lpstr>
      <vt:lpstr>41st SD</vt:lpstr>
      <vt:lpstr>42nd SD</vt:lpstr>
      <vt:lpstr>43rd SD</vt:lpstr>
      <vt:lpstr>44th SD</vt:lpstr>
      <vt:lpstr>45th SD</vt:lpstr>
      <vt:lpstr>46th SD</vt:lpstr>
      <vt:lpstr>47th SD</vt:lpstr>
      <vt:lpstr>48th SD</vt:lpstr>
      <vt:lpstr>49th SD</vt:lpstr>
      <vt:lpstr>50th SD</vt:lpstr>
      <vt:lpstr>51st SD</vt:lpstr>
      <vt:lpstr>52nd SD</vt:lpstr>
      <vt:lpstr>53rd SD</vt:lpstr>
      <vt:lpstr>54th SD</vt:lpstr>
      <vt:lpstr>55th SD</vt:lpstr>
      <vt:lpstr>56th SD</vt:lpstr>
      <vt:lpstr>57th SD</vt:lpstr>
      <vt:lpstr>58th SD</vt:lpstr>
      <vt:lpstr>59th SD</vt:lpstr>
      <vt:lpstr>60th SD</vt:lpstr>
      <vt:lpstr>61st SD</vt:lpstr>
      <vt:lpstr>62nd SD</vt:lpstr>
      <vt:lpstr>63rd SD</vt:lpstr>
      <vt:lpstr>1st AD</vt:lpstr>
      <vt:lpstr>2nd AD</vt:lpstr>
      <vt:lpstr>3rd AD</vt:lpstr>
      <vt:lpstr>4th AD</vt:lpstr>
      <vt:lpstr>5th AD</vt:lpstr>
      <vt:lpstr>6th AD</vt:lpstr>
      <vt:lpstr>7th AD</vt:lpstr>
      <vt:lpstr>8th AD</vt:lpstr>
      <vt:lpstr>9th AD</vt:lpstr>
      <vt:lpstr>10th AD</vt:lpstr>
      <vt:lpstr>11th AD</vt:lpstr>
      <vt:lpstr>12th AD</vt:lpstr>
      <vt:lpstr>13th AD</vt:lpstr>
      <vt:lpstr>14th AD</vt:lpstr>
      <vt:lpstr>15th AD</vt:lpstr>
      <vt:lpstr>16th AD</vt:lpstr>
      <vt:lpstr>17th AD</vt:lpstr>
      <vt:lpstr>18th AD</vt:lpstr>
      <vt:lpstr>19th AD</vt:lpstr>
      <vt:lpstr>20th AD</vt:lpstr>
      <vt:lpstr>21st AD</vt:lpstr>
      <vt:lpstr>22nd AD</vt:lpstr>
      <vt:lpstr>23rd AD</vt:lpstr>
      <vt:lpstr>24th AD</vt:lpstr>
      <vt:lpstr>25th AD</vt:lpstr>
      <vt:lpstr>26th AD</vt:lpstr>
      <vt:lpstr>27th AD</vt:lpstr>
      <vt:lpstr>28th AD</vt:lpstr>
      <vt:lpstr>29th AD</vt:lpstr>
      <vt:lpstr>30th AD</vt:lpstr>
      <vt:lpstr>31st AD</vt:lpstr>
      <vt:lpstr>32nd AD</vt:lpstr>
      <vt:lpstr>33rd AD</vt:lpstr>
      <vt:lpstr>34th AD</vt:lpstr>
      <vt:lpstr>35th AD</vt:lpstr>
      <vt:lpstr>36th AD</vt:lpstr>
      <vt:lpstr>37th AD</vt:lpstr>
      <vt:lpstr>38th AD</vt:lpstr>
      <vt:lpstr>39th AD</vt:lpstr>
      <vt:lpstr>40th AD</vt:lpstr>
      <vt:lpstr>41st AD</vt:lpstr>
      <vt:lpstr>42nd AD</vt:lpstr>
      <vt:lpstr>43rd AD</vt:lpstr>
      <vt:lpstr>44th AD</vt:lpstr>
      <vt:lpstr>45th AD</vt:lpstr>
      <vt:lpstr>46th AD</vt:lpstr>
      <vt:lpstr>47th AD</vt:lpstr>
      <vt:lpstr>48th AD</vt:lpstr>
      <vt:lpstr>49th AD</vt:lpstr>
      <vt:lpstr>50th AD</vt:lpstr>
      <vt:lpstr>51st AD</vt:lpstr>
      <vt:lpstr>52nd AD</vt:lpstr>
      <vt:lpstr>53rd AD</vt:lpstr>
      <vt:lpstr>54th AD</vt:lpstr>
      <vt:lpstr>55th AD</vt:lpstr>
      <vt:lpstr>56th AD</vt:lpstr>
      <vt:lpstr>57th AD</vt:lpstr>
      <vt:lpstr>58th AD</vt:lpstr>
      <vt:lpstr>59th AD</vt:lpstr>
      <vt:lpstr>60th AD</vt:lpstr>
      <vt:lpstr>61st AD</vt:lpstr>
      <vt:lpstr>62nd AD</vt:lpstr>
      <vt:lpstr>63rd AD</vt:lpstr>
      <vt:lpstr>64th AD</vt:lpstr>
      <vt:lpstr>65th AD</vt:lpstr>
      <vt:lpstr>66th AD</vt:lpstr>
      <vt:lpstr>67th AD</vt:lpstr>
      <vt:lpstr>68th AD</vt:lpstr>
      <vt:lpstr>69th AD</vt:lpstr>
      <vt:lpstr>70th AD</vt:lpstr>
      <vt:lpstr>71st AD</vt:lpstr>
      <vt:lpstr>72nd AD</vt:lpstr>
      <vt:lpstr>73rd AD</vt:lpstr>
      <vt:lpstr>74th AD</vt:lpstr>
      <vt:lpstr>75th AD</vt:lpstr>
      <vt:lpstr>76th AD</vt:lpstr>
      <vt:lpstr>77th AD</vt:lpstr>
      <vt:lpstr>78th AD</vt:lpstr>
      <vt:lpstr>79th AD</vt:lpstr>
      <vt:lpstr>80th AD</vt:lpstr>
      <vt:lpstr>81st AD</vt:lpstr>
      <vt:lpstr>82nd AD</vt:lpstr>
      <vt:lpstr>83rd AD</vt:lpstr>
      <vt:lpstr>84th AD</vt:lpstr>
      <vt:lpstr>85th AD</vt:lpstr>
      <vt:lpstr>86th AD</vt:lpstr>
      <vt:lpstr>87th AD</vt:lpstr>
      <vt:lpstr>88th AD</vt:lpstr>
      <vt:lpstr>89th AD</vt:lpstr>
      <vt:lpstr>90th AD</vt:lpstr>
      <vt:lpstr>91st AD</vt:lpstr>
      <vt:lpstr>92nd AD</vt:lpstr>
      <vt:lpstr>93rd AD</vt:lpstr>
      <vt:lpstr>94th AD</vt:lpstr>
      <vt:lpstr>95th AD</vt:lpstr>
      <vt:lpstr>96th AD</vt:lpstr>
      <vt:lpstr>97th AD</vt:lpstr>
      <vt:lpstr>98th AD</vt:lpstr>
      <vt:lpstr>99th AD</vt:lpstr>
      <vt:lpstr>100th AD</vt:lpstr>
      <vt:lpstr>101st AD</vt:lpstr>
      <vt:lpstr>102nd AD</vt:lpstr>
      <vt:lpstr>103rd AD</vt:lpstr>
      <vt:lpstr>104th AD</vt:lpstr>
      <vt:lpstr>105th AD</vt:lpstr>
      <vt:lpstr>106th AD</vt:lpstr>
      <vt:lpstr>107th AD</vt:lpstr>
      <vt:lpstr>108th AD</vt:lpstr>
      <vt:lpstr>109th AD</vt:lpstr>
      <vt:lpstr>110th AD</vt:lpstr>
      <vt:lpstr>111th AD</vt:lpstr>
      <vt:lpstr>112th AD</vt:lpstr>
      <vt:lpstr>113th AD</vt:lpstr>
      <vt:lpstr>114th AD</vt:lpstr>
      <vt:lpstr>115th AD</vt:lpstr>
      <vt:lpstr>116th AD</vt:lpstr>
      <vt:lpstr>117th AD</vt:lpstr>
      <vt:lpstr>118th AD</vt:lpstr>
      <vt:lpstr>119th AD</vt:lpstr>
      <vt:lpstr>120th AD</vt:lpstr>
      <vt:lpstr>121st AD</vt:lpstr>
      <vt:lpstr>122nd AD</vt:lpstr>
      <vt:lpstr>123rd AD</vt:lpstr>
      <vt:lpstr>124th AD</vt:lpstr>
      <vt:lpstr>125th AD</vt:lpstr>
      <vt:lpstr>126th AD</vt:lpstr>
      <vt:lpstr>127th AD</vt:lpstr>
      <vt:lpstr>128th AD</vt:lpstr>
      <vt:lpstr>129th AD</vt:lpstr>
      <vt:lpstr>130th AD</vt:lpstr>
      <vt:lpstr>131st AD</vt:lpstr>
      <vt:lpstr>132nd AD</vt:lpstr>
      <vt:lpstr>133rd AD</vt:lpstr>
      <vt:lpstr>134th AD</vt:lpstr>
      <vt:lpstr>135th AD</vt:lpstr>
      <vt:lpstr>136th AD</vt:lpstr>
      <vt:lpstr>137th AD</vt:lpstr>
      <vt:lpstr>138th AD</vt:lpstr>
      <vt:lpstr>139th AD</vt:lpstr>
      <vt:lpstr>140th AD</vt:lpstr>
      <vt:lpstr>141st AD</vt:lpstr>
      <vt:lpstr>142nd AD</vt:lpstr>
      <vt:lpstr>143rd AD</vt:lpstr>
      <vt:lpstr>144th AD</vt:lpstr>
      <vt:lpstr>145th AD</vt:lpstr>
      <vt:lpstr>146th AD</vt:lpstr>
      <vt:lpstr>147th AD</vt:lpstr>
      <vt:lpstr>148th AD</vt:lpstr>
      <vt:lpstr>149th AD</vt:lpstr>
      <vt:lpstr>150th AD</vt:lpstr>
      <vt:lpstr>Proposition 1</vt:lpstr>
      <vt:lpstr>'11th JD'!Print_Area</vt:lpstr>
      <vt:lpstr>'12th JD'!Print_Area</vt:lpstr>
      <vt:lpstr>'1st AD'!Print_Area</vt:lpstr>
      <vt:lpstr>'1st CD'!Print_Area</vt:lpstr>
      <vt:lpstr>'1st JD'!Print_Area</vt:lpstr>
      <vt:lpstr>'1st SD'!Print_Area</vt:lpstr>
      <vt:lpstr>'2nd JD'!Print_Area</vt:lpstr>
      <vt:lpstr>President!Print_Area</vt:lpstr>
      <vt:lpstr>'Proposition 1'!Print_Area</vt:lpstr>
      <vt:lpstr>'US Senate'!Print_Area</vt:lpstr>
      <vt:lpstr>President!Print_Titles</vt:lpstr>
      <vt:lpstr>'Proposition 1'!Print_Titles</vt:lpstr>
      <vt:lpstr>'US Senate'!Print_Titles</vt:lpstr>
    </vt:vector>
  </TitlesOfParts>
  <Manager/>
  <Company>NYSBOE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pjorczak</dc:creator>
  <cp:keywords/>
  <dc:description/>
  <cp:lastModifiedBy>Howell, Renee (ELECTIONS)</cp:lastModifiedBy>
  <cp:revision/>
  <cp:lastPrinted>2024-12-06T22:37:59Z</cp:lastPrinted>
  <dcterms:created xsi:type="dcterms:W3CDTF">2008-10-28T18:22:21Z</dcterms:created>
  <dcterms:modified xsi:type="dcterms:W3CDTF">2024-12-09T21:53:41Z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0x010100778264C5EB9CF447915BE620534146D9</vt:lpwstr>
  </property>
</Properties>
</file>