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LEKMcGrath\Documents\"/>
    </mc:Choice>
  </mc:AlternateContent>
  <xr:revisionPtr revIDLastSave="0" documentId="8_{8842C021-5E51-4AF1-9AEC-3D273BED9A5B}" xr6:coauthVersionLast="47" xr6:coauthVersionMax="47" xr10:uidLastSave="{00000000-0000-0000-0000-000000000000}"/>
  <bookViews>
    <workbookView xWindow="2295" yWindow="2295" windowWidth="38700" windowHeight="15225" activeTab="12" xr2:uid="{00000000-000D-0000-FFFF-FFFF00000000}"/>
  </bookViews>
  <sheets>
    <sheet name="1st JD" sheetId="2" r:id="rId1"/>
    <sheet name="2nd JD" sheetId="258" r:id="rId2"/>
    <sheet name="3rd JD" sheetId="269" r:id="rId3"/>
    <sheet name="4th JD" sheetId="270" r:id="rId4"/>
    <sheet name="5th JD" sheetId="260" r:id="rId5"/>
    <sheet name="7th JD" sheetId="262" r:id="rId6"/>
    <sheet name="8th JD" sheetId="263" r:id="rId7"/>
    <sheet name="9th JD" sheetId="264" r:id="rId8"/>
    <sheet name="10th JD" sheetId="265" r:id="rId9"/>
    <sheet name="11th JD" sheetId="266" r:id="rId10"/>
    <sheet name="13th JD" sheetId="268" r:id="rId11"/>
    <sheet name="Proposition 1" sheetId="272" r:id="rId12"/>
    <sheet name="115th AD" sheetId="271" r:id="rId13"/>
  </sheets>
  <definedNames>
    <definedName name="_xlnm.Print_Area" localSheetId="0">'1st JD'!$A$1:$D$12</definedName>
    <definedName name="_xlnm.Print_Area" localSheetId="1">'2nd JD'!$A$1:$D$27</definedName>
    <definedName name="_xlnm.Print_Area" localSheetId="2">'3rd JD'!$A$1:$J$10</definedName>
    <definedName name="_xlnm.Print_Area" localSheetId="3">'4th JD'!$A$1:$N$10</definedName>
    <definedName name="_xlnm.Print_Area" localSheetId="4">'5th JD'!$A$1:$I$22</definedName>
    <definedName name="_xlnm.Print_Area" localSheetId="11">'Proposition 1'!$A$1:$F$66</definedName>
    <definedName name="_xlnm.Print_Titles" localSheetId="11">'Proposition 1'!$1:$3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6" i="272" l="1"/>
  <c r="D66" i="272"/>
  <c r="C66" i="272"/>
  <c r="B66" i="272"/>
  <c r="F65" i="272"/>
  <c r="F64" i="272"/>
  <c r="F63" i="272"/>
  <c r="F62" i="272"/>
  <c r="F61" i="272"/>
  <c r="F60" i="272"/>
  <c r="F59" i="272"/>
  <c r="F58" i="272"/>
  <c r="F57" i="272"/>
  <c r="F56" i="272"/>
  <c r="F55" i="272"/>
  <c r="F54" i="272"/>
  <c r="F53" i="272"/>
  <c r="F52" i="272"/>
  <c r="F51" i="272"/>
  <c r="F50" i="272"/>
  <c r="F49" i="272"/>
  <c r="F48" i="272"/>
  <c r="F47" i="272"/>
  <c r="F46" i="272"/>
  <c r="F45" i="272"/>
  <c r="F44" i="272"/>
  <c r="F43" i="272"/>
  <c r="F42" i="272"/>
  <c r="F41" i="272"/>
  <c r="F40" i="272"/>
  <c r="F39" i="272"/>
  <c r="F38" i="272"/>
  <c r="F37" i="272"/>
  <c r="F36" i="272"/>
  <c r="F35" i="272"/>
  <c r="F34" i="272"/>
  <c r="F33" i="272"/>
  <c r="F32" i="272"/>
  <c r="F31" i="272"/>
  <c r="F30" i="272"/>
  <c r="F29" i="272"/>
  <c r="F28" i="272"/>
  <c r="F27" i="272"/>
  <c r="F26" i="272"/>
  <c r="F25" i="272"/>
  <c r="F24" i="272"/>
  <c r="F23" i="272"/>
  <c r="F22" i="272"/>
  <c r="F21" i="272"/>
  <c r="F20" i="272"/>
  <c r="F19" i="272"/>
  <c r="F18" i="272"/>
  <c r="F17" i="272"/>
  <c r="F16" i="272"/>
  <c r="F15" i="272"/>
  <c r="F14" i="272"/>
  <c r="F13" i="272"/>
  <c r="F12" i="272"/>
  <c r="F11" i="272"/>
  <c r="F10" i="272"/>
  <c r="F9" i="272"/>
  <c r="F8" i="272"/>
  <c r="F7" i="272"/>
  <c r="F6" i="272"/>
  <c r="F5" i="272"/>
  <c r="F4" i="272"/>
  <c r="F66" i="272" l="1"/>
  <c r="G10" i="264"/>
  <c r="G11" i="264"/>
  <c r="G12" i="264"/>
  <c r="E6" i="271"/>
  <c r="D10" i="271"/>
  <c r="C10" i="271"/>
  <c r="B10" i="271"/>
  <c r="E9" i="271"/>
  <c r="E8" i="271"/>
  <c r="E7" i="271"/>
  <c r="E5" i="271"/>
  <c r="E4" i="271"/>
  <c r="E3" i="271"/>
  <c r="F3" i="271" l="1"/>
  <c r="F4" i="271"/>
  <c r="E10" i="271"/>
  <c r="D9" i="258" l="1"/>
  <c r="C8" i="258"/>
  <c r="D8" i="258" s="1"/>
  <c r="C9" i="258"/>
  <c r="C10" i="258"/>
  <c r="D10" i="258" s="1"/>
  <c r="C11" i="258"/>
  <c r="C12" i="258"/>
  <c r="C5" i="2"/>
  <c r="D5" i="2" s="1"/>
  <c r="C6" i="2"/>
  <c r="D6" i="2" s="1"/>
  <c r="J5" i="263"/>
  <c r="J6" i="263"/>
  <c r="H12" i="260" l="1"/>
  <c r="H13" i="260"/>
  <c r="H14" i="260"/>
  <c r="H15" i="260"/>
  <c r="H16" i="260"/>
  <c r="H3" i="260"/>
  <c r="H4" i="260"/>
  <c r="I4" i="260" s="1"/>
  <c r="H5" i="260"/>
  <c r="H6" i="260"/>
  <c r="H7" i="260"/>
  <c r="H8" i="260"/>
  <c r="H9" i="260"/>
  <c r="H10" i="260"/>
  <c r="M4" i="270"/>
  <c r="I4" i="269"/>
  <c r="H10" i="270"/>
  <c r="G10" i="270"/>
  <c r="F10" i="270"/>
  <c r="E10" i="270"/>
  <c r="D10" i="270"/>
  <c r="F10" i="269"/>
  <c r="L10" i="270"/>
  <c r="K10" i="270"/>
  <c r="J10" i="270"/>
  <c r="I10" i="270"/>
  <c r="C10" i="270"/>
  <c r="B10" i="270"/>
  <c r="M9" i="270"/>
  <c r="M8" i="270"/>
  <c r="M7" i="270"/>
  <c r="M6" i="270"/>
  <c r="M5" i="270"/>
  <c r="M3" i="270"/>
  <c r="H10" i="269"/>
  <c r="G10" i="269"/>
  <c r="E10" i="269"/>
  <c r="D10" i="269"/>
  <c r="C10" i="269"/>
  <c r="B10" i="269"/>
  <c r="I9" i="269"/>
  <c r="I8" i="269"/>
  <c r="I7" i="269"/>
  <c r="I6" i="269"/>
  <c r="I5" i="269"/>
  <c r="I3" i="269"/>
  <c r="J13" i="262"/>
  <c r="J12" i="262"/>
  <c r="J11" i="262"/>
  <c r="J10" i="262"/>
  <c r="J9" i="262"/>
  <c r="J8" i="262"/>
  <c r="J7" i="262"/>
  <c r="J6" i="262"/>
  <c r="J5" i="262"/>
  <c r="J4" i="262"/>
  <c r="J3" i="262"/>
  <c r="K6" i="262" l="1"/>
  <c r="I3" i="260"/>
  <c r="K4" i="262"/>
  <c r="K5" i="262"/>
  <c r="K3" i="262"/>
  <c r="I9" i="260"/>
  <c r="I8" i="260"/>
  <c r="I10" i="260"/>
  <c r="N3" i="270"/>
  <c r="N4" i="270"/>
  <c r="J3" i="269"/>
  <c r="J4" i="269"/>
  <c r="M10" i="270"/>
  <c r="I10" i="269"/>
  <c r="B14" i="262"/>
  <c r="C10" i="266" l="1"/>
  <c r="D8" i="266" s="1"/>
  <c r="C7" i="2"/>
  <c r="D7" i="2" s="1"/>
  <c r="B8" i="268" l="1"/>
  <c r="B14" i="266"/>
  <c r="C30" i="265"/>
  <c r="B30" i="265"/>
  <c r="F18" i="264"/>
  <c r="E18" i="264"/>
  <c r="D18" i="264"/>
  <c r="C18" i="264"/>
  <c r="B18" i="264"/>
  <c r="I13" i="263"/>
  <c r="H13" i="263"/>
  <c r="G13" i="263"/>
  <c r="F13" i="263"/>
  <c r="E13" i="263"/>
  <c r="D13" i="263"/>
  <c r="C13" i="263"/>
  <c r="B13" i="263"/>
  <c r="I14" i="262"/>
  <c r="H14" i="262"/>
  <c r="G14" i="262"/>
  <c r="F14" i="262"/>
  <c r="E14" i="262"/>
  <c r="D14" i="262"/>
  <c r="C14" i="262"/>
  <c r="G22" i="260"/>
  <c r="F22" i="260"/>
  <c r="E22" i="260"/>
  <c r="D22" i="260"/>
  <c r="C22" i="260"/>
  <c r="B22" i="260"/>
  <c r="B27" i="258" l="1"/>
  <c r="B12" i="2"/>
  <c r="C3" i="268" l="1"/>
  <c r="D3" i="268" s="1"/>
  <c r="C4" i="268"/>
  <c r="D4" i="268" s="1"/>
  <c r="C5" i="268"/>
  <c r="C6" i="268"/>
  <c r="C3" i="266"/>
  <c r="D3" i="266" s="1"/>
  <c r="C4" i="266"/>
  <c r="D4" i="266" s="1"/>
  <c r="C5" i="266"/>
  <c r="D5" i="266" s="1"/>
  <c r="C6" i="266"/>
  <c r="D6" i="266" s="1"/>
  <c r="C7" i="266"/>
  <c r="D7" i="266" s="1"/>
  <c r="C8" i="266"/>
  <c r="C9" i="266"/>
  <c r="D9" i="266" s="1"/>
  <c r="C11" i="266"/>
  <c r="C12" i="266"/>
  <c r="C13" i="266"/>
  <c r="D29" i="265"/>
  <c r="D28" i="265"/>
  <c r="D27" i="265"/>
  <c r="D26" i="265"/>
  <c r="E26" i="265" s="1"/>
  <c r="D25" i="265"/>
  <c r="D24" i="265"/>
  <c r="D23" i="265"/>
  <c r="D22" i="265"/>
  <c r="D21" i="265"/>
  <c r="D20" i="265"/>
  <c r="D19" i="265"/>
  <c r="D18" i="265"/>
  <c r="D17" i="265"/>
  <c r="D16" i="265"/>
  <c r="D15" i="265"/>
  <c r="D14" i="265"/>
  <c r="D13" i="265"/>
  <c r="D12" i="265"/>
  <c r="D11" i="265"/>
  <c r="D10" i="265"/>
  <c r="D9" i="265"/>
  <c r="E9" i="265" s="1"/>
  <c r="D8" i="265"/>
  <c r="D7" i="265"/>
  <c r="D6" i="265"/>
  <c r="D5" i="265"/>
  <c r="D4" i="265"/>
  <c r="D3" i="265"/>
  <c r="G17" i="264"/>
  <c r="G16" i="264"/>
  <c r="G15" i="264"/>
  <c r="G14" i="264"/>
  <c r="H10" i="264" s="1"/>
  <c r="G13" i="264"/>
  <c r="G9" i="264"/>
  <c r="H9" i="264" s="1"/>
  <c r="G8" i="264"/>
  <c r="H8" i="264" s="1"/>
  <c r="G7" i="264"/>
  <c r="H7" i="264" s="1"/>
  <c r="G6" i="264"/>
  <c r="H6" i="264" s="1"/>
  <c r="G5" i="264"/>
  <c r="G4" i="264"/>
  <c r="H4" i="264" s="1"/>
  <c r="G3" i="264"/>
  <c r="H3" i="264" s="1"/>
  <c r="J3" i="263"/>
  <c r="J4" i="263"/>
  <c r="J7" i="263"/>
  <c r="J8" i="263"/>
  <c r="J9" i="263"/>
  <c r="J10" i="263"/>
  <c r="J11" i="263"/>
  <c r="J12" i="263"/>
  <c r="H21" i="260"/>
  <c r="H20" i="260"/>
  <c r="H19" i="260"/>
  <c r="H18" i="260"/>
  <c r="I6" i="260" s="1"/>
  <c r="H17" i="260"/>
  <c r="I5" i="260" s="1"/>
  <c r="H11" i="260"/>
  <c r="I7" i="260" s="1"/>
  <c r="C26" i="258"/>
  <c r="C25" i="258"/>
  <c r="C24" i="258"/>
  <c r="C23" i="258"/>
  <c r="C22" i="258"/>
  <c r="C21" i="258"/>
  <c r="C20" i="258"/>
  <c r="C19" i="258"/>
  <c r="C18" i="258"/>
  <c r="C17" i="258"/>
  <c r="D11" i="258" s="1"/>
  <c r="C16" i="258"/>
  <c r="C15" i="258"/>
  <c r="C14" i="258"/>
  <c r="C13" i="258"/>
  <c r="C7" i="258"/>
  <c r="C6" i="258"/>
  <c r="D6" i="258" s="1"/>
  <c r="C5" i="258"/>
  <c r="D5" i="258" s="1"/>
  <c r="C4" i="258"/>
  <c r="C3" i="258"/>
  <c r="K4" i="263" l="1"/>
  <c r="E4" i="265"/>
  <c r="E8" i="265"/>
  <c r="E10" i="265"/>
  <c r="E5" i="265"/>
  <c r="E7" i="265"/>
  <c r="E6" i="265"/>
  <c r="E3" i="265"/>
  <c r="H5" i="264"/>
  <c r="K3" i="263"/>
  <c r="D7" i="258"/>
  <c r="D3" i="258"/>
  <c r="D4" i="258"/>
  <c r="C14" i="266"/>
  <c r="C27" i="258"/>
  <c r="D30" i="265"/>
  <c r="J14" i="262"/>
  <c r="J13" i="263"/>
  <c r="H22" i="260"/>
  <c r="G18" i="264"/>
  <c r="C3" i="2"/>
  <c r="C4" i="2"/>
  <c r="D4" i="2" s="1"/>
  <c r="C8" i="2"/>
  <c r="D8" i="2" s="1"/>
  <c r="C9" i="2"/>
  <c r="C10" i="2"/>
  <c r="C11" i="2"/>
  <c r="D3" i="2" l="1"/>
  <c r="C12" i="2"/>
  <c r="C7" i="268" l="1"/>
  <c r="C8" i="268" s="1"/>
</calcChain>
</file>

<file path=xl/sharedStrings.xml><?xml version="1.0" encoding="utf-8"?>
<sst xmlns="http://schemas.openxmlformats.org/spreadsheetml/2006/main" count="337" uniqueCount="254">
  <si>
    <t>Blank</t>
  </si>
  <si>
    <t>Void</t>
  </si>
  <si>
    <t>Total Votes by County</t>
  </si>
  <si>
    <t>Total Votes by Party</t>
  </si>
  <si>
    <t>Total Votes by Candidate</t>
  </si>
  <si>
    <t>Candidate Name (Party)</t>
  </si>
  <si>
    <t>Scattering</t>
  </si>
  <si>
    <t>Richmond County Vote Results</t>
  </si>
  <si>
    <t>New York County 
Vote Results</t>
  </si>
  <si>
    <t>Kings County 
Vote Results</t>
  </si>
  <si>
    <t>Albany County 
Vote Results</t>
  </si>
  <si>
    <t>Columbia County 
Vote Results</t>
  </si>
  <si>
    <t>Greene County 
Vote Results</t>
  </si>
  <si>
    <t>Rensselaer County 
Vote Results</t>
  </si>
  <si>
    <t>Schoharie County 
Vote Results</t>
  </si>
  <si>
    <t>Sullivan County 
Vote Results</t>
  </si>
  <si>
    <t>Ulster County 
Vote Results</t>
  </si>
  <si>
    <t>Clinton County 
Vote Results</t>
  </si>
  <si>
    <t>Essex County 
Vote Results</t>
  </si>
  <si>
    <t>Franklin County 
Vote Results</t>
  </si>
  <si>
    <t>Fulton County 
Vote Results</t>
  </si>
  <si>
    <t>Hamilton County 
Vote Results</t>
  </si>
  <si>
    <t>Montgomery County 
Vote Results</t>
  </si>
  <si>
    <t>St. Lawrence County 
Vote Results</t>
  </si>
  <si>
    <t>Saratoga County 
Vote Results</t>
  </si>
  <si>
    <t>Schenectady County 
Vote Results</t>
  </si>
  <si>
    <t>Warren County 
Vote Results</t>
  </si>
  <si>
    <t>Washington County 
Vote Results</t>
  </si>
  <si>
    <t>Oswego County 
Vote Results</t>
  </si>
  <si>
    <t>Onondaga County 
Vote Results</t>
  </si>
  <si>
    <t>Oneida County 
Vote Results</t>
  </si>
  <si>
    <t>Lewis County 
Vote Results</t>
  </si>
  <si>
    <t>Jefferson County 
Vote Results</t>
  </si>
  <si>
    <t>Herkimer County 
Vote Results</t>
  </si>
  <si>
    <t>Cayuga County 
Vote Results</t>
  </si>
  <si>
    <t>Livingston County 
Vote Results</t>
  </si>
  <si>
    <t>Monroe County 
Vote Results</t>
  </si>
  <si>
    <t>Ontario County 
Vote Results</t>
  </si>
  <si>
    <t>Seneca County 
Vote Results</t>
  </si>
  <si>
    <t>Steuben County 
Vote Results</t>
  </si>
  <si>
    <t>Wayne County 
Vote Results</t>
  </si>
  <si>
    <t>Yates County 
Vote Results</t>
  </si>
  <si>
    <t>Allegany County 
Vote Results</t>
  </si>
  <si>
    <t>Cattaraugus County 
Vote Results</t>
  </si>
  <si>
    <t>Chautauqua County 
Vote Results</t>
  </si>
  <si>
    <t>Erie County 
Vote Results</t>
  </si>
  <si>
    <t>Genesee County 
Vote Results</t>
  </si>
  <si>
    <t>Niagara County 
Vote Results</t>
  </si>
  <si>
    <t>Orleans County 
Vote Results</t>
  </si>
  <si>
    <t>Wyoming County 
Vote Results</t>
  </si>
  <si>
    <t>Dutchess County 
Vote Results</t>
  </si>
  <si>
    <t>Orange County 
Vote Results</t>
  </si>
  <si>
    <t>Putnam County 
Vote Results</t>
  </si>
  <si>
    <t>Rockland County 
Vote Results</t>
  </si>
  <si>
    <t>Westchester County 
Vote Results</t>
  </si>
  <si>
    <t>Nassau County 
Vote Results</t>
  </si>
  <si>
    <t>Suffolk County 
Vote Results</t>
  </si>
  <si>
    <t>Queens County 
Vote Results</t>
  </si>
  <si>
    <t>Supreme Court Justice 1st Judicial District - General Election - 11/4/2025
Vote for 4</t>
  </si>
  <si>
    <t>Supreme Court Justice 2nd Judicial District - General Election - 11/4/2025
Vote for 9</t>
  </si>
  <si>
    <t>Supreme Court Justice 4th Judicial District - General Election - 11/4/2025
Vote for 2</t>
  </si>
  <si>
    <t>Supreme Court Justice 3rd Judicial District - General Election - 11/4/2025
Vote for 1</t>
  </si>
  <si>
    <t>Supreme Court Justice 5th Judicial District - General Election - 11/4/2025
Vote for 4</t>
  </si>
  <si>
    <t>Supreme Court Justice 7th Judicial District - General Election - 11/4/2025
Vote for 2</t>
  </si>
  <si>
    <t>Supreme Court Justice 10th Judicial District - General Election - 11/4/2025
Vote for 8</t>
  </si>
  <si>
    <t>Supreme Court Justice 11th Judicial District - General Election - 11/4/2025
Vote for 5</t>
  </si>
  <si>
    <t>Supreme Court Justice 13th Judicial District - General Election - 11/4/2025
Vote for 1</t>
  </si>
  <si>
    <t>Supreme Court Justice 8th Judicial District - General Election - 11/4/2025
Vote for 2</t>
  </si>
  <si>
    <t>William T. Little, Jr. (DEM)</t>
  </si>
  <si>
    <t>Dana Lynn Salazar (REP)</t>
  </si>
  <si>
    <t>Dana Lynn Salazar (CON)</t>
  </si>
  <si>
    <t>William T. Little, Jr. (WOR)</t>
  </si>
  <si>
    <t>Chris Obstarczyk (REP)</t>
  </si>
  <si>
    <t>Kris Singh (REP)</t>
  </si>
  <si>
    <t>Chris Obstarczyk (CON)</t>
  </si>
  <si>
    <t>Kris Singh (CON)</t>
  </si>
  <si>
    <t>Elizabeth Snyder Fortino (DEM)</t>
  </si>
  <si>
    <t>Candace L.L. Randall (DEM)</t>
  </si>
  <si>
    <t>John W. Dillon (DEM)</t>
  </si>
  <si>
    <t>Gerard J. Snyder (DEM)</t>
  </si>
  <si>
    <t>James McClusky (REP)</t>
  </si>
  <si>
    <t>Lydia Young (REP)</t>
  </si>
  <si>
    <t>Gregory Amoroso (REP)</t>
  </si>
  <si>
    <t>Patrick Kilmartin (REP)</t>
  </si>
  <si>
    <t>James McClusky (CON)</t>
  </si>
  <si>
    <t>Lydia Young (CON)</t>
  </si>
  <si>
    <t>Gregory Amoroso (CON)</t>
  </si>
  <si>
    <t>Patrick Kilmartin (CON)</t>
  </si>
  <si>
    <t>Elizabeth Snyder Fortino (WOR)</t>
  </si>
  <si>
    <t>Candace L.L. Randall (WOR)</t>
  </si>
  <si>
    <t>John W. Dillon (WOR)</t>
  </si>
  <si>
    <t>Gerard J. Snyder (WOR)</t>
  </si>
  <si>
    <t>David Siguenza (DEM)</t>
  </si>
  <si>
    <t>Darius Lind (DEM)</t>
  </si>
  <si>
    <t>Joe Dinolfo (REP)</t>
  </si>
  <si>
    <t>Kristina Kitty Karle (REP)</t>
  </si>
  <si>
    <t>Joe Dinolfo (CON)</t>
  </si>
  <si>
    <t>Kristina Kitty Karle (CON)</t>
  </si>
  <si>
    <t>Shannon Heneghan (DEM)</t>
  </si>
  <si>
    <t>Jorge S. deRosas (DEM)</t>
  </si>
  <si>
    <t>Shannon Heneghan (REP)</t>
  </si>
  <si>
    <t>Jorge S. deRosas (REP)</t>
  </si>
  <si>
    <t>Shannon Heneghan (CON)</t>
  </si>
  <si>
    <t>Jorge S. deRosas (CON)</t>
  </si>
  <si>
    <t>Shannon Heneghan (WOR)</t>
  </si>
  <si>
    <t>Verris B. Shako (DEM)</t>
  </si>
  <si>
    <t>Diane M. Clerkin (DEM)</t>
  </si>
  <si>
    <t>John P. Collins, Jr. (DEM)</t>
  </si>
  <si>
    <t>Desmond C. Lyons (DEM)</t>
  </si>
  <si>
    <t>George A. Smith (REP)</t>
  </si>
  <si>
    <t>Kiel E. Van Horn (REP)</t>
  </si>
  <si>
    <t>Thomas Humbach (REP)</t>
  </si>
  <si>
    <t>Raymond P. Raiche (REP)</t>
  </si>
  <si>
    <t>Verris B. Shako (CON)</t>
  </si>
  <si>
    <t>Diane M. Clerkin (CON)</t>
  </si>
  <si>
    <t>John P. Collins, Jr. (CON)</t>
  </si>
  <si>
    <t>Raymond P. Raiche (CON)</t>
  </si>
  <si>
    <t>Paul Kenny (DEM)</t>
  </si>
  <si>
    <t>Mark A. Cuthbertson (DEM)</t>
  </si>
  <si>
    <t>Margaret C. Reilly (DEM)</t>
  </si>
  <si>
    <t>Joseph C. Pastoressa (DEM)</t>
  </si>
  <si>
    <t>Steven A. Pilewski (DEM)</t>
  </si>
  <si>
    <t>James W. Malone (DEM)</t>
  </si>
  <si>
    <t>Carl J. Copertino (DEM)</t>
  </si>
  <si>
    <t>Bronwyn M. Black-Kelly (DEM)</t>
  </si>
  <si>
    <t>Paul Kenny (REP)</t>
  </si>
  <si>
    <t>Mark A. Cuthbertson (REP)</t>
  </si>
  <si>
    <t>Margaret C. Reilly (REP)</t>
  </si>
  <si>
    <t>Joseph C. Pastoressa (REP)</t>
  </si>
  <si>
    <t>Steven A. Pilewski (REP)</t>
  </si>
  <si>
    <t>James W. Malone (REP)</t>
  </si>
  <si>
    <t>Carl J. Copertino (REP)</t>
  </si>
  <si>
    <t>Bronwyn M. Black-Kelly (REP)</t>
  </si>
  <si>
    <t>Paul Kenny (CON)</t>
  </si>
  <si>
    <t>Margaret C. Reilly (CON)</t>
  </si>
  <si>
    <t>Joseph C. Pastoressa (CON)</t>
  </si>
  <si>
    <t>James W. Malone (CON)</t>
  </si>
  <si>
    <t>Steven A. Pilewski (CON)</t>
  </si>
  <si>
    <t>Carl J. Copertino (CON)</t>
  </si>
  <si>
    <t>Bronwyn M. Black-Kelly (CON)</t>
  </si>
  <si>
    <t>Matthew T. McDonough (CON)</t>
  </si>
  <si>
    <t>Judy Kim (DEM)</t>
  </si>
  <si>
    <t>Suzanne Adams (DEM)</t>
  </si>
  <si>
    <t>James Clynes (DEM)</t>
  </si>
  <si>
    <t>Gowri Krishna (WOR)</t>
  </si>
  <si>
    <t>Jared Trujillo (WOR)</t>
  </si>
  <si>
    <t>Carl J. Landicino (DEM)</t>
  </si>
  <si>
    <t>Betsy Barros (DEM)</t>
  </si>
  <si>
    <t>Jill R. Epstein (DEM)</t>
  </si>
  <si>
    <t>Maria Aragona (DEM)</t>
  </si>
  <si>
    <t>Derefim Neckles (DEM)</t>
  </si>
  <si>
    <t>Claudia Daniels-DePeyster (DEM)</t>
  </si>
  <si>
    <t>Norma Jennings (DEM)</t>
  </si>
  <si>
    <t>Jacqueline Williams (DEM)</t>
  </si>
  <si>
    <t>Brian L. Gotlieb (DEM)</t>
  </si>
  <si>
    <t>Carl J. Landicino (REP)</t>
  </si>
  <si>
    <t>Betsy Barros (REP)</t>
  </si>
  <si>
    <t>Jill R. Epstein (REP)</t>
  </si>
  <si>
    <t>Maria Aragona (REP)</t>
  </si>
  <si>
    <t>Derefim Neckles (REP)</t>
  </si>
  <si>
    <t>Brian L. Gotlieb (REP)</t>
  </si>
  <si>
    <t>Carl J. Landicino (CON)</t>
  </si>
  <si>
    <t>Betsy Barros (CON)</t>
  </si>
  <si>
    <t>Jill R. Epstein (CON)</t>
  </si>
  <si>
    <t>Maria Aragona (CON)</t>
  </si>
  <si>
    <t>Derefim Neckles (CON)</t>
  </si>
  <si>
    <t>Brian L. Gotlieb (CON)</t>
  </si>
  <si>
    <t>Sandra Perez (DEM)</t>
  </si>
  <si>
    <t>Ira R. Greenberg (DEM)</t>
  </si>
  <si>
    <t>Gary F. Miret (DEM)</t>
  </si>
  <si>
    <t>Frances Y. Wang (DEM)</t>
  </si>
  <si>
    <t>Soma S. Syed (DEM)</t>
  </si>
  <si>
    <t>Gary Muraca (REP)</t>
  </si>
  <si>
    <t>Richard Felix (REP)</t>
  </si>
  <si>
    <t>Gary Muraca (CON)</t>
  </si>
  <si>
    <t>Raymond L. Rodriguez (DEM)</t>
  </si>
  <si>
    <t>Matthew P. Blum (REP)</t>
  </si>
  <si>
    <t>Deborah A. Kaplan (DEM)</t>
  </si>
  <si>
    <t>David Siguenza (JI)</t>
  </si>
  <si>
    <t>Darius Lind (JI)</t>
  </si>
  <si>
    <t>Supreme Court Justice 9th Judicial District - General Election - 11/4/2025
Vote for 4</t>
  </si>
  <si>
    <t>Part of Essex County 
Vote Results</t>
  </si>
  <si>
    <t>Member of Assembly 115th Assembly District - Special Election - 11/4/2025</t>
  </si>
  <si>
    <t>Michael S. Cashman (DEM)</t>
  </si>
  <si>
    <t>Brent M. Davison (REP)</t>
  </si>
  <si>
    <t>Brent M. Davison (CON)</t>
  </si>
  <si>
    <t>Michael S. Cashman (WOR)</t>
  </si>
  <si>
    <t>County</t>
  </si>
  <si>
    <t>Yes</t>
  </si>
  <si>
    <t>No</t>
  </si>
  <si>
    <t xml:space="preserve">Albany County </t>
  </si>
  <si>
    <t xml:space="preserve">Allegany County </t>
  </si>
  <si>
    <t xml:space="preserve">Broome County </t>
  </si>
  <si>
    <t xml:space="preserve">Cattaraugus County </t>
  </si>
  <si>
    <t xml:space="preserve">Cayuga County </t>
  </si>
  <si>
    <t xml:space="preserve">Chautauqua County </t>
  </si>
  <si>
    <t xml:space="preserve">Chemung County </t>
  </si>
  <si>
    <t xml:space="preserve">Chenango County </t>
  </si>
  <si>
    <t xml:space="preserve">Clinton County </t>
  </si>
  <si>
    <t xml:space="preserve">Columbia County </t>
  </si>
  <si>
    <t xml:space="preserve">Cortland County </t>
  </si>
  <si>
    <t xml:space="preserve">Delaware County </t>
  </si>
  <si>
    <t xml:space="preserve">Dutchess County </t>
  </si>
  <si>
    <t xml:space="preserve">Erie County </t>
  </si>
  <si>
    <t>Essex County</t>
  </si>
  <si>
    <t xml:space="preserve">Franklin County </t>
  </si>
  <si>
    <t xml:space="preserve">Fulton County </t>
  </si>
  <si>
    <t xml:space="preserve">Genesee County </t>
  </si>
  <si>
    <t xml:space="preserve">Greene County </t>
  </si>
  <si>
    <t xml:space="preserve">Hamilton County </t>
  </si>
  <si>
    <t xml:space="preserve">Herkimer County </t>
  </si>
  <si>
    <t xml:space="preserve">Jefferson County </t>
  </si>
  <si>
    <t xml:space="preserve">Lewis County </t>
  </si>
  <si>
    <t>Livingston County</t>
  </si>
  <si>
    <t xml:space="preserve">Madison County </t>
  </si>
  <si>
    <t xml:space="preserve">Monroe County </t>
  </si>
  <si>
    <t xml:space="preserve">Montgomery County </t>
  </si>
  <si>
    <t xml:space="preserve">Nassau County </t>
  </si>
  <si>
    <t xml:space="preserve">Niagara County </t>
  </si>
  <si>
    <t xml:space="preserve">Oneida County </t>
  </si>
  <si>
    <t xml:space="preserve">Onondaga County </t>
  </si>
  <si>
    <t xml:space="preserve">Ontario County </t>
  </si>
  <si>
    <t xml:space="preserve">Orange County </t>
  </si>
  <si>
    <t xml:space="preserve">Orleans County </t>
  </si>
  <si>
    <t xml:space="preserve">Oswego County </t>
  </si>
  <si>
    <t xml:space="preserve">Otsego County </t>
  </si>
  <si>
    <t xml:space="preserve">Putnam County </t>
  </si>
  <si>
    <t xml:space="preserve">Rensselaer County </t>
  </si>
  <si>
    <t xml:space="preserve">Rockland County </t>
  </si>
  <si>
    <t xml:space="preserve">St. Lawrence County </t>
  </si>
  <si>
    <t xml:space="preserve">Saratoga County </t>
  </si>
  <si>
    <t xml:space="preserve">Schenectady County </t>
  </si>
  <si>
    <t xml:space="preserve">Schoharie County </t>
  </si>
  <si>
    <t xml:space="preserve">Schuyler County </t>
  </si>
  <si>
    <t xml:space="preserve">Seneca County </t>
  </si>
  <si>
    <t xml:space="preserve">Steuben County </t>
  </si>
  <si>
    <t xml:space="preserve">Suffolk County </t>
  </si>
  <si>
    <t xml:space="preserve">Sullivan County </t>
  </si>
  <si>
    <t xml:space="preserve">Tioga County </t>
  </si>
  <si>
    <t xml:space="preserve">Tompkins County </t>
  </si>
  <si>
    <t xml:space="preserve">Ulster County </t>
  </si>
  <si>
    <t xml:space="preserve">Warren County </t>
  </si>
  <si>
    <t xml:space="preserve">Washington County </t>
  </si>
  <si>
    <t xml:space="preserve">Wayne County </t>
  </si>
  <si>
    <t xml:space="preserve">Westchester County </t>
  </si>
  <si>
    <t xml:space="preserve">Wyoming County </t>
  </si>
  <si>
    <t xml:space="preserve">Yates County </t>
  </si>
  <si>
    <t xml:space="preserve">Bronx County </t>
  </si>
  <si>
    <t xml:space="preserve">Kings County </t>
  </si>
  <si>
    <t xml:space="preserve">New York County </t>
  </si>
  <si>
    <t xml:space="preserve">Queens County </t>
  </si>
  <si>
    <t xml:space="preserve">Richmond County </t>
  </si>
  <si>
    <t>Proposition 1 - General Election - November 4, 2025</t>
  </si>
  <si>
    <t>Amendment to Allow Olympic Sports Complex in Essex County on State Forest Preserve Land 
Allows skiing and related trail facilities on state forest preserve land. The site is 1,039 acres. Requires State to add 2,500 acres of new forest land in Adirondack Park. 
A "YES" vote authorizes new ski trails and related facilities in the Adirondack forest preserve. 
A "NO" vote does not authorize this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</si>
</sst>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b/>
      <sz val="14"/>
      <color theme="1"/>
      <name val="Calibri"/>
      <family val="2"/>
      <scheme val="minor"/>
    </font>
    <font>
      <sz val="10"/>
      <color theme="1"/>
      <name val="Calibri"/>
      <family val="2"/>
      <scheme val="minor"/>
    </font>
    <font>
      <b/>
      <sz val="10"/>
      <color theme="1"/>
      <name val="Calibri"/>
      <family val="2"/>
      <scheme val="minor"/>
    </font>
    <font>
      <sz val="10"/>
      <color rgb="FF000000"/>
      <name val="Calibri"/>
      <family val="2"/>
    </font>
    <font>
      <b/>
      <sz val="10"/>
      <name val="Arial"/>
      <family val="2"/>
    </font>
    <font>
      <sz val="10"/>
      <name val="Arial"/>
      <family val="2"/>
    </font>
    <font>
      <b/>
      <sz val="10"/>
      <color indexed="8"/>
      <name val="Calibri"/>
      <family val="2"/>
      <scheme val="minor"/>
    </font>
    <font>
      <b/>
      <sz val="10"/>
      <name val="Calibri"/>
      <family val="2"/>
      <scheme val="minor"/>
    </font>
    <font>
      <sz val="10"/>
      <name val="Agency FB"/>
      <family val="2"/>
    </font>
  </fonts>
  <fills count="10">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4659260841701"/>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0" fontId="7" fillId="0" borderId="0"/>
  </cellStyleXfs>
  <cellXfs count="67">
    <xf numFmtId="0" fontId="0" fillId="0" borderId="0" xfId="0"/>
    <xf numFmtId="0" fontId="4" fillId="3" borderId="4" xfId="0" applyFont="1" applyFill="1" applyBorder="1"/>
    <xf numFmtId="3" fontId="3" fillId="0" borderId="1" xfId="0" applyNumberFormat="1" applyFont="1" applyBorder="1"/>
    <xf numFmtId="0" fontId="4" fillId="3" borderId="5" xfId="0" applyFont="1" applyFill="1" applyBorder="1"/>
    <xf numFmtId="0" fontId="4" fillId="2" borderId="6" xfId="0" applyFont="1" applyFill="1" applyBorder="1" applyAlignment="1">
      <alignment vertical="center"/>
    </xf>
    <xf numFmtId="0" fontId="4" fillId="4" borderId="2" xfId="0" applyFont="1" applyFill="1" applyBorder="1" applyAlignment="1">
      <alignment horizontal="right" vertical="center" wrapText="1"/>
    </xf>
    <xf numFmtId="0" fontId="4" fillId="2" borderId="2" xfId="0" applyFont="1" applyFill="1" applyBorder="1" applyAlignment="1">
      <alignment horizontal="right" vertical="center"/>
    </xf>
    <xf numFmtId="0" fontId="4" fillId="6" borderId="2" xfId="0" applyFont="1" applyFill="1" applyBorder="1" applyAlignment="1">
      <alignment horizontal="right" vertical="center"/>
    </xf>
    <xf numFmtId="3" fontId="3" fillId="4" borderId="1" xfId="0" applyNumberFormat="1" applyFont="1" applyFill="1" applyBorder="1"/>
    <xf numFmtId="0" fontId="4" fillId="3" borderId="1" xfId="0" applyFont="1" applyFill="1" applyBorder="1"/>
    <xf numFmtId="3" fontId="4" fillId="5" borderId="1" xfId="0" applyNumberFormat="1" applyFont="1" applyFill="1" applyBorder="1"/>
    <xf numFmtId="0" fontId="4" fillId="6" borderId="8" xfId="0" applyFont="1" applyFill="1" applyBorder="1" applyAlignment="1">
      <alignment horizontal="right" vertical="center"/>
    </xf>
    <xf numFmtId="3" fontId="3" fillId="0" borderId="1" xfId="0" applyNumberFormat="1" applyFont="1" applyFill="1" applyBorder="1"/>
    <xf numFmtId="3" fontId="5" fillId="0" borderId="1" xfId="0" applyNumberFormat="1" applyFont="1" applyBorder="1"/>
    <xf numFmtId="3" fontId="5" fillId="0" borderId="1" xfId="0" applyNumberFormat="1" applyFont="1" applyBorder="1" applyAlignment="1">
      <alignment horizontal="right"/>
    </xf>
    <xf numFmtId="3" fontId="5" fillId="0" borderId="1" xfId="0" applyNumberFormat="1" applyFont="1" applyFill="1" applyBorder="1"/>
    <xf numFmtId="0" fontId="0" fillId="0" borderId="0" xfId="0" applyFill="1"/>
    <xf numFmtId="0" fontId="4" fillId="2" borderId="6" xfId="0" applyFont="1" applyFill="1" applyBorder="1" applyAlignment="1">
      <alignment vertical="center" wrapText="1"/>
    </xf>
    <xf numFmtId="0" fontId="4" fillId="2" borderId="2" xfId="0" applyFont="1" applyFill="1" applyBorder="1" applyAlignment="1">
      <alignment horizontal="right" vertical="center" wrapText="1"/>
    </xf>
    <xf numFmtId="0" fontId="4" fillId="6" borderId="2" xfId="0" applyFont="1" applyFill="1" applyBorder="1" applyAlignment="1">
      <alignment horizontal="right" vertical="center" wrapText="1"/>
    </xf>
    <xf numFmtId="0" fontId="0" fillId="0" borderId="0" xfId="0" applyAlignment="1">
      <alignment wrapText="1"/>
    </xf>
    <xf numFmtId="3" fontId="4" fillId="7" borderId="1" xfId="0" applyNumberFormat="1" applyFont="1" applyFill="1" applyBorder="1"/>
    <xf numFmtId="3" fontId="4" fillId="3" borderId="4" xfId="0" applyNumberFormat="1" applyFont="1" applyFill="1" applyBorder="1"/>
    <xf numFmtId="3" fontId="0" fillId="0" borderId="0" xfId="0" applyNumberFormat="1"/>
    <xf numFmtId="3" fontId="4" fillId="3" borderId="5" xfId="0" applyNumberFormat="1" applyFont="1" applyFill="1" applyBorder="1"/>
    <xf numFmtId="3" fontId="4" fillId="3" borderId="1" xfId="0" applyNumberFormat="1" applyFont="1" applyFill="1" applyBorder="1"/>
    <xf numFmtId="3" fontId="3" fillId="0" borderId="1" xfId="0" applyNumberFormat="1" applyFont="1" applyBorder="1" applyAlignment="1">
      <alignment horizontal="right"/>
    </xf>
    <xf numFmtId="3" fontId="3" fillId="4" borderId="1" xfId="0" applyNumberFormat="1" applyFont="1" applyFill="1" applyBorder="1" applyAlignment="1">
      <alignment horizontal="right"/>
    </xf>
    <xf numFmtId="3" fontId="3" fillId="5" borderId="9" xfId="0" applyNumberFormat="1" applyFont="1" applyFill="1" applyBorder="1" applyAlignment="1">
      <alignment horizontal="right"/>
    </xf>
    <xf numFmtId="3" fontId="3" fillId="0" borderId="3" xfId="0" applyNumberFormat="1" applyFont="1" applyBorder="1" applyAlignment="1">
      <alignment horizontal="right"/>
    </xf>
    <xf numFmtId="3" fontId="3" fillId="5" borderId="7" xfId="0" applyNumberFormat="1" applyFont="1" applyFill="1" applyBorder="1" applyAlignment="1">
      <alignment horizontal="right"/>
    </xf>
    <xf numFmtId="3" fontId="5" fillId="0" borderId="1" xfId="0" applyNumberFormat="1" applyFont="1" applyFill="1" applyBorder="1" applyAlignment="1">
      <alignment horizontal="right"/>
    </xf>
    <xf numFmtId="3" fontId="4" fillId="5" borderId="9" xfId="0" applyNumberFormat="1" applyFont="1" applyFill="1" applyBorder="1" applyAlignment="1">
      <alignment horizontal="right"/>
    </xf>
    <xf numFmtId="3" fontId="3" fillId="8" borderId="1" xfId="0" applyNumberFormat="1" applyFont="1" applyFill="1" applyBorder="1" applyAlignment="1">
      <alignment horizontal="right"/>
    </xf>
    <xf numFmtId="3" fontId="4" fillId="7" borderId="1" xfId="0" applyNumberFormat="1" applyFont="1" applyFill="1" applyBorder="1" applyAlignment="1">
      <alignment horizontal="right"/>
    </xf>
    <xf numFmtId="3" fontId="3" fillId="5" borderId="1" xfId="0" applyNumberFormat="1" applyFont="1" applyFill="1" applyBorder="1" applyAlignment="1">
      <alignment horizontal="right"/>
    </xf>
    <xf numFmtId="3" fontId="4" fillId="5" borderId="1"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3" xfId="0" applyNumberFormat="1" applyFont="1" applyFill="1" applyBorder="1" applyAlignment="1">
      <alignment horizontal="right"/>
    </xf>
    <xf numFmtId="0" fontId="6" fillId="0" borderId="0" xfId="0" applyFont="1"/>
    <xf numFmtId="3" fontId="3" fillId="7" borderId="9" xfId="0" applyNumberFormat="1" applyFont="1" applyFill="1" applyBorder="1" applyAlignment="1">
      <alignment horizontal="right"/>
    </xf>
    <xf numFmtId="3" fontId="3" fillId="7" borderId="1" xfId="0" applyNumberFormat="1" applyFont="1" applyFill="1" applyBorder="1"/>
    <xf numFmtId="3" fontId="4" fillId="3" borderId="5" xfId="0" applyNumberFormat="1" applyFont="1" applyFill="1" applyBorder="1" applyAlignment="1">
      <alignment vertical="center"/>
    </xf>
    <xf numFmtId="3" fontId="3" fillId="4" borderId="9" xfId="0" applyNumberFormat="1" applyFont="1" applyFill="1" applyBorder="1"/>
    <xf numFmtId="3" fontId="4" fillId="3" borderId="10" xfId="0" applyNumberFormat="1" applyFont="1" applyFill="1" applyBorder="1"/>
    <xf numFmtId="0" fontId="2" fillId="0" borderId="0" xfId="0" applyFont="1" applyAlignment="1">
      <alignment vertical="center"/>
    </xf>
    <xf numFmtId="3" fontId="6" fillId="0" borderId="0" xfId="0" applyNumberFormat="1" applyFont="1"/>
    <xf numFmtId="0" fontId="7" fillId="0" borderId="0" xfId="1" applyAlignment="1">
      <alignment horizontal="left" vertical="center"/>
    </xf>
    <xf numFmtId="0" fontId="4" fillId="2" borderId="6"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3" borderId="1" xfId="1" applyFont="1" applyFill="1" applyBorder="1" applyAlignment="1">
      <alignment horizontal="left" vertical="center" wrapText="1"/>
    </xf>
    <xf numFmtId="0" fontId="9" fillId="4" borderId="4" xfId="1" applyFont="1" applyFill="1" applyBorder="1" applyAlignment="1">
      <alignment horizontal="left" wrapText="1"/>
    </xf>
    <xf numFmtId="3" fontId="3" fillId="0" borderId="1" xfId="1" applyNumberFormat="1" applyFont="1" applyBorder="1" applyAlignment="1">
      <alignment horizontal="left"/>
    </xf>
    <xf numFmtId="3" fontId="4" fillId="0" borderId="1" xfId="1" applyNumberFormat="1" applyFont="1" applyBorder="1" applyAlignment="1">
      <alignment horizontal="left"/>
    </xf>
    <xf numFmtId="0" fontId="10" fillId="0" borderId="0" xfId="0" applyFont="1" applyAlignment="1">
      <alignment horizontal="left" vertical="center"/>
    </xf>
    <xf numFmtId="0" fontId="7" fillId="0" borderId="0" xfId="1" applyAlignment="1">
      <alignment horizontal="left"/>
    </xf>
    <xf numFmtId="3" fontId="3" fillId="9" borderId="1" xfId="1" applyNumberFormat="1" applyFont="1" applyFill="1" applyBorder="1" applyAlignment="1">
      <alignment horizontal="left"/>
    </xf>
    <xf numFmtId="3" fontId="4" fillId="9" borderId="1" xfId="1" applyNumberFormat="1" applyFont="1" applyFill="1" applyBorder="1" applyAlignment="1">
      <alignment horizontal="left"/>
    </xf>
    <xf numFmtId="3" fontId="5" fillId="9" borderId="1" xfId="1" applyNumberFormat="1" applyFont="1" applyFill="1" applyBorder="1" applyAlignment="1">
      <alignment horizontal="left"/>
    </xf>
    <xf numFmtId="3" fontId="5" fillId="0" borderId="1" xfId="1" applyNumberFormat="1" applyFont="1" applyBorder="1" applyAlignment="1">
      <alignment horizontal="left"/>
    </xf>
    <xf numFmtId="0" fontId="9" fillId="2" borderId="5" xfId="1" applyFont="1" applyFill="1" applyBorder="1" applyAlignment="1">
      <alignment horizontal="left" wrapText="1"/>
    </xf>
    <xf numFmtId="3" fontId="4" fillId="3" borderId="3" xfId="1" applyNumberFormat="1" applyFont="1" applyFill="1" applyBorder="1" applyAlignment="1">
      <alignment horizontal="left" vertical="top"/>
    </xf>
    <xf numFmtId="3" fontId="4" fillId="3" borderId="1" xfId="1" applyNumberFormat="1" applyFont="1"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1" applyFont="1" applyAlignment="1">
      <alignment vertical="center" wrapText="1"/>
    </xf>
    <xf numFmtId="0" fontId="0" fillId="0" borderId="0" xfId="0" applyAlignment="1">
      <alignment horizontal="left" wrapText="1"/>
    </xf>
  </cellXfs>
  <cellStyles count="2">
    <cellStyle name="Normal" xfId="0" builtinId="0"/>
    <cellStyle name="Normal 2" xfId="1" xr:uid="{D1E26F82-4F97-4656-996D-8DB285FA2BF2}"/>
  </cellStyles>
  <dxfs count="268">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dxf>
    <dxf>
      <border outline="0">
        <bottom style="thin">
          <color rgb="FF000000"/>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F00"/>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right style="thin">
          <color indexed="64"/>
        </right>
        <top style="thin">
          <color indexed="64"/>
        </top>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F0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right style="thin">
          <color indexed="64"/>
        </right>
        <top style="thin">
          <color indexed="64"/>
        </top>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right style="thin">
          <color indexed="64"/>
        </right>
        <top style="thin">
          <color indexed="64"/>
        </top>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outline="0">
        <left/>
        <right style="thin">
          <color indexed="64"/>
        </right>
        <top style="thin">
          <color indexed="64"/>
        </top>
        <bottom/>
      </border>
    </dxf>
    <dxf>
      <border>
        <top style="thin">
          <color rgb="FF000000"/>
        </top>
      </border>
    </dxf>
    <dxf>
      <border diagonalUp="0" diagonalDown="0">
        <left style="thin">
          <color rgb="FF000000"/>
        </left>
        <right style="thin">
          <color rgb="FF000000"/>
        </right>
        <top/>
        <bottom/>
        <vertical style="thin">
          <color rgb="FF000000"/>
        </vertical>
        <horizontal style="thin">
          <color rgb="FF000000"/>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border>
    </dxf>
    <dxf>
      <border>
        <top style="thin">
          <color rgb="FF000000"/>
        </top>
      </border>
    </dxf>
    <dxf>
      <border diagonalUp="0" diagonalDown="0">
        <left style="thin">
          <color rgb="FF000000"/>
        </left>
        <right style="thin">
          <color rgb="FF000000"/>
        </right>
        <top/>
        <bottom/>
        <vertical style="thin">
          <color rgb="FF000000"/>
        </vertical>
        <horizontal style="thin">
          <color rgb="FF000000"/>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3" formatCode="#,##0"/>
      <alignment horizontal="right" vertical="bottom" textRotation="0" wrapText="0" indent="0" justifyLastLine="0" shrinkToFit="0" readingOrder="0"/>
      <border outline="0">
        <right style="thin">
          <color indexed="64"/>
        </right>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0A7B38AE-FF4D-4435-A6E2-61E90CC0D0E5}" name="SupremeCourtJusticeJudicialDistrict1General" displayName="SupremeCourtJusticeJudicialDistrict1General" ref="A2:D12" totalsRowCount="1" headerRowDxfId="267" dataDxfId="265" totalsRowDxfId="263" headerRowBorderDxfId="266" tableBorderDxfId="264" totalsRowBorderDxfId="262">
  <autoFilter ref="A2:D11" xr:uid="{F26933FE-E204-4D58-9B2B-965FFD5AE4AE}">
    <filterColumn colId="0" hiddenButton="1"/>
    <filterColumn colId="1" hiddenButton="1"/>
    <filterColumn colId="2" hiddenButton="1"/>
    <filterColumn colId="3" hiddenButton="1"/>
  </autoFilter>
  <tableColumns count="4">
    <tableColumn id="1" xr3:uid="{02B664EC-A2D9-4911-A779-5E3633F1771A}" name="Candidate Name (Party)" totalsRowLabel="Total Votes by County" dataDxfId="261" totalsRowDxfId="260"/>
    <tableColumn id="4" xr3:uid="{E0790EB0-1B93-473B-8857-28DAD38870F7}" name="New York County _x000a_Vote Results" totalsRowFunction="custom" dataDxfId="259" totalsRowDxfId="258">
      <totalsRowFormula>SUM(SupremeCourtJusticeJudicialDistrict1General[New York County 
Vote Results])</totalsRowFormula>
    </tableColumn>
    <tableColumn id="3" xr3:uid="{549DA673-964E-4BB1-B256-99462C0CC975}" name="Total Votes by Party" totalsRowFunction="custom" dataDxfId="257" totalsRowDxfId="256">
      <calculatedColumnFormula>SupremeCourtJusticeJudicialDistrict1General[[#This Row],[New York County 
Vote Results]]</calculatedColumnFormula>
      <totalsRowFormula>SUM(SupremeCourtJusticeJudicialDistrict1General[Total Votes by Party])</totalsRowFormula>
    </tableColumn>
    <tableColumn id="2" xr3:uid="{F0241C67-C740-475C-ACA2-5DDB5306D28E}" name="Total Votes by Candidate" dataDxfId="255" totalsRowDxfId="254"/>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F4572C7E-89DD-4F59-9CCC-906C650C0E8B}" name="SupremeCourtJusticeJudicialDistrict11General" displayName="SupremeCourtJusticeJudicialDistrict11General" ref="A2:D14" totalsRowCount="1" headerRowDxfId="61" dataDxfId="59" totalsRowDxfId="57" headerRowBorderDxfId="60" tableBorderDxfId="58" totalsRowBorderDxfId="56">
  <autoFilter ref="A2:D13" xr:uid="{27561C06-4F76-4A75-B826-0719318E401D}">
    <filterColumn colId="0" hiddenButton="1"/>
    <filterColumn colId="1" hiddenButton="1"/>
    <filterColumn colId="2" hiddenButton="1"/>
    <filterColumn colId="3" hiddenButton="1"/>
  </autoFilter>
  <tableColumns count="4">
    <tableColumn id="1" xr3:uid="{6B30202B-DA34-486A-8AF1-88538228C864}" name="Candidate Name (Party)" totalsRowLabel="Total Votes by County" dataDxfId="55" totalsRowDxfId="54"/>
    <tableColumn id="3" xr3:uid="{559570A8-C28F-4588-AADB-69741AF3EA19}" name="Queens County _x000a_Vote Results" totalsRowFunction="custom" dataDxfId="53" totalsRowDxfId="52">
      <totalsRowFormula>SUM(SupremeCourtJusticeJudicialDistrict11General[Queens County 
Vote Results])</totalsRowFormula>
    </tableColumn>
    <tableColumn id="4" xr3:uid="{70CDC9B4-79CD-4175-87FE-539927664EED}" name="Total Votes by Party" totalsRowFunction="custom" dataDxfId="51" totalsRowDxfId="50">
      <calculatedColumnFormula>SupremeCourtJusticeJudicialDistrict11General[[#This Row],[Queens County 
Vote Results]]</calculatedColumnFormula>
      <totalsRowFormula>SUM(SupremeCourtJusticeJudicialDistrict11General[Total Votes by Party])</totalsRowFormula>
    </tableColumn>
    <tableColumn id="2" xr3:uid="{6A09CD8B-CB1E-449A-9323-EA792F4B06B3}" name="Total Votes by Candidate" dataDxfId="49" totalsRowDxfId="48"/>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F273FE15-4F7D-424C-B7ED-3225282F7E44}" name="SupremeCourtJusticeJudicialDistrict13General" displayName="SupremeCourtJusticeJudicialDistrict13General" ref="A2:D8" totalsRowCount="1" headerRowDxfId="47" dataDxfId="45" totalsRowDxfId="43" headerRowBorderDxfId="46" tableBorderDxfId="44" totalsRowBorderDxfId="42">
  <autoFilter ref="A2:D7" xr:uid="{FAF317E4-F5CA-4F99-B3D9-D288CA1CBD25}">
    <filterColumn colId="0" hiddenButton="1"/>
    <filterColumn colId="1" hiddenButton="1"/>
    <filterColumn colId="2" hiddenButton="1"/>
    <filterColumn colId="3" hiddenButton="1"/>
  </autoFilter>
  <tableColumns count="4">
    <tableColumn id="1" xr3:uid="{4B9611D4-B3DE-4CA4-8342-9512B17BA0E1}" name="Candidate Name (Party)" totalsRowLabel="Total Votes by County" dataDxfId="41" totalsRowDxfId="40"/>
    <tableColumn id="4" xr3:uid="{20400E1C-8684-4202-946F-FEB1A28801C5}" name="Richmond County Vote Results" totalsRowFunction="custom" dataDxfId="39" totalsRowDxfId="38">
      <totalsRowFormula>SUM(SupremeCourtJusticeJudicialDistrict13General[Richmond County Vote Results])</totalsRowFormula>
    </tableColumn>
    <tableColumn id="3" xr3:uid="{E44C63B5-D140-4F76-82E5-ABD4A2DFA793}" name="Total Votes by Party" totalsRowFunction="custom" dataDxfId="37" totalsRowDxfId="36">
      <calculatedColumnFormula>SupremeCourtJusticeJudicialDistrict13General[[#This Row],[Richmond County Vote Results]]</calculatedColumnFormula>
      <totalsRowFormula>SUM(SupremeCourtJusticeJudicialDistrict13General[Total Votes by Party])</totalsRowFormula>
    </tableColumn>
    <tableColumn id="2" xr3:uid="{8A1E5DE4-B1DC-4667-9CC7-EF5A78AECA5A}" name="Total Votes by Candidate" dataDxfId="35" totalsRowDxfId="34">
      <calculatedColumnFormula>#REF!</calculatedColumnFormula>
    </tableColumn>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8BD251-B6CA-47EC-BDA1-FA44A9DD2E01}" name="GovLtGovGeneral3" displayName="GovLtGovGeneral3" ref="A3:F66" totalsRowShown="0" headerRowDxfId="33" dataDxfId="31" headerRowBorderDxfId="32" tableBorderDxfId="30" totalsRowBorderDxfId="29">
  <tableColumns count="6">
    <tableColumn id="1" xr3:uid="{E9E2DCBA-77C8-4DC7-8753-315FA7C546AC}" name="County" dataDxfId="28" totalsRowDxfId="27"/>
    <tableColumn id="2" xr3:uid="{97191243-16BD-4943-92C5-D6739426E79A}" name="Yes" dataDxfId="26" totalsRowDxfId="25"/>
    <tableColumn id="16" xr3:uid="{5BF0DB48-AC96-4AEB-B425-D79C203A2A56}" name="No" dataDxfId="24" totalsRowDxfId="23"/>
    <tableColumn id="13" xr3:uid="{AAFCF2FC-8566-4926-8924-9192F5A892E6}" name="Blank" dataDxfId="22" totalsRowDxfId="21"/>
    <tableColumn id="3" xr3:uid="{7F411E49-5BBC-4F79-A1F3-FE5C474B85C2}" name="Void" totalsRowDxfId="20"/>
    <tableColumn id="4" xr3:uid="{B986D6D8-2E2E-45D0-A717-9F994AA98F1C}" name="Total Votes by County" dataDxfId="19" totalsRowDxfId="18">
      <calculatedColumnFormula>SUM(B4:E4)</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7DFC2E-F29B-4CF1-A33F-9BAF3B21B80D}" name="MemberOfAssemblyAssemblyDistrict115General" displayName="MemberOfAssemblyAssemblyDistrict115General" ref="A2:F10" totalsRowCount="1" headerRowDxfId="17" dataDxfId="15" totalsRowDxfId="13" headerRowBorderDxfId="16" tableBorderDxfId="14" totalsRowBorderDxfId="12">
  <autoFilter ref="A2:F9" xr:uid="{61FCEA4D-EEC4-47EF-903F-4533D1C4F79C}">
    <filterColumn colId="0" hiddenButton="1"/>
    <filterColumn colId="1" hiddenButton="1"/>
    <filterColumn colId="2" hiddenButton="1"/>
    <filterColumn colId="3" hiddenButton="1"/>
    <filterColumn colId="4" hiddenButton="1"/>
    <filterColumn colId="5" hiddenButton="1"/>
  </autoFilter>
  <tableColumns count="6">
    <tableColumn id="1" xr3:uid="{29106203-0445-4CEA-87C6-76A4AB414665}" name="Candidate Name (Party)" totalsRowLabel="Total Votes by County" dataDxfId="11" totalsRowDxfId="10"/>
    <tableColumn id="2" xr3:uid="{00085E15-BFC1-436B-AE90-8D1B2495FF6C}" name="Clinton County _x000a_Vote Results" totalsRowFunction="custom" dataDxfId="9" totalsRowDxfId="8">
      <totalsRowFormula>SUM(MemberOfAssemblyAssemblyDistrict115General[Clinton County 
Vote Results])</totalsRowFormula>
    </tableColumn>
    <tableColumn id="3" xr3:uid="{7C4A9042-2AE2-453A-A8DF-50E4EE909998}" name="Part of Essex County _x000a_Vote Results" totalsRowFunction="custom" dataDxfId="7" totalsRowDxfId="6">
      <totalsRowFormula>SUM(MemberOfAssemblyAssemblyDistrict115General[Part of Essex County 
Vote Results])</totalsRowFormula>
    </tableColumn>
    <tableColumn id="4" xr3:uid="{CFDC424F-D4E8-4EE9-A838-2AAA31C3FAEA}" name="Franklin County _x000a_Vote Results" totalsRowFunction="custom" dataDxfId="5" totalsRowDxfId="4">
      <totalsRowFormula>SUM(MemberOfAssemblyAssemblyDistrict115General[Franklin County 
Vote Results])</totalsRowFormula>
    </tableColumn>
    <tableColumn id="6" xr3:uid="{63CCCBD1-59C6-45D5-BE83-D5C365919D80}" name="Total Votes by Party" totalsRowFunction="custom" dataDxfId="3" totalsRowDxfId="2">
      <calculatedColumnFormula>SUM(MemberOfAssemblyAssemblyDistrict115General[[#This Row],[Clinton County 
Vote Results]:[Franklin County 
Vote Results]])</calculatedColumnFormula>
      <totalsRowFormula>SUM(MemberOfAssemblyAssemblyDistrict115General[Total Votes by Party])</totalsRowFormula>
    </tableColumn>
    <tableColumn id="5" xr3:uid="{C3FDFE15-3AA7-4C31-9500-C48C9991A8B2}" name="Total Votes by Candidate" dataDxfId="1" totalsRowDxfId="0">
      <calculatedColumnFormula>SUM(MemberOfAssemblyAssemblyDistrict115General[[#This Row],[Total Votes by Party]],E4,E5)</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F31D2B36-2978-4096-B4E5-FED96DA8A3E9}" name="SupremeCourtJusticeJudicialDistrict2General" displayName="SupremeCourtJusticeJudicialDistrict2General" ref="A2:D27" totalsRowCount="1" headerRowDxfId="253" dataDxfId="251" totalsRowDxfId="249" headerRowBorderDxfId="252" tableBorderDxfId="250" totalsRowBorderDxfId="248">
  <autoFilter ref="A2:D26" xr:uid="{965A4E54-0880-494E-8116-F869F655CCCC}">
    <filterColumn colId="0" hiddenButton="1"/>
    <filterColumn colId="1" hiddenButton="1"/>
    <filterColumn colId="2" hiddenButton="1"/>
    <filterColumn colId="3" hiddenButton="1"/>
  </autoFilter>
  <tableColumns count="4">
    <tableColumn id="1" xr3:uid="{71576041-40D6-4B55-B7E1-5677D4FD27E4}" name="Candidate Name (Party)" totalsRowLabel="Total Votes by County" dataDxfId="247" totalsRowDxfId="246"/>
    <tableColumn id="4" xr3:uid="{2469E7F9-902B-4926-8A25-2463946F1E6B}" name="Kings County _x000a_Vote Results" totalsRowFunction="custom" dataDxfId="245" totalsRowDxfId="244">
      <totalsRowFormula>SUM(SupremeCourtJusticeJudicialDistrict2General[Kings County 
Vote Results])</totalsRowFormula>
    </tableColumn>
    <tableColumn id="3" xr3:uid="{ADD329A3-25EB-4EBD-9C07-AA84349E8DF4}" name="Total Votes by Party" totalsRowFunction="custom" dataDxfId="243" totalsRowDxfId="242">
      <totalsRowFormula>SUM(SupremeCourtJusticeJudicialDistrict2General[Total Votes by Party])</totalsRowFormula>
    </tableColumn>
    <tableColumn id="2" xr3:uid="{ACFE8CF7-1C6C-4DDB-BE70-F63EC29BBE97}" name="Total Votes by Candidate" dataDxfId="241" totalsRowDxfId="240"/>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4BD674-FA27-47E5-9F11-0EAE4644E257}" name="SupremeCourtJusticeJudicialDistrict5General2" displayName="SupremeCourtJusticeJudicialDistrict5General2" ref="A2:J10" totalsRowCount="1" headerRowDxfId="239" dataDxfId="237" totalsRowDxfId="235" headerRowBorderDxfId="238" tableBorderDxfId="236" totalsRowBorderDxfId="234">
  <autoFilter ref="A2:J9" xr:uid="{A40D9807-6526-4980-B4FE-57B09E4932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D0DBBF-D1E9-4275-BAFF-3F7276F469A4}" name="Candidate Name (Party)" totalsRowLabel="Total Votes by County" dataDxfId="233" totalsRowDxfId="232"/>
    <tableColumn id="2" xr3:uid="{7AE35F34-5A5B-4A73-911F-2DCBBF435E80}" name="Albany County _x000a_Vote Results" totalsRowFunction="custom" dataDxfId="231" totalsRowDxfId="230">
      <totalsRowFormula>SUM(SupremeCourtJusticeJudicialDistrict5General2[Albany County 
Vote Results])</totalsRowFormula>
    </tableColumn>
    <tableColumn id="9" xr3:uid="{4D9729EF-0C8A-4E6F-9DAA-99BC3D7C3CDD}" name="Columbia County _x000a_Vote Results" totalsRowFunction="custom" dataDxfId="229" totalsRowDxfId="228">
      <totalsRowFormula>SUM(SupremeCourtJusticeJudicialDistrict5General2[Columbia County 
Vote Results])</totalsRowFormula>
    </tableColumn>
    <tableColumn id="8" xr3:uid="{B5A837AA-8786-4D33-8A8B-8344FD9A3FCC}" name="Greene County _x000a_Vote Results" totalsRowFunction="custom" dataDxfId="227" totalsRowDxfId="226">
      <totalsRowFormula>SUM(SupremeCourtJusticeJudicialDistrict5General2[Greene County 
Vote Results])</totalsRowFormula>
    </tableColumn>
    <tableColumn id="7" xr3:uid="{4DF45B36-2A83-4726-B1FD-B5C5FF68B9E5}" name="Rensselaer County _x000a_Vote Results" totalsRowFunction="custom" dataDxfId="225" totalsRowDxfId="224">
      <totalsRowFormula>SUM(SupremeCourtJusticeJudicialDistrict5General2[Rensselaer County 
Vote Results])</totalsRowFormula>
    </tableColumn>
    <tableColumn id="10" xr3:uid="{34D3139F-FA73-40FA-90BF-B5854E2233ED}" name="Schoharie County _x000a_Vote Results" totalsRowFunction="custom" dataDxfId="223" totalsRowDxfId="222">
      <totalsRowFormula>SUM(SupremeCourtJusticeJudicialDistrict5General2[Schoharie County 
Vote Results])</totalsRowFormula>
    </tableColumn>
    <tableColumn id="3" xr3:uid="{18D6656E-1B0B-4957-892A-05E58D7BE426}" name="Sullivan County _x000a_Vote Results" totalsRowFunction="custom" dataDxfId="221" totalsRowDxfId="220">
      <totalsRowFormula>SUM(SupremeCourtJusticeJudicialDistrict5General2[Sullivan County 
Vote Results])</totalsRowFormula>
    </tableColumn>
    <tableColumn id="4" xr3:uid="{1C3DE094-283C-4180-BF5F-C3A9408F94DC}" name="Ulster County _x000a_Vote Results" totalsRowFunction="custom" dataDxfId="219" totalsRowDxfId="218">
      <totalsRowFormula>SUM(SupremeCourtJusticeJudicialDistrict5General2[Ulster County 
Vote Results])</totalsRowFormula>
    </tableColumn>
    <tableColumn id="6" xr3:uid="{ECC92C2D-E08C-49D9-B1B5-26ECE308E0AC}" name="Total Votes by Party" totalsRowFunction="custom" dataDxfId="217" totalsRowDxfId="216">
      <calculatedColumnFormula>SUM(SupremeCourtJusticeJudicialDistrict5General2[[#This Row],[Albany County 
Vote Results]:[Ulster County 
Vote Results]])</calculatedColumnFormula>
      <totalsRowFormula>SUM(SupremeCourtJusticeJudicialDistrict5General2[Total Votes by Party])</totalsRowFormula>
    </tableColumn>
    <tableColumn id="5" xr3:uid="{9B2803E1-5A4D-44E3-8668-240AED86AB28}" name="Total Votes by Candidate" dataDxfId="215" totalsRowDxfId="21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B53EA4-F75E-4049-9F53-EEB542D64B0E}" name="SupremeCourtJusticeJudicialDistrict5General3" displayName="SupremeCourtJusticeJudicialDistrict5General3" ref="A2:N10" totalsRowCount="1" headerRowDxfId="213" dataDxfId="211" totalsRowDxfId="209" headerRowBorderDxfId="212" tableBorderDxfId="210" totalsRowBorderDxfId="208">
  <autoFilter ref="A2:N9" xr:uid="{A40D9807-6526-4980-B4FE-57B09E4932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AD4C2A1-2AFB-4190-B28D-717567A79921}" name="Candidate Name (Party)" totalsRowLabel="Total Votes by County" dataDxfId="207" totalsRowDxfId="206"/>
    <tableColumn id="2" xr3:uid="{005740BA-54B9-44F3-8D63-07E57C03BE90}" name="Clinton County _x000a_Vote Results" totalsRowFunction="custom" dataDxfId="205" totalsRowDxfId="204">
      <totalsRowFormula>SUM(SupremeCourtJusticeJudicialDistrict5General3[Clinton County 
Vote Results])</totalsRowFormula>
    </tableColumn>
    <tableColumn id="9" xr3:uid="{FCA77050-34CA-4D44-BCC7-398A19DE6772}" name="Essex County _x000a_Vote Results" totalsRowFunction="custom" dataDxfId="203" totalsRowDxfId="202">
      <totalsRowFormula>SUM(SupremeCourtJusticeJudicialDistrict5General3[Essex County 
Vote Results])</totalsRowFormula>
    </tableColumn>
    <tableColumn id="14" xr3:uid="{4E970C19-703C-4E06-B63B-02D1AC04FE9F}" name="Franklin County _x000a_Vote Results" totalsRowFunction="custom" dataDxfId="201" totalsRowDxfId="200">
      <totalsRowFormula>SUM(SupremeCourtJusticeJudicialDistrict5General3[Franklin County 
Vote Results])</totalsRowFormula>
    </tableColumn>
    <tableColumn id="13" xr3:uid="{CBB89D1E-298F-47F7-9A72-569EA546E136}" name="Fulton County _x000a_Vote Results" totalsRowFunction="custom" dataDxfId="199" totalsRowDxfId="198">
      <totalsRowFormula>SUM(SupremeCourtJusticeJudicialDistrict5General3[Fulton County 
Vote Results])</totalsRowFormula>
    </tableColumn>
    <tableColumn id="12" xr3:uid="{33AA4486-625B-4441-B2BA-BC7B2321335E}" name="Hamilton County _x000a_Vote Results" totalsRowFunction="custom" dataDxfId="197" totalsRowDxfId="196">
      <totalsRowFormula>SUM(SupremeCourtJusticeJudicialDistrict5General3[Hamilton County 
Vote Results])</totalsRowFormula>
    </tableColumn>
    <tableColumn id="11" xr3:uid="{5BF72A1E-B830-4C15-B01C-F500BD7536BE}" name="Montgomery County _x000a_Vote Results" totalsRowFunction="custom" dataDxfId="195" totalsRowDxfId="194">
      <totalsRowFormula>SUM(SupremeCourtJusticeJudicialDistrict5General3[Montgomery County 
Vote Results])</totalsRowFormula>
    </tableColumn>
    <tableColumn id="10" xr3:uid="{51E08209-9F54-488F-BADF-8B32DCEDD140}" name="St. Lawrence County _x000a_Vote Results" totalsRowFunction="custom" dataDxfId="193" totalsRowDxfId="192">
      <totalsRowFormula>SUM(SupremeCourtJusticeJudicialDistrict5General3[St. Lawrence County 
Vote Results])</totalsRowFormula>
    </tableColumn>
    <tableColumn id="8" xr3:uid="{85BD3665-4314-4F99-873C-622475363C07}" name="Saratoga County _x000a_Vote Results" totalsRowFunction="custom" dataDxfId="191" totalsRowDxfId="190">
      <totalsRowFormula>SUM(SupremeCourtJusticeJudicialDistrict5General3[Saratoga County 
Vote Results])</totalsRowFormula>
    </tableColumn>
    <tableColumn id="7" xr3:uid="{50028211-7BC6-4FFD-A0F5-613A069A5A54}" name="Schenectady County _x000a_Vote Results" totalsRowFunction="custom" dataDxfId="189" totalsRowDxfId="188">
      <totalsRowFormula>SUM(SupremeCourtJusticeJudicialDistrict5General3[Schenectady County 
Vote Results])</totalsRowFormula>
    </tableColumn>
    <tableColumn id="3" xr3:uid="{7F52C70A-5F72-41C5-B852-3C3277684005}" name="Warren County _x000a_Vote Results" totalsRowFunction="custom" dataDxfId="187" totalsRowDxfId="186">
      <totalsRowFormula>SUM(SupremeCourtJusticeJudicialDistrict5General3[Warren County 
Vote Results])</totalsRowFormula>
    </tableColumn>
    <tableColumn id="4" xr3:uid="{E0B26944-E054-4187-8B3C-1C0F9BAB4985}" name="Washington County _x000a_Vote Results" totalsRowFunction="custom" dataDxfId="185" totalsRowDxfId="184">
      <totalsRowFormula>SUM(SupremeCourtJusticeJudicialDistrict5General3[Washington County 
Vote Results])</totalsRowFormula>
    </tableColumn>
    <tableColumn id="6" xr3:uid="{E2D596DF-49AA-40AD-B889-86732F5261B4}" name="Total Votes by Party" totalsRowFunction="custom" dataDxfId="183" totalsRowDxfId="182">
      <calculatedColumnFormula>SUM(SupremeCourtJusticeJudicialDistrict5General3[[#This Row],[Clinton County 
Vote Results]:[Washington County 
Vote Results]])</calculatedColumnFormula>
      <totalsRowFormula>SUM(SupremeCourtJusticeJudicialDistrict5General3[Total Votes by Party])</totalsRowFormula>
    </tableColumn>
    <tableColumn id="5" xr3:uid="{91CF4C77-D8F2-411D-9779-34EA64B8E1C8}" name="Total Votes by Candidate" dataDxfId="181" totalsRowDxfId="180"/>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EB3587F5-DB8E-4F37-B4C8-E7477D2187E8}" name="SupremeCourtJusticeJudicialDistrict5General" displayName="SupremeCourtJusticeJudicialDistrict5General" ref="A2:I22" totalsRowCount="1" headerRowDxfId="179" dataDxfId="177" totalsRowDxfId="175" headerRowBorderDxfId="178" tableBorderDxfId="176" totalsRowBorderDxfId="174">
  <autoFilter ref="A2:I21" xr:uid="{A40D9807-6526-4980-B4FE-57B09E4932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DFFD150-E4E3-4F5A-9939-5DBC8A0F9A9F}" name="Candidate Name (Party)" totalsRowLabel="Total Votes by County" dataDxfId="173" totalsRowDxfId="172"/>
    <tableColumn id="2" xr3:uid="{83C147E2-9BBB-4CD2-848D-93D73D0F954A}" name="Herkimer County _x000a_Vote Results" totalsRowFunction="custom" dataDxfId="171" totalsRowDxfId="170">
      <totalsRowFormula>SUM(SupremeCourtJusticeJudicialDistrict5General[Herkimer County 
Vote Results])</totalsRowFormula>
    </tableColumn>
    <tableColumn id="9" xr3:uid="{18FDF415-2EDB-4C56-838A-FC9309E6328A}" name="Jefferson County _x000a_Vote Results" totalsRowFunction="custom" dataDxfId="169" totalsRowDxfId="168">
      <totalsRowFormula>SUM(SupremeCourtJusticeJudicialDistrict5General[Jefferson County 
Vote Results])</totalsRowFormula>
    </tableColumn>
    <tableColumn id="8" xr3:uid="{754D0C4D-7709-4282-AC55-C64E38FD08C3}" name="Lewis County _x000a_Vote Results" totalsRowFunction="custom" dataDxfId="167" totalsRowDxfId="166">
      <totalsRowFormula>SUM(SupremeCourtJusticeJudicialDistrict5General[Lewis County 
Vote Results])</totalsRowFormula>
    </tableColumn>
    <tableColumn id="7" xr3:uid="{3655E802-6482-4528-8D3F-F5A69CDF10D2}" name="Oneida County _x000a_Vote Results" totalsRowFunction="custom" dataDxfId="165" totalsRowDxfId="164">
      <totalsRowFormula>SUM(SupremeCourtJusticeJudicialDistrict5General[Oneida County 
Vote Results])</totalsRowFormula>
    </tableColumn>
    <tableColumn id="3" xr3:uid="{AFBA5A3D-5B13-44AF-B013-A061AA8DB9E8}" name="Onondaga County _x000a_Vote Results" totalsRowFunction="custom" dataDxfId="163" totalsRowDxfId="162">
      <totalsRowFormula>SUM(SupremeCourtJusticeJudicialDistrict5General[Onondaga County 
Vote Results])</totalsRowFormula>
    </tableColumn>
    <tableColumn id="4" xr3:uid="{A30E96EA-6221-4EBF-94CF-383518D6BA85}" name="Oswego County _x000a_Vote Results" totalsRowFunction="custom" dataDxfId="161" totalsRowDxfId="160">
      <totalsRowFormula>SUM(SupremeCourtJusticeJudicialDistrict5General[Oswego County 
Vote Results])</totalsRowFormula>
    </tableColumn>
    <tableColumn id="6" xr3:uid="{43B2D2CB-1F74-4647-93D4-7C29229343D6}" name="Total Votes by Party" totalsRowFunction="custom" dataDxfId="159" totalsRowDxfId="158">
      <totalsRowFormula>SUM(SupremeCourtJusticeJudicialDistrict5General[Total Votes by Party])</totalsRowFormula>
    </tableColumn>
    <tableColumn id="5" xr3:uid="{0B4E0C15-205A-453C-B8C8-D10E15F78D08}" name="Total Votes by Candidate" dataDxfId="157" totalsRowDxfId="156"/>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3D6462AC-67A4-44B5-B36E-AB7A30102C12}" name="SupremeCourtJusticeJudicialDistrict7General" displayName="SupremeCourtJusticeJudicialDistrict7General" ref="A2:K14" totalsRowCount="1" headerRowDxfId="155" dataDxfId="153" totalsRowDxfId="151" headerRowBorderDxfId="154" tableBorderDxfId="152" totalsRowBorderDxfId="150">
  <autoFilter ref="A2:K13" xr:uid="{4A698953-4787-42EF-B5E8-7683CF8B90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4BEFBEF-97E2-496B-B7BE-A4467402BC27}" name="Candidate Name (Party)" totalsRowLabel="Total Votes by County" dataDxfId="149" totalsRowDxfId="148"/>
    <tableColumn id="2" xr3:uid="{CC38592D-FD73-4D7D-9BB2-504E75CD8B6F}" name="Cayuga County _x000a_Vote Results" totalsRowFunction="custom" dataDxfId="147" totalsRowDxfId="146">
      <totalsRowFormula>SUM(SupremeCourtJusticeJudicialDistrict7General[Cayuga County 
Vote Results])</totalsRowFormula>
    </tableColumn>
    <tableColumn id="9" xr3:uid="{67362306-932F-4D34-A106-CE4B107F5041}" name="Livingston County _x000a_Vote Results" totalsRowFunction="custom" dataDxfId="145" totalsRowDxfId="144">
      <totalsRowFormula>SUM(SupremeCourtJusticeJudicialDistrict7General[Livingston County 
Vote Results])</totalsRowFormula>
    </tableColumn>
    <tableColumn id="8" xr3:uid="{B28C0287-F7B8-4125-9741-ECA01FEC85B7}" name="Monroe County _x000a_Vote Results" totalsRowFunction="custom" dataDxfId="143" totalsRowDxfId="142">
      <totalsRowFormula>SUM(SupremeCourtJusticeJudicialDistrict7General[Monroe County 
Vote Results])</totalsRowFormula>
    </tableColumn>
    <tableColumn id="11" xr3:uid="{B8214F10-D87C-4A43-899C-17933F328F7C}" name="Ontario County _x000a_Vote Results" totalsRowFunction="custom" dataDxfId="141" totalsRowDxfId="140">
      <totalsRowFormula>SUM(SupremeCourtJusticeJudicialDistrict7General[Ontario County 
Vote Results])</totalsRowFormula>
    </tableColumn>
    <tableColumn id="10" xr3:uid="{D4F04DEC-E619-4939-9992-BAB7BFC985A2}" name="Seneca County _x000a_Vote Results" totalsRowFunction="custom" dataDxfId="139" totalsRowDxfId="138">
      <totalsRowFormula>SUM(SupremeCourtJusticeJudicialDistrict7General[Seneca County 
Vote Results])</totalsRowFormula>
    </tableColumn>
    <tableColumn id="7" xr3:uid="{DFE6BF67-4B96-48F4-BE6D-7827A3CE9E85}" name="Steuben County _x000a_Vote Results" totalsRowFunction="custom" dataDxfId="137" totalsRowDxfId="136">
      <totalsRowFormula>SUM(SupremeCourtJusticeJudicialDistrict7General[Steuben County 
Vote Results])</totalsRowFormula>
    </tableColumn>
    <tableColumn id="3" xr3:uid="{4A9F3B25-4DCE-491D-9AB7-1211462FC706}" name="Wayne County _x000a_Vote Results" totalsRowFunction="custom" dataDxfId="135" totalsRowDxfId="134">
      <totalsRowFormula>SUM(SupremeCourtJusticeJudicialDistrict7General[Wayne County 
Vote Results])</totalsRowFormula>
    </tableColumn>
    <tableColumn id="4" xr3:uid="{50C00CC7-118C-45E8-8164-E9DB9A91E6B3}" name="Yates County _x000a_Vote Results" totalsRowFunction="custom" dataDxfId="133" totalsRowDxfId="132">
      <totalsRowFormula>SUM(SupremeCourtJusticeJudicialDistrict7General[Yates County 
Vote Results])</totalsRowFormula>
    </tableColumn>
    <tableColumn id="6" xr3:uid="{F6374326-092D-49D5-A0B4-6C1A169EE8EF}" name="Total Votes by Party" totalsRowFunction="custom" dataDxfId="131" totalsRowDxfId="130">
      <calculatedColumnFormula>SUM(SupremeCourtJusticeJudicialDistrict7General[[#This Row],[Cayuga County 
Vote Results]:[Yates County 
Vote Results]])</calculatedColumnFormula>
      <totalsRowFormula>SUM(SupremeCourtJusticeJudicialDistrict7General[Total Votes by Party])</totalsRowFormula>
    </tableColumn>
    <tableColumn id="5" xr3:uid="{9672B4BB-01A8-40E4-818D-685CC958D739}" name="Total Votes by Candidate" dataDxfId="129" totalsRowDxfId="128">
      <calculatedColumnFormula>SUM(SupremeCourtJusticeJudicialDistrict7General[[#This Row],[Total Votes by Party]],#REF!)</calculatedColumnFormula>
    </tableColumn>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706F2144-A5E3-475B-A27C-A16ED434F5AA}" name="SupremeCourtJusticeJudicialDistrict8General" displayName="SupremeCourtJusticeJudicialDistrict8General" ref="A2:K13" totalsRowCount="1" headerRowDxfId="127" dataDxfId="125" totalsRowDxfId="123" headerRowBorderDxfId="126" tableBorderDxfId="124" totalsRowBorderDxfId="122">
  <autoFilter ref="A2:K12" xr:uid="{BA26D69A-8223-4C72-ACE7-80CECD8130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01431C6-72DF-4D69-A4E2-7BC01831D242}" name="Candidate Name (Party)" totalsRowLabel="Total Votes by County" dataDxfId="121" totalsRowDxfId="120"/>
    <tableColumn id="2" xr3:uid="{A8612375-1AFD-4EA9-8007-1646FDF863E1}" name="Allegany County _x000a_Vote Results" totalsRowFunction="custom" dataDxfId="119" totalsRowDxfId="118">
      <totalsRowFormula>SUM(SupremeCourtJusticeJudicialDistrict8General[Allegany County 
Vote Results])</totalsRowFormula>
    </tableColumn>
    <tableColumn id="9" xr3:uid="{525D5304-6EFA-4839-AF28-7100F82A7874}" name="Cattaraugus County _x000a_Vote Results" totalsRowFunction="custom" dataDxfId="117" totalsRowDxfId="116">
      <totalsRowFormula>SUM(SupremeCourtJusticeJudicialDistrict8General[Cattaraugus County 
Vote Results])</totalsRowFormula>
    </tableColumn>
    <tableColumn id="8" xr3:uid="{AAFC365B-E398-40A2-AAE9-F43158F073A6}" name="Chautauqua County _x000a_Vote Results" totalsRowFunction="custom" dataDxfId="115" totalsRowDxfId="114">
      <totalsRowFormula>SUM(SupremeCourtJusticeJudicialDistrict8General[Chautauqua County 
Vote Results])</totalsRowFormula>
    </tableColumn>
    <tableColumn id="11" xr3:uid="{928C9A69-A0C8-4E57-AF8F-6E0939E0D1E3}" name="Erie County _x000a_Vote Results" totalsRowFunction="custom" dataDxfId="113" totalsRowDxfId="112">
      <totalsRowFormula>SUM(SupremeCourtJusticeJudicialDistrict8General[Erie County 
Vote Results])</totalsRowFormula>
    </tableColumn>
    <tableColumn id="10" xr3:uid="{D4B54242-76BB-42E0-AA97-DA9111B2B04C}" name="Genesee County _x000a_Vote Results" totalsRowFunction="custom" dataDxfId="111" totalsRowDxfId="110">
      <totalsRowFormula>SUM(SupremeCourtJusticeJudicialDistrict8General[Genesee County 
Vote Results])</totalsRowFormula>
    </tableColumn>
    <tableColumn id="7" xr3:uid="{31C1FA06-5AAF-47AE-9947-D1C26C4BB6B5}" name="Niagara County _x000a_Vote Results" totalsRowFunction="custom" dataDxfId="109" totalsRowDxfId="108">
      <totalsRowFormula>SUM(SupremeCourtJusticeJudicialDistrict8General[Niagara County 
Vote Results])</totalsRowFormula>
    </tableColumn>
    <tableColumn id="3" xr3:uid="{FBD7B710-780E-49B4-93B9-D659A147602A}" name="Orleans County _x000a_Vote Results" totalsRowFunction="custom" dataDxfId="107" totalsRowDxfId="106">
      <totalsRowFormula>SUM(SupremeCourtJusticeJudicialDistrict8General[Orleans County 
Vote Results])</totalsRowFormula>
    </tableColumn>
    <tableColumn id="4" xr3:uid="{99A560E5-4B88-4C7D-B0A5-4186BF9CFFE1}" name="Wyoming County _x000a_Vote Results" totalsRowFunction="custom" dataDxfId="105" totalsRowDxfId="104">
      <totalsRowFormula>SUM(SupremeCourtJusticeJudicialDistrict8General[Wyoming County 
Vote Results])</totalsRowFormula>
    </tableColumn>
    <tableColumn id="6" xr3:uid="{DD91AA70-7738-47B5-B91F-097632FA7B33}" name="Total Votes by Party" totalsRowFunction="custom" dataDxfId="103" totalsRowDxfId="102">
      <calculatedColumnFormula>SUM(SupremeCourtJusticeJudicialDistrict8General[[#This Row],[Allegany County 
Vote Results]:[Wyoming County 
Vote Results]])</calculatedColumnFormula>
      <totalsRowFormula>SUM(SupremeCourtJusticeJudicialDistrict8General[Total Votes by Party])</totalsRowFormula>
    </tableColumn>
    <tableColumn id="5" xr3:uid="{7771E77A-7534-4E8B-B1F5-4DEE9A6EA389}" name="Total Votes by Candidate" dataDxfId="101" totalsRowDxfId="100"/>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AA9B1A9A-9144-40F0-8E20-5E9AA604477B}" name="SupremeCourtJusticeJudicialDistrict9General" displayName="SupremeCourtJusticeJudicialDistrict9General" ref="A2:H18" totalsRowCount="1" headerRowDxfId="99" dataDxfId="97" totalsRowDxfId="95" headerRowBorderDxfId="98" tableBorderDxfId="96" totalsRowBorderDxfId="94">
  <autoFilter ref="A2:H17" xr:uid="{56A2BF69-4EF5-460D-AADA-D5565A5D5EA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0C5AB30-EB0D-4976-805A-775921F85975}" name="Candidate Name (Party)" totalsRowLabel="Total Votes by County" dataDxfId="93" totalsRowDxfId="92"/>
    <tableColumn id="2" xr3:uid="{182EC548-1E95-4E2C-846E-88246439B360}" name="Dutchess County _x000a_Vote Results" totalsRowFunction="custom" dataDxfId="91" totalsRowDxfId="90">
      <totalsRowFormula>SUM(SupremeCourtJusticeJudicialDistrict9General[Dutchess County 
Vote Results])</totalsRowFormula>
    </tableColumn>
    <tableColumn id="9" xr3:uid="{808B4ED7-853A-4A59-885E-943C33C9E561}" name="Orange County _x000a_Vote Results" totalsRowFunction="custom" dataDxfId="89" totalsRowDxfId="88">
      <totalsRowFormula>SUM(SupremeCourtJusticeJudicialDistrict9General[Orange County 
Vote Results])</totalsRowFormula>
    </tableColumn>
    <tableColumn id="8" xr3:uid="{C5B77640-8962-4CA3-9A9F-F4768E6F9D7B}" name="Putnam County _x000a_Vote Results" totalsRowFunction="custom" dataDxfId="87" totalsRowDxfId="86">
      <totalsRowFormula>SUM(SupremeCourtJusticeJudicialDistrict9General[Putnam County 
Vote Results])</totalsRowFormula>
    </tableColumn>
    <tableColumn id="3" xr3:uid="{A97C5F10-B19C-4011-AABE-E2573F573617}" name="Rockland County _x000a_Vote Results" totalsRowFunction="custom" dataDxfId="85" totalsRowDxfId="84">
      <totalsRowFormula>SUM(SupremeCourtJusticeJudicialDistrict9General[Rockland County 
Vote Results])</totalsRowFormula>
    </tableColumn>
    <tableColumn id="4" xr3:uid="{87239EA8-7A82-4BD2-99E7-8D939580A2BC}" name="Westchester County _x000a_Vote Results" totalsRowFunction="custom" dataDxfId="83" totalsRowDxfId="82">
      <totalsRowFormula>SUM(SupremeCourtJusticeJudicialDistrict9General[Westchester County 
Vote Results])</totalsRowFormula>
    </tableColumn>
    <tableColumn id="6" xr3:uid="{2FA7AFCC-1868-42DB-8D50-42D33A861A46}" name="Total Votes by Party" totalsRowFunction="custom" dataDxfId="81" totalsRowDxfId="80">
      <totalsRowFormula>SUM(SupremeCourtJusticeJudicialDistrict9General[Total Votes by Party])</totalsRowFormula>
    </tableColumn>
    <tableColumn id="5" xr3:uid="{56D72240-249B-42A1-9977-C51DEE57448D}" name="Total Votes by Candidate" dataDxfId="79" totalsRowDxfId="78"/>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069CAE8A-E3C8-4A46-8A71-98C06410B59B}" name="SupremeCourtJusticeJudicialDistrict10General" displayName="SupremeCourtJusticeJudicialDistrict10General" ref="A2:E30" totalsRowCount="1" headerRowDxfId="77" dataDxfId="75" totalsRowDxfId="73" headerRowBorderDxfId="76" tableBorderDxfId="74" totalsRowBorderDxfId="72">
  <autoFilter ref="A2:E29" xr:uid="{0CCB8D5A-0187-4C70-B3B0-6D4D41A5811C}">
    <filterColumn colId="0" hiddenButton="1"/>
    <filterColumn colId="1" hiddenButton="1"/>
    <filterColumn colId="2" hiddenButton="1"/>
    <filterColumn colId="3" hiddenButton="1"/>
    <filterColumn colId="4" hiddenButton="1"/>
  </autoFilter>
  <tableColumns count="5">
    <tableColumn id="1" xr3:uid="{481CEED6-123A-42D4-8372-DBFD67972E98}" name="Candidate Name (Party)" totalsRowLabel="Total Votes by County" dataDxfId="71" totalsRowDxfId="70"/>
    <tableColumn id="2" xr3:uid="{ED8EB700-655C-4361-AE5D-EBE873D09719}" name="Nassau County _x000a_Vote Results" totalsRowFunction="custom" dataDxfId="69" totalsRowDxfId="68">
      <totalsRowFormula>SUM(SupremeCourtJusticeJudicialDistrict10General[Nassau County 
Vote Results])</totalsRowFormula>
    </tableColumn>
    <tableColumn id="4" xr3:uid="{F6F0FC48-CC52-4FC4-A1F5-E35332A44B05}" name="Suffolk County _x000a_Vote Results" totalsRowFunction="custom" dataDxfId="67" totalsRowDxfId="66">
      <totalsRowFormula>SUM(SupremeCourtJusticeJudicialDistrict10General[Suffolk County 
Vote Results])</totalsRowFormula>
    </tableColumn>
    <tableColumn id="3" xr3:uid="{92272E05-286D-47D9-907F-B11BF9AC5EF9}" name="Total Votes by Party" totalsRowFunction="custom" dataDxfId="65" totalsRowDxfId="64">
      <totalsRowFormula>SUM(SupremeCourtJusticeJudicialDistrict10General[Total Votes by Party])</totalsRowFormula>
    </tableColumn>
    <tableColumn id="5" xr3:uid="{DB511FF3-768C-4CD3-8E1A-FB4977E8656D}" name="Total Votes by Candidate" dataDxfId="63" totalsRowDxfId="62"/>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2"/>
  <sheetViews>
    <sheetView zoomScaleNormal="100" zoomScaleSheetLayoutView="120" workbookViewId="0">
      <selection activeCell="B12" sqref="B12"/>
    </sheetView>
  </sheetViews>
  <sheetFormatPr defaultRowHeight="12.75" x14ac:dyDescent="0.2"/>
  <cols>
    <col min="1" max="1" width="25.5703125" customWidth="1"/>
    <col min="2" max="4" width="20.5703125" customWidth="1"/>
    <col min="5" max="6" width="23.5703125" customWidth="1"/>
  </cols>
  <sheetData>
    <row r="1" spans="1:4" ht="39" customHeight="1" x14ac:dyDescent="0.2">
      <c r="A1" s="63" t="s">
        <v>58</v>
      </c>
      <c r="B1" s="63"/>
      <c r="C1" s="63"/>
      <c r="D1" s="63"/>
    </row>
    <row r="2" spans="1:4" ht="28.5" customHeight="1" x14ac:dyDescent="0.2">
      <c r="A2" s="4" t="s">
        <v>5</v>
      </c>
      <c r="B2" s="5" t="s">
        <v>8</v>
      </c>
      <c r="C2" s="6" t="s">
        <v>3</v>
      </c>
      <c r="D2" s="11" t="s">
        <v>4</v>
      </c>
    </row>
    <row r="3" spans="1:4" x14ac:dyDescent="0.2">
      <c r="A3" s="1" t="s">
        <v>141</v>
      </c>
      <c r="B3" s="26">
        <v>352004</v>
      </c>
      <c r="C3" s="27">
        <f>SupremeCourtJusticeJudicialDistrict1General[[#This Row],[New York County 
Vote Results]]</f>
        <v>352004</v>
      </c>
      <c r="D3" s="40">
        <f>SupremeCourtJusticeJudicialDistrict1General[[#This Row],[Total Votes by Party]]</f>
        <v>352004</v>
      </c>
    </row>
    <row r="4" spans="1:4" x14ac:dyDescent="0.2">
      <c r="A4" s="1" t="s">
        <v>142</v>
      </c>
      <c r="B4" s="26">
        <v>334671</v>
      </c>
      <c r="C4" s="27">
        <f>SupremeCourtJusticeJudicialDistrict1General[[#This Row],[New York County 
Vote Results]]</f>
        <v>334671</v>
      </c>
      <c r="D4" s="40">
        <f>SupremeCourtJusticeJudicialDistrict1General[[#This Row],[Total Votes by Party]]</f>
        <v>334671</v>
      </c>
    </row>
    <row r="5" spans="1:4" x14ac:dyDescent="0.2">
      <c r="A5" s="1" t="s">
        <v>143</v>
      </c>
      <c r="B5" s="26">
        <v>305277</v>
      </c>
      <c r="C5" s="27">
        <f>SupremeCourtJusticeJudicialDistrict1General[[#This Row],[New York County 
Vote Results]]</f>
        <v>305277</v>
      </c>
      <c r="D5" s="40">
        <f>SupremeCourtJusticeJudicialDistrict1General[[#This Row],[Total Votes by Party]]</f>
        <v>305277</v>
      </c>
    </row>
    <row r="6" spans="1:4" x14ac:dyDescent="0.2">
      <c r="A6" s="1" t="s">
        <v>177</v>
      </c>
      <c r="B6" s="26">
        <v>329016</v>
      </c>
      <c r="C6" s="27">
        <f>SupremeCourtJusticeJudicialDistrict1General[[#This Row],[New York County 
Vote Results]]</f>
        <v>329016</v>
      </c>
      <c r="D6" s="40">
        <f>SupremeCourtJusticeJudicialDistrict1General[[#This Row],[Total Votes by Party]]</f>
        <v>329016</v>
      </c>
    </row>
    <row r="7" spans="1:4" x14ac:dyDescent="0.2">
      <c r="A7" s="1" t="s">
        <v>144</v>
      </c>
      <c r="B7" s="26">
        <v>80820</v>
      </c>
      <c r="C7" s="27">
        <f>SupremeCourtJusticeJudicialDistrict1General[[#This Row],[New York County 
Vote Results]]</f>
        <v>80820</v>
      </c>
      <c r="D7" s="40">
        <f>SupremeCourtJusticeJudicialDistrict1General[[#This Row],[Total Votes by Party]]</f>
        <v>80820</v>
      </c>
    </row>
    <row r="8" spans="1:4" x14ac:dyDescent="0.2">
      <c r="A8" s="1" t="s">
        <v>145</v>
      </c>
      <c r="B8" s="26">
        <v>84424</v>
      </c>
      <c r="C8" s="27">
        <f>SupremeCourtJusticeJudicialDistrict1General[[#This Row],[New York County 
Vote Results]]</f>
        <v>84424</v>
      </c>
      <c r="D8" s="40">
        <f>SupremeCourtJusticeJudicialDistrict1General[[#This Row],[Total Votes by Party]]</f>
        <v>84424</v>
      </c>
    </row>
    <row r="9" spans="1:4" x14ac:dyDescent="0.2">
      <c r="A9" s="1" t="s">
        <v>0</v>
      </c>
      <c r="B9" s="26">
        <v>753561</v>
      </c>
      <c r="C9" s="27">
        <f>SupremeCourtJusticeJudicialDistrict1General[[#This Row],[New York County 
Vote Results]]</f>
        <v>753561</v>
      </c>
      <c r="D9" s="28"/>
    </row>
    <row r="10" spans="1:4" x14ac:dyDescent="0.2">
      <c r="A10" s="1" t="s">
        <v>1</v>
      </c>
      <c r="B10" s="26"/>
      <c r="C10" s="27">
        <f>SupremeCourtJusticeJudicialDistrict1General[[#This Row],[New York County 
Vote Results]]</f>
        <v>0</v>
      </c>
      <c r="D10" s="28"/>
    </row>
    <row r="11" spans="1:4" x14ac:dyDescent="0.2">
      <c r="A11" s="1" t="s">
        <v>6</v>
      </c>
      <c r="B11" s="26">
        <v>11739</v>
      </c>
      <c r="C11" s="27">
        <f>SupremeCourtJusticeJudicialDistrict1General[[#This Row],[New York County 
Vote Results]]</f>
        <v>11739</v>
      </c>
      <c r="D11" s="28"/>
    </row>
    <row r="12" spans="1:4" x14ac:dyDescent="0.2">
      <c r="A12" s="3" t="s">
        <v>2</v>
      </c>
      <c r="B12" s="29">
        <f>SUM(SupremeCourtJusticeJudicialDistrict1General[New York County 
Vote Results])</f>
        <v>2251512</v>
      </c>
      <c r="C12" s="27">
        <f>SUM(SupremeCourtJusticeJudicialDistrict1General[Total Votes by Party])</f>
        <v>2251512</v>
      </c>
      <c r="D12" s="30"/>
    </row>
  </sheetData>
  <sheetProtection algorithmName="SHA-512" hashValue="o7m/cIkTHcwD/LwGvf3Yoo+ZE0CDO/AlocZS5qZyRcD/5+f0qlOn0jBwoPjl/Ds5jAgWWsIvezQeMHcehF1LFw==" saltValue="gOR0mY8/zUU45bJul2f6Yw==" spinCount="100000" sheet="1" objects="1" scenarios="1" selectLockedCells="1" selectUnlockedCells="1"/>
  <mergeCells count="1">
    <mergeCell ref="A1:D1"/>
  </mergeCells>
  <phoneticPr fontId="1" type="noConversion"/>
  <pageMargins left="0.25" right="0.25" top="0.25" bottom="0.25" header="0.25" footer="0.25"/>
  <pageSetup paperSize="5" fitToHeight="0" orientation="landscape" r:id="rId1"/>
  <headerFooter alignWithMargins="0">
    <oddFooter>&amp;RPage &amp;P of &amp;N</oddFooter>
  </headerFooter>
  <rowBreaks count="4" manualBreakCount="4">
    <brk id="41" max="16383" man="1"/>
    <brk id="75" max="16383" man="1"/>
    <brk id="122" max="16383" man="1"/>
    <brk id="154" max="16383" man="1"/>
  </rowBreak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5F02-30A4-453C-A03C-FED3C27DDFDC}">
  <sheetPr>
    <pageSetUpPr fitToPage="1"/>
  </sheetPr>
  <dimension ref="A1:D14"/>
  <sheetViews>
    <sheetView zoomScaleNormal="100" zoomScaleSheetLayoutView="110" workbookViewId="0">
      <selection activeCell="B14" sqref="B14"/>
    </sheetView>
  </sheetViews>
  <sheetFormatPr defaultRowHeight="12.75" x14ac:dyDescent="0.2"/>
  <cols>
    <col min="1" max="1" width="26.28515625" customWidth="1"/>
    <col min="2" max="3" width="20.5703125" customWidth="1"/>
    <col min="4" max="4" width="20.5703125" style="39" customWidth="1"/>
    <col min="5" max="6" width="23.5703125" customWidth="1"/>
  </cols>
  <sheetData>
    <row r="1" spans="1:4" ht="39" customHeight="1" x14ac:dyDescent="0.2">
      <c r="A1" s="63" t="s">
        <v>65</v>
      </c>
      <c r="B1" s="63"/>
      <c r="C1" s="63"/>
      <c r="D1" s="63"/>
    </row>
    <row r="2" spans="1:4" ht="28.5" customHeight="1" x14ac:dyDescent="0.2">
      <c r="A2" s="4" t="s">
        <v>5</v>
      </c>
      <c r="B2" s="5" t="s">
        <v>57</v>
      </c>
      <c r="C2" s="6" t="s">
        <v>3</v>
      </c>
      <c r="D2" s="7" t="s">
        <v>4</v>
      </c>
    </row>
    <row r="3" spans="1:4" s="23" customFormat="1" ht="14.25" customHeight="1" x14ac:dyDescent="0.2">
      <c r="A3" s="22" t="s">
        <v>167</v>
      </c>
      <c r="B3" s="13">
        <v>327159</v>
      </c>
      <c r="C3" s="8">
        <f>SupremeCourtJusticeJudicialDistrict11General[[#This Row],[Queens County 
Vote Results]]</f>
        <v>327159</v>
      </c>
      <c r="D3" s="41">
        <f>SUM(SupremeCourtJusticeJudicialDistrict11General[[#This Row],[Total Votes by Party]])</f>
        <v>327159</v>
      </c>
    </row>
    <row r="4" spans="1:4" s="23" customFormat="1" ht="14.25" customHeight="1" x14ac:dyDescent="0.2">
      <c r="A4" s="22" t="s">
        <v>168</v>
      </c>
      <c r="B4" s="13">
        <v>272106</v>
      </c>
      <c r="C4" s="8">
        <f>SupremeCourtJusticeJudicialDistrict11General[[#This Row],[Queens County 
Vote Results]]</f>
        <v>272106</v>
      </c>
      <c r="D4" s="41">
        <f>SUM(SupremeCourtJusticeJudicialDistrict11General[[#This Row],[Total Votes by Party]])</f>
        <v>272106</v>
      </c>
    </row>
    <row r="5" spans="1:4" s="23" customFormat="1" ht="14.25" customHeight="1" x14ac:dyDescent="0.2">
      <c r="A5" s="22" t="s">
        <v>169</v>
      </c>
      <c r="B5" s="13">
        <v>283862</v>
      </c>
      <c r="C5" s="8">
        <f>SupremeCourtJusticeJudicialDistrict11General[[#This Row],[Queens County 
Vote Results]]</f>
        <v>283862</v>
      </c>
      <c r="D5" s="41">
        <f>SUM(SupremeCourtJusticeJudicialDistrict11General[[#This Row],[Total Votes by Party]])</f>
        <v>283862</v>
      </c>
    </row>
    <row r="6" spans="1:4" s="23" customFormat="1" ht="14.25" customHeight="1" x14ac:dyDescent="0.2">
      <c r="A6" s="22" t="s">
        <v>170</v>
      </c>
      <c r="B6" s="13">
        <v>291840</v>
      </c>
      <c r="C6" s="8">
        <f>SupremeCourtJusticeJudicialDistrict11General[[#This Row],[Queens County 
Vote Results]]</f>
        <v>291840</v>
      </c>
      <c r="D6" s="41">
        <f>SUM(SupremeCourtJusticeJudicialDistrict11General[[#This Row],[Total Votes by Party]])</f>
        <v>291840</v>
      </c>
    </row>
    <row r="7" spans="1:4" s="23" customFormat="1" ht="14.25" customHeight="1" x14ac:dyDescent="0.2">
      <c r="A7" s="22" t="s">
        <v>171</v>
      </c>
      <c r="B7" s="13">
        <v>278031</v>
      </c>
      <c r="C7" s="8">
        <f>SupremeCourtJusticeJudicialDistrict11General[[#This Row],[Queens County 
Vote Results]]</f>
        <v>278031</v>
      </c>
      <c r="D7" s="41">
        <f>SUM(SupremeCourtJusticeJudicialDistrict11General[[#This Row],[Total Votes by Party]])</f>
        <v>278031</v>
      </c>
    </row>
    <row r="8" spans="1:4" s="23" customFormat="1" ht="14.25" customHeight="1" x14ac:dyDescent="0.2">
      <c r="A8" s="22" t="s">
        <v>172</v>
      </c>
      <c r="B8" s="13">
        <v>127871</v>
      </c>
      <c r="C8" s="8">
        <f>SupremeCourtJusticeJudicialDistrict11General[[#This Row],[Queens County 
Vote Results]]</f>
        <v>127871</v>
      </c>
      <c r="D8" s="41">
        <f>SUM(SupremeCourtJusticeJudicialDistrict11General[[#This Row],[Total Votes by Party]],C10)</f>
        <v>142624</v>
      </c>
    </row>
    <row r="9" spans="1:4" s="23" customFormat="1" ht="14.25" customHeight="1" x14ac:dyDescent="0.2">
      <c r="A9" s="22" t="s">
        <v>173</v>
      </c>
      <c r="B9" s="13">
        <v>123281</v>
      </c>
      <c r="C9" s="8">
        <f>SupremeCourtJusticeJudicialDistrict11General[[#This Row],[Queens County 
Vote Results]]</f>
        <v>123281</v>
      </c>
      <c r="D9" s="41">
        <f>SUM(SupremeCourtJusticeJudicialDistrict11General[[#This Row],[Total Votes by Party]])</f>
        <v>123281</v>
      </c>
    </row>
    <row r="10" spans="1:4" s="23" customFormat="1" ht="14.25" customHeight="1" x14ac:dyDescent="0.2">
      <c r="A10" s="22" t="s">
        <v>174</v>
      </c>
      <c r="B10" s="13">
        <v>14753</v>
      </c>
      <c r="C10" s="8">
        <f>SupremeCourtJusticeJudicialDistrict11General[[#This Row],[Queens County 
Vote Results]]</f>
        <v>14753</v>
      </c>
      <c r="D10" s="10"/>
    </row>
    <row r="11" spans="1:4" s="23" customFormat="1" ht="14.25" customHeight="1" x14ac:dyDescent="0.2">
      <c r="A11" s="24" t="s">
        <v>0</v>
      </c>
      <c r="B11" s="14">
        <v>995207</v>
      </c>
      <c r="C11" s="8">
        <f>SupremeCourtJusticeJudicialDistrict11General[[#This Row],[Queens County 
Vote Results]]</f>
        <v>995207</v>
      </c>
      <c r="D11" s="10"/>
    </row>
    <row r="12" spans="1:4" s="23" customFormat="1" ht="14.25" customHeight="1" x14ac:dyDescent="0.2">
      <c r="A12" s="24" t="s">
        <v>1</v>
      </c>
      <c r="B12" s="15"/>
      <c r="C12" s="8">
        <f>SupremeCourtJusticeJudicialDistrict11General[[#This Row],[Queens County 
Vote Results]]</f>
        <v>0</v>
      </c>
      <c r="D12" s="10"/>
    </row>
    <row r="13" spans="1:4" s="23" customFormat="1" ht="14.25" customHeight="1" x14ac:dyDescent="0.2">
      <c r="A13" s="24" t="s">
        <v>6</v>
      </c>
      <c r="B13" s="15">
        <v>8905</v>
      </c>
      <c r="C13" s="8">
        <f>SupremeCourtJusticeJudicialDistrict11General[[#This Row],[Queens County 
Vote Results]]</f>
        <v>8905</v>
      </c>
      <c r="D13" s="10"/>
    </row>
    <row r="14" spans="1:4" s="23" customFormat="1" ht="14.25" customHeight="1" x14ac:dyDescent="0.2">
      <c r="A14" s="25" t="s">
        <v>2</v>
      </c>
      <c r="B14" s="2">
        <f>SUM(SupremeCourtJusticeJudicialDistrict11General[Queens County 
Vote Results])</f>
        <v>2723015</v>
      </c>
      <c r="C14" s="8">
        <f>SUM(SupremeCourtJusticeJudicialDistrict11General[Total Votes by Party])</f>
        <v>2723015</v>
      </c>
      <c r="D14" s="10"/>
    </row>
  </sheetData>
  <sheetProtection algorithmName="SHA-512" hashValue="sY41FDtksD14SurKzoqiadAI1rwrgGndKUwH9BHZqFIJrQAXtVpD+Vut9/fCBNK6gTR8bjUw3n2cxzfCxEMSjQ==" saltValue="cfr7Cq1VT7OjIDHeuoWaiQ==" spinCount="100000" sheet="1" objects="1" scenarios="1" selectLockedCells="1" selectUnlockedCells="1"/>
  <mergeCells count="1">
    <mergeCell ref="A1:D1"/>
  </mergeCells>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465CE-704F-450E-85D0-6C33023045D6}">
  <sheetPr>
    <pageSetUpPr fitToPage="1"/>
  </sheetPr>
  <dimension ref="A1:D8"/>
  <sheetViews>
    <sheetView zoomScaleNormal="100" workbookViewId="0">
      <selection activeCell="B8" sqref="B8"/>
    </sheetView>
  </sheetViews>
  <sheetFormatPr defaultRowHeight="12.75" x14ac:dyDescent="0.2"/>
  <cols>
    <col min="1" max="1" width="25.5703125" customWidth="1"/>
    <col min="2" max="3" width="20.5703125" customWidth="1"/>
    <col min="4" max="4" width="20.5703125" style="39" customWidth="1"/>
    <col min="5" max="6" width="23.5703125" customWidth="1"/>
  </cols>
  <sheetData>
    <row r="1" spans="1:4" ht="39" customHeight="1" x14ac:dyDescent="0.2">
      <c r="A1" s="63" t="s">
        <v>66</v>
      </c>
      <c r="B1" s="63"/>
      <c r="C1" s="63"/>
      <c r="D1" s="63"/>
    </row>
    <row r="2" spans="1:4" ht="28.5" customHeight="1" x14ac:dyDescent="0.2">
      <c r="A2" s="4" t="s">
        <v>5</v>
      </c>
      <c r="B2" s="5" t="s">
        <v>7</v>
      </c>
      <c r="C2" s="6" t="s">
        <v>3</v>
      </c>
      <c r="D2" s="7" t="s">
        <v>4</v>
      </c>
    </row>
    <row r="3" spans="1:4" s="23" customFormat="1" ht="14.25" customHeight="1" x14ac:dyDescent="0.2">
      <c r="A3" s="22" t="s">
        <v>175</v>
      </c>
      <c r="B3" s="2">
        <v>53331</v>
      </c>
      <c r="C3" s="8">
        <f>SupremeCourtJusticeJudicialDistrict13General[[#This Row],[Richmond County Vote Results]]</f>
        <v>53331</v>
      </c>
      <c r="D3" s="41">
        <f>SUM(SupremeCourtJusticeJudicialDistrict13General[[#This Row],[Total Votes by Party]])</f>
        <v>53331</v>
      </c>
    </row>
    <row r="4" spans="1:4" s="23" customFormat="1" ht="14.25" customHeight="1" x14ac:dyDescent="0.2">
      <c r="A4" s="22" t="s">
        <v>176</v>
      </c>
      <c r="B4" s="2">
        <v>88357</v>
      </c>
      <c r="C4" s="8">
        <f>SupremeCourtJusticeJudicialDistrict13General[[#This Row],[Richmond County Vote Results]]</f>
        <v>88357</v>
      </c>
      <c r="D4" s="41">
        <f>SUM(SupremeCourtJusticeJudicialDistrict13General[[#This Row],[Total Votes by Party]])</f>
        <v>88357</v>
      </c>
    </row>
    <row r="5" spans="1:4" s="23" customFormat="1" ht="14.25" customHeight="1" x14ac:dyDescent="0.2">
      <c r="A5" s="24" t="s">
        <v>0</v>
      </c>
      <c r="B5" s="2">
        <v>11942</v>
      </c>
      <c r="C5" s="8">
        <f>SupremeCourtJusticeJudicialDistrict13General[[#This Row],[Richmond County Vote Results]]</f>
        <v>11942</v>
      </c>
      <c r="D5" s="10"/>
    </row>
    <row r="6" spans="1:4" s="23" customFormat="1" ht="14.25" customHeight="1" x14ac:dyDescent="0.2">
      <c r="A6" s="24" t="s">
        <v>1</v>
      </c>
      <c r="B6" s="2"/>
      <c r="C6" s="8">
        <f>SupremeCourtJusticeJudicialDistrict13General[[#This Row],[Richmond County Vote Results]]</f>
        <v>0</v>
      </c>
      <c r="D6" s="10"/>
    </row>
    <row r="7" spans="1:4" s="23" customFormat="1" ht="14.25" customHeight="1" x14ac:dyDescent="0.2">
      <c r="A7" s="24" t="s">
        <v>6</v>
      </c>
      <c r="B7" s="2">
        <v>163</v>
      </c>
      <c r="C7" s="8">
        <f>SupremeCourtJusticeJudicialDistrict13General[[#This Row],[Richmond County Vote Results]]</f>
        <v>163</v>
      </c>
      <c r="D7" s="10"/>
    </row>
    <row r="8" spans="1:4" s="23" customFormat="1" ht="14.25" customHeight="1" x14ac:dyDescent="0.2">
      <c r="A8" s="25" t="s">
        <v>2</v>
      </c>
      <c r="B8" s="2">
        <f>SUM(SupremeCourtJusticeJudicialDistrict13General[Richmond County Vote Results])</f>
        <v>153793</v>
      </c>
      <c r="C8" s="8">
        <f>SUM(SupremeCourtJusticeJudicialDistrict13General[Total Votes by Party])</f>
        <v>153793</v>
      </c>
      <c r="D8" s="10"/>
    </row>
  </sheetData>
  <sheetProtection algorithmName="SHA-512" hashValue="4BBObm0ZphowUbLrAeZI1KyMkBoCpezgHHMo3tyC3RZXy3eQTiUpOeO5K5PoanAXj61WLBnQ+jVbocX/8XkP1A==" saltValue="Pe6JUkNyFZziXWFFBCYTsw==" spinCount="100000" sheet="1" objects="1" scenarios="1" selectLockedCells="1" selectUnlockedCells="1"/>
  <mergeCells count="1">
    <mergeCell ref="A1:D1"/>
  </mergeCells>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BFCB-214C-4C08-88B0-5BA9F77A71FD}">
  <dimension ref="A1:G66"/>
  <sheetViews>
    <sheetView zoomScaleNormal="100" zoomScaleSheetLayoutView="100" workbookViewId="0">
      <pane xSplit="1" ySplit="3" topLeftCell="B32" activePane="bottomRight" state="frozen"/>
      <selection pane="topRight" activeCell="A30" sqref="A30"/>
      <selection pane="bottomLeft" activeCell="A30" sqref="A30"/>
      <selection pane="bottomRight" activeCell="F41" sqref="F41"/>
    </sheetView>
  </sheetViews>
  <sheetFormatPr defaultColWidth="9.140625" defaultRowHeight="12.75" x14ac:dyDescent="0.2"/>
  <cols>
    <col min="1" max="1" width="38.7109375" style="55" customWidth="1"/>
    <col min="2" max="5" width="15.7109375" style="55" customWidth="1"/>
    <col min="6" max="6" width="18.42578125" style="55" bestFit="1" customWidth="1"/>
    <col min="7" max="16384" width="9.140625" style="55"/>
  </cols>
  <sheetData>
    <row r="1" spans="1:7" s="47" customFormat="1" ht="24.95" customHeight="1" x14ac:dyDescent="0.2">
      <c r="A1" s="65" t="s">
        <v>252</v>
      </c>
      <c r="B1" s="65"/>
      <c r="C1" s="65"/>
      <c r="D1" s="65"/>
      <c r="E1" s="65"/>
      <c r="F1" s="65"/>
    </row>
    <row r="2" spans="1:7" s="47" customFormat="1" ht="123.75" customHeight="1" x14ac:dyDescent="0.2">
      <c r="A2" s="66" t="s">
        <v>253</v>
      </c>
      <c r="B2" s="66"/>
      <c r="C2" s="66"/>
      <c r="D2" s="66"/>
      <c r="E2" s="66"/>
      <c r="F2" s="66"/>
    </row>
    <row r="3" spans="1:7" s="47" customFormat="1" ht="39" customHeight="1" x14ac:dyDescent="0.2">
      <c r="A3" s="48" t="s">
        <v>187</v>
      </c>
      <c r="B3" s="49" t="s">
        <v>188</v>
      </c>
      <c r="C3" s="49" t="s">
        <v>189</v>
      </c>
      <c r="D3" s="49" t="s">
        <v>0</v>
      </c>
      <c r="E3" s="49" t="s">
        <v>1</v>
      </c>
      <c r="F3" s="50" t="s">
        <v>2</v>
      </c>
    </row>
    <row r="4" spans="1:7" ht="14.25" customHeight="1" x14ac:dyDescent="0.2">
      <c r="A4" s="51" t="s">
        <v>190</v>
      </c>
      <c r="B4" s="52">
        <v>43149</v>
      </c>
      <c r="C4" s="52">
        <v>21801</v>
      </c>
      <c r="D4" s="52">
        <v>2860</v>
      </c>
      <c r="E4" s="52">
        <v>26</v>
      </c>
      <c r="F4" s="53">
        <f t="shared" ref="F4:F66" si="0">SUM(B4:E4)</f>
        <v>67836</v>
      </c>
      <c r="G4" s="54"/>
    </row>
    <row r="5" spans="1:7" ht="14.25" customHeight="1" x14ac:dyDescent="0.2">
      <c r="A5" s="51" t="s">
        <v>191</v>
      </c>
      <c r="B5" s="52">
        <v>3520</v>
      </c>
      <c r="C5" s="52">
        <v>2285</v>
      </c>
      <c r="D5" s="52">
        <v>270</v>
      </c>
      <c r="E5" s="52">
        <v>0</v>
      </c>
      <c r="F5" s="53">
        <f t="shared" si="0"/>
        <v>6075</v>
      </c>
      <c r="G5" s="54"/>
    </row>
    <row r="6" spans="1:7" ht="14.25" customHeight="1" x14ac:dyDescent="0.2">
      <c r="A6" s="51" t="s">
        <v>192</v>
      </c>
      <c r="B6" s="52">
        <v>20233</v>
      </c>
      <c r="C6" s="52">
        <v>13250</v>
      </c>
      <c r="D6" s="52">
        <v>1523</v>
      </c>
      <c r="E6" s="52">
        <v>16</v>
      </c>
      <c r="F6" s="53">
        <f t="shared" si="0"/>
        <v>35022</v>
      </c>
      <c r="G6" s="54"/>
    </row>
    <row r="7" spans="1:7" ht="14.25" customHeight="1" x14ac:dyDescent="0.2">
      <c r="A7" s="51" t="s">
        <v>193</v>
      </c>
      <c r="B7" s="52">
        <v>5157</v>
      </c>
      <c r="C7" s="52">
        <v>3508</v>
      </c>
      <c r="D7" s="52">
        <v>735</v>
      </c>
      <c r="E7" s="52">
        <v>1</v>
      </c>
      <c r="F7" s="53">
        <f t="shared" si="0"/>
        <v>9401</v>
      </c>
      <c r="G7" s="54"/>
    </row>
    <row r="8" spans="1:7" ht="14.25" customHeight="1" x14ac:dyDescent="0.2">
      <c r="A8" s="51" t="s">
        <v>194</v>
      </c>
      <c r="B8" s="52">
        <v>7459</v>
      </c>
      <c r="C8" s="52">
        <v>5157</v>
      </c>
      <c r="D8" s="52">
        <v>647</v>
      </c>
      <c r="E8" s="52">
        <v>2</v>
      </c>
      <c r="F8" s="53">
        <f t="shared" si="0"/>
        <v>13265</v>
      </c>
      <c r="G8" s="54"/>
    </row>
    <row r="9" spans="1:7" ht="14.25" customHeight="1" x14ac:dyDescent="0.2">
      <c r="A9" s="51" t="s">
        <v>195</v>
      </c>
      <c r="B9" s="52">
        <v>12096</v>
      </c>
      <c r="C9" s="52">
        <v>7875</v>
      </c>
      <c r="D9" s="52">
        <v>1094</v>
      </c>
      <c r="E9" s="52">
        <v>5</v>
      </c>
      <c r="F9" s="53">
        <f t="shared" si="0"/>
        <v>21070</v>
      </c>
      <c r="G9" s="54"/>
    </row>
    <row r="10" spans="1:7" ht="14.25" customHeight="1" x14ac:dyDescent="0.2">
      <c r="A10" s="51" t="s">
        <v>196</v>
      </c>
      <c r="B10" s="52">
        <v>5399</v>
      </c>
      <c r="C10" s="52">
        <v>3853</v>
      </c>
      <c r="D10" s="52">
        <v>576</v>
      </c>
      <c r="E10" s="52">
        <v>0</v>
      </c>
      <c r="F10" s="53">
        <f t="shared" si="0"/>
        <v>9828</v>
      </c>
      <c r="G10" s="54"/>
    </row>
    <row r="11" spans="1:7" ht="14.25" customHeight="1" x14ac:dyDescent="0.2">
      <c r="A11" s="51" t="s">
        <v>197</v>
      </c>
      <c r="B11" s="52">
        <v>3022</v>
      </c>
      <c r="C11" s="52">
        <v>2532</v>
      </c>
      <c r="D11" s="52">
        <v>664</v>
      </c>
      <c r="E11" s="52">
        <v>0</v>
      </c>
      <c r="F11" s="53">
        <f t="shared" si="0"/>
        <v>6218</v>
      </c>
      <c r="G11" s="54"/>
    </row>
    <row r="12" spans="1:7" ht="14.25" customHeight="1" x14ac:dyDescent="0.2">
      <c r="A12" s="51" t="s">
        <v>198</v>
      </c>
      <c r="B12" s="52">
        <v>14981</v>
      </c>
      <c r="C12" s="52">
        <v>6748</v>
      </c>
      <c r="D12" s="52">
        <v>740</v>
      </c>
      <c r="E12" s="52">
        <v>3</v>
      </c>
      <c r="F12" s="53">
        <f t="shared" si="0"/>
        <v>22472</v>
      </c>
      <c r="G12" s="54"/>
    </row>
    <row r="13" spans="1:7" ht="14.25" customHeight="1" x14ac:dyDescent="0.2">
      <c r="A13" s="51" t="s">
        <v>199</v>
      </c>
      <c r="B13" s="52">
        <v>13128</v>
      </c>
      <c r="C13" s="52">
        <v>8591</v>
      </c>
      <c r="D13" s="52">
        <v>1440</v>
      </c>
      <c r="E13" s="52">
        <v>4</v>
      </c>
      <c r="F13" s="53">
        <f t="shared" si="0"/>
        <v>23163</v>
      </c>
      <c r="G13" s="54"/>
    </row>
    <row r="14" spans="1:7" ht="14.25" customHeight="1" x14ac:dyDescent="0.2">
      <c r="A14" s="51" t="s">
        <v>200</v>
      </c>
      <c r="B14" s="52">
        <v>4508</v>
      </c>
      <c r="C14" s="52">
        <v>2819</v>
      </c>
      <c r="D14" s="52">
        <v>547</v>
      </c>
      <c r="E14" s="52">
        <v>0</v>
      </c>
      <c r="F14" s="53">
        <f t="shared" si="0"/>
        <v>7874</v>
      </c>
      <c r="G14" s="54"/>
    </row>
    <row r="15" spans="1:7" ht="14.25" customHeight="1" x14ac:dyDescent="0.2">
      <c r="A15" s="51" t="s">
        <v>201</v>
      </c>
      <c r="B15" s="52">
        <v>5097</v>
      </c>
      <c r="C15" s="52">
        <v>3919</v>
      </c>
      <c r="D15" s="52">
        <v>1168</v>
      </c>
      <c r="E15" s="52">
        <v>1</v>
      </c>
      <c r="F15" s="53">
        <f t="shared" si="0"/>
        <v>10185</v>
      </c>
      <c r="G15" s="54"/>
    </row>
    <row r="16" spans="1:7" ht="14.25" customHeight="1" x14ac:dyDescent="0.2">
      <c r="A16" s="51" t="s">
        <v>202</v>
      </c>
      <c r="B16" s="52">
        <v>39944</v>
      </c>
      <c r="C16" s="52">
        <v>32122</v>
      </c>
      <c r="D16" s="52">
        <v>3847</v>
      </c>
      <c r="E16" s="52">
        <v>15</v>
      </c>
      <c r="F16" s="53">
        <f t="shared" si="0"/>
        <v>75928</v>
      </c>
      <c r="G16" s="54"/>
    </row>
    <row r="17" spans="1:7" ht="14.25" customHeight="1" x14ac:dyDescent="0.2">
      <c r="A17" s="51" t="s">
        <v>203</v>
      </c>
      <c r="B17" s="52">
        <v>91213</v>
      </c>
      <c r="C17" s="52">
        <v>63783</v>
      </c>
      <c r="D17" s="52">
        <v>34470</v>
      </c>
      <c r="E17" s="52">
        <v>52</v>
      </c>
      <c r="F17" s="53">
        <f t="shared" si="0"/>
        <v>189518</v>
      </c>
      <c r="G17" s="54"/>
    </row>
    <row r="18" spans="1:7" ht="14.25" customHeight="1" x14ac:dyDescent="0.2">
      <c r="A18" s="51" t="s">
        <v>204</v>
      </c>
      <c r="B18" s="52">
        <v>7347</v>
      </c>
      <c r="C18" s="52">
        <v>3408</v>
      </c>
      <c r="D18" s="52">
        <v>835</v>
      </c>
      <c r="E18" s="52">
        <v>2</v>
      </c>
      <c r="F18" s="53">
        <f t="shared" si="0"/>
        <v>11592</v>
      </c>
      <c r="G18" s="54"/>
    </row>
    <row r="19" spans="1:7" ht="14.25" customHeight="1" x14ac:dyDescent="0.2">
      <c r="A19" s="51" t="s">
        <v>205</v>
      </c>
      <c r="B19" s="52">
        <v>6938</v>
      </c>
      <c r="C19" s="52">
        <v>3467</v>
      </c>
      <c r="D19" s="52">
        <v>558</v>
      </c>
      <c r="E19" s="52">
        <v>0</v>
      </c>
      <c r="F19" s="53">
        <f t="shared" si="0"/>
        <v>10963</v>
      </c>
      <c r="G19" s="54"/>
    </row>
    <row r="20" spans="1:7" ht="14.25" customHeight="1" x14ac:dyDescent="0.2">
      <c r="A20" s="51" t="s">
        <v>206</v>
      </c>
      <c r="B20" s="52">
        <v>4044</v>
      </c>
      <c r="C20" s="52">
        <v>2735</v>
      </c>
      <c r="D20" s="52">
        <v>679</v>
      </c>
      <c r="E20" s="52">
        <v>1</v>
      </c>
      <c r="F20" s="53">
        <f t="shared" si="0"/>
        <v>7459</v>
      </c>
      <c r="G20" s="54"/>
    </row>
    <row r="21" spans="1:7" ht="14.25" customHeight="1" x14ac:dyDescent="0.2">
      <c r="A21" s="51" t="s">
        <v>207</v>
      </c>
      <c r="B21" s="52">
        <v>4334</v>
      </c>
      <c r="C21" s="52">
        <v>3239</v>
      </c>
      <c r="D21" s="52">
        <v>353</v>
      </c>
      <c r="E21" s="52">
        <v>3</v>
      </c>
      <c r="F21" s="53">
        <f t="shared" si="0"/>
        <v>7929</v>
      </c>
      <c r="G21" s="54"/>
    </row>
    <row r="22" spans="1:7" ht="14.25" customHeight="1" x14ac:dyDescent="0.2">
      <c r="A22" s="51" t="s">
        <v>208</v>
      </c>
      <c r="B22" s="52">
        <v>5531</v>
      </c>
      <c r="C22" s="52">
        <v>4407</v>
      </c>
      <c r="D22" s="52">
        <v>608</v>
      </c>
      <c r="E22" s="52">
        <v>1</v>
      </c>
      <c r="F22" s="53">
        <f t="shared" si="0"/>
        <v>10547</v>
      </c>
      <c r="G22" s="54"/>
    </row>
    <row r="23" spans="1:7" ht="14.25" customHeight="1" x14ac:dyDescent="0.2">
      <c r="A23" s="51" t="s">
        <v>209</v>
      </c>
      <c r="B23" s="52">
        <v>1069</v>
      </c>
      <c r="C23" s="52">
        <v>641</v>
      </c>
      <c r="D23" s="52">
        <v>125</v>
      </c>
      <c r="E23" s="52">
        <v>3</v>
      </c>
      <c r="F23" s="53">
        <f t="shared" si="0"/>
        <v>1838</v>
      </c>
      <c r="G23" s="54"/>
    </row>
    <row r="24" spans="1:7" ht="14.25" customHeight="1" x14ac:dyDescent="0.2">
      <c r="A24" s="51" t="s">
        <v>210</v>
      </c>
      <c r="B24" s="52">
        <v>4377</v>
      </c>
      <c r="C24" s="52">
        <v>3771</v>
      </c>
      <c r="D24" s="52">
        <v>630</v>
      </c>
      <c r="E24" s="52">
        <v>2</v>
      </c>
      <c r="F24" s="53">
        <f t="shared" si="0"/>
        <v>8780</v>
      </c>
      <c r="G24" s="54"/>
    </row>
    <row r="25" spans="1:7" ht="14.25" customHeight="1" x14ac:dyDescent="0.2">
      <c r="A25" s="51" t="s">
        <v>211</v>
      </c>
      <c r="B25" s="52">
        <v>8415</v>
      </c>
      <c r="C25" s="52">
        <v>4976</v>
      </c>
      <c r="D25" s="52">
        <v>1909</v>
      </c>
      <c r="E25" s="52">
        <v>20</v>
      </c>
      <c r="F25" s="53">
        <f t="shared" si="0"/>
        <v>15320</v>
      </c>
      <c r="G25" s="54"/>
    </row>
    <row r="26" spans="1:7" ht="14.25" customHeight="1" x14ac:dyDescent="0.2">
      <c r="A26" s="51" t="s">
        <v>212</v>
      </c>
      <c r="B26" s="52">
        <v>2543</v>
      </c>
      <c r="C26" s="52">
        <v>2020</v>
      </c>
      <c r="D26" s="52">
        <v>333</v>
      </c>
      <c r="E26" s="52">
        <v>0</v>
      </c>
      <c r="F26" s="53">
        <f t="shared" si="0"/>
        <v>4896</v>
      </c>
      <c r="G26" s="54"/>
    </row>
    <row r="27" spans="1:7" ht="14.25" customHeight="1" x14ac:dyDescent="0.2">
      <c r="A27" s="51" t="s">
        <v>213</v>
      </c>
      <c r="B27" s="52">
        <v>6028</v>
      </c>
      <c r="C27" s="52">
        <v>5088</v>
      </c>
      <c r="D27" s="52">
        <v>612</v>
      </c>
      <c r="E27" s="52">
        <v>2</v>
      </c>
      <c r="F27" s="53">
        <f t="shared" si="0"/>
        <v>11730</v>
      </c>
      <c r="G27" s="54"/>
    </row>
    <row r="28" spans="1:7" ht="14.25" customHeight="1" x14ac:dyDescent="0.2">
      <c r="A28" s="51" t="s">
        <v>214</v>
      </c>
      <c r="B28" s="52">
        <v>6873</v>
      </c>
      <c r="C28" s="52">
        <v>3817</v>
      </c>
      <c r="D28" s="52">
        <v>533</v>
      </c>
      <c r="E28" s="52">
        <v>1</v>
      </c>
      <c r="F28" s="53">
        <f t="shared" si="0"/>
        <v>11224</v>
      </c>
      <c r="G28" s="54"/>
    </row>
    <row r="29" spans="1:7" ht="14.25" customHeight="1" x14ac:dyDescent="0.2">
      <c r="A29" s="51" t="s">
        <v>215</v>
      </c>
      <c r="B29" s="52">
        <v>83441</v>
      </c>
      <c r="C29" s="52">
        <v>49537</v>
      </c>
      <c r="D29" s="52">
        <v>16764</v>
      </c>
      <c r="E29" s="52">
        <v>4</v>
      </c>
      <c r="F29" s="53">
        <f t="shared" si="0"/>
        <v>149746</v>
      </c>
      <c r="G29" s="54"/>
    </row>
    <row r="30" spans="1:7" ht="14.25" customHeight="1" x14ac:dyDescent="0.2">
      <c r="A30" s="51" t="s">
        <v>216</v>
      </c>
      <c r="B30" s="56">
        <v>3641</v>
      </c>
      <c r="C30" s="56">
        <v>2404</v>
      </c>
      <c r="D30" s="56">
        <v>579</v>
      </c>
      <c r="E30" s="56">
        <v>1</v>
      </c>
      <c r="F30" s="57">
        <f t="shared" si="0"/>
        <v>6625</v>
      </c>
      <c r="G30" s="54"/>
    </row>
    <row r="31" spans="1:7" ht="14.25" customHeight="1" x14ac:dyDescent="0.2">
      <c r="A31" s="51" t="s">
        <v>217</v>
      </c>
      <c r="B31" s="52">
        <v>146923</v>
      </c>
      <c r="C31" s="52">
        <v>129398</v>
      </c>
      <c r="D31" s="52">
        <v>39775</v>
      </c>
      <c r="E31" s="52">
        <v>209</v>
      </c>
      <c r="F31" s="53">
        <f t="shared" si="0"/>
        <v>316305</v>
      </c>
      <c r="G31" s="54"/>
    </row>
    <row r="32" spans="1:7" ht="14.25" customHeight="1" x14ac:dyDescent="0.2">
      <c r="A32" s="51" t="s">
        <v>218</v>
      </c>
      <c r="B32" s="52">
        <v>20137</v>
      </c>
      <c r="C32" s="52">
        <v>14695</v>
      </c>
      <c r="D32" s="52">
        <v>2280</v>
      </c>
      <c r="E32" s="52">
        <v>10</v>
      </c>
      <c r="F32" s="53">
        <f t="shared" si="0"/>
        <v>37122</v>
      </c>
      <c r="G32" s="54"/>
    </row>
    <row r="33" spans="1:7" ht="14.25" customHeight="1" x14ac:dyDescent="0.2">
      <c r="A33" s="51" t="s">
        <v>219</v>
      </c>
      <c r="B33" s="52">
        <v>20834</v>
      </c>
      <c r="C33" s="52">
        <v>12216</v>
      </c>
      <c r="D33" s="52">
        <v>2511</v>
      </c>
      <c r="E33" s="52">
        <v>4</v>
      </c>
      <c r="F33" s="53">
        <f t="shared" si="0"/>
        <v>35565</v>
      </c>
    </row>
    <row r="34" spans="1:7" ht="14.25" customHeight="1" x14ac:dyDescent="0.2">
      <c r="A34" s="51" t="s">
        <v>220</v>
      </c>
      <c r="B34" s="52">
        <v>54364</v>
      </c>
      <c r="C34" s="52">
        <v>33073</v>
      </c>
      <c r="D34" s="52">
        <v>5929</v>
      </c>
      <c r="E34" s="52">
        <v>52</v>
      </c>
      <c r="F34" s="53">
        <f t="shared" si="0"/>
        <v>93418</v>
      </c>
      <c r="G34" s="54"/>
    </row>
    <row r="35" spans="1:7" ht="14.25" customHeight="1" x14ac:dyDescent="0.2">
      <c r="A35" s="51" t="s">
        <v>221</v>
      </c>
      <c r="B35" s="52">
        <v>14290</v>
      </c>
      <c r="C35" s="52">
        <v>9676</v>
      </c>
      <c r="D35" s="52">
        <v>1255</v>
      </c>
      <c r="E35" s="52">
        <v>2</v>
      </c>
      <c r="F35" s="53">
        <f t="shared" si="0"/>
        <v>25223</v>
      </c>
      <c r="G35" s="54"/>
    </row>
    <row r="36" spans="1:7" ht="14.25" customHeight="1" x14ac:dyDescent="0.2">
      <c r="A36" s="51" t="s">
        <v>222</v>
      </c>
      <c r="B36" s="52">
        <v>34695</v>
      </c>
      <c r="C36" s="52">
        <v>30793</v>
      </c>
      <c r="D36" s="52">
        <v>10383</v>
      </c>
      <c r="E36" s="52">
        <v>12</v>
      </c>
      <c r="F36" s="53">
        <f t="shared" si="0"/>
        <v>75883</v>
      </c>
      <c r="G36" s="54"/>
    </row>
    <row r="37" spans="1:7" ht="14.25" customHeight="1" x14ac:dyDescent="0.2">
      <c r="A37" s="51" t="s">
        <v>223</v>
      </c>
      <c r="B37" s="52">
        <v>1885</v>
      </c>
      <c r="C37" s="52">
        <v>1878</v>
      </c>
      <c r="D37" s="52">
        <v>455</v>
      </c>
      <c r="E37" s="52">
        <v>0</v>
      </c>
      <c r="F37" s="53">
        <f t="shared" si="0"/>
        <v>4218</v>
      </c>
      <c r="G37" s="54"/>
    </row>
    <row r="38" spans="1:7" ht="14.25" customHeight="1" x14ac:dyDescent="0.2">
      <c r="A38" s="51" t="s">
        <v>224</v>
      </c>
      <c r="B38" s="52">
        <v>9558</v>
      </c>
      <c r="C38" s="52">
        <v>6375</v>
      </c>
      <c r="D38" s="52">
        <v>1102</v>
      </c>
      <c r="E38" s="52">
        <v>2</v>
      </c>
      <c r="F38" s="53">
        <f t="shared" si="0"/>
        <v>17037</v>
      </c>
      <c r="G38" s="54"/>
    </row>
    <row r="39" spans="1:7" ht="14.25" customHeight="1" x14ac:dyDescent="0.2">
      <c r="A39" s="51" t="s">
        <v>225</v>
      </c>
      <c r="B39" s="52">
        <v>6532</v>
      </c>
      <c r="C39" s="52">
        <v>4195</v>
      </c>
      <c r="D39" s="52">
        <v>1003</v>
      </c>
      <c r="E39" s="52">
        <v>5</v>
      </c>
      <c r="F39" s="53">
        <f t="shared" si="0"/>
        <v>11735</v>
      </c>
      <c r="G39" s="54"/>
    </row>
    <row r="40" spans="1:7" ht="14.25" customHeight="1" x14ac:dyDescent="0.2">
      <c r="A40" s="51" t="s">
        <v>226</v>
      </c>
      <c r="B40" s="52">
        <v>12051</v>
      </c>
      <c r="C40" s="52">
        <v>8994</v>
      </c>
      <c r="D40" s="52">
        <v>1281</v>
      </c>
      <c r="E40" s="52">
        <v>5</v>
      </c>
      <c r="F40" s="53">
        <f t="shared" si="0"/>
        <v>22331</v>
      </c>
      <c r="G40" s="54"/>
    </row>
    <row r="41" spans="1:7" ht="14.25" customHeight="1" x14ac:dyDescent="0.2">
      <c r="A41" s="51" t="s">
        <v>227</v>
      </c>
      <c r="B41" s="52">
        <v>23182</v>
      </c>
      <c r="C41" s="52">
        <v>14643</v>
      </c>
      <c r="D41" s="52">
        <v>3163</v>
      </c>
      <c r="E41" s="52">
        <v>3</v>
      </c>
      <c r="F41" s="53">
        <f t="shared" si="0"/>
        <v>40991</v>
      </c>
      <c r="G41" s="54"/>
    </row>
    <row r="42" spans="1:7" ht="14.25" customHeight="1" x14ac:dyDescent="0.2">
      <c r="A42" s="51" t="s">
        <v>228</v>
      </c>
      <c r="B42" s="52">
        <v>23939</v>
      </c>
      <c r="C42" s="52">
        <v>20131</v>
      </c>
      <c r="D42" s="52">
        <v>8938</v>
      </c>
      <c r="E42" s="52">
        <v>13</v>
      </c>
      <c r="F42" s="53">
        <f t="shared" si="0"/>
        <v>53021</v>
      </c>
      <c r="G42" s="54"/>
    </row>
    <row r="43" spans="1:7" ht="14.25" customHeight="1" x14ac:dyDescent="0.2">
      <c r="A43" s="51" t="s">
        <v>229</v>
      </c>
      <c r="B43" s="52">
        <v>7931</v>
      </c>
      <c r="C43" s="52">
        <v>3763</v>
      </c>
      <c r="D43" s="52">
        <v>1389</v>
      </c>
      <c r="E43" s="52">
        <v>0</v>
      </c>
      <c r="F43" s="53">
        <f t="shared" si="0"/>
        <v>13083</v>
      </c>
      <c r="G43" s="54"/>
    </row>
    <row r="44" spans="1:7" ht="14.25" customHeight="1" x14ac:dyDescent="0.2">
      <c r="A44" s="51" t="s">
        <v>230</v>
      </c>
      <c r="B44" s="52">
        <v>36263</v>
      </c>
      <c r="C44" s="52">
        <v>18297</v>
      </c>
      <c r="D44" s="52">
        <v>3646</v>
      </c>
      <c r="E44" s="52">
        <v>5</v>
      </c>
      <c r="F44" s="53">
        <f t="shared" si="0"/>
        <v>58211</v>
      </c>
      <c r="G44" s="54"/>
    </row>
    <row r="45" spans="1:7" ht="14.25" customHeight="1" x14ac:dyDescent="0.2">
      <c r="A45" s="51" t="s">
        <v>231</v>
      </c>
      <c r="B45" s="52">
        <v>17933</v>
      </c>
      <c r="C45" s="52">
        <v>10310</v>
      </c>
      <c r="D45" s="52">
        <v>1770</v>
      </c>
      <c r="E45" s="52">
        <v>28</v>
      </c>
      <c r="F45" s="53">
        <f t="shared" si="0"/>
        <v>30041</v>
      </c>
      <c r="G45" s="54"/>
    </row>
    <row r="46" spans="1:7" ht="14.25" customHeight="1" x14ac:dyDescent="0.2">
      <c r="A46" s="51" t="s">
        <v>232</v>
      </c>
      <c r="B46" s="52">
        <v>3922</v>
      </c>
      <c r="C46" s="52">
        <v>2483</v>
      </c>
      <c r="D46" s="52">
        <v>518</v>
      </c>
      <c r="E46" s="52">
        <v>0</v>
      </c>
      <c r="F46" s="53">
        <f t="shared" si="0"/>
        <v>6923</v>
      </c>
      <c r="G46" s="54"/>
    </row>
    <row r="47" spans="1:7" ht="14.25" customHeight="1" x14ac:dyDescent="0.2">
      <c r="A47" s="51" t="s">
        <v>233</v>
      </c>
      <c r="B47" s="52">
        <v>2026</v>
      </c>
      <c r="C47" s="52">
        <v>1653</v>
      </c>
      <c r="D47" s="52">
        <v>159</v>
      </c>
      <c r="E47" s="52">
        <v>0</v>
      </c>
      <c r="F47" s="53">
        <f t="shared" si="0"/>
        <v>3838</v>
      </c>
      <c r="G47" s="54"/>
    </row>
    <row r="48" spans="1:7" ht="14.25" customHeight="1" x14ac:dyDescent="0.2">
      <c r="A48" s="51" t="s">
        <v>234</v>
      </c>
      <c r="B48" s="52">
        <v>4094</v>
      </c>
      <c r="C48" s="52">
        <v>2354</v>
      </c>
      <c r="D48" s="52">
        <v>274</v>
      </c>
      <c r="E48" s="52">
        <v>1</v>
      </c>
      <c r="F48" s="53">
        <f t="shared" si="0"/>
        <v>6723</v>
      </c>
      <c r="G48" s="54"/>
    </row>
    <row r="49" spans="1:7" ht="14.25" customHeight="1" x14ac:dyDescent="0.2">
      <c r="A49" s="51" t="s">
        <v>235</v>
      </c>
      <c r="B49" s="52">
        <v>7011</v>
      </c>
      <c r="C49" s="52">
        <v>5629</v>
      </c>
      <c r="D49" s="52">
        <v>799</v>
      </c>
      <c r="E49" s="52">
        <v>2</v>
      </c>
      <c r="F49" s="53">
        <f t="shared" si="0"/>
        <v>13441</v>
      </c>
      <c r="G49" s="54"/>
    </row>
    <row r="50" spans="1:7" ht="14.25" customHeight="1" x14ac:dyDescent="0.2">
      <c r="A50" s="51" t="s">
        <v>236</v>
      </c>
      <c r="B50" s="52">
        <v>116446</v>
      </c>
      <c r="C50" s="52">
        <v>112424</v>
      </c>
      <c r="D50" s="52">
        <v>15398</v>
      </c>
      <c r="E50" s="52">
        <v>105</v>
      </c>
      <c r="F50" s="57">
        <f t="shared" si="0"/>
        <v>244373</v>
      </c>
      <c r="G50" s="54"/>
    </row>
    <row r="51" spans="1:7" ht="14.25" customHeight="1" x14ac:dyDescent="0.2">
      <c r="A51" s="51" t="s">
        <v>237</v>
      </c>
      <c r="B51" s="52">
        <v>8231</v>
      </c>
      <c r="C51" s="52">
        <v>6425</v>
      </c>
      <c r="D51" s="52">
        <v>2455</v>
      </c>
      <c r="E51" s="52">
        <v>3</v>
      </c>
      <c r="F51" s="53">
        <f t="shared" si="0"/>
        <v>17114</v>
      </c>
      <c r="G51" s="54"/>
    </row>
    <row r="52" spans="1:7" ht="14.25" customHeight="1" x14ac:dyDescent="0.2">
      <c r="A52" s="51" t="s">
        <v>238</v>
      </c>
      <c r="B52" s="52">
        <v>4015</v>
      </c>
      <c r="C52" s="52">
        <v>2898</v>
      </c>
      <c r="D52" s="52">
        <v>330</v>
      </c>
      <c r="E52" s="52">
        <v>1</v>
      </c>
      <c r="F52" s="53">
        <f t="shared" si="0"/>
        <v>7244</v>
      </c>
      <c r="G52" s="54"/>
    </row>
    <row r="53" spans="1:7" ht="14.25" customHeight="1" x14ac:dyDescent="0.2">
      <c r="A53" s="51" t="s">
        <v>239</v>
      </c>
      <c r="B53" s="52">
        <v>11929</v>
      </c>
      <c r="C53" s="52">
        <v>4816</v>
      </c>
      <c r="D53" s="52">
        <v>1026</v>
      </c>
      <c r="E53" s="52">
        <v>3</v>
      </c>
      <c r="F53" s="53">
        <f t="shared" si="0"/>
        <v>17774</v>
      </c>
      <c r="G53" s="54"/>
    </row>
    <row r="54" spans="1:7" ht="14.25" customHeight="1" x14ac:dyDescent="0.2">
      <c r="A54" s="51" t="s">
        <v>240</v>
      </c>
      <c r="B54" s="52">
        <v>26769</v>
      </c>
      <c r="C54" s="52">
        <v>18589</v>
      </c>
      <c r="D54" s="52">
        <v>3985</v>
      </c>
      <c r="E54" s="52">
        <v>18</v>
      </c>
      <c r="F54" s="53">
        <f t="shared" si="0"/>
        <v>49361</v>
      </c>
      <c r="G54" s="54"/>
    </row>
    <row r="55" spans="1:7" ht="14.25" customHeight="1" x14ac:dyDescent="0.2">
      <c r="A55" s="51" t="s">
        <v>241</v>
      </c>
      <c r="B55" s="52">
        <v>9830</v>
      </c>
      <c r="C55" s="52">
        <v>4832</v>
      </c>
      <c r="D55" s="52">
        <v>651</v>
      </c>
      <c r="E55" s="52">
        <v>2</v>
      </c>
      <c r="F55" s="53">
        <f t="shared" si="0"/>
        <v>15315</v>
      </c>
      <c r="G55" s="54"/>
    </row>
    <row r="56" spans="1:7" ht="14.25" customHeight="1" x14ac:dyDescent="0.2">
      <c r="A56" s="51" t="s">
        <v>242</v>
      </c>
      <c r="B56" s="52">
        <v>4692</v>
      </c>
      <c r="C56" s="52">
        <v>3540</v>
      </c>
      <c r="D56" s="52">
        <v>445</v>
      </c>
      <c r="E56" s="52">
        <v>11</v>
      </c>
      <c r="F56" s="53">
        <f t="shared" si="0"/>
        <v>8688</v>
      </c>
      <c r="G56" s="54"/>
    </row>
    <row r="57" spans="1:7" ht="14.25" customHeight="1" x14ac:dyDescent="0.2">
      <c r="A57" s="51" t="s">
        <v>243</v>
      </c>
      <c r="B57" s="52">
        <v>7678</v>
      </c>
      <c r="C57" s="52">
        <v>5547</v>
      </c>
      <c r="D57" s="52">
        <v>511</v>
      </c>
      <c r="E57" s="52">
        <v>0</v>
      </c>
      <c r="F57" s="53">
        <f t="shared" si="0"/>
        <v>13736</v>
      </c>
      <c r="G57" s="54"/>
    </row>
    <row r="58" spans="1:7" ht="14.25" customHeight="1" x14ac:dyDescent="0.2">
      <c r="A58" s="51" t="s">
        <v>244</v>
      </c>
      <c r="B58" s="52">
        <v>98749</v>
      </c>
      <c r="C58" s="52">
        <v>75243</v>
      </c>
      <c r="D58" s="52">
        <v>16431</v>
      </c>
      <c r="E58" s="52">
        <v>0</v>
      </c>
      <c r="F58" s="53">
        <f t="shared" si="0"/>
        <v>190423</v>
      </c>
      <c r="G58" s="54"/>
    </row>
    <row r="59" spans="1:7" ht="14.25" customHeight="1" x14ac:dyDescent="0.2">
      <c r="A59" s="51" t="s">
        <v>245</v>
      </c>
      <c r="B59" s="52">
        <v>2370</v>
      </c>
      <c r="C59" s="52">
        <v>2308</v>
      </c>
      <c r="D59" s="52">
        <v>548</v>
      </c>
      <c r="E59" s="52">
        <v>0</v>
      </c>
      <c r="F59" s="53">
        <f t="shared" si="0"/>
        <v>5226</v>
      </c>
      <c r="G59" s="54"/>
    </row>
    <row r="60" spans="1:7" ht="14.25" customHeight="1" x14ac:dyDescent="0.2">
      <c r="A60" s="51" t="s">
        <v>246</v>
      </c>
      <c r="B60" s="52">
        <v>1891</v>
      </c>
      <c r="C60" s="52">
        <v>1203</v>
      </c>
      <c r="D60" s="52">
        <v>127</v>
      </c>
      <c r="E60" s="52">
        <v>4</v>
      </c>
      <c r="F60" s="53">
        <f t="shared" si="0"/>
        <v>3225</v>
      </c>
      <c r="G60" s="54"/>
    </row>
    <row r="61" spans="1:7" ht="14.25" customHeight="1" x14ac:dyDescent="0.2">
      <c r="A61" s="51" t="s">
        <v>247</v>
      </c>
      <c r="B61" s="56">
        <v>94938</v>
      </c>
      <c r="C61" s="58">
        <v>101815</v>
      </c>
      <c r="D61" s="56">
        <v>44551</v>
      </c>
      <c r="E61" s="56">
        <v>0</v>
      </c>
      <c r="F61" s="57">
        <f t="shared" si="0"/>
        <v>241304</v>
      </c>
      <c r="G61" s="54"/>
    </row>
    <row r="62" spans="1:7" ht="14.25" customHeight="1" x14ac:dyDescent="0.2">
      <c r="A62" s="51" t="s">
        <v>248</v>
      </c>
      <c r="B62" s="52">
        <v>255649</v>
      </c>
      <c r="C62" s="52">
        <v>331323</v>
      </c>
      <c r="D62" s="52">
        <v>129097</v>
      </c>
      <c r="E62" s="52">
        <v>0</v>
      </c>
      <c r="F62" s="53">
        <f t="shared" si="0"/>
        <v>716069</v>
      </c>
      <c r="G62" s="54"/>
    </row>
    <row r="63" spans="1:7" ht="14.25" customHeight="1" x14ac:dyDescent="0.2">
      <c r="A63" s="51" t="s">
        <v>249</v>
      </c>
      <c r="B63" s="52">
        <v>249532</v>
      </c>
      <c r="C63" s="52">
        <v>243703</v>
      </c>
      <c r="D63" s="52">
        <v>69643</v>
      </c>
      <c r="E63" s="52">
        <v>0</v>
      </c>
      <c r="F63" s="53">
        <f t="shared" si="0"/>
        <v>562878</v>
      </c>
      <c r="G63" s="54"/>
    </row>
    <row r="64" spans="1:7" ht="14.25" customHeight="1" x14ac:dyDescent="0.2">
      <c r="A64" s="51" t="s">
        <v>250</v>
      </c>
      <c r="B64" s="59">
        <v>199175</v>
      </c>
      <c r="C64" s="59">
        <v>253415</v>
      </c>
      <c r="D64" s="59">
        <v>92013</v>
      </c>
      <c r="E64" s="59">
        <v>0</v>
      </c>
      <c r="F64" s="53">
        <f t="shared" si="0"/>
        <v>544603</v>
      </c>
      <c r="G64" s="54"/>
    </row>
    <row r="65" spans="1:7" ht="14.25" customHeight="1" x14ac:dyDescent="0.2">
      <c r="A65" s="51" t="s">
        <v>251</v>
      </c>
      <c r="B65" s="52">
        <v>46752</v>
      </c>
      <c r="C65" s="52">
        <v>84192</v>
      </c>
      <c r="D65" s="52">
        <v>22849</v>
      </c>
      <c r="E65" s="52">
        <v>0</v>
      </c>
      <c r="F65" s="53">
        <f t="shared" si="0"/>
        <v>153793</v>
      </c>
      <c r="G65" s="54"/>
    </row>
    <row r="66" spans="1:7" ht="14.25" customHeight="1" x14ac:dyDescent="0.2">
      <c r="A66" s="60" t="s">
        <v>3</v>
      </c>
      <c r="B66" s="61">
        <f>SUM(B4:B65)</f>
        <v>1999703</v>
      </c>
      <c r="C66" s="61">
        <f t="shared" ref="C66:E66" si="1">SUM(C4:C65)</f>
        <v>1850582</v>
      </c>
      <c r="D66" s="61">
        <f t="shared" si="1"/>
        <v>561789</v>
      </c>
      <c r="E66" s="61">
        <f t="shared" si="1"/>
        <v>665</v>
      </c>
      <c r="F66" s="62">
        <f t="shared" si="0"/>
        <v>4412739</v>
      </c>
    </row>
  </sheetData>
  <sheetProtection algorithmName="SHA-512" hashValue="u1V2+E4H30pV2SpuOjnhqjUVeaMlNl4+iTa8yOHMtCa6dIa21awykKD2PpIUraK5BmBaX2BEMA3nqLpy+JVqvw==" saltValue="GTBU/LhQc6gw6IMV+hoDvQ==" spinCount="100000" sheet="1" objects="1" scenarios="1" selectLockedCells="1" selectUnlockedCells="1"/>
  <mergeCells count="2">
    <mergeCell ref="A1:F1"/>
    <mergeCell ref="A2:F2"/>
  </mergeCells>
  <pageMargins left="0.25" right="0.25" top="0.25" bottom="0.25" header="0.25" footer="0.25"/>
  <pageSetup fitToHeight="0" orientation="landscape" r:id="rId1"/>
  <headerFooter alignWithMargins="0"/>
  <colBreaks count="2" manualBreakCount="2">
    <brk id="6" max="65" man="1"/>
    <brk id="14" max="65" man="1"/>
  </colBreak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2CA6-76F4-4773-9867-7BB3C9E35DF4}">
  <sheetPr>
    <pageSetUpPr fitToPage="1"/>
  </sheetPr>
  <dimension ref="A1:F26"/>
  <sheetViews>
    <sheetView tabSelected="1" workbookViewId="0">
      <selection activeCell="F3" sqref="F3:F4"/>
    </sheetView>
  </sheetViews>
  <sheetFormatPr defaultRowHeight="12.75" x14ac:dyDescent="0.2"/>
  <cols>
    <col min="1" max="1" width="25.5703125" customWidth="1"/>
    <col min="2" max="5" width="20.5703125" customWidth="1"/>
    <col min="6" max="6" width="20.5703125" style="39" customWidth="1"/>
    <col min="7" max="8" width="23.5703125" customWidth="1"/>
  </cols>
  <sheetData>
    <row r="1" spans="1:6" ht="24.95" customHeight="1" x14ac:dyDescent="0.2">
      <c r="A1" s="45" t="s">
        <v>182</v>
      </c>
    </row>
    <row r="2" spans="1:6" ht="28.5" customHeight="1" x14ac:dyDescent="0.2">
      <c r="A2" s="4" t="s">
        <v>5</v>
      </c>
      <c r="B2" s="5" t="s">
        <v>17</v>
      </c>
      <c r="C2" s="5" t="s">
        <v>181</v>
      </c>
      <c r="D2" s="5" t="s">
        <v>19</v>
      </c>
      <c r="E2" s="6" t="s">
        <v>3</v>
      </c>
      <c r="F2" s="7" t="s">
        <v>4</v>
      </c>
    </row>
    <row r="3" spans="1:6" s="23" customFormat="1" ht="14.25" customHeight="1" x14ac:dyDescent="0.2">
      <c r="A3" s="22" t="s">
        <v>183</v>
      </c>
      <c r="B3" s="2">
        <v>10539</v>
      </c>
      <c r="C3" s="2">
        <v>2744</v>
      </c>
      <c r="D3" s="2">
        <v>4881</v>
      </c>
      <c r="E3" s="8">
        <f>SUM(MemberOfAssemblyAssemblyDistrict115General[[#This Row],[Clinton County 
Vote Results]:[Franklin County 
Vote Results]])</f>
        <v>18164</v>
      </c>
      <c r="F3" s="21">
        <f>SUM(MemberOfAssemblyAssemblyDistrict115General[[#This Row],[Total Votes by Party]],E6)</f>
        <v>19797</v>
      </c>
    </row>
    <row r="4" spans="1:6" s="23" customFormat="1" ht="14.25" customHeight="1" x14ac:dyDescent="0.2">
      <c r="A4" s="22" t="s">
        <v>184</v>
      </c>
      <c r="B4" s="2">
        <v>9745</v>
      </c>
      <c r="C4" s="2">
        <v>1561</v>
      </c>
      <c r="D4" s="2">
        <v>4924</v>
      </c>
      <c r="E4" s="8">
        <f>SUM(MemberOfAssemblyAssemblyDistrict115General[[#This Row],[Clinton County 
Vote Results]:[Franklin County 
Vote Results]])</f>
        <v>16230</v>
      </c>
      <c r="F4" s="21">
        <f>SUM(MemberOfAssemblyAssemblyDistrict115General[[#This Row],[Total Votes by Party]],E5)</f>
        <v>18043</v>
      </c>
    </row>
    <row r="5" spans="1:6" s="23" customFormat="1" ht="14.25" customHeight="1" x14ac:dyDescent="0.2">
      <c r="A5" s="22" t="s">
        <v>185</v>
      </c>
      <c r="B5" s="2">
        <v>1019</v>
      </c>
      <c r="C5" s="2">
        <v>211</v>
      </c>
      <c r="D5" s="2">
        <v>583</v>
      </c>
      <c r="E5" s="8">
        <f>SUM(MemberOfAssemblyAssemblyDistrict115General[[#This Row],[Clinton County 
Vote Results]:[Franklin County 
Vote Results]])</f>
        <v>1813</v>
      </c>
      <c r="F5" s="10"/>
    </row>
    <row r="6" spans="1:6" s="23" customFormat="1" ht="14.25" customHeight="1" x14ac:dyDescent="0.2">
      <c r="A6" s="24" t="s">
        <v>186</v>
      </c>
      <c r="B6" s="2">
        <v>977</v>
      </c>
      <c r="C6" s="2">
        <v>262</v>
      </c>
      <c r="D6" s="2">
        <v>394</v>
      </c>
      <c r="E6" s="43">
        <f>SUM(MemberOfAssemblyAssemblyDistrict115General[[#This Row],[Clinton County 
Vote Results]:[Franklin County 
Vote Results]])</f>
        <v>1633</v>
      </c>
      <c r="F6" s="10"/>
    </row>
    <row r="7" spans="1:6" s="23" customFormat="1" ht="14.25" customHeight="1" x14ac:dyDescent="0.2">
      <c r="A7" s="24" t="s">
        <v>0</v>
      </c>
      <c r="B7" s="2">
        <v>168</v>
      </c>
      <c r="C7" s="2">
        <v>122</v>
      </c>
      <c r="D7" s="2">
        <v>155</v>
      </c>
      <c r="E7" s="8">
        <f>SUM(MemberOfAssemblyAssemblyDistrict115General[[#This Row],[Clinton County 
Vote Results]:[Franklin County 
Vote Results]])</f>
        <v>445</v>
      </c>
      <c r="F7" s="10"/>
    </row>
    <row r="8" spans="1:6" s="23" customFormat="1" ht="14.25" customHeight="1" x14ac:dyDescent="0.2">
      <c r="A8" s="24" t="s">
        <v>1</v>
      </c>
      <c r="B8" s="2">
        <v>14</v>
      </c>
      <c r="C8" s="2">
        <v>5</v>
      </c>
      <c r="D8" s="2">
        <v>11</v>
      </c>
      <c r="E8" s="8">
        <f>SUM(MemberOfAssemblyAssemblyDistrict115General[[#This Row],[Clinton County 
Vote Results]:[Franklin County 
Vote Results]])</f>
        <v>30</v>
      </c>
      <c r="F8" s="10"/>
    </row>
    <row r="9" spans="1:6" s="23" customFormat="1" ht="14.25" customHeight="1" x14ac:dyDescent="0.2">
      <c r="A9" s="24" t="s">
        <v>6</v>
      </c>
      <c r="B9" s="2">
        <v>10</v>
      </c>
      <c r="C9" s="2">
        <v>1</v>
      </c>
      <c r="D9" s="2">
        <v>14</v>
      </c>
      <c r="E9" s="8">
        <f>SUM(MemberOfAssemblyAssemblyDistrict115General[[#This Row],[Clinton County 
Vote Results]:[Franklin County 
Vote Results]])</f>
        <v>25</v>
      </c>
      <c r="F9" s="10"/>
    </row>
    <row r="10" spans="1:6" s="23" customFormat="1" ht="14.25" customHeight="1" x14ac:dyDescent="0.2">
      <c r="A10" s="25" t="s">
        <v>2</v>
      </c>
      <c r="B10" s="2">
        <f>SUM(MemberOfAssemblyAssemblyDistrict115General[Clinton County 
Vote Results])</f>
        <v>22472</v>
      </c>
      <c r="C10" s="2">
        <f>SUM(MemberOfAssemblyAssemblyDistrict115General[Part of Essex County 
Vote Results])</f>
        <v>4906</v>
      </c>
      <c r="D10" s="2">
        <f>SUM(MemberOfAssemblyAssemblyDistrict115General[Franklin County 
Vote Results])</f>
        <v>10962</v>
      </c>
      <c r="E10" s="8">
        <f>SUM(MemberOfAssemblyAssemblyDistrict115General[Total Votes by Party])</f>
        <v>38340</v>
      </c>
      <c r="F10" s="10"/>
    </row>
    <row r="11" spans="1:6" s="23" customFormat="1" ht="14.25" customHeight="1" x14ac:dyDescent="0.2">
      <c r="F11" s="46"/>
    </row>
    <row r="12" spans="1:6" s="23" customFormat="1" ht="14.25" customHeight="1" x14ac:dyDescent="0.2">
      <c r="F12" s="46"/>
    </row>
    <row r="13" spans="1:6" s="23" customFormat="1" ht="14.25" customHeight="1" x14ac:dyDescent="0.2">
      <c r="F13" s="46"/>
    </row>
    <row r="14" spans="1:6" s="23" customFormat="1" ht="14.25" customHeight="1" x14ac:dyDescent="0.2">
      <c r="F14" s="46"/>
    </row>
    <row r="15" spans="1:6" s="23" customFormat="1" ht="14.25" customHeight="1" x14ac:dyDescent="0.2">
      <c r="F15" s="46"/>
    </row>
    <row r="16" spans="1:6" s="23" customFormat="1" ht="14.25" customHeight="1" x14ac:dyDescent="0.2">
      <c r="F16" s="46"/>
    </row>
    <row r="17" spans="6:6" s="23" customFormat="1" ht="14.25" customHeight="1" x14ac:dyDescent="0.2">
      <c r="F17" s="46"/>
    </row>
    <row r="18" spans="6:6" s="23" customFormat="1" ht="14.25" customHeight="1" x14ac:dyDescent="0.2">
      <c r="F18" s="46"/>
    </row>
    <row r="19" spans="6:6" s="23" customFormat="1" ht="14.25" customHeight="1" x14ac:dyDescent="0.2">
      <c r="F19" s="46"/>
    </row>
    <row r="20" spans="6:6" s="23" customFormat="1" ht="14.25" customHeight="1" x14ac:dyDescent="0.2">
      <c r="F20" s="46"/>
    </row>
    <row r="21" spans="6:6" s="23" customFormat="1" ht="14.25" customHeight="1" x14ac:dyDescent="0.2">
      <c r="F21" s="46"/>
    </row>
    <row r="22" spans="6:6" s="23" customFormat="1" ht="14.25" customHeight="1" x14ac:dyDescent="0.2">
      <c r="F22" s="46"/>
    </row>
    <row r="23" spans="6:6" s="23" customFormat="1" ht="14.25" customHeight="1" x14ac:dyDescent="0.2">
      <c r="F23" s="46"/>
    </row>
    <row r="24" spans="6:6" s="23" customFormat="1" ht="14.25" customHeight="1" x14ac:dyDescent="0.2">
      <c r="F24" s="46"/>
    </row>
    <row r="25" spans="6:6" s="23" customFormat="1" ht="14.25" customHeight="1" x14ac:dyDescent="0.2">
      <c r="F25" s="46"/>
    </row>
    <row r="26" spans="6:6" s="23" customFormat="1" ht="14.25" customHeight="1" x14ac:dyDescent="0.2">
      <c r="F26" s="46"/>
    </row>
  </sheetData>
  <sheetProtection algorithmName="SHA-512" hashValue="9cR6RnT+wG4NDNbmm4EBNZAtxhAt+eO3qMyq+lOm3lMp5TSHvtMSId4DvAEkEj34tOG5tPzM2JaqBIhzbUZohA==" saltValue="2hfv7mtONoSqVnVcQMFa/A==" spinCount="100000" sheet="1" objects="1" scenarios="1" selectLockedCells="1" selectUnlockedCells="1"/>
  <pageMargins left="0.25" right="0.25" top="0.25" bottom="0.25" header="0.25" footer="0.25"/>
  <pageSetup paperSize="5" fitToHeight="0" orientation="landscape" r:id="rId1"/>
  <headerFooter alignWithMargins="0">
    <oddFooter>&amp;RPage &amp;P of &amp;N</oddFooter>
  </headerFooter>
  <ignoredErrors>
    <ignoredError sqref="F3:F4"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5EF6-9245-4919-A45B-A413F1263EDA}">
  <sheetPr>
    <pageSetUpPr fitToPage="1"/>
  </sheetPr>
  <dimension ref="A1:D27"/>
  <sheetViews>
    <sheetView topLeftCell="A3" zoomScaleNormal="100" zoomScaleSheetLayoutView="100" workbookViewId="0">
      <selection activeCell="B27" sqref="B27"/>
    </sheetView>
  </sheetViews>
  <sheetFormatPr defaultRowHeight="12.75" x14ac:dyDescent="0.2"/>
  <cols>
    <col min="1" max="1" width="27.42578125" customWidth="1"/>
    <col min="2" max="4" width="20.5703125" customWidth="1"/>
    <col min="5" max="6" width="23.5703125" customWidth="1"/>
  </cols>
  <sheetData>
    <row r="1" spans="1:4" ht="39" customHeight="1" x14ac:dyDescent="0.2">
      <c r="A1" s="63" t="s">
        <v>59</v>
      </c>
      <c r="B1" s="64"/>
      <c r="C1" s="64"/>
      <c r="D1" s="64"/>
    </row>
    <row r="2" spans="1:4" ht="28.5" customHeight="1" x14ac:dyDescent="0.2">
      <c r="A2" s="4" t="s">
        <v>5</v>
      </c>
      <c r="B2" s="5" t="s">
        <v>9</v>
      </c>
      <c r="C2" s="6" t="s">
        <v>3</v>
      </c>
      <c r="D2" s="11" t="s">
        <v>4</v>
      </c>
    </row>
    <row r="3" spans="1:4" ht="14.25" customHeight="1" x14ac:dyDescent="0.2">
      <c r="A3" s="1" t="s">
        <v>146</v>
      </c>
      <c r="B3" s="31">
        <v>394359</v>
      </c>
      <c r="C3" s="27">
        <f>SupremeCourtJusticeJudicialDistrict2General[[#This Row],[Kings County 
Vote Results]]</f>
        <v>394359</v>
      </c>
      <c r="D3" s="40">
        <f>SUM(C3,C12,C18)</f>
        <v>492392</v>
      </c>
    </row>
    <row r="4" spans="1:4" ht="14.25" customHeight="1" x14ac:dyDescent="0.2">
      <c r="A4" s="1" t="s">
        <v>147</v>
      </c>
      <c r="B4" s="31">
        <v>384525</v>
      </c>
      <c r="C4" s="27">
        <f>SupremeCourtJusticeJudicialDistrict2General[[#This Row],[Kings County 
Vote Results]]</f>
        <v>384525</v>
      </c>
      <c r="D4" s="40">
        <f>SUM(C4,C13,C19)</f>
        <v>475474</v>
      </c>
    </row>
    <row r="5" spans="1:4" ht="14.25" customHeight="1" x14ac:dyDescent="0.2">
      <c r="A5" s="1" t="s">
        <v>148</v>
      </c>
      <c r="B5" s="31">
        <v>375354</v>
      </c>
      <c r="C5" s="27">
        <f>SupremeCourtJusticeJudicialDistrict2General[[#This Row],[Kings County 
Vote Results]]</f>
        <v>375354</v>
      </c>
      <c r="D5" s="40">
        <f>SUM(C5,C14,C20)</f>
        <v>467734</v>
      </c>
    </row>
    <row r="6" spans="1:4" ht="14.25" customHeight="1" x14ac:dyDescent="0.2">
      <c r="A6" s="1" t="s">
        <v>149</v>
      </c>
      <c r="B6" s="31">
        <v>378085</v>
      </c>
      <c r="C6" s="27">
        <f>SupremeCourtJusticeJudicialDistrict2General[[#This Row],[Kings County 
Vote Results]]</f>
        <v>378085</v>
      </c>
      <c r="D6" s="40">
        <f>SUM(C6,C15,C21)</f>
        <v>467546</v>
      </c>
    </row>
    <row r="7" spans="1:4" ht="14.25" customHeight="1" x14ac:dyDescent="0.2">
      <c r="A7" s="1" t="s">
        <v>150</v>
      </c>
      <c r="B7" s="31">
        <v>368197</v>
      </c>
      <c r="C7" s="27">
        <f>SupremeCourtJusticeJudicialDistrict2General[[#This Row],[Kings County 
Vote Results]]</f>
        <v>368197</v>
      </c>
      <c r="D7" s="40">
        <f>SUM(C7,C16,C22)</f>
        <v>456396</v>
      </c>
    </row>
    <row r="8" spans="1:4" ht="14.25" customHeight="1" x14ac:dyDescent="0.2">
      <c r="A8" s="1" t="s">
        <v>151</v>
      </c>
      <c r="B8" s="31">
        <v>413358</v>
      </c>
      <c r="C8" s="27">
        <f>SupremeCourtJusticeJudicialDistrict2General[[#This Row],[Kings County 
Vote Results]]</f>
        <v>413358</v>
      </c>
      <c r="D8" s="40">
        <f>SUM(SupremeCourtJusticeJudicialDistrict2General[[#This Row],[Total Votes by Party]])</f>
        <v>413358</v>
      </c>
    </row>
    <row r="9" spans="1:4" ht="14.25" customHeight="1" x14ac:dyDescent="0.2">
      <c r="A9" s="1" t="s">
        <v>152</v>
      </c>
      <c r="B9" s="31">
        <v>414278</v>
      </c>
      <c r="C9" s="27">
        <f>SupremeCourtJusticeJudicialDistrict2General[[#This Row],[Kings County 
Vote Results]]</f>
        <v>414278</v>
      </c>
      <c r="D9" s="40">
        <f>SUM(SupremeCourtJusticeJudicialDistrict2General[[#This Row],[Total Votes by Party]])</f>
        <v>414278</v>
      </c>
    </row>
    <row r="10" spans="1:4" ht="14.25" customHeight="1" x14ac:dyDescent="0.2">
      <c r="A10" s="1" t="s">
        <v>153</v>
      </c>
      <c r="B10" s="31">
        <v>428051</v>
      </c>
      <c r="C10" s="27">
        <f>SupremeCourtJusticeJudicialDistrict2General[[#This Row],[Kings County 
Vote Results]]</f>
        <v>428051</v>
      </c>
      <c r="D10" s="40">
        <f>SUM(SupremeCourtJusticeJudicialDistrict2General[[#This Row],[Total Votes by Party]])</f>
        <v>428051</v>
      </c>
    </row>
    <row r="11" spans="1:4" ht="14.25" customHeight="1" x14ac:dyDescent="0.2">
      <c r="A11" s="1" t="s">
        <v>154</v>
      </c>
      <c r="B11" s="31">
        <v>368622</v>
      </c>
      <c r="C11" s="27">
        <f>SupremeCourtJusticeJudicialDistrict2General[[#This Row],[Kings County 
Vote Results]]</f>
        <v>368622</v>
      </c>
      <c r="D11" s="40">
        <f>SUM(C11,C17,C23)</f>
        <v>448699</v>
      </c>
    </row>
    <row r="12" spans="1:4" ht="14.25" customHeight="1" x14ac:dyDescent="0.2">
      <c r="A12" s="1" t="s">
        <v>155</v>
      </c>
      <c r="B12" s="31">
        <v>84388</v>
      </c>
      <c r="C12" s="27">
        <f>SupremeCourtJusticeJudicialDistrict2General[[#This Row],[Kings County 
Vote Results]]</f>
        <v>84388</v>
      </c>
      <c r="D12" s="32"/>
    </row>
    <row r="13" spans="1:4" ht="14.25" customHeight="1" x14ac:dyDescent="0.2">
      <c r="A13" s="1" t="s">
        <v>156</v>
      </c>
      <c r="B13" s="31">
        <v>78129</v>
      </c>
      <c r="C13" s="27">
        <f>SupremeCourtJusticeJudicialDistrict2General[[#This Row],[Kings County 
Vote Results]]</f>
        <v>78129</v>
      </c>
      <c r="D13" s="32"/>
    </row>
    <row r="14" spans="1:4" ht="14.25" customHeight="1" x14ac:dyDescent="0.2">
      <c r="A14" s="1" t="s">
        <v>157</v>
      </c>
      <c r="B14" s="31">
        <v>79013</v>
      </c>
      <c r="C14" s="27">
        <f>SupremeCourtJusticeJudicialDistrict2General[[#This Row],[Kings County 
Vote Results]]</f>
        <v>79013</v>
      </c>
      <c r="D14" s="32"/>
    </row>
    <row r="15" spans="1:4" ht="14.25" customHeight="1" x14ac:dyDescent="0.2">
      <c r="A15" s="1" t="s">
        <v>158</v>
      </c>
      <c r="B15" s="31">
        <v>76679</v>
      </c>
      <c r="C15" s="27">
        <f>SupremeCourtJusticeJudicialDistrict2General[[#This Row],[Kings County 
Vote Results]]</f>
        <v>76679</v>
      </c>
      <c r="D15" s="32"/>
    </row>
    <row r="16" spans="1:4" ht="14.25" customHeight="1" x14ac:dyDescent="0.2">
      <c r="A16" s="1" t="s">
        <v>159</v>
      </c>
      <c r="B16" s="31">
        <v>75757</v>
      </c>
      <c r="C16" s="27">
        <f>SupremeCourtJusticeJudicialDistrict2General[[#This Row],[Kings County 
Vote Results]]</f>
        <v>75757</v>
      </c>
      <c r="D16" s="32"/>
    </row>
    <row r="17" spans="1:4" ht="14.25" customHeight="1" x14ac:dyDescent="0.2">
      <c r="A17" s="1" t="s">
        <v>160</v>
      </c>
      <c r="B17" s="31">
        <v>68391</v>
      </c>
      <c r="C17" s="27">
        <f>SupremeCourtJusticeJudicialDistrict2General[[#This Row],[Kings County 
Vote Results]]</f>
        <v>68391</v>
      </c>
      <c r="D17" s="32"/>
    </row>
    <row r="18" spans="1:4" ht="14.25" customHeight="1" x14ac:dyDescent="0.2">
      <c r="A18" s="1" t="s">
        <v>161</v>
      </c>
      <c r="B18" s="31">
        <v>13645</v>
      </c>
      <c r="C18" s="27">
        <f>SupremeCourtJusticeJudicialDistrict2General[[#This Row],[Kings County 
Vote Results]]</f>
        <v>13645</v>
      </c>
      <c r="D18" s="32"/>
    </row>
    <row r="19" spans="1:4" ht="14.25" customHeight="1" x14ac:dyDescent="0.2">
      <c r="A19" s="1" t="s">
        <v>162</v>
      </c>
      <c r="B19" s="31">
        <v>12820</v>
      </c>
      <c r="C19" s="27">
        <f>SupremeCourtJusticeJudicialDistrict2General[[#This Row],[Kings County 
Vote Results]]</f>
        <v>12820</v>
      </c>
      <c r="D19" s="32"/>
    </row>
    <row r="20" spans="1:4" ht="14.25" customHeight="1" x14ac:dyDescent="0.2">
      <c r="A20" s="1" t="s">
        <v>163</v>
      </c>
      <c r="B20" s="31">
        <v>13367</v>
      </c>
      <c r="C20" s="27">
        <f>SupremeCourtJusticeJudicialDistrict2General[[#This Row],[Kings County 
Vote Results]]</f>
        <v>13367</v>
      </c>
      <c r="D20" s="32"/>
    </row>
    <row r="21" spans="1:4" ht="14.25" customHeight="1" x14ac:dyDescent="0.2">
      <c r="A21" s="1" t="s">
        <v>164</v>
      </c>
      <c r="B21" s="31">
        <v>12782</v>
      </c>
      <c r="C21" s="27">
        <f>SupremeCourtJusticeJudicialDistrict2General[[#This Row],[Kings County 
Vote Results]]</f>
        <v>12782</v>
      </c>
      <c r="D21" s="32"/>
    </row>
    <row r="22" spans="1:4" ht="14.25" customHeight="1" x14ac:dyDescent="0.2">
      <c r="A22" s="1" t="s">
        <v>165</v>
      </c>
      <c r="B22" s="31">
        <v>12442</v>
      </c>
      <c r="C22" s="27">
        <f>SupremeCourtJusticeJudicialDistrict2General[[#This Row],[Kings County 
Vote Results]]</f>
        <v>12442</v>
      </c>
      <c r="D22" s="32"/>
    </row>
    <row r="23" spans="1:4" x14ac:dyDescent="0.2">
      <c r="A23" s="1" t="s">
        <v>166</v>
      </c>
      <c r="B23" s="31">
        <v>11686</v>
      </c>
      <c r="C23" s="27">
        <f>SupremeCourtJusticeJudicialDistrict2General[[#This Row],[Kings County 
Vote Results]]</f>
        <v>11686</v>
      </c>
      <c r="D23" s="32"/>
    </row>
    <row r="24" spans="1:4" x14ac:dyDescent="0.2">
      <c r="A24" s="1" t="s">
        <v>0</v>
      </c>
      <c r="B24" s="31">
        <v>2354005</v>
      </c>
      <c r="C24" s="27">
        <f>SupremeCourtJusticeJudicialDistrict2General[[#This Row],[Kings County 
Vote Results]]</f>
        <v>2354005</v>
      </c>
      <c r="D24" s="32"/>
    </row>
    <row r="25" spans="1:4" x14ac:dyDescent="0.2">
      <c r="A25" s="1" t="s">
        <v>1</v>
      </c>
      <c r="B25" s="31"/>
      <c r="C25" s="27">
        <f>SupremeCourtJusticeJudicialDistrict2General[[#This Row],[Kings County 
Vote Results]]</f>
        <v>0</v>
      </c>
      <c r="D25" s="32"/>
    </row>
    <row r="26" spans="1:4" x14ac:dyDescent="0.2">
      <c r="A26" s="1" t="s">
        <v>6</v>
      </c>
      <c r="B26" s="31">
        <v>26688</v>
      </c>
      <c r="C26" s="27">
        <f>SupremeCourtJusticeJudicialDistrict2General[[#This Row],[Kings County 
Vote Results]]</f>
        <v>26688</v>
      </c>
      <c r="D26" s="32"/>
    </row>
    <row r="27" spans="1:4" x14ac:dyDescent="0.2">
      <c r="A27" s="3" t="s">
        <v>2</v>
      </c>
      <c r="B27" s="29">
        <f>SUM(SupremeCourtJusticeJudicialDistrict2General[Kings County 
Vote Results])</f>
        <v>6444621</v>
      </c>
      <c r="C27" s="27">
        <f>SUM(SupremeCourtJusticeJudicialDistrict2General[Total Votes by Party])</f>
        <v>6444621</v>
      </c>
      <c r="D27" s="30"/>
    </row>
  </sheetData>
  <sheetProtection algorithmName="SHA-512" hashValue="sc2yfRdvfVU66dwirxeq057+BIoKBGm4Sp7TdslIWDfJAhMylpU09lUOhPSFM0AHsvI99BIAoo53m6CvY/SFYg==" saltValue="X21GGRe128nfguZF79n7JQ==" spinCount="100000" sheet="1" objects="1" scenarios="1" selectLockedCells="1" selectUnlockedCells="1"/>
  <mergeCells count="1">
    <mergeCell ref="A1:D1"/>
  </mergeCells>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7534-1A47-4E73-BAA7-D0AE2BFAA8C5}">
  <sheetPr>
    <pageSetUpPr fitToPage="1"/>
  </sheetPr>
  <dimension ref="A1:J10"/>
  <sheetViews>
    <sheetView zoomScaleNormal="100" zoomScaleSheetLayoutView="100" workbookViewId="0">
      <pane xSplit="1" ySplit="2" topLeftCell="E3" activePane="bottomRight" state="frozen"/>
      <selection pane="topRight" activeCell="B1" sqref="B1"/>
      <selection pane="bottomLeft" activeCell="A3" sqref="A3"/>
      <selection pane="bottomRight" activeCell="J3" sqref="J3:J4"/>
    </sheetView>
  </sheetViews>
  <sheetFormatPr defaultRowHeight="12.75" x14ac:dyDescent="0.2"/>
  <cols>
    <col min="1" max="1" width="25.5703125" customWidth="1"/>
    <col min="2" max="10" width="20.5703125" customWidth="1"/>
    <col min="11" max="12" width="23.5703125" customWidth="1"/>
  </cols>
  <sheetData>
    <row r="1" spans="1:10" ht="39" customHeight="1" x14ac:dyDescent="0.2">
      <c r="A1" s="63" t="s">
        <v>61</v>
      </c>
      <c r="B1" s="63"/>
      <c r="C1" s="63"/>
      <c r="D1" s="63"/>
    </row>
    <row r="2" spans="1:10" ht="28.5" customHeight="1" x14ac:dyDescent="0.2">
      <c r="A2" s="4" t="s">
        <v>5</v>
      </c>
      <c r="B2" s="5" t="s">
        <v>10</v>
      </c>
      <c r="C2" s="5" t="s">
        <v>11</v>
      </c>
      <c r="D2" s="5" t="s">
        <v>12</v>
      </c>
      <c r="E2" s="5" t="s">
        <v>13</v>
      </c>
      <c r="F2" s="5" t="s">
        <v>14</v>
      </c>
      <c r="G2" s="5" t="s">
        <v>15</v>
      </c>
      <c r="H2" s="5" t="s">
        <v>16</v>
      </c>
      <c r="I2" s="6" t="s">
        <v>3</v>
      </c>
      <c r="J2" s="7" t="s">
        <v>4</v>
      </c>
    </row>
    <row r="3" spans="1:10" ht="14.25" customHeight="1" x14ac:dyDescent="0.2">
      <c r="A3" s="1" t="s">
        <v>68</v>
      </c>
      <c r="B3" s="26">
        <v>39531</v>
      </c>
      <c r="C3" s="26">
        <v>11238</v>
      </c>
      <c r="D3" s="26">
        <v>4053</v>
      </c>
      <c r="E3" s="26">
        <v>17211</v>
      </c>
      <c r="F3" s="26">
        <v>2122</v>
      </c>
      <c r="G3" s="33">
        <v>6158</v>
      </c>
      <c r="H3" s="26">
        <v>24840</v>
      </c>
      <c r="I3" s="27">
        <f>SUM(SupremeCourtJusticeJudicialDistrict5General2[[#This Row],[Albany County 
Vote Results]:[Ulster County 
Vote Results]])</f>
        <v>105153</v>
      </c>
      <c r="J3" s="34">
        <f>SUM(SupremeCourtJusticeJudicialDistrict5General2[[#This Row],[Total Votes by Party]],I6)</f>
        <v>122728</v>
      </c>
    </row>
    <row r="4" spans="1:10" ht="14.25" customHeight="1" x14ac:dyDescent="0.2">
      <c r="A4" s="3" t="s">
        <v>69</v>
      </c>
      <c r="B4" s="26">
        <v>15015</v>
      </c>
      <c r="C4" s="26">
        <v>7877</v>
      </c>
      <c r="D4" s="26">
        <v>4417</v>
      </c>
      <c r="E4" s="26">
        <v>15236</v>
      </c>
      <c r="F4" s="26">
        <v>3584</v>
      </c>
      <c r="G4" s="33">
        <v>5454</v>
      </c>
      <c r="H4" s="26">
        <v>13182</v>
      </c>
      <c r="I4" s="27">
        <f>SUM(SupremeCourtJusticeJudicialDistrict5General2[[#This Row],[Albany County 
Vote Results]:[Ulster County 
Vote Results]])</f>
        <v>64765</v>
      </c>
      <c r="J4" s="34">
        <f>SUM(SupremeCourtJusticeJudicialDistrict5General2[[#This Row],[Total Votes by Party]],I5)</f>
        <v>83394</v>
      </c>
    </row>
    <row r="5" spans="1:10" ht="14.25" customHeight="1" x14ac:dyDescent="0.2">
      <c r="A5" s="1" t="s">
        <v>70</v>
      </c>
      <c r="B5" s="26">
        <v>5773</v>
      </c>
      <c r="C5" s="26">
        <v>1419</v>
      </c>
      <c r="D5" s="26">
        <v>827</v>
      </c>
      <c r="E5" s="26">
        <v>4233</v>
      </c>
      <c r="F5" s="26">
        <v>561</v>
      </c>
      <c r="G5" s="33">
        <v>2383</v>
      </c>
      <c r="H5" s="26">
        <v>3433</v>
      </c>
      <c r="I5" s="27">
        <f>SUM(SupremeCourtJusticeJudicialDistrict5General2[[#This Row],[Albany County 
Vote Results]:[Ulster County 
Vote Results]])</f>
        <v>18629</v>
      </c>
      <c r="J5" s="35"/>
    </row>
    <row r="6" spans="1:10" ht="14.25" customHeight="1" x14ac:dyDescent="0.2">
      <c r="A6" s="1" t="s">
        <v>71</v>
      </c>
      <c r="B6" s="26">
        <v>5180</v>
      </c>
      <c r="C6" s="26">
        <v>1646</v>
      </c>
      <c r="D6" s="26">
        <v>603</v>
      </c>
      <c r="E6" s="26">
        <v>2629</v>
      </c>
      <c r="F6" s="26">
        <v>266</v>
      </c>
      <c r="G6" s="33">
        <v>1373</v>
      </c>
      <c r="H6" s="26">
        <v>5878</v>
      </c>
      <c r="I6" s="27">
        <f>SUM(SupremeCourtJusticeJudicialDistrict5General2[[#This Row],[Albany County 
Vote Results]:[Ulster County 
Vote Results]])</f>
        <v>17575</v>
      </c>
      <c r="J6" s="35"/>
    </row>
    <row r="7" spans="1:10" ht="14.25" customHeight="1" x14ac:dyDescent="0.2">
      <c r="A7" s="3" t="s">
        <v>0</v>
      </c>
      <c r="B7" s="26">
        <v>2196</v>
      </c>
      <c r="C7" s="26">
        <v>972</v>
      </c>
      <c r="D7" s="26">
        <v>629</v>
      </c>
      <c r="E7" s="26">
        <v>1654</v>
      </c>
      <c r="F7" s="26">
        <v>366</v>
      </c>
      <c r="G7" s="33">
        <v>1717</v>
      </c>
      <c r="H7" s="26">
        <v>1955</v>
      </c>
      <c r="I7" s="27">
        <f>SUM(SupremeCourtJusticeJudicialDistrict5General2[[#This Row],[Albany County 
Vote Results]:[Ulster County 
Vote Results]])</f>
        <v>9489</v>
      </c>
      <c r="J7" s="35"/>
    </row>
    <row r="8" spans="1:10" ht="14.25" customHeight="1" x14ac:dyDescent="0.2">
      <c r="A8" s="3" t="s">
        <v>1</v>
      </c>
      <c r="B8" s="26">
        <v>89</v>
      </c>
      <c r="C8" s="26">
        <v>8</v>
      </c>
      <c r="D8" s="26">
        <v>13</v>
      </c>
      <c r="E8" s="26">
        <v>17</v>
      </c>
      <c r="F8" s="26">
        <v>23</v>
      </c>
      <c r="G8" s="33">
        <v>16</v>
      </c>
      <c r="H8" s="26">
        <v>49</v>
      </c>
      <c r="I8" s="27">
        <f>SUM(SupremeCourtJusticeJudicialDistrict5General2[[#This Row],[Albany County 
Vote Results]:[Ulster County 
Vote Results]])</f>
        <v>215</v>
      </c>
      <c r="J8" s="35"/>
    </row>
    <row r="9" spans="1:10" ht="14.25" customHeight="1" x14ac:dyDescent="0.2">
      <c r="A9" s="3" t="s">
        <v>6</v>
      </c>
      <c r="B9" s="26">
        <v>52</v>
      </c>
      <c r="C9" s="26">
        <v>3</v>
      </c>
      <c r="D9" s="26">
        <v>5</v>
      </c>
      <c r="E9" s="26">
        <v>11</v>
      </c>
      <c r="F9" s="26">
        <v>1</v>
      </c>
      <c r="G9" s="33">
        <v>13</v>
      </c>
      <c r="H9" s="26">
        <v>24</v>
      </c>
      <c r="I9" s="27">
        <f>SUM(SupremeCourtJusticeJudicialDistrict5General2[[#This Row],[Albany County 
Vote Results]:[Ulster County 
Vote Results]])</f>
        <v>109</v>
      </c>
      <c r="J9" s="35"/>
    </row>
    <row r="10" spans="1:10" ht="14.25" customHeight="1" x14ac:dyDescent="0.2">
      <c r="A10" s="9" t="s">
        <v>2</v>
      </c>
      <c r="B10" s="26">
        <f>SUM(SupremeCourtJusticeJudicialDistrict5General2[Albany County 
Vote Results])</f>
        <v>67836</v>
      </c>
      <c r="C10" s="26">
        <f>SUM(SupremeCourtJusticeJudicialDistrict5General2[Columbia County 
Vote Results])</f>
        <v>23163</v>
      </c>
      <c r="D10" s="26">
        <f>SUM(SupremeCourtJusticeJudicialDistrict5General2[Greene County 
Vote Results])</f>
        <v>10547</v>
      </c>
      <c r="E10" s="26">
        <f>SUM(SupremeCourtJusticeJudicialDistrict5General2[Rensselaer County 
Vote Results])</f>
        <v>40991</v>
      </c>
      <c r="F10" s="26">
        <f>SUM(SupremeCourtJusticeJudicialDistrict5General2[Schoharie County 
Vote Results])</f>
        <v>6923</v>
      </c>
      <c r="G10" s="33">
        <f>SUM(SupremeCourtJusticeJudicialDistrict5General2[Sullivan County 
Vote Results])</f>
        <v>17114</v>
      </c>
      <c r="H10" s="26">
        <f>SUM(SupremeCourtJusticeJudicialDistrict5General2[Ulster County 
Vote Results])</f>
        <v>49361</v>
      </c>
      <c r="I10" s="27">
        <f>SUM(SupremeCourtJusticeJudicialDistrict5General2[Total Votes by Party])</f>
        <v>215935</v>
      </c>
      <c r="J10" s="35"/>
    </row>
  </sheetData>
  <sheetProtection algorithmName="SHA-512" hashValue="neFo07++zRI/QISVch0kAo2F7Nl0XZxAPcfVGmzG1PX1Eb+MD5HqvecnzADKFZj9XkLA4Nk97DsRpb+Bkjisjg==" saltValue="5jNPWJYqr89AwJ9y2ljTIQ==" spinCount="100000" sheet="1" objects="1" scenarios="1" selectLockedCells="1" selectUnlockedCells="1"/>
  <mergeCells count="1">
    <mergeCell ref="A1:D1"/>
  </mergeCells>
  <pageMargins left="0.25" right="0.25" top="0.25" bottom="0.25" header="0.25" footer="0.25"/>
  <pageSetup paperSize="5" scale="91" fitToHeight="0" orientation="landscape" r:id="rId1"/>
  <headerFooter alignWithMargins="0">
    <oddFooter>&amp;RPage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8ADF-DA22-4971-98C0-3A9234BA01C0}">
  <sheetPr>
    <pageSetUpPr fitToPage="1"/>
  </sheetPr>
  <dimension ref="A1:N10"/>
  <sheetViews>
    <sheetView zoomScaleNormal="100" zoomScaleSheetLayoutView="100" workbookViewId="0">
      <pane xSplit="1" ySplit="2" topLeftCell="D3" activePane="bottomRight" state="frozen"/>
      <selection pane="topRight" activeCell="B1" sqref="B1"/>
      <selection pane="bottomLeft" activeCell="A3" sqref="A3"/>
      <selection pane="bottomRight" activeCell="D8" sqref="D8"/>
    </sheetView>
  </sheetViews>
  <sheetFormatPr defaultRowHeight="12.75" x14ac:dyDescent="0.2"/>
  <cols>
    <col min="1" max="1" width="25.5703125" customWidth="1"/>
    <col min="2" max="14" width="20.5703125" customWidth="1"/>
    <col min="15" max="16" width="23.5703125" customWidth="1"/>
  </cols>
  <sheetData>
    <row r="1" spans="1:14" ht="39" customHeight="1" x14ac:dyDescent="0.2">
      <c r="A1" s="63" t="s">
        <v>60</v>
      </c>
      <c r="B1" s="63"/>
      <c r="C1" s="63"/>
      <c r="D1" s="63"/>
    </row>
    <row r="2" spans="1:14" ht="28.5" customHeight="1" x14ac:dyDescent="0.2">
      <c r="A2" s="4" t="s">
        <v>5</v>
      </c>
      <c r="B2" s="5" t="s">
        <v>17</v>
      </c>
      <c r="C2" s="5" t="s">
        <v>18</v>
      </c>
      <c r="D2" s="5" t="s">
        <v>19</v>
      </c>
      <c r="E2" s="5" t="s">
        <v>20</v>
      </c>
      <c r="F2" s="5" t="s">
        <v>21</v>
      </c>
      <c r="G2" s="5" t="s">
        <v>22</v>
      </c>
      <c r="H2" s="5" t="s">
        <v>23</v>
      </c>
      <c r="I2" s="5" t="s">
        <v>24</v>
      </c>
      <c r="J2" s="5" t="s">
        <v>25</v>
      </c>
      <c r="K2" s="5" t="s">
        <v>26</v>
      </c>
      <c r="L2" s="5" t="s">
        <v>27</v>
      </c>
      <c r="M2" s="6" t="s">
        <v>3</v>
      </c>
      <c r="N2" s="7" t="s">
        <v>4</v>
      </c>
    </row>
    <row r="3" spans="1:14" s="23" customFormat="1" ht="14.25" customHeight="1" x14ac:dyDescent="0.2">
      <c r="A3" s="22" t="s">
        <v>72</v>
      </c>
      <c r="B3" s="26">
        <v>12303</v>
      </c>
      <c r="C3" s="26">
        <v>5615</v>
      </c>
      <c r="D3" s="26">
        <v>5850</v>
      </c>
      <c r="E3" s="26">
        <v>4416</v>
      </c>
      <c r="F3" s="26">
        <v>1116</v>
      </c>
      <c r="G3" s="26">
        <v>3084</v>
      </c>
      <c r="H3" s="26">
        <v>6863</v>
      </c>
      <c r="I3" s="26">
        <v>28728</v>
      </c>
      <c r="J3" s="26">
        <v>11601</v>
      </c>
      <c r="K3" s="33">
        <v>8068</v>
      </c>
      <c r="L3" s="26">
        <v>4620</v>
      </c>
      <c r="M3" s="27">
        <f>SUM(SupremeCourtJusticeJudicialDistrict5General3[[#This Row],[Clinton County 
Vote Results]:[Washington County 
Vote Results]])</f>
        <v>92264</v>
      </c>
      <c r="N3" s="34">
        <f>SUM(SupremeCourtJusticeJudicialDistrict5General3[[#This Row],[Total Votes by Party]],M5)</f>
        <v>117690</v>
      </c>
    </row>
    <row r="4" spans="1:14" s="23" customFormat="1" ht="14.25" customHeight="1" x14ac:dyDescent="0.2">
      <c r="A4" s="24" t="s">
        <v>73</v>
      </c>
      <c r="B4" s="26">
        <v>10534</v>
      </c>
      <c r="C4" s="26">
        <v>4761</v>
      </c>
      <c r="D4" s="26">
        <v>5328</v>
      </c>
      <c r="E4" s="26">
        <v>4202</v>
      </c>
      <c r="F4" s="26">
        <v>1002</v>
      </c>
      <c r="G4" s="26">
        <v>3443</v>
      </c>
      <c r="H4" s="26">
        <v>5755</v>
      </c>
      <c r="I4" s="26">
        <v>26599</v>
      </c>
      <c r="J4" s="26">
        <v>10816</v>
      </c>
      <c r="K4" s="33">
        <v>7356</v>
      </c>
      <c r="L4" s="26">
        <v>4254</v>
      </c>
      <c r="M4" s="27">
        <f>SUM(SupremeCourtJusticeJudicialDistrict5General3[[#This Row],[Clinton County 
Vote Results]:[Washington County 
Vote Results]])</f>
        <v>84050</v>
      </c>
      <c r="N4" s="34">
        <f>SUM(SupremeCourtJusticeJudicialDistrict5General3[[#This Row],[Total Votes by Party]],M6)</f>
        <v>108911</v>
      </c>
    </row>
    <row r="5" spans="1:14" s="23" customFormat="1" ht="14.25" customHeight="1" x14ac:dyDescent="0.2">
      <c r="A5" s="22" t="s">
        <v>74</v>
      </c>
      <c r="B5" s="26">
        <v>2313</v>
      </c>
      <c r="C5" s="26">
        <v>1126</v>
      </c>
      <c r="D5" s="26">
        <v>1377</v>
      </c>
      <c r="E5" s="26">
        <v>911</v>
      </c>
      <c r="F5" s="26">
        <v>173</v>
      </c>
      <c r="G5" s="26">
        <v>945</v>
      </c>
      <c r="H5" s="26">
        <v>2067</v>
      </c>
      <c r="I5" s="26">
        <v>7994</v>
      </c>
      <c r="J5" s="26">
        <v>5379</v>
      </c>
      <c r="K5" s="33">
        <v>2123</v>
      </c>
      <c r="L5" s="26">
        <v>1018</v>
      </c>
      <c r="M5" s="27">
        <f>SUM(SupremeCourtJusticeJudicialDistrict5General3[[#This Row],[Clinton County 
Vote Results]:[Washington County 
Vote Results]])</f>
        <v>25426</v>
      </c>
      <c r="N5" s="36"/>
    </row>
    <row r="6" spans="1:14" s="23" customFormat="1" ht="14.25" customHeight="1" x14ac:dyDescent="0.2">
      <c r="A6" s="22" t="s">
        <v>75</v>
      </c>
      <c r="B6" s="26">
        <v>2200</v>
      </c>
      <c r="C6" s="26">
        <v>1087</v>
      </c>
      <c r="D6" s="26">
        <v>1342</v>
      </c>
      <c r="E6" s="26">
        <v>920</v>
      </c>
      <c r="F6" s="26">
        <v>169</v>
      </c>
      <c r="G6" s="26">
        <v>1061</v>
      </c>
      <c r="H6" s="26">
        <v>1971</v>
      </c>
      <c r="I6" s="26">
        <v>7814</v>
      </c>
      <c r="J6" s="26">
        <v>5198</v>
      </c>
      <c r="K6" s="33">
        <v>2072</v>
      </c>
      <c r="L6" s="26">
        <v>1027</v>
      </c>
      <c r="M6" s="27">
        <f>SUM(SupremeCourtJusticeJudicialDistrict5General3[[#This Row],[Clinton County 
Vote Results]:[Washington County 
Vote Results]])</f>
        <v>24861</v>
      </c>
      <c r="N6" s="36"/>
    </row>
    <row r="7" spans="1:14" s="23" customFormat="1" ht="14.25" customHeight="1" x14ac:dyDescent="0.2">
      <c r="A7" s="24" t="s">
        <v>0</v>
      </c>
      <c r="B7" s="26">
        <v>17318</v>
      </c>
      <c r="C7" s="26">
        <v>10510</v>
      </c>
      <c r="D7" s="26">
        <v>7960</v>
      </c>
      <c r="E7" s="26">
        <v>4424</v>
      </c>
      <c r="F7" s="26">
        <v>1204</v>
      </c>
      <c r="G7" s="26">
        <v>4643</v>
      </c>
      <c r="H7" s="26">
        <v>9349</v>
      </c>
      <c r="I7" s="26">
        <v>44533</v>
      </c>
      <c r="J7" s="26">
        <v>26412</v>
      </c>
      <c r="K7" s="33">
        <v>10800</v>
      </c>
      <c r="L7" s="26">
        <v>6353</v>
      </c>
      <c r="M7" s="27">
        <f>SUM(SupremeCourtJusticeJudicialDistrict5General3[[#This Row],[Clinton County 
Vote Results]:[Washington County 
Vote Results]])</f>
        <v>143506</v>
      </c>
      <c r="N7" s="36"/>
    </row>
    <row r="8" spans="1:14" s="23" customFormat="1" ht="14.25" customHeight="1" x14ac:dyDescent="0.2">
      <c r="A8" s="24" t="s">
        <v>1</v>
      </c>
      <c r="B8" s="26">
        <v>10</v>
      </c>
      <c r="C8" s="26">
        <v>30</v>
      </c>
      <c r="D8" s="26">
        <v>11</v>
      </c>
      <c r="E8" s="26">
        <v>2</v>
      </c>
      <c r="F8" s="26">
        <v>6</v>
      </c>
      <c r="G8" s="26">
        <v>0</v>
      </c>
      <c r="H8" s="26">
        <v>19</v>
      </c>
      <c r="I8" s="26">
        <v>0</v>
      </c>
      <c r="J8" s="26">
        <v>2</v>
      </c>
      <c r="K8" s="33">
        <v>2</v>
      </c>
      <c r="L8" s="26">
        <v>4</v>
      </c>
      <c r="M8" s="27">
        <f>SUM(SupremeCourtJusticeJudicialDistrict5General3[[#This Row],[Clinton County 
Vote Results]:[Washington County 
Vote Results]])</f>
        <v>86</v>
      </c>
      <c r="N8" s="36"/>
    </row>
    <row r="9" spans="1:14" s="23" customFormat="1" ht="14.25" customHeight="1" x14ac:dyDescent="0.2">
      <c r="A9" s="24" t="s">
        <v>6</v>
      </c>
      <c r="B9" s="26">
        <v>266</v>
      </c>
      <c r="C9" s="26">
        <v>55</v>
      </c>
      <c r="D9" s="26">
        <v>58</v>
      </c>
      <c r="E9" s="26">
        <v>43</v>
      </c>
      <c r="F9" s="26">
        <v>6</v>
      </c>
      <c r="G9" s="26">
        <v>74</v>
      </c>
      <c r="H9" s="26">
        <v>142</v>
      </c>
      <c r="I9" s="26">
        <v>754</v>
      </c>
      <c r="J9" s="26">
        <v>674</v>
      </c>
      <c r="K9" s="33">
        <v>209</v>
      </c>
      <c r="L9" s="26">
        <v>100</v>
      </c>
      <c r="M9" s="27">
        <f>SUM(SupremeCourtJusticeJudicialDistrict5General3[[#This Row],[Clinton County 
Vote Results]:[Washington County 
Vote Results]])</f>
        <v>2381</v>
      </c>
      <c r="N9" s="36"/>
    </row>
    <row r="10" spans="1:14" s="23" customFormat="1" ht="14.25" customHeight="1" x14ac:dyDescent="0.2">
      <c r="A10" s="25" t="s">
        <v>2</v>
      </c>
      <c r="B10" s="26">
        <f>SUM(SupremeCourtJusticeJudicialDistrict5General3[Clinton County 
Vote Results])</f>
        <v>44944</v>
      </c>
      <c r="C10" s="26">
        <f>SUM(SupremeCourtJusticeJudicialDistrict5General3[Essex County 
Vote Results])</f>
        <v>23184</v>
      </c>
      <c r="D10" s="26">
        <f>SUM(SupremeCourtJusticeJudicialDistrict5General3[Franklin County 
Vote Results])</f>
        <v>21926</v>
      </c>
      <c r="E10" s="26">
        <f>SUM(SupremeCourtJusticeJudicialDistrict5General3[Fulton County 
Vote Results])</f>
        <v>14918</v>
      </c>
      <c r="F10" s="26">
        <f>SUM(SupremeCourtJusticeJudicialDistrict5General3[Hamilton County 
Vote Results])</f>
        <v>3676</v>
      </c>
      <c r="G10" s="26">
        <f>SUM(SupremeCourtJusticeJudicialDistrict5General3[Montgomery County 
Vote Results])</f>
        <v>13250</v>
      </c>
      <c r="H10" s="26">
        <f>SUM(SupremeCourtJusticeJudicialDistrict5General3[St. Lawrence County 
Vote Results])</f>
        <v>26166</v>
      </c>
      <c r="I10" s="26">
        <f>SUM(SupremeCourtJusticeJudicialDistrict5General3[Saratoga County 
Vote Results])</f>
        <v>116422</v>
      </c>
      <c r="J10" s="26">
        <f>SUM(SupremeCourtJusticeJudicialDistrict5General3[Schenectady County 
Vote Results])</f>
        <v>60082</v>
      </c>
      <c r="K10" s="33">
        <f>SUM(SupremeCourtJusticeJudicialDistrict5General3[Warren County 
Vote Results])</f>
        <v>30630</v>
      </c>
      <c r="L10" s="26">
        <f>SUM(SupremeCourtJusticeJudicialDistrict5General3[Washington County 
Vote Results])</f>
        <v>17376</v>
      </c>
      <c r="M10" s="27">
        <f>SUM(SupremeCourtJusticeJudicialDistrict5General3[Total Votes by Party])</f>
        <v>372574</v>
      </c>
      <c r="N10" s="36"/>
    </row>
  </sheetData>
  <sheetProtection algorithmName="SHA-512" hashValue="BWFP+gYf75V+5coczzzXyHIjV7f3gtPN9a+t9gREVa333rRr6VQbTvjoLfZI7yMUw92QXdbE+r+iWO2K1LsCiw==" saltValue="VrXLUSP80quePg+PimBlXQ==" spinCount="100000" sheet="1" objects="1" scenarios="1" selectLockedCells="1" selectUnlockedCells="1"/>
  <mergeCells count="1">
    <mergeCell ref="A1:D1"/>
  </mergeCells>
  <pageMargins left="0.25" right="0.25" top="0.25" bottom="0.25" header="0.25" footer="0.25"/>
  <pageSetup paperSize="5" scale="91" fitToHeight="0" orientation="landscape" r:id="rId1"/>
  <headerFooter alignWithMargins="0">
    <oddFooter>&amp;RPage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4F75-F081-4EA4-A334-01D130911137}">
  <sheetPr>
    <pageSetUpPr fitToPage="1"/>
  </sheetPr>
  <dimension ref="A1:I22"/>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C22" sqref="C22"/>
    </sheetView>
  </sheetViews>
  <sheetFormatPr defaultRowHeight="12.75" x14ac:dyDescent="0.2"/>
  <cols>
    <col min="1" max="1" width="27" customWidth="1"/>
    <col min="2" max="9" width="20.5703125" customWidth="1"/>
    <col min="10" max="11" width="23.5703125" customWidth="1"/>
  </cols>
  <sheetData>
    <row r="1" spans="1:9" ht="39" customHeight="1" x14ac:dyDescent="0.2">
      <c r="A1" s="63" t="s">
        <v>62</v>
      </c>
      <c r="B1" s="63"/>
      <c r="C1" s="63"/>
      <c r="D1" s="63"/>
    </row>
    <row r="2" spans="1:9" ht="28.5" customHeight="1" x14ac:dyDescent="0.2">
      <c r="A2" s="4" t="s">
        <v>5</v>
      </c>
      <c r="B2" s="5" t="s">
        <v>33</v>
      </c>
      <c r="C2" s="5" t="s">
        <v>32</v>
      </c>
      <c r="D2" s="5" t="s">
        <v>31</v>
      </c>
      <c r="E2" s="5" t="s">
        <v>30</v>
      </c>
      <c r="F2" s="5" t="s">
        <v>29</v>
      </c>
      <c r="G2" s="5" t="s">
        <v>28</v>
      </c>
      <c r="H2" s="6" t="s">
        <v>3</v>
      </c>
      <c r="I2" s="7" t="s">
        <v>4</v>
      </c>
    </row>
    <row r="3" spans="1:9" s="23" customFormat="1" ht="14.25" customHeight="1" x14ac:dyDescent="0.2">
      <c r="A3" s="42" t="s">
        <v>76</v>
      </c>
      <c r="B3" s="26">
        <v>2804</v>
      </c>
      <c r="C3" s="26">
        <v>4108</v>
      </c>
      <c r="D3" s="26">
        <v>1019</v>
      </c>
      <c r="E3" s="26">
        <v>13729</v>
      </c>
      <c r="F3" s="33">
        <v>48755</v>
      </c>
      <c r="G3" s="26">
        <v>6417</v>
      </c>
      <c r="H3" s="27">
        <f>SUM(SupremeCourtJusticeJudicialDistrict5General[[#This Row],[Herkimer County 
Vote Results]:[Oswego County 
Vote Results]])</f>
        <v>76832</v>
      </c>
      <c r="I3" s="34">
        <f>SUM(SupremeCourtJusticeJudicialDistrict5General[[#This Row],[Total Votes by Party]],H15)</f>
        <v>86061</v>
      </c>
    </row>
    <row r="4" spans="1:9" s="23" customFormat="1" ht="14.25" customHeight="1" x14ac:dyDescent="0.2">
      <c r="A4" s="42" t="s">
        <v>77</v>
      </c>
      <c r="B4" s="26">
        <v>2448</v>
      </c>
      <c r="C4" s="26">
        <v>4656</v>
      </c>
      <c r="D4" s="26">
        <v>1655</v>
      </c>
      <c r="E4" s="26">
        <v>12050</v>
      </c>
      <c r="F4" s="33">
        <v>46503</v>
      </c>
      <c r="G4" s="26">
        <v>6107</v>
      </c>
      <c r="H4" s="27">
        <f>SUM(SupremeCourtJusticeJudicialDistrict5General[[#This Row],[Herkimer County 
Vote Results]:[Oswego County 
Vote Results]])</f>
        <v>73419</v>
      </c>
      <c r="I4" s="34">
        <f>SUM(SupremeCourtJusticeJudicialDistrict5General[[#This Row],[Total Votes by Party]],H16)</f>
        <v>82539</v>
      </c>
    </row>
    <row r="5" spans="1:9" s="23" customFormat="1" ht="14.25" customHeight="1" x14ac:dyDescent="0.2">
      <c r="A5" s="42" t="s">
        <v>78</v>
      </c>
      <c r="B5" s="26">
        <v>2420</v>
      </c>
      <c r="C5" s="26">
        <v>3882</v>
      </c>
      <c r="D5" s="26">
        <v>909</v>
      </c>
      <c r="E5" s="26">
        <v>11445</v>
      </c>
      <c r="F5" s="33">
        <v>45833</v>
      </c>
      <c r="G5" s="26">
        <v>6008</v>
      </c>
      <c r="H5" s="27">
        <f>SUM(SupremeCourtJusticeJudicialDistrict5General[[#This Row],[Herkimer County 
Vote Results]:[Oswego County 
Vote Results]])</f>
        <v>70497</v>
      </c>
      <c r="I5" s="34">
        <f>SUM(SupremeCourtJusticeJudicialDistrict5General[[#This Row],[Total Votes by Party]],H17)</f>
        <v>79352</v>
      </c>
    </row>
    <row r="6" spans="1:9" s="23" customFormat="1" ht="14.25" customHeight="1" x14ac:dyDescent="0.2">
      <c r="A6" s="42" t="s">
        <v>79</v>
      </c>
      <c r="B6" s="26">
        <v>2488</v>
      </c>
      <c r="C6" s="26">
        <v>3735</v>
      </c>
      <c r="D6" s="26">
        <v>923</v>
      </c>
      <c r="E6" s="26">
        <v>10989</v>
      </c>
      <c r="F6" s="33">
        <v>43005</v>
      </c>
      <c r="G6" s="26">
        <v>5809</v>
      </c>
      <c r="H6" s="27">
        <f>SUM(SupremeCourtJusticeJudicialDistrict5General[[#This Row],[Herkimer County 
Vote Results]:[Oswego County 
Vote Results]])</f>
        <v>66949</v>
      </c>
      <c r="I6" s="34">
        <f>SUM(SupremeCourtJusticeJudicialDistrict5General[[#This Row],[Total Votes by Party]],H18)</f>
        <v>75251</v>
      </c>
    </row>
    <row r="7" spans="1:9" s="23" customFormat="1" ht="14.25" customHeight="1" x14ac:dyDescent="0.2">
      <c r="A7" s="42" t="s">
        <v>80</v>
      </c>
      <c r="B7" s="26">
        <v>3992</v>
      </c>
      <c r="C7" s="26">
        <v>8739</v>
      </c>
      <c r="D7" s="26">
        <v>2409</v>
      </c>
      <c r="E7" s="26">
        <v>15418</v>
      </c>
      <c r="F7" s="33">
        <v>27571</v>
      </c>
      <c r="G7" s="26">
        <v>7514</v>
      </c>
      <c r="H7" s="27">
        <f>SUM(SupremeCourtJusticeJudicialDistrict5General[[#This Row],[Herkimer County 
Vote Results]:[Oswego County 
Vote Results]])</f>
        <v>65643</v>
      </c>
      <c r="I7" s="34">
        <f>SUM(SupremeCourtJusticeJudicialDistrict5General[[#This Row],[Total Votes by Party]],H11)</f>
        <v>78509</v>
      </c>
    </row>
    <row r="8" spans="1:9" s="23" customFormat="1" ht="14.25" customHeight="1" x14ac:dyDescent="0.2">
      <c r="A8" s="42" t="s">
        <v>81</v>
      </c>
      <c r="B8" s="26">
        <v>3786</v>
      </c>
      <c r="C8" s="26">
        <v>6764</v>
      </c>
      <c r="D8" s="26">
        <v>2328</v>
      </c>
      <c r="E8" s="26">
        <v>14375</v>
      </c>
      <c r="F8" s="33">
        <v>26566</v>
      </c>
      <c r="G8" s="26">
        <v>7042</v>
      </c>
      <c r="H8" s="27">
        <f>SUM(SupremeCourtJusticeJudicialDistrict5General[[#This Row],[Herkimer County 
Vote Results]:[Oswego County 
Vote Results]])</f>
        <v>60861</v>
      </c>
      <c r="I8" s="34">
        <f>SUM(SupremeCourtJusticeJudicialDistrict5General[[#This Row],[Total Votes by Party]],H12)</f>
        <v>73606</v>
      </c>
    </row>
    <row r="9" spans="1:9" s="23" customFormat="1" ht="14.25" customHeight="1" x14ac:dyDescent="0.2">
      <c r="A9" s="42" t="s">
        <v>82</v>
      </c>
      <c r="B9" s="26">
        <v>3806</v>
      </c>
      <c r="C9" s="26">
        <v>5714</v>
      </c>
      <c r="D9" s="26">
        <v>1836</v>
      </c>
      <c r="E9" s="26">
        <v>15808</v>
      </c>
      <c r="F9" s="33">
        <v>25321</v>
      </c>
      <c r="G9" s="26">
        <v>6779</v>
      </c>
      <c r="H9" s="27">
        <f>SUM(SupremeCourtJusticeJudicialDistrict5General[[#This Row],[Herkimer County 
Vote Results]:[Oswego County 
Vote Results]])</f>
        <v>59264</v>
      </c>
      <c r="I9" s="34">
        <f>SUM(SupremeCourtJusticeJudicialDistrict5General[[#This Row],[Total Votes by Party]],H13)</f>
        <v>71520</v>
      </c>
    </row>
    <row r="10" spans="1:9" s="23" customFormat="1" ht="14.25" customHeight="1" x14ac:dyDescent="0.2">
      <c r="A10" s="42" t="s">
        <v>83</v>
      </c>
      <c r="B10" s="26">
        <v>3707</v>
      </c>
      <c r="C10" s="26">
        <v>5834</v>
      </c>
      <c r="D10" s="26">
        <v>1838</v>
      </c>
      <c r="E10" s="26">
        <v>13904</v>
      </c>
      <c r="F10" s="33">
        <v>28313</v>
      </c>
      <c r="G10" s="26">
        <v>7044</v>
      </c>
      <c r="H10" s="27">
        <f>SUM(SupremeCourtJusticeJudicialDistrict5General[[#This Row],[Herkimer County 
Vote Results]:[Oswego County 
Vote Results]])</f>
        <v>60640</v>
      </c>
      <c r="I10" s="34">
        <f>SUM(SupremeCourtJusticeJudicialDistrict5General[[#This Row],[Total Votes by Party]],H14)</f>
        <v>73408</v>
      </c>
    </row>
    <row r="11" spans="1:9" s="23" customFormat="1" ht="14.25" customHeight="1" x14ac:dyDescent="0.2">
      <c r="A11" s="22" t="s">
        <v>84</v>
      </c>
      <c r="B11" s="26">
        <v>618</v>
      </c>
      <c r="C11" s="26">
        <v>1074</v>
      </c>
      <c r="D11" s="26">
        <v>370</v>
      </c>
      <c r="E11" s="26">
        <v>2443</v>
      </c>
      <c r="F11" s="33">
        <v>6890</v>
      </c>
      <c r="G11" s="26">
        <v>1471</v>
      </c>
      <c r="H11" s="27">
        <f>SUM(SupremeCourtJusticeJudicialDistrict5General[[#This Row],[Herkimer County 
Vote Results]:[Oswego County 
Vote Results]])</f>
        <v>12866</v>
      </c>
      <c r="I11" s="36"/>
    </row>
    <row r="12" spans="1:9" s="23" customFormat="1" ht="14.25" customHeight="1" x14ac:dyDescent="0.2">
      <c r="A12" s="24" t="s">
        <v>85</v>
      </c>
      <c r="B12" s="26">
        <v>637</v>
      </c>
      <c r="C12" s="26">
        <v>879</v>
      </c>
      <c r="D12" s="26">
        <v>348</v>
      </c>
      <c r="E12" s="26">
        <v>2433</v>
      </c>
      <c r="F12" s="33">
        <v>7003</v>
      </c>
      <c r="G12" s="26">
        <v>1445</v>
      </c>
      <c r="H12" s="27">
        <f>SUM(SupremeCourtJusticeJudicialDistrict5General[[#This Row],[Herkimer County 
Vote Results]:[Oswego County 
Vote Results]])</f>
        <v>12745</v>
      </c>
      <c r="I12" s="36"/>
    </row>
    <row r="13" spans="1:9" s="23" customFormat="1" ht="14.25" customHeight="1" x14ac:dyDescent="0.2">
      <c r="A13" s="24" t="s">
        <v>86</v>
      </c>
      <c r="B13" s="26">
        <v>613</v>
      </c>
      <c r="C13" s="26">
        <v>669</v>
      </c>
      <c r="D13" s="26">
        <v>268</v>
      </c>
      <c r="E13" s="26">
        <v>2708</v>
      </c>
      <c r="F13" s="33">
        <v>6597</v>
      </c>
      <c r="G13" s="26">
        <v>1401</v>
      </c>
      <c r="H13" s="27">
        <f>SUM(SupremeCourtJusticeJudicialDistrict5General[[#This Row],[Herkimer County 
Vote Results]:[Oswego County 
Vote Results]])</f>
        <v>12256</v>
      </c>
      <c r="I13" s="36"/>
    </row>
    <row r="14" spans="1:9" s="23" customFormat="1" ht="14.25" customHeight="1" x14ac:dyDescent="0.2">
      <c r="A14" s="24" t="s">
        <v>87</v>
      </c>
      <c r="B14" s="26">
        <v>629</v>
      </c>
      <c r="C14" s="26">
        <v>705</v>
      </c>
      <c r="D14" s="26">
        <v>283</v>
      </c>
      <c r="E14" s="26">
        <v>2334</v>
      </c>
      <c r="F14" s="33">
        <v>7397</v>
      </c>
      <c r="G14" s="26">
        <v>1420</v>
      </c>
      <c r="H14" s="27">
        <f>SUM(SupremeCourtJusticeJudicialDistrict5General[[#This Row],[Herkimer County 
Vote Results]:[Oswego County 
Vote Results]])</f>
        <v>12768</v>
      </c>
      <c r="I14" s="36"/>
    </row>
    <row r="15" spans="1:9" ht="14.25" customHeight="1" x14ac:dyDescent="0.2">
      <c r="A15" s="24" t="s">
        <v>88</v>
      </c>
      <c r="B15" s="26">
        <v>461</v>
      </c>
      <c r="C15" s="26">
        <v>545</v>
      </c>
      <c r="D15" s="26">
        <v>173</v>
      </c>
      <c r="E15" s="26">
        <v>1673</v>
      </c>
      <c r="F15" s="33">
        <v>5716</v>
      </c>
      <c r="G15" s="26">
        <v>661</v>
      </c>
      <c r="H15" s="27">
        <f>SUM(SupremeCourtJusticeJudicialDistrict5General[[#This Row],[Herkimer County 
Vote Results]:[Oswego County 
Vote Results]])</f>
        <v>9229</v>
      </c>
      <c r="I15" s="36"/>
    </row>
    <row r="16" spans="1:9" ht="14.25" customHeight="1" x14ac:dyDescent="0.2">
      <c r="A16" s="24" t="s">
        <v>89</v>
      </c>
      <c r="B16" s="26">
        <v>408</v>
      </c>
      <c r="C16" s="26">
        <v>658</v>
      </c>
      <c r="D16" s="26">
        <v>338</v>
      </c>
      <c r="E16" s="26">
        <v>1495</v>
      </c>
      <c r="F16" s="33">
        <v>5567</v>
      </c>
      <c r="G16" s="26">
        <v>654</v>
      </c>
      <c r="H16" s="27">
        <f>SUM(SupremeCourtJusticeJudicialDistrict5General[[#This Row],[Herkimer County 
Vote Results]:[Oswego County 
Vote Results]])</f>
        <v>9120</v>
      </c>
      <c r="I16" s="36"/>
    </row>
    <row r="17" spans="1:9" ht="14.25" customHeight="1" x14ac:dyDescent="0.2">
      <c r="A17" s="22" t="s">
        <v>90</v>
      </c>
      <c r="B17" s="26">
        <v>423</v>
      </c>
      <c r="C17" s="26">
        <v>497</v>
      </c>
      <c r="D17" s="26">
        <v>131</v>
      </c>
      <c r="E17" s="26">
        <v>1445</v>
      </c>
      <c r="F17" s="33">
        <v>5700</v>
      </c>
      <c r="G17" s="26">
        <v>659</v>
      </c>
      <c r="H17" s="27">
        <f>SUM(SupremeCourtJusticeJudicialDistrict5General[[#This Row],[Herkimer County 
Vote Results]:[Oswego County 
Vote Results]])</f>
        <v>8855</v>
      </c>
      <c r="I17" s="36"/>
    </row>
    <row r="18" spans="1:9" ht="14.25" customHeight="1" x14ac:dyDescent="0.2">
      <c r="A18" s="22" t="s">
        <v>91</v>
      </c>
      <c r="B18" s="26">
        <v>424</v>
      </c>
      <c r="C18" s="26">
        <v>504</v>
      </c>
      <c r="D18" s="26">
        <v>166</v>
      </c>
      <c r="E18" s="26">
        <v>1289</v>
      </c>
      <c r="F18" s="33">
        <v>5296</v>
      </c>
      <c r="G18" s="26">
        <v>623</v>
      </c>
      <c r="H18" s="27">
        <f>SUM(SupremeCourtJusticeJudicialDistrict5General[[#This Row],[Herkimer County 
Vote Results]:[Oswego County 
Vote Results]])</f>
        <v>8302</v>
      </c>
      <c r="I18" s="36"/>
    </row>
    <row r="19" spans="1:9" ht="14.25" customHeight="1" x14ac:dyDescent="0.2">
      <c r="A19" s="24" t="s">
        <v>0</v>
      </c>
      <c r="B19" s="26">
        <v>5404</v>
      </c>
      <c r="C19" s="26">
        <v>12082</v>
      </c>
      <c r="D19" s="26">
        <v>4537</v>
      </c>
      <c r="E19" s="26">
        <v>18525</v>
      </c>
      <c r="F19" s="33">
        <v>31161</v>
      </c>
      <c r="G19" s="26">
        <v>6985</v>
      </c>
      <c r="H19" s="27">
        <f>SUM(SupremeCourtJusticeJudicialDistrict5General[[#This Row],[Herkimer County 
Vote Results]:[Oswego County 
Vote Results]])</f>
        <v>78694</v>
      </c>
      <c r="I19" s="36"/>
    </row>
    <row r="20" spans="1:9" ht="14.25" customHeight="1" x14ac:dyDescent="0.2">
      <c r="A20" s="24" t="s">
        <v>1</v>
      </c>
      <c r="B20" s="26">
        <v>40</v>
      </c>
      <c r="C20" s="26">
        <v>212</v>
      </c>
      <c r="D20" s="26">
        <v>35</v>
      </c>
      <c r="E20" s="26">
        <v>152</v>
      </c>
      <c r="F20" s="33">
        <v>308</v>
      </c>
      <c r="G20" s="26">
        <v>92</v>
      </c>
      <c r="H20" s="27">
        <f>SUM(SupremeCourtJusticeJudicialDistrict5General[[#This Row],[Herkimer County 
Vote Results]:[Oswego County 
Vote Results]])</f>
        <v>839</v>
      </c>
      <c r="I20" s="36"/>
    </row>
    <row r="21" spans="1:9" ht="14.25" customHeight="1" x14ac:dyDescent="0.2">
      <c r="A21" s="24" t="s">
        <v>6</v>
      </c>
      <c r="B21" s="26">
        <v>12</v>
      </c>
      <c r="C21" s="26">
        <v>23</v>
      </c>
      <c r="D21" s="26">
        <v>18</v>
      </c>
      <c r="E21" s="26">
        <v>45</v>
      </c>
      <c r="F21" s="33">
        <v>170</v>
      </c>
      <c r="G21" s="26">
        <v>17</v>
      </c>
      <c r="H21" s="27">
        <f>SUM(SupremeCourtJusticeJudicialDistrict5General[[#This Row],[Herkimer County 
Vote Results]:[Oswego County 
Vote Results]])</f>
        <v>285</v>
      </c>
      <c r="I21" s="36"/>
    </row>
    <row r="22" spans="1:9" ht="14.25" customHeight="1" x14ac:dyDescent="0.2">
      <c r="A22" s="25" t="s">
        <v>2</v>
      </c>
      <c r="B22" s="26">
        <f>SUM(SupremeCourtJusticeJudicialDistrict5General[Herkimer County 
Vote Results])</f>
        <v>35120</v>
      </c>
      <c r="C22" s="26">
        <f>SUM(SupremeCourtJusticeJudicialDistrict5General[Jefferson County 
Vote Results])</f>
        <v>61280</v>
      </c>
      <c r="D22" s="26">
        <f>SUM(SupremeCourtJusticeJudicialDistrict5General[Lewis County 
Vote Results])</f>
        <v>19584</v>
      </c>
      <c r="E22" s="26">
        <f>SUM(SupremeCourtJusticeJudicialDistrict5General[Oneida County 
Vote Results])</f>
        <v>142260</v>
      </c>
      <c r="F22" s="33">
        <f>SUM(SupremeCourtJusticeJudicialDistrict5General[Onondaga County 
Vote Results])</f>
        <v>373672</v>
      </c>
      <c r="G22" s="26">
        <f>SUM(SupremeCourtJusticeJudicialDistrict5General[Oswego County 
Vote Results])</f>
        <v>68148</v>
      </c>
      <c r="H22" s="27">
        <f>SUM(SupremeCourtJusticeJudicialDistrict5General[Total Votes by Party])</f>
        <v>700064</v>
      </c>
      <c r="I22" s="36"/>
    </row>
  </sheetData>
  <sheetProtection algorithmName="SHA-512" hashValue="qsVj9s85b128ecOqEg+4pg/snRMhw/nwvAE9HWmeCerhMy6FAxuxJQ8n7TSNMXXPE+Xms1JnjWrdBcOTbPQobw==" saltValue="NHN0gbwMsBjWAwNKUPmY0g==" spinCount="100000" sheet="1" objects="1" scenarios="1" selectLockedCells="1" selectUnlockedCells="1"/>
  <mergeCells count="1">
    <mergeCell ref="A1:D1"/>
  </mergeCells>
  <pageMargins left="0.25" right="0.25" top="0.25" bottom="0.25" header="0.25" footer="0.25"/>
  <pageSetup paperSize="5" scale="91" fitToHeight="0" orientation="landscape" r:id="rId1"/>
  <headerFooter alignWithMargins="0">
    <oddFooter>&amp;RPage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83BF-0515-4B25-BDCD-56BA7A50050D}">
  <sheetPr>
    <pageSetUpPr fitToPage="1"/>
  </sheetPr>
  <dimension ref="A1:K14"/>
  <sheetViews>
    <sheetView zoomScaleNormal="100" zoomScaleSheetLayoutView="100" workbookViewId="0">
      <pane xSplit="1" topLeftCell="B1" activePane="topRight" state="frozen"/>
      <selection pane="topRight" activeCell="B12" sqref="B12"/>
    </sheetView>
  </sheetViews>
  <sheetFormatPr defaultRowHeight="12.75" x14ac:dyDescent="0.2"/>
  <cols>
    <col min="1" max="1" width="25.5703125" customWidth="1"/>
    <col min="2" max="11" width="20.7109375" customWidth="1"/>
    <col min="12" max="13" width="23.5703125" customWidth="1"/>
  </cols>
  <sheetData>
    <row r="1" spans="1:11" ht="39" customHeight="1" x14ac:dyDescent="0.2">
      <c r="A1" s="63" t="s">
        <v>63</v>
      </c>
      <c r="B1" s="63"/>
      <c r="C1" s="63"/>
      <c r="D1" s="63"/>
    </row>
    <row r="2" spans="1:11" s="20" customFormat="1" ht="28.5" customHeight="1" x14ac:dyDescent="0.2">
      <c r="A2" s="17" t="s">
        <v>5</v>
      </c>
      <c r="B2" s="5" t="s">
        <v>34</v>
      </c>
      <c r="C2" s="5" t="s">
        <v>35</v>
      </c>
      <c r="D2" s="5" t="s">
        <v>36</v>
      </c>
      <c r="E2" s="5" t="s">
        <v>37</v>
      </c>
      <c r="F2" s="5" t="s">
        <v>38</v>
      </c>
      <c r="G2" s="5" t="s">
        <v>39</v>
      </c>
      <c r="H2" s="5" t="s">
        <v>40</v>
      </c>
      <c r="I2" s="5" t="s">
        <v>41</v>
      </c>
      <c r="J2" s="18" t="s">
        <v>3</v>
      </c>
      <c r="K2" s="19" t="s">
        <v>4</v>
      </c>
    </row>
    <row r="3" spans="1:11" s="23" customFormat="1" ht="14.25" customHeight="1" x14ac:dyDescent="0.2">
      <c r="A3" s="22" t="s">
        <v>92</v>
      </c>
      <c r="B3" s="37">
        <v>5347</v>
      </c>
      <c r="C3" s="26">
        <v>4057</v>
      </c>
      <c r="D3" s="26">
        <v>78987</v>
      </c>
      <c r="E3" s="37">
        <v>11046</v>
      </c>
      <c r="F3" s="26">
        <v>2706</v>
      </c>
      <c r="G3" s="26">
        <v>4382</v>
      </c>
      <c r="H3" s="26">
        <v>4753</v>
      </c>
      <c r="I3" s="26">
        <v>1365</v>
      </c>
      <c r="J3" s="27">
        <f>SUM(SupremeCourtJusticeJudicialDistrict7General[[#This Row],[Cayuga County 
Vote Results]:[Yates County 
Vote Results]])</f>
        <v>112643</v>
      </c>
      <c r="K3" s="34">
        <f>SUM(SupremeCourtJusticeJudicialDistrict7General[[#This Row],[Total Votes by Party]],J9)</f>
        <v>119930</v>
      </c>
    </row>
    <row r="4" spans="1:11" s="23" customFormat="1" ht="14.25" customHeight="1" x14ac:dyDescent="0.2">
      <c r="A4" s="22" t="s">
        <v>93</v>
      </c>
      <c r="B4" s="37">
        <v>4967</v>
      </c>
      <c r="C4" s="26">
        <v>3761</v>
      </c>
      <c r="D4" s="26">
        <v>76048</v>
      </c>
      <c r="E4" s="37">
        <v>10375</v>
      </c>
      <c r="F4" s="26">
        <v>2507</v>
      </c>
      <c r="G4" s="26">
        <v>4149</v>
      </c>
      <c r="H4" s="26">
        <v>4390</v>
      </c>
      <c r="I4" s="26">
        <v>1279</v>
      </c>
      <c r="J4" s="27">
        <f>SUM(SupremeCourtJusticeJudicialDistrict7General[[#This Row],[Cayuga County 
Vote Results]:[Yates County 
Vote Results]])</f>
        <v>107476</v>
      </c>
      <c r="K4" s="34">
        <f>SUM(SupremeCourtJusticeJudicialDistrict7General[[#This Row],[Total Votes by Party]],J10)</f>
        <v>114257</v>
      </c>
    </row>
    <row r="5" spans="1:11" s="23" customFormat="1" ht="14.25" customHeight="1" x14ac:dyDescent="0.2">
      <c r="A5" s="22" t="s">
        <v>94</v>
      </c>
      <c r="B5" s="37">
        <v>5286</v>
      </c>
      <c r="C5" s="26">
        <v>6019</v>
      </c>
      <c r="D5" s="26">
        <v>45818</v>
      </c>
      <c r="E5" s="37">
        <v>10272</v>
      </c>
      <c r="F5" s="26">
        <v>2771</v>
      </c>
      <c r="G5" s="26">
        <v>6734</v>
      </c>
      <c r="H5" s="26">
        <v>6528</v>
      </c>
      <c r="I5" s="26">
        <v>1450</v>
      </c>
      <c r="J5" s="27">
        <f>SUM(SupremeCourtJusticeJudicialDistrict7General[[#This Row],[Cayuga County 
Vote Results]:[Yates County 
Vote Results]])</f>
        <v>84878</v>
      </c>
      <c r="K5" s="34">
        <f>SUM(SupremeCourtJusticeJudicialDistrict7General[[#This Row],[Total Votes by Party]],J7)</f>
        <v>109330</v>
      </c>
    </row>
    <row r="6" spans="1:11" s="23" customFormat="1" ht="14.25" customHeight="1" x14ac:dyDescent="0.2">
      <c r="A6" s="22" t="s">
        <v>95</v>
      </c>
      <c r="B6" s="37">
        <v>5041</v>
      </c>
      <c r="C6" s="26">
        <v>5716</v>
      </c>
      <c r="D6" s="26">
        <v>41482</v>
      </c>
      <c r="E6" s="37">
        <v>10690</v>
      </c>
      <c r="F6" s="26">
        <v>2658</v>
      </c>
      <c r="G6" s="26">
        <v>6375</v>
      </c>
      <c r="H6" s="26">
        <v>5966</v>
      </c>
      <c r="I6" s="26">
        <v>1383</v>
      </c>
      <c r="J6" s="27">
        <f>SUM(SupremeCourtJusticeJudicialDistrict7General[[#This Row],[Cayuga County 
Vote Results]:[Yates County 
Vote Results]])</f>
        <v>79311</v>
      </c>
      <c r="K6" s="34">
        <f>SUM(SupremeCourtJusticeJudicialDistrict7General[[#This Row],[Total Votes by Party]],J8)</f>
        <v>103215</v>
      </c>
    </row>
    <row r="7" spans="1:11" s="23" customFormat="1" ht="14.25" customHeight="1" x14ac:dyDescent="0.2">
      <c r="A7" s="22" t="s">
        <v>96</v>
      </c>
      <c r="B7" s="37">
        <v>1459</v>
      </c>
      <c r="C7" s="26">
        <v>728</v>
      </c>
      <c r="D7" s="26">
        <v>17127</v>
      </c>
      <c r="E7" s="37">
        <v>1894</v>
      </c>
      <c r="F7" s="26">
        <v>430</v>
      </c>
      <c r="G7" s="26">
        <v>863</v>
      </c>
      <c r="H7" s="26">
        <v>1727</v>
      </c>
      <c r="I7" s="26">
        <v>224</v>
      </c>
      <c r="J7" s="27">
        <f>SUM(SupremeCourtJusticeJudicialDistrict7General[[#This Row],[Cayuga County 
Vote Results]:[Yates County 
Vote Results]])</f>
        <v>24452</v>
      </c>
      <c r="K7" s="36"/>
    </row>
    <row r="8" spans="1:11" s="23" customFormat="1" ht="14.25" customHeight="1" x14ac:dyDescent="0.2">
      <c r="A8" s="22" t="s">
        <v>97</v>
      </c>
      <c r="B8" s="37">
        <v>1417</v>
      </c>
      <c r="C8" s="26">
        <v>752</v>
      </c>
      <c r="D8" s="26">
        <v>16438</v>
      </c>
      <c r="E8" s="37">
        <v>2055</v>
      </c>
      <c r="F8" s="26">
        <v>448</v>
      </c>
      <c r="G8" s="26">
        <v>895</v>
      </c>
      <c r="H8" s="26">
        <v>1664</v>
      </c>
      <c r="I8" s="26">
        <v>235</v>
      </c>
      <c r="J8" s="27">
        <f>SUM(SupremeCourtJusticeJudicialDistrict7General[[#This Row],[Cayuga County 
Vote Results]:[Yates County 
Vote Results]])</f>
        <v>23904</v>
      </c>
      <c r="K8" s="36"/>
    </row>
    <row r="9" spans="1:11" s="23" customFormat="1" ht="14.25" customHeight="1" x14ac:dyDescent="0.2">
      <c r="A9" s="22" t="s">
        <v>178</v>
      </c>
      <c r="B9" s="37">
        <v>328</v>
      </c>
      <c r="C9" s="26">
        <v>238</v>
      </c>
      <c r="D9" s="26">
        <v>5591</v>
      </c>
      <c r="E9" s="37">
        <v>411</v>
      </c>
      <c r="F9" s="26">
        <v>165</v>
      </c>
      <c r="G9" s="26">
        <v>340</v>
      </c>
      <c r="H9" s="26">
        <v>174</v>
      </c>
      <c r="I9" s="26">
        <v>40</v>
      </c>
      <c r="J9" s="27">
        <f>SUM(SupremeCourtJusticeJudicialDistrict7General[[#This Row],[Cayuga County 
Vote Results]:[Yates County 
Vote Results]])</f>
        <v>7287</v>
      </c>
      <c r="K9" s="36"/>
    </row>
    <row r="10" spans="1:11" s="23" customFormat="1" ht="14.25" customHeight="1" x14ac:dyDescent="0.2">
      <c r="A10" s="22" t="s">
        <v>179</v>
      </c>
      <c r="B10" s="37">
        <v>274</v>
      </c>
      <c r="C10" s="26">
        <v>211</v>
      </c>
      <c r="D10" s="26">
        <v>5254</v>
      </c>
      <c r="E10" s="37">
        <v>399</v>
      </c>
      <c r="F10" s="26">
        <v>148</v>
      </c>
      <c r="G10" s="26">
        <v>318</v>
      </c>
      <c r="H10" s="26">
        <v>136</v>
      </c>
      <c r="I10" s="26">
        <v>41</v>
      </c>
      <c r="J10" s="27">
        <f>SUM(SupremeCourtJusticeJudicialDistrict7General[[#This Row],[Cayuga County 
Vote Results]:[Yates County 
Vote Results]])</f>
        <v>6781</v>
      </c>
      <c r="K10" s="36"/>
    </row>
    <row r="11" spans="1:11" s="23" customFormat="1" ht="14.25" customHeight="1" x14ac:dyDescent="0.2">
      <c r="A11" s="24" t="s">
        <v>0</v>
      </c>
      <c r="B11" s="37">
        <v>2284</v>
      </c>
      <c r="C11" s="26">
        <v>1902</v>
      </c>
      <c r="D11" s="26">
        <v>12554</v>
      </c>
      <c r="E11" s="37">
        <v>3063</v>
      </c>
      <c r="F11" s="26">
        <v>1437</v>
      </c>
      <c r="G11" s="26">
        <v>2701</v>
      </c>
      <c r="H11" s="26">
        <v>1779</v>
      </c>
      <c r="I11" s="26">
        <v>394</v>
      </c>
      <c r="J11" s="27">
        <f>SUM(SupremeCourtJusticeJudicialDistrict7General[[#This Row],[Cayuga County 
Vote Results]:[Yates County 
Vote Results]])</f>
        <v>26114</v>
      </c>
      <c r="K11" s="36"/>
    </row>
    <row r="12" spans="1:11" s="23" customFormat="1" ht="14.25" customHeight="1" x14ac:dyDescent="0.2">
      <c r="A12" s="24" t="s">
        <v>1</v>
      </c>
      <c r="B12" s="37">
        <v>110</v>
      </c>
      <c r="C12" s="26">
        <v>66</v>
      </c>
      <c r="D12" s="26">
        <v>96</v>
      </c>
      <c r="E12" s="37">
        <v>224</v>
      </c>
      <c r="F12" s="26">
        <v>172</v>
      </c>
      <c r="G12" s="26">
        <v>112</v>
      </c>
      <c r="H12" s="26">
        <v>348</v>
      </c>
      <c r="I12" s="26">
        <v>38</v>
      </c>
      <c r="J12" s="27">
        <f>SUM(SupremeCourtJusticeJudicialDistrict7General[[#This Row],[Cayuga County 
Vote Results]:[Yates County 
Vote Results]])</f>
        <v>1166</v>
      </c>
      <c r="K12" s="36"/>
    </row>
    <row r="13" spans="1:11" s="23" customFormat="1" ht="14.25" customHeight="1" x14ac:dyDescent="0.2">
      <c r="A13" s="24" t="s">
        <v>6</v>
      </c>
      <c r="B13" s="38">
        <v>17</v>
      </c>
      <c r="C13" s="29">
        <v>10</v>
      </c>
      <c r="D13" s="26">
        <v>97</v>
      </c>
      <c r="E13" s="37">
        <v>17</v>
      </c>
      <c r="F13" s="26">
        <v>4</v>
      </c>
      <c r="G13" s="26">
        <v>13</v>
      </c>
      <c r="H13" s="26">
        <v>7</v>
      </c>
      <c r="I13" s="26">
        <v>1</v>
      </c>
      <c r="J13" s="27">
        <f>SUM(SupremeCourtJusticeJudicialDistrict7General[[#This Row],[Cayuga County 
Vote Results]:[Yates County 
Vote Results]])</f>
        <v>166</v>
      </c>
      <c r="K13" s="36"/>
    </row>
    <row r="14" spans="1:11" s="23" customFormat="1" ht="14.25" customHeight="1" x14ac:dyDescent="0.2">
      <c r="A14" s="25" t="s">
        <v>2</v>
      </c>
      <c r="B14" s="26">
        <f>SUM(SupremeCourtJusticeJudicialDistrict7General[Cayuga County 
Vote Results])</f>
        <v>26530</v>
      </c>
      <c r="C14" s="26">
        <f>SUM(SupremeCourtJusticeJudicialDistrict7General[Livingston County 
Vote Results])</f>
        <v>23460</v>
      </c>
      <c r="D14" s="26">
        <f>SUM(SupremeCourtJusticeJudicialDistrict7General[Monroe County 
Vote Results])</f>
        <v>299492</v>
      </c>
      <c r="E14" s="37">
        <f>SUM(SupremeCourtJusticeJudicialDistrict7General[Ontario County 
Vote Results])</f>
        <v>50446</v>
      </c>
      <c r="F14" s="26">
        <f>SUM(SupremeCourtJusticeJudicialDistrict7General[Seneca County 
Vote Results])</f>
        <v>13446</v>
      </c>
      <c r="G14" s="26">
        <f>SUM(SupremeCourtJusticeJudicialDistrict7General[Steuben County 
Vote Results])</f>
        <v>26882</v>
      </c>
      <c r="H14" s="26">
        <f>SUM(SupremeCourtJusticeJudicialDistrict7General[Wayne County 
Vote Results])</f>
        <v>27472</v>
      </c>
      <c r="I14" s="26">
        <f>SUM(SupremeCourtJusticeJudicialDistrict7General[Yates County 
Vote Results])</f>
        <v>6450</v>
      </c>
      <c r="J14" s="27">
        <f>SUM(SupremeCourtJusticeJudicialDistrict7General[Total Votes by Party])</f>
        <v>474178</v>
      </c>
      <c r="K14" s="35"/>
    </row>
  </sheetData>
  <sheetProtection algorithmName="SHA-512" hashValue="ZVsqzAChwvNSVSiy5Mb7J2jmYo9iJTLNrD+VkVqC1fv/zGL/cgPAZMKSJJxO+C1XIEP9fSNTEv4aK4MdialBrA==" saltValue="kGS7WgK2+5G4vgL63uS8JQ==" spinCount="100000" sheet="1" objects="1" scenarios="1" selectLockedCells="1" selectUnlockedCells="1"/>
  <mergeCells count="1">
    <mergeCell ref="A1:D1"/>
  </mergeCells>
  <pageMargins left="0.25" right="0.25" top="0.25" bottom="0.25" header="0.25" footer="0.25"/>
  <pageSetup paperSize="5" scale="84" fitToHeight="0" orientation="landscape" r:id="rId1"/>
  <headerFooter alignWithMargins="0">
    <oddFooter>&amp;RPage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F4D4F-8F8C-40EE-96A4-816A95CE2593}">
  <sheetPr>
    <pageSetUpPr fitToPage="1"/>
  </sheetPr>
  <dimension ref="A1:K13"/>
  <sheetViews>
    <sheetView zoomScaleNormal="100" zoomScaleSheetLayoutView="90" workbookViewId="0">
      <pane xSplit="1" topLeftCell="D1" activePane="topRight" state="frozen"/>
      <selection pane="topRight" activeCell="K3" sqref="K3:K4"/>
    </sheetView>
  </sheetViews>
  <sheetFormatPr defaultRowHeight="12.75" x14ac:dyDescent="0.2"/>
  <cols>
    <col min="1" max="1" width="25.5703125" customWidth="1"/>
    <col min="2" max="11" width="20.7109375" customWidth="1"/>
    <col min="12" max="13" width="23.5703125" customWidth="1"/>
  </cols>
  <sheetData>
    <row r="1" spans="1:11" ht="39" customHeight="1" x14ac:dyDescent="0.2">
      <c r="A1" s="63" t="s">
        <v>67</v>
      </c>
      <c r="B1" s="63"/>
      <c r="C1" s="63"/>
      <c r="D1" s="63"/>
    </row>
    <row r="2" spans="1:11" s="20" customFormat="1" ht="28.5" customHeight="1" x14ac:dyDescent="0.2">
      <c r="A2" s="17" t="s">
        <v>5</v>
      </c>
      <c r="B2" s="5" t="s">
        <v>42</v>
      </c>
      <c r="C2" s="5" t="s">
        <v>43</v>
      </c>
      <c r="D2" s="5" t="s">
        <v>44</v>
      </c>
      <c r="E2" s="5" t="s">
        <v>45</v>
      </c>
      <c r="F2" s="5" t="s">
        <v>46</v>
      </c>
      <c r="G2" s="5" t="s">
        <v>47</v>
      </c>
      <c r="H2" s="5" t="s">
        <v>48</v>
      </c>
      <c r="I2" s="5" t="s">
        <v>49</v>
      </c>
      <c r="J2" s="18" t="s">
        <v>3</v>
      </c>
      <c r="K2" s="19" t="s">
        <v>4</v>
      </c>
    </row>
    <row r="3" spans="1:11" s="23" customFormat="1" ht="14.25" customHeight="1" x14ac:dyDescent="0.2">
      <c r="A3" s="22" t="s">
        <v>98</v>
      </c>
      <c r="B3" s="26">
        <v>1612</v>
      </c>
      <c r="C3" s="26">
        <v>2704</v>
      </c>
      <c r="D3" s="26">
        <v>7546</v>
      </c>
      <c r="E3" s="26">
        <v>90957</v>
      </c>
      <c r="F3" s="26">
        <v>2349</v>
      </c>
      <c r="G3" s="26">
        <v>13425</v>
      </c>
      <c r="H3" s="26">
        <v>831</v>
      </c>
      <c r="I3" s="26">
        <v>1069</v>
      </c>
      <c r="J3" s="27">
        <f>SUM(SupremeCourtJusticeJudicialDistrict8General[[#This Row],[Allegany County 
Vote Results]:[Wyoming County 
Vote Results]])</f>
        <v>120493</v>
      </c>
      <c r="K3" s="34">
        <f>SUM(SupremeCourtJusticeJudicialDistrict8General[[#This Row],[Total Votes by Party]],J5,J7,J9)</f>
        <v>249143</v>
      </c>
    </row>
    <row r="4" spans="1:11" s="23" customFormat="1" ht="14.25" customHeight="1" x14ac:dyDescent="0.2">
      <c r="A4" s="22" t="s">
        <v>99</v>
      </c>
      <c r="B4" s="26">
        <v>1513</v>
      </c>
      <c r="C4" s="26">
        <v>2513</v>
      </c>
      <c r="D4" s="26">
        <v>7153</v>
      </c>
      <c r="E4" s="26">
        <v>91243</v>
      </c>
      <c r="F4" s="26">
        <v>2202</v>
      </c>
      <c r="G4" s="26">
        <v>12187</v>
      </c>
      <c r="H4" s="26">
        <v>780</v>
      </c>
      <c r="I4" s="26">
        <v>1040</v>
      </c>
      <c r="J4" s="27">
        <f>SUM(SupremeCourtJusticeJudicialDistrict8General[[#This Row],[Allegany County 
Vote Results]:[Wyoming County 
Vote Results]])</f>
        <v>118631</v>
      </c>
      <c r="K4" s="34">
        <f>SUM(SupremeCourtJusticeJudicialDistrict8General[[#This Row],[Total Votes by Party]],J6,J8)</f>
        <v>231302</v>
      </c>
    </row>
    <row r="5" spans="1:11" s="23" customFormat="1" ht="14.25" customHeight="1" x14ac:dyDescent="0.2">
      <c r="A5" s="22" t="s">
        <v>100</v>
      </c>
      <c r="B5" s="26">
        <v>2988</v>
      </c>
      <c r="C5" s="26">
        <v>4450</v>
      </c>
      <c r="D5" s="26">
        <v>8638</v>
      </c>
      <c r="E5" s="26">
        <v>53020</v>
      </c>
      <c r="F5" s="26">
        <v>3842</v>
      </c>
      <c r="G5" s="26">
        <v>13373</v>
      </c>
      <c r="H5" s="26">
        <v>2235</v>
      </c>
      <c r="I5" s="26">
        <v>3041</v>
      </c>
      <c r="J5" s="27">
        <f>SUM(SupremeCourtJusticeJudicialDistrict8General[[#This Row],[Allegany County 
Vote Results]:[Wyoming County 
Vote Results]])</f>
        <v>91587</v>
      </c>
      <c r="K5" s="36"/>
    </row>
    <row r="6" spans="1:11" s="23" customFormat="1" ht="14.25" customHeight="1" x14ac:dyDescent="0.2">
      <c r="A6" s="24" t="s">
        <v>101</v>
      </c>
      <c r="B6" s="26">
        <v>2673</v>
      </c>
      <c r="C6" s="26">
        <v>4226</v>
      </c>
      <c r="D6" s="26">
        <v>7876</v>
      </c>
      <c r="E6" s="26">
        <v>51313</v>
      </c>
      <c r="F6" s="26">
        <v>3597</v>
      </c>
      <c r="G6" s="26">
        <v>12452</v>
      </c>
      <c r="H6" s="26">
        <v>2062</v>
      </c>
      <c r="I6" s="26">
        <v>2834</v>
      </c>
      <c r="J6" s="27">
        <f>SUM(SupremeCourtJusticeJudicialDistrict8General[[#This Row],[Allegany County 
Vote Results]:[Wyoming County 
Vote Results]])</f>
        <v>87033</v>
      </c>
      <c r="K6" s="36"/>
    </row>
    <row r="7" spans="1:11" s="23" customFormat="1" ht="14.25" customHeight="1" x14ac:dyDescent="0.2">
      <c r="A7" s="22" t="s">
        <v>102</v>
      </c>
      <c r="B7" s="26">
        <v>315</v>
      </c>
      <c r="C7" s="26">
        <v>657</v>
      </c>
      <c r="D7" s="26">
        <v>1672</v>
      </c>
      <c r="E7" s="26">
        <v>16789</v>
      </c>
      <c r="F7" s="26">
        <v>711</v>
      </c>
      <c r="G7" s="26">
        <v>3702</v>
      </c>
      <c r="H7" s="26">
        <v>286</v>
      </c>
      <c r="I7" s="26">
        <v>301</v>
      </c>
      <c r="J7" s="27">
        <f>SUM(SupremeCourtJusticeJudicialDistrict8General[[#This Row],[Allegany County 
Vote Results]:[Wyoming County 
Vote Results]])</f>
        <v>24433</v>
      </c>
      <c r="K7" s="36"/>
    </row>
    <row r="8" spans="1:11" s="23" customFormat="1" ht="14.25" customHeight="1" x14ac:dyDescent="0.2">
      <c r="A8" s="22" t="s">
        <v>103</v>
      </c>
      <c r="B8" s="26">
        <v>348</v>
      </c>
      <c r="C8" s="26">
        <v>713</v>
      </c>
      <c r="D8" s="26">
        <v>1679</v>
      </c>
      <c r="E8" s="26">
        <v>17753</v>
      </c>
      <c r="F8" s="26">
        <v>728</v>
      </c>
      <c r="G8" s="26">
        <v>3777</v>
      </c>
      <c r="H8" s="26">
        <v>287</v>
      </c>
      <c r="I8" s="26">
        <v>353</v>
      </c>
      <c r="J8" s="27">
        <f>SUM(SupremeCourtJusticeJudicialDistrict8General[[#This Row],[Allegany County 
Vote Results]:[Wyoming County 
Vote Results]])</f>
        <v>25638</v>
      </c>
      <c r="K8" s="36"/>
    </row>
    <row r="9" spans="1:11" s="23" customFormat="1" ht="14.25" customHeight="1" x14ac:dyDescent="0.2">
      <c r="A9" s="22" t="s">
        <v>104</v>
      </c>
      <c r="B9" s="26">
        <v>181</v>
      </c>
      <c r="C9" s="26">
        <v>217</v>
      </c>
      <c r="D9" s="26">
        <v>656</v>
      </c>
      <c r="E9" s="26">
        <v>10002</v>
      </c>
      <c r="F9" s="26">
        <v>183</v>
      </c>
      <c r="G9" s="26">
        <v>1215</v>
      </c>
      <c r="H9" s="26">
        <v>70</v>
      </c>
      <c r="I9" s="26">
        <v>106</v>
      </c>
      <c r="J9" s="27">
        <f>SUM(SupremeCourtJusticeJudicialDistrict8General[[#This Row],[Allegany County 
Vote Results]:[Wyoming County 
Vote Results]])</f>
        <v>12630</v>
      </c>
      <c r="K9" s="36"/>
    </row>
    <row r="10" spans="1:11" s="23" customFormat="1" ht="14.25" customHeight="1" x14ac:dyDescent="0.2">
      <c r="A10" s="24" t="s">
        <v>0</v>
      </c>
      <c r="B10" s="26">
        <v>2471</v>
      </c>
      <c r="C10" s="26">
        <v>3307</v>
      </c>
      <c r="D10" s="26">
        <v>6846</v>
      </c>
      <c r="E10" s="26">
        <v>45925</v>
      </c>
      <c r="F10" s="26">
        <v>2217</v>
      </c>
      <c r="G10" s="26">
        <v>13867</v>
      </c>
      <c r="H10" s="26">
        <v>1858</v>
      </c>
      <c r="I10" s="26">
        <v>1702</v>
      </c>
      <c r="J10" s="27">
        <f>SUM(SupremeCourtJusticeJudicialDistrict8General[[#This Row],[Allegany County 
Vote Results]:[Wyoming County 
Vote Results]])</f>
        <v>78193</v>
      </c>
      <c r="K10" s="36"/>
    </row>
    <row r="11" spans="1:11" s="23" customFormat="1" ht="14.25" customHeight="1" x14ac:dyDescent="0.2">
      <c r="A11" s="24" t="s">
        <v>1</v>
      </c>
      <c r="B11" s="26">
        <v>13</v>
      </c>
      <c r="C11" s="26">
        <v>5</v>
      </c>
      <c r="D11" s="26">
        <v>6</v>
      </c>
      <c r="E11" s="26">
        <v>36</v>
      </c>
      <c r="F11" s="26">
        <v>2</v>
      </c>
      <c r="G11" s="26">
        <v>4</v>
      </c>
      <c r="H11" s="26">
        <v>13</v>
      </c>
      <c r="I11" s="26">
        <v>0</v>
      </c>
      <c r="J11" s="27">
        <f>SUM(SupremeCourtJusticeJudicialDistrict8General[[#This Row],[Allegany County 
Vote Results]:[Wyoming County 
Vote Results]])</f>
        <v>79</v>
      </c>
      <c r="K11" s="36"/>
    </row>
    <row r="12" spans="1:11" s="23" customFormat="1" ht="14.25" customHeight="1" x14ac:dyDescent="0.2">
      <c r="A12" s="24" t="s">
        <v>6</v>
      </c>
      <c r="B12" s="26">
        <v>36</v>
      </c>
      <c r="C12" s="26">
        <v>10</v>
      </c>
      <c r="D12" s="26">
        <v>68</v>
      </c>
      <c r="E12" s="26">
        <v>1998</v>
      </c>
      <c r="F12" s="26">
        <v>27</v>
      </c>
      <c r="G12" s="26">
        <v>242</v>
      </c>
      <c r="H12" s="26">
        <v>14</v>
      </c>
      <c r="I12" s="26">
        <v>6</v>
      </c>
      <c r="J12" s="27">
        <f>SUM(SupremeCourtJusticeJudicialDistrict8General[[#This Row],[Allegany County 
Vote Results]:[Wyoming County 
Vote Results]])</f>
        <v>2401</v>
      </c>
      <c r="K12" s="36"/>
    </row>
    <row r="13" spans="1:11" s="23" customFormat="1" ht="14.25" customHeight="1" x14ac:dyDescent="0.2">
      <c r="A13" s="25" t="s">
        <v>2</v>
      </c>
      <c r="B13" s="26">
        <f>SUM(SupremeCourtJusticeJudicialDistrict8General[Allegany County 
Vote Results])</f>
        <v>12150</v>
      </c>
      <c r="C13" s="26">
        <f>SUM(SupremeCourtJusticeJudicialDistrict8General[Cattaraugus County 
Vote Results])</f>
        <v>18802</v>
      </c>
      <c r="D13" s="26">
        <f>SUM(SupremeCourtJusticeJudicialDistrict8General[Chautauqua County 
Vote Results])</f>
        <v>42140</v>
      </c>
      <c r="E13" s="26">
        <f>SUM(SupremeCourtJusticeJudicialDistrict8General[Erie County 
Vote Results])</f>
        <v>379036</v>
      </c>
      <c r="F13" s="26">
        <f>SUM(SupremeCourtJusticeJudicialDistrict8General[Genesee County 
Vote Results])</f>
        <v>15858</v>
      </c>
      <c r="G13" s="26">
        <f>SUM(SupremeCourtJusticeJudicialDistrict8General[Niagara County 
Vote Results])</f>
        <v>74244</v>
      </c>
      <c r="H13" s="26">
        <f>SUM(SupremeCourtJusticeJudicialDistrict8General[Orleans County 
Vote Results])</f>
        <v>8436</v>
      </c>
      <c r="I13" s="26">
        <f>SUM(SupremeCourtJusticeJudicialDistrict8General[Wyoming County 
Vote Results])</f>
        <v>10452</v>
      </c>
      <c r="J13" s="27">
        <f>SUM(SupremeCourtJusticeJudicialDistrict8General[Total Votes by Party])</f>
        <v>561118</v>
      </c>
      <c r="K13" s="36"/>
    </row>
  </sheetData>
  <sheetProtection algorithmName="SHA-512" hashValue="0wwCm9hoHvjxomM9uIR5nh/+hLYP/sljLAC30JmuV5+zopNqnGT1xItwish06pX0pokvsKqK+SFH6AUdRIHH8w==" saltValue="75Q+i0+tTsA57Im6tTxZCA==" spinCount="100000" sheet="1" objects="1" scenarios="1" selectLockedCells="1" selectUnlockedCells="1"/>
  <mergeCells count="1">
    <mergeCell ref="A1:D1"/>
  </mergeCells>
  <pageMargins left="0.25" right="0.25" top="0.25" bottom="0.25" header="0.25" footer="0.25"/>
  <pageSetup paperSize="5" scale="84" fitToHeight="0" orientation="landscape" r:id="rId1"/>
  <headerFooter alignWithMargins="0">
    <oddFooter>&amp;RPage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CADC0-968C-457A-9196-665DB14A9828}">
  <sheetPr>
    <pageSetUpPr fitToPage="1"/>
  </sheetPr>
  <dimension ref="A1:H19"/>
  <sheetViews>
    <sheetView zoomScaleNormal="100" zoomScaleSheetLayoutView="90" workbookViewId="0">
      <pane xSplit="1" ySplit="2" topLeftCell="B3" activePane="bottomRight" state="frozen"/>
      <selection pane="topRight" activeCell="B1" sqref="B1"/>
      <selection pane="bottomLeft" activeCell="A3" sqref="A3"/>
      <selection pane="bottomRight" activeCell="H3" sqref="H3:H10"/>
    </sheetView>
  </sheetViews>
  <sheetFormatPr defaultRowHeight="12.75" x14ac:dyDescent="0.2"/>
  <cols>
    <col min="1" max="1" width="31.7109375" customWidth="1"/>
    <col min="2" max="8" width="20.5703125" customWidth="1"/>
    <col min="9" max="10" width="23.5703125" customWidth="1"/>
  </cols>
  <sheetData>
    <row r="1" spans="1:8" ht="39" customHeight="1" x14ac:dyDescent="0.2">
      <c r="A1" s="63" t="s">
        <v>180</v>
      </c>
      <c r="B1" s="63"/>
      <c r="C1" s="63"/>
      <c r="D1" s="63"/>
    </row>
    <row r="2" spans="1:8" ht="28.5" customHeight="1" x14ac:dyDescent="0.2">
      <c r="A2" s="4" t="s">
        <v>5</v>
      </c>
      <c r="B2" s="5" t="s">
        <v>50</v>
      </c>
      <c r="C2" s="5" t="s">
        <v>51</v>
      </c>
      <c r="D2" s="5" t="s">
        <v>52</v>
      </c>
      <c r="E2" s="5" t="s">
        <v>53</v>
      </c>
      <c r="F2" s="5" t="s">
        <v>54</v>
      </c>
      <c r="G2" s="6" t="s">
        <v>3</v>
      </c>
      <c r="H2" s="7" t="s">
        <v>4</v>
      </c>
    </row>
    <row r="3" spans="1:8" s="23" customFormat="1" ht="14.25" customHeight="1" x14ac:dyDescent="0.2">
      <c r="A3" s="22" t="s">
        <v>105</v>
      </c>
      <c r="B3" s="12">
        <v>38280</v>
      </c>
      <c r="C3" s="2">
        <v>34579</v>
      </c>
      <c r="D3" s="2">
        <v>9963</v>
      </c>
      <c r="E3" s="12">
        <v>24383</v>
      </c>
      <c r="F3" s="12">
        <v>113358</v>
      </c>
      <c r="G3" s="8">
        <f>SUM(SupremeCourtJusticeJudicialDistrict9General[[#This Row],[Dutchess County 
Vote Results]:[Westchester County 
Vote Results]])</f>
        <v>220563</v>
      </c>
      <c r="H3" s="21">
        <f>SUM(SupremeCourtJusticeJudicialDistrict9General[[#This Row],[Total Votes by Party]],G11)</f>
        <v>236990</v>
      </c>
    </row>
    <row r="4" spans="1:8" s="23" customFormat="1" ht="14.25" customHeight="1" x14ac:dyDescent="0.2">
      <c r="A4" s="22" t="s">
        <v>106</v>
      </c>
      <c r="B4" s="12">
        <v>39460</v>
      </c>
      <c r="C4" s="2">
        <v>35247</v>
      </c>
      <c r="D4" s="2">
        <v>10168</v>
      </c>
      <c r="E4" s="12">
        <v>25329</v>
      </c>
      <c r="F4" s="12">
        <v>115706</v>
      </c>
      <c r="G4" s="8">
        <f>SUM(SupremeCourtJusticeJudicialDistrict9General[[#This Row],[Dutchess County 
Vote Results]:[Westchester County 
Vote Results]])</f>
        <v>225910</v>
      </c>
      <c r="H4" s="21">
        <f>SUM(SupremeCourtJusticeJudicialDistrict9General[[#This Row],[Total Votes by Party]],G12)</f>
        <v>244820</v>
      </c>
    </row>
    <row r="5" spans="1:8" s="23" customFormat="1" ht="14.25" customHeight="1" x14ac:dyDescent="0.2">
      <c r="A5" s="22" t="s">
        <v>107</v>
      </c>
      <c r="B5" s="12">
        <v>38255</v>
      </c>
      <c r="C5" s="2">
        <v>34187</v>
      </c>
      <c r="D5" s="2">
        <v>9979</v>
      </c>
      <c r="E5" s="12">
        <v>24772</v>
      </c>
      <c r="F5" s="12">
        <v>112999</v>
      </c>
      <c r="G5" s="8">
        <f>SUM(SupremeCourtJusticeJudicialDistrict9General[[#This Row],[Dutchess County 
Vote Results]:[Westchester County 
Vote Results]])</f>
        <v>220192</v>
      </c>
      <c r="H5" s="21">
        <f>SUM(SupremeCourtJusticeJudicialDistrict9General[[#This Row],[Total Votes by Party]],G13)</f>
        <v>238559</v>
      </c>
    </row>
    <row r="6" spans="1:8" s="23" customFormat="1" ht="14.25" customHeight="1" x14ac:dyDescent="0.2">
      <c r="A6" s="22" t="s">
        <v>108</v>
      </c>
      <c r="B6" s="12">
        <v>38587</v>
      </c>
      <c r="C6" s="2">
        <v>34327</v>
      </c>
      <c r="D6" s="2">
        <v>10050</v>
      </c>
      <c r="E6" s="12">
        <v>24981</v>
      </c>
      <c r="F6" s="12">
        <v>113332</v>
      </c>
      <c r="G6" s="8">
        <f>SUM(SupremeCourtJusticeJudicialDistrict9General[[#This Row],[Dutchess County 
Vote Results]:[Westchester County 
Vote Results]])</f>
        <v>221277</v>
      </c>
      <c r="H6" s="21">
        <f>SUM(SupremeCourtJusticeJudicialDistrict9General[[#This Row],[Total Votes by Party]])</f>
        <v>221277</v>
      </c>
    </row>
    <row r="7" spans="1:8" s="23" customFormat="1" ht="14.25" customHeight="1" x14ac:dyDescent="0.2">
      <c r="A7" s="22" t="s">
        <v>109</v>
      </c>
      <c r="B7" s="12">
        <v>28357</v>
      </c>
      <c r="C7" s="2">
        <v>29175</v>
      </c>
      <c r="D7" s="2">
        <v>9375</v>
      </c>
      <c r="E7" s="12">
        <v>19941</v>
      </c>
      <c r="F7" s="12">
        <v>54695</v>
      </c>
      <c r="G7" s="8">
        <f>SUM(SupremeCourtJusticeJudicialDistrict9General[[#This Row],[Dutchess County 
Vote Results]:[Westchester County 
Vote Results]])</f>
        <v>141543</v>
      </c>
      <c r="H7" s="21">
        <f>SUM(SupremeCourtJusticeJudicialDistrict9General[[#This Row],[Total Votes by Party]])</f>
        <v>141543</v>
      </c>
    </row>
    <row r="8" spans="1:8" s="23" customFormat="1" ht="14.25" customHeight="1" x14ac:dyDescent="0.2">
      <c r="A8" s="22" t="s">
        <v>110</v>
      </c>
      <c r="B8" s="12">
        <v>26749</v>
      </c>
      <c r="C8" s="2">
        <v>27227</v>
      </c>
      <c r="D8" s="2">
        <v>8706</v>
      </c>
      <c r="E8" s="12">
        <v>18528</v>
      </c>
      <c r="F8" s="12">
        <v>51720</v>
      </c>
      <c r="G8" s="8">
        <f>SUM(SupremeCourtJusticeJudicialDistrict9General[[#This Row],[Dutchess County 
Vote Results]:[Westchester County 
Vote Results]])</f>
        <v>132930</v>
      </c>
      <c r="H8" s="21">
        <f>SUM(SupremeCourtJusticeJudicialDistrict9General[[#This Row],[Total Votes by Party]])</f>
        <v>132930</v>
      </c>
    </row>
    <row r="9" spans="1:8" s="23" customFormat="1" ht="14.25" customHeight="1" x14ac:dyDescent="0.2">
      <c r="A9" s="22" t="s">
        <v>111</v>
      </c>
      <c r="B9" s="12">
        <v>26964</v>
      </c>
      <c r="C9" s="2">
        <v>26820</v>
      </c>
      <c r="D9" s="2">
        <v>8769</v>
      </c>
      <c r="E9" s="12">
        <v>19087</v>
      </c>
      <c r="F9" s="12">
        <v>52286</v>
      </c>
      <c r="G9" s="8">
        <f>SUM(SupremeCourtJusticeJudicialDistrict9General[[#This Row],[Dutchess County 
Vote Results]:[Westchester County 
Vote Results]])</f>
        <v>133926</v>
      </c>
      <c r="H9" s="21">
        <f>SUM(SupremeCourtJusticeJudicialDistrict9General[[#This Row],[Total Votes by Party]])</f>
        <v>133926</v>
      </c>
    </row>
    <row r="10" spans="1:8" s="23" customFormat="1" ht="14.25" customHeight="1" x14ac:dyDescent="0.2">
      <c r="A10" s="24" t="s">
        <v>112</v>
      </c>
      <c r="B10" s="12">
        <v>26453</v>
      </c>
      <c r="C10" s="2">
        <v>25588</v>
      </c>
      <c r="D10" s="2">
        <v>8497</v>
      </c>
      <c r="E10" s="12">
        <v>18147</v>
      </c>
      <c r="F10" s="12">
        <v>51524</v>
      </c>
      <c r="G10" s="8">
        <f>SUM(SupremeCourtJusticeJudicialDistrict9General[[#This Row],[Dutchess County 
Vote Results]:[Westchester County 
Vote Results]])</f>
        <v>130209</v>
      </c>
      <c r="H10" s="21">
        <f>SUM(SupremeCourtJusticeJudicialDistrict9General[[#This Row],[Total Votes by Party]],G14)</f>
        <v>149336</v>
      </c>
    </row>
    <row r="11" spans="1:8" s="23" customFormat="1" ht="14.25" customHeight="1" x14ac:dyDescent="0.2">
      <c r="A11" s="22" t="s">
        <v>113</v>
      </c>
      <c r="B11" s="12">
        <v>3358</v>
      </c>
      <c r="C11" s="2">
        <v>3496</v>
      </c>
      <c r="D11" s="2">
        <v>1318</v>
      </c>
      <c r="E11" s="12">
        <v>2946</v>
      </c>
      <c r="F11" s="12">
        <v>5309</v>
      </c>
      <c r="G11" s="8">
        <f>SUM(SupremeCourtJusticeJudicialDistrict9General[[#This Row],[Dutchess County 
Vote Results]:[Westchester County 
Vote Results]])</f>
        <v>16427</v>
      </c>
      <c r="H11" s="10"/>
    </row>
    <row r="12" spans="1:8" s="23" customFormat="1" ht="14.25" customHeight="1" x14ac:dyDescent="0.2">
      <c r="A12" s="24" t="s">
        <v>114</v>
      </c>
      <c r="B12" s="12">
        <v>3895</v>
      </c>
      <c r="C12" s="2">
        <v>3895</v>
      </c>
      <c r="D12" s="2">
        <v>1559</v>
      </c>
      <c r="E12" s="12">
        <v>3463</v>
      </c>
      <c r="F12" s="12">
        <v>6098</v>
      </c>
      <c r="G12" s="8">
        <f>SUM(SupremeCourtJusticeJudicialDistrict9General[[#This Row],[Dutchess County 
Vote Results]:[Westchester County 
Vote Results]])</f>
        <v>18910</v>
      </c>
      <c r="H12" s="10"/>
    </row>
    <row r="13" spans="1:8" s="23" customFormat="1" ht="14.25" customHeight="1" x14ac:dyDescent="0.2">
      <c r="A13" s="22" t="s">
        <v>115</v>
      </c>
      <c r="B13" s="12">
        <v>3755</v>
      </c>
      <c r="C13" s="2">
        <v>3673</v>
      </c>
      <c r="D13" s="2">
        <v>1519</v>
      </c>
      <c r="E13" s="12">
        <v>3422</v>
      </c>
      <c r="F13" s="12">
        <v>5998</v>
      </c>
      <c r="G13" s="8">
        <f>SUM(SupremeCourtJusticeJudicialDistrict9General[[#This Row],[Dutchess County 
Vote Results]:[Westchester County 
Vote Results]])</f>
        <v>18367</v>
      </c>
      <c r="H13" s="10"/>
    </row>
    <row r="14" spans="1:8" s="23" customFormat="1" ht="14.25" customHeight="1" x14ac:dyDescent="0.2">
      <c r="A14" s="22" t="s">
        <v>116</v>
      </c>
      <c r="B14" s="12">
        <v>4374</v>
      </c>
      <c r="C14" s="2">
        <v>3964</v>
      </c>
      <c r="D14" s="2">
        <v>1624</v>
      </c>
      <c r="E14" s="12">
        <v>3518</v>
      </c>
      <c r="F14" s="12">
        <v>5647</v>
      </c>
      <c r="G14" s="8">
        <f>SUM(SupremeCourtJusticeJudicialDistrict9General[[#This Row],[Dutchess County 
Vote Results]:[Westchester County 
Vote Results]])</f>
        <v>19127</v>
      </c>
      <c r="H14" s="10"/>
    </row>
    <row r="15" spans="1:8" s="23" customFormat="1" ht="14.25" customHeight="1" x14ac:dyDescent="0.2">
      <c r="A15" s="24" t="s">
        <v>0</v>
      </c>
      <c r="B15" s="12">
        <v>24953</v>
      </c>
      <c r="C15" s="2">
        <v>40954</v>
      </c>
      <c r="D15" s="2">
        <v>7694</v>
      </c>
      <c r="E15" s="12">
        <v>23077</v>
      </c>
      <c r="F15" s="12">
        <v>72814</v>
      </c>
      <c r="G15" s="8">
        <f>SUM(SupremeCourtJusticeJudicialDistrict9General[[#This Row],[Dutchess County 
Vote Results]:[Westchester County 
Vote Results]])</f>
        <v>169492</v>
      </c>
      <c r="H15" s="10"/>
    </row>
    <row r="16" spans="1:8" s="23" customFormat="1" ht="14.25" customHeight="1" x14ac:dyDescent="0.2">
      <c r="A16" s="24" t="s">
        <v>1</v>
      </c>
      <c r="B16" s="12">
        <v>184</v>
      </c>
      <c r="C16" s="2">
        <v>299</v>
      </c>
      <c r="D16" s="2">
        <v>60</v>
      </c>
      <c r="E16" s="12">
        <v>288</v>
      </c>
      <c r="F16" s="12"/>
      <c r="G16" s="8">
        <f>SUM(SupremeCourtJusticeJudicialDistrict9General[[#This Row],[Dutchess County 
Vote Results]:[Westchester County 
Vote Results]])</f>
        <v>831</v>
      </c>
      <c r="H16" s="10"/>
    </row>
    <row r="17" spans="1:8" s="23" customFormat="1" ht="14.25" customHeight="1" x14ac:dyDescent="0.2">
      <c r="A17" s="24" t="s">
        <v>6</v>
      </c>
      <c r="B17" s="12">
        <v>88</v>
      </c>
      <c r="C17" s="2">
        <v>101</v>
      </c>
      <c r="D17" s="2">
        <v>43</v>
      </c>
      <c r="E17" s="12">
        <v>202</v>
      </c>
      <c r="F17" s="12">
        <v>206</v>
      </c>
      <c r="G17" s="8">
        <f>SUM(SupremeCourtJusticeJudicialDistrict9General[[#This Row],[Dutchess County 
Vote Results]:[Westchester County 
Vote Results]])</f>
        <v>640</v>
      </c>
      <c r="H17" s="10"/>
    </row>
    <row r="18" spans="1:8" s="23" customFormat="1" ht="14.25" customHeight="1" x14ac:dyDescent="0.2">
      <c r="A18" s="25" t="s">
        <v>2</v>
      </c>
      <c r="B18" s="12">
        <f>SUM(SupremeCourtJusticeJudicialDistrict9General[Dutchess County 
Vote Results])</f>
        <v>303712</v>
      </c>
      <c r="C18" s="2">
        <f>SUM(SupremeCourtJusticeJudicialDistrict9General[Orange County 
Vote Results])</f>
        <v>303532</v>
      </c>
      <c r="D18" s="2">
        <f>SUM(SupremeCourtJusticeJudicialDistrict9General[Putnam County 
Vote Results])</f>
        <v>89324</v>
      </c>
      <c r="E18" s="12">
        <f>SUM(SupremeCourtJusticeJudicialDistrict9General[Rockland County 
Vote Results])</f>
        <v>212084</v>
      </c>
      <c r="F18" s="2">
        <f>SUM(SupremeCourtJusticeJudicialDistrict9General[Westchester County 
Vote Results])</f>
        <v>761692</v>
      </c>
      <c r="G18" s="8">
        <f>SUM(SupremeCourtJusticeJudicialDistrict9General[Total Votes by Party])</f>
        <v>1670344</v>
      </c>
      <c r="H18" s="10"/>
    </row>
    <row r="19" spans="1:8" x14ac:dyDescent="0.2">
      <c r="H19" s="39"/>
    </row>
  </sheetData>
  <sheetProtection algorithmName="SHA-512" hashValue="qghCcK5KViVtYPI5qoqq+fxnLkv0f2C4UUqbxL4M+brCg5/Uhoh6is1iQGb90kIwKV0VNxXi86Cy0DCQlZTxuQ==" saltValue="v+uCQOu/9j9ogCSlwG6nCg==" spinCount="100000" sheet="1" objects="1" scenarios="1" selectLockedCells="1" selectUnlockedCells="1"/>
  <mergeCells count="1">
    <mergeCell ref="A1:D1"/>
  </mergeCells>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DE47-0CF6-4DB4-B51C-96037B053BC1}">
  <sheetPr>
    <pageSetUpPr fitToPage="1"/>
  </sheetPr>
  <dimension ref="A1:E34"/>
  <sheetViews>
    <sheetView zoomScaleNormal="100" zoomScaleSheetLayoutView="90" workbookViewId="0">
      <selection activeCell="B28" sqref="B28"/>
    </sheetView>
  </sheetViews>
  <sheetFormatPr defaultRowHeight="12.75" x14ac:dyDescent="0.2"/>
  <cols>
    <col min="1" max="1" width="25.5703125" customWidth="1"/>
    <col min="2" max="5" width="20.5703125" customWidth="1"/>
    <col min="6" max="7" width="23.5703125" customWidth="1"/>
  </cols>
  <sheetData>
    <row r="1" spans="1:5" ht="39" customHeight="1" x14ac:dyDescent="0.2">
      <c r="A1" s="63" t="s">
        <v>64</v>
      </c>
      <c r="B1" s="63"/>
      <c r="C1" s="63"/>
      <c r="D1" s="63"/>
    </row>
    <row r="2" spans="1:5" ht="28.5" customHeight="1" x14ac:dyDescent="0.2">
      <c r="A2" s="4" t="s">
        <v>5</v>
      </c>
      <c r="B2" s="5" t="s">
        <v>55</v>
      </c>
      <c r="C2" s="5" t="s">
        <v>56</v>
      </c>
      <c r="D2" s="6" t="s">
        <v>3</v>
      </c>
      <c r="E2" s="7" t="s">
        <v>4</v>
      </c>
    </row>
    <row r="3" spans="1:5" s="23" customFormat="1" ht="14.25" customHeight="1" x14ac:dyDescent="0.2">
      <c r="A3" s="22" t="s">
        <v>117</v>
      </c>
      <c r="B3" s="12">
        <v>129754</v>
      </c>
      <c r="C3" s="12">
        <v>106879</v>
      </c>
      <c r="D3" s="8">
        <f>SUM(SupremeCourtJusticeJudicialDistrict10General[[#This Row],[Nassau County 
Vote Results]:[Suffolk County 
Vote Results]])</f>
        <v>236633</v>
      </c>
      <c r="E3" s="21">
        <f>SUM(SupremeCourtJusticeJudicialDistrict10General[[#This Row],[Total Votes by Party]],D11,D19)</f>
        <v>498632</v>
      </c>
    </row>
    <row r="4" spans="1:5" s="23" customFormat="1" ht="14.25" customHeight="1" x14ac:dyDescent="0.2">
      <c r="A4" s="22" t="s">
        <v>118</v>
      </c>
      <c r="B4" s="12">
        <v>127250</v>
      </c>
      <c r="C4" s="12">
        <v>105858</v>
      </c>
      <c r="D4" s="8">
        <f>SUM(SupremeCourtJusticeJudicialDistrict10General[[#This Row],[Nassau County 
Vote Results]:[Suffolk County 
Vote Results]])</f>
        <v>233108</v>
      </c>
      <c r="E4" s="21">
        <f>SUM(SupremeCourtJusticeJudicialDistrict10General[[#This Row],[Total Votes by Party]],D12)</f>
        <v>446601</v>
      </c>
    </row>
    <row r="5" spans="1:5" s="23" customFormat="1" ht="14.25" customHeight="1" x14ac:dyDescent="0.2">
      <c r="A5" s="22" t="s">
        <v>119</v>
      </c>
      <c r="B5" s="12">
        <v>129044</v>
      </c>
      <c r="C5" s="12">
        <v>106428</v>
      </c>
      <c r="D5" s="8">
        <f>SUM(SupremeCourtJusticeJudicialDistrict10General[[#This Row],[Nassau County 
Vote Results]:[Suffolk County 
Vote Results]])</f>
        <v>235472</v>
      </c>
      <c r="E5" s="21">
        <f>SUM(SupremeCourtJusticeJudicialDistrict10General[[#This Row],[Total Votes by Party]],D13,D20)</f>
        <v>494937</v>
      </c>
    </row>
    <row r="6" spans="1:5" s="23" customFormat="1" ht="14.25" customHeight="1" x14ac:dyDescent="0.2">
      <c r="A6" s="22" t="s">
        <v>120</v>
      </c>
      <c r="B6" s="12">
        <v>126444</v>
      </c>
      <c r="C6" s="12">
        <v>103295</v>
      </c>
      <c r="D6" s="8">
        <f>SUM(SupremeCourtJusticeJudicialDistrict10General[[#This Row],[Nassau County 
Vote Results]:[Suffolk County 
Vote Results]])</f>
        <v>229739</v>
      </c>
      <c r="E6" s="21">
        <f>SUM(SupremeCourtJusticeJudicialDistrict10General[[#This Row],[Total Votes by Party]],D14,D21)</f>
        <v>488599</v>
      </c>
    </row>
    <row r="7" spans="1:5" s="23" customFormat="1" ht="14.25" customHeight="1" x14ac:dyDescent="0.2">
      <c r="A7" s="22" t="s">
        <v>121</v>
      </c>
      <c r="B7" s="12">
        <v>126135</v>
      </c>
      <c r="C7" s="12">
        <v>102976</v>
      </c>
      <c r="D7" s="8">
        <f>SUM(SupremeCourtJusticeJudicialDistrict10General[[#This Row],[Nassau County 
Vote Results]:[Suffolk County 
Vote Results]])</f>
        <v>229111</v>
      </c>
      <c r="E7" s="21">
        <f>SUM(SupremeCourtJusticeJudicialDistrict10General[[#This Row],[Total Votes by Party]],D15,D22)</f>
        <v>484670</v>
      </c>
    </row>
    <row r="8" spans="1:5" s="23" customFormat="1" ht="14.25" customHeight="1" x14ac:dyDescent="0.2">
      <c r="A8" s="22" t="s">
        <v>122</v>
      </c>
      <c r="B8" s="12">
        <v>126743</v>
      </c>
      <c r="C8" s="12">
        <v>103495</v>
      </c>
      <c r="D8" s="8">
        <f>SUM(SupremeCourtJusticeJudicialDistrict10General[[#This Row],[Nassau County 
Vote Results]:[Suffolk County 
Vote Results]])</f>
        <v>230238</v>
      </c>
      <c r="E8" s="21">
        <f>SUM(SupremeCourtJusticeJudicialDistrict10General[[#This Row],[Total Votes by Party]],D16,D23)</f>
        <v>488280</v>
      </c>
    </row>
    <row r="9" spans="1:5" s="23" customFormat="1" ht="14.25" customHeight="1" x14ac:dyDescent="0.2">
      <c r="A9" s="22" t="s">
        <v>123</v>
      </c>
      <c r="B9" s="12">
        <v>125729</v>
      </c>
      <c r="C9" s="12">
        <v>102551</v>
      </c>
      <c r="D9" s="8">
        <f>SUM(SupremeCourtJusticeJudicialDistrict10General[[#This Row],[Nassau County 
Vote Results]:[Suffolk County 
Vote Results]])</f>
        <v>228280</v>
      </c>
      <c r="E9" s="21">
        <f>SUM(SupremeCourtJusticeJudicialDistrict10General[[#This Row],[Total Votes by Party]],D17,D24)</f>
        <v>484288</v>
      </c>
    </row>
    <row r="10" spans="1:5" s="23" customFormat="1" ht="14.25" customHeight="1" x14ac:dyDescent="0.2">
      <c r="A10" s="22" t="s">
        <v>124</v>
      </c>
      <c r="B10" s="12">
        <v>126191</v>
      </c>
      <c r="C10" s="12">
        <v>103621</v>
      </c>
      <c r="D10" s="8">
        <f>SUM(SupremeCourtJusticeJudicialDistrict10General[[#This Row],[Nassau County 
Vote Results]:[Suffolk County 
Vote Results]])</f>
        <v>229812</v>
      </c>
      <c r="E10" s="21">
        <f>SUM(SupremeCourtJusticeJudicialDistrict10General[[#This Row],[Total Votes by Party]],D18,D25)</f>
        <v>481303</v>
      </c>
    </row>
    <row r="11" spans="1:5" s="23" customFormat="1" ht="14.25" customHeight="1" x14ac:dyDescent="0.2">
      <c r="A11" s="22" t="s">
        <v>125</v>
      </c>
      <c r="B11" s="12">
        <v>138244</v>
      </c>
      <c r="C11" s="12">
        <v>82925</v>
      </c>
      <c r="D11" s="8">
        <f>SUM(SupremeCourtJusticeJudicialDistrict10General[[#This Row],[Nassau County 
Vote Results]:[Suffolk County 
Vote Results]])</f>
        <v>221169</v>
      </c>
      <c r="E11" s="10"/>
    </row>
    <row r="12" spans="1:5" s="23" customFormat="1" ht="14.25" customHeight="1" x14ac:dyDescent="0.2">
      <c r="A12" s="22" t="s">
        <v>126</v>
      </c>
      <c r="B12" s="12">
        <v>135193</v>
      </c>
      <c r="C12" s="12">
        <v>78300</v>
      </c>
      <c r="D12" s="8">
        <f>SUM(SupremeCourtJusticeJudicialDistrict10General[[#This Row],[Nassau County 
Vote Results]:[Suffolk County 
Vote Results]])</f>
        <v>213493</v>
      </c>
      <c r="E12" s="10"/>
    </row>
    <row r="13" spans="1:5" s="23" customFormat="1" ht="14.25" customHeight="1" x14ac:dyDescent="0.2">
      <c r="A13" s="22" t="s">
        <v>127</v>
      </c>
      <c r="B13" s="12">
        <v>136871</v>
      </c>
      <c r="C13" s="12">
        <v>80695</v>
      </c>
      <c r="D13" s="8">
        <f>SUM(SupremeCourtJusticeJudicialDistrict10General[[#This Row],[Nassau County 
Vote Results]:[Suffolk County 
Vote Results]])</f>
        <v>217566</v>
      </c>
      <c r="E13" s="10"/>
    </row>
    <row r="14" spans="1:5" s="23" customFormat="1" ht="14.25" customHeight="1" x14ac:dyDescent="0.2">
      <c r="A14" s="22" t="s">
        <v>128</v>
      </c>
      <c r="B14" s="12">
        <v>136797</v>
      </c>
      <c r="C14" s="12">
        <v>80668</v>
      </c>
      <c r="D14" s="8">
        <f>SUM(SupremeCourtJusticeJudicialDistrict10General[[#This Row],[Nassau County 
Vote Results]:[Suffolk County 
Vote Results]])</f>
        <v>217465</v>
      </c>
      <c r="E14" s="10"/>
    </row>
    <row r="15" spans="1:5" s="23" customFormat="1" ht="14.25" customHeight="1" x14ac:dyDescent="0.2">
      <c r="A15" s="22" t="s">
        <v>129</v>
      </c>
      <c r="B15" s="12">
        <v>135169</v>
      </c>
      <c r="C15" s="12">
        <v>79545</v>
      </c>
      <c r="D15" s="8">
        <f>SUM(SupremeCourtJusticeJudicialDistrict10General[[#This Row],[Nassau County 
Vote Results]:[Suffolk County 
Vote Results]])</f>
        <v>214714</v>
      </c>
      <c r="E15" s="10"/>
    </row>
    <row r="16" spans="1:5" s="23" customFormat="1" ht="14.25" customHeight="1" x14ac:dyDescent="0.2">
      <c r="A16" s="22" t="s">
        <v>130</v>
      </c>
      <c r="B16" s="12">
        <v>136280</v>
      </c>
      <c r="C16" s="12">
        <v>80433</v>
      </c>
      <c r="D16" s="8">
        <f>SUM(SupremeCourtJusticeJudicialDistrict10General[[#This Row],[Nassau County 
Vote Results]:[Suffolk County 
Vote Results]])</f>
        <v>216713</v>
      </c>
      <c r="E16" s="10"/>
    </row>
    <row r="17" spans="1:5" s="23" customFormat="1" ht="14.25" customHeight="1" x14ac:dyDescent="0.2">
      <c r="A17" s="22" t="s">
        <v>131</v>
      </c>
      <c r="B17" s="12">
        <v>135256</v>
      </c>
      <c r="C17" s="12">
        <v>79768</v>
      </c>
      <c r="D17" s="8">
        <f>SUM(SupremeCourtJusticeJudicialDistrict10General[[#This Row],[Nassau County 
Vote Results]:[Suffolk County 
Vote Results]])</f>
        <v>215024</v>
      </c>
      <c r="E17" s="10"/>
    </row>
    <row r="18" spans="1:5" s="23" customFormat="1" ht="14.25" customHeight="1" x14ac:dyDescent="0.2">
      <c r="A18" s="22" t="s">
        <v>132</v>
      </c>
      <c r="B18" s="12">
        <v>133376</v>
      </c>
      <c r="C18" s="12">
        <v>77980</v>
      </c>
      <c r="D18" s="8">
        <f>SUM(SupremeCourtJusticeJudicialDistrict10General[[#This Row],[Nassau County 
Vote Results]:[Suffolk County 
Vote Results]])</f>
        <v>211356</v>
      </c>
      <c r="E18" s="10"/>
    </row>
    <row r="19" spans="1:5" s="23" customFormat="1" ht="14.25" customHeight="1" x14ac:dyDescent="0.2">
      <c r="A19" s="22" t="s">
        <v>133</v>
      </c>
      <c r="B19" s="12">
        <v>15786</v>
      </c>
      <c r="C19" s="12">
        <v>25044</v>
      </c>
      <c r="D19" s="8">
        <f>SUM(SupremeCourtJusticeJudicialDistrict10General[[#This Row],[Nassau County 
Vote Results]:[Suffolk County 
Vote Results]])</f>
        <v>40830</v>
      </c>
      <c r="E19" s="10"/>
    </row>
    <row r="20" spans="1:5" s="23" customFormat="1" ht="14.25" customHeight="1" x14ac:dyDescent="0.2">
      <c r="A20" s="22" t="s">
        <v>134</v>
      </c>
      <c r="B20" s="12">
        <v>16496</v>
      </c>
      <c r="C20" s="12">
        <v>25403</v>
      </c>
      <c r="D20" s="8">
        <f>SUM(SupremeCourtJusticeJudicialDistrict10General[[#This Row],[Nassau County 
Vote Results]:[Suffolk County 
Vote Results]])</f>
        <v>41899</v>
      </c>
      <c r="E20" s="10"/>
    </row>
    <row r="21" spans="1:5" s="23" customFormat="1" ht="14.25" customHeight="1" x14ac:dyDescent="0.2">
      <c r="A21" s="22" t="s">
        <v>135</v>
      </c>
      <c r="B21" s="12">
        <v>16204</v>
      </c>
      <c r="C21" s="12">
        <v>25191</v>
      </c>
      <c r="D21" s="8">
        <f>SUM(SupremeCourtJusticeJudicialDistrict10General[[#This Row],[Nassau County 
Vote Results]:[Suffolk County 
Vote Results]])</f>
        <v>41395</v>
      </c>
      <c r="E21" s="10"/>
    </row>
    <row r="22" spans="1:5" s="23" customFormat="1" ht="14.25" customHeight="1" x14ac:dyDescent="0.2">
      <c r="A22" s="22" t="s">
        <v>137</v>
      </c>
      <c r="B22" s="12">
        <v>16007</v>
      </c>
      <c r="C22" s="12">
        <v>24838</v>
      </c>
      <c r="D22" s="8">
        <f>SUM(SupremeCourtJusticeJudicialDistrict10General[[#This Row],[Nassau County 
Vote Results]:[Suffolk County 
Vote Results]])</f>
        <v>40845</v>
      </c>
      <c r="E22" s="10"/>
    </row>
    <row r="23" spans="1:5" s="23" customFormat="1" ht="14.25" customHeight="1" x14ac:dyDescent="0.2">
      <c r="A23" s="22" t="s">
        <v>136</v>
      </c>
      <c r="B23" s="12">
        <v>16199</v>
      </c>
      <c r="C23" s="12">
        <v>25130</v>
      </c>
      <c r="D23" s="8">
        <f>SUM(SupremeCourtJusticeJudicialDistrict10General[[#This Row],[Nassau County 
Vote Results]:[Suffolk County 
Vote Results]])</f>
        <v>41329</v>
      </c>
      <c r="E23" s="10"/>
    </row>
    <row r="24" spans="1:5" s="23" customFormat="1" ht="14.25" customHeight="1" x14ac:dyDescent="0.2">
      <c r="A24" s="22" t="s">
        <v>138</v>
      </c>
      <c r="B24" s="12">
        <v>16072</v>
      </c>
      <c r="C24" s="12">
        <v>24912</v>
      </c>
      <c r="D24" s="8">
        <f>SUM(SupremeCourtJusticeJudicialDistrict10General[[#This Row],[Nassau County 
Vote Results]:[Suffolk County 
Vote Results]])</f>
        <v>40984</v>
      </c>
      <c r="E24" s="10"/>
    </row>
    <row r="25" spans="1:5" s="23" customFormat="1" ht="14.25" customHeight="1" x14ac:dyDescent="0.2">
      <c r="A25" s="22" t="s">
        <v>139</v>
      </c>
      <c r="B25" s="12">
        <v>15671</v>
      </c>
      <c r="C25" s="12">
        <v>24464</v>
      </c>
      <c r="D25" s="8">
        <f>SUM(SupremeCourtJusticeJudicialDistrict10General[[#This Row],[Nassau County 
Vote Results]:[Suffolk County 
Vote Results]])</f>
        <v>40135</v>
      </c>
      <c r="E25" s="10"/>
    </row>
    <row r="26" spans="1:5" s="23" customFormat="1" ht="14.25" customHeight="1" x14ac:dyDescent="0.2">
      <c r="A26" s="44" t="s">
        <v>140</v>
      </c>
      <c r="B26" s="12">
        <v>20453</v>
      </c>
      <c r="C26" s="12">
        <v>32713</v>
      </c>
      <c r="D26" s="8">
        <f>SUM(SupremeCourtJusticeJudicialDistrict10General[[#This Row],[Nassau County 
Vote Results]:[Suffolk County 
Vote Results]])</f>
        <v>53166</v>
      </c>
      <c r="E26" s="21">
        <f>SUM(SupremeCourtJusticeJudicialDistrict10General[[#This Row],[Total Votes by Party]])</f>
        <v>53166</v>
      </c>
    </row>
    <row r="27" spans="1:5" s="23" customFormat="1" ht="14.25" customHeight="1" x14ac:dyDescent="0.2">
      <c r="A27" s="24" t="s">
        <v>0</v>
      </c>
      <c r="B27" s="12">
        <v>288362</v>
      </c>
      <c r="C27" s="12">
        <v>267389</v>
      </c>
      <c r="D27" s="8">
        <f>SUM(SupremeCourtJusticeJudicialDistrict10General[[#This Row],[Nassau County 
Vote Results]:[Suffolk County 
Vote Results]])</f>
        <v>555751</v>
      </c>
      <c r="E27" s="10"/>
    </row>
    <row r="28" spans="1:5" s="23" customFormat="1" ht="14.25" customHeight="1" x14ac:dyDescent="0.2">
      <c r="A28" s="24" t="s">
        <v>1</v>
      </c>
      <c r="B28" s="12">
        <v>1520</v>
      </c>
      <c r="C28" s="12">
        <v>1128</v>
      </c>
      <c r="D28" s="8">
        <f>SUM(SupremeCourtJusticeJudicialDistrict10General[[#This Row],[Nassau County 
Vote Results]:[Suffolk County 
Vote Results]])</f>
        <v>2648</v>
      </c>
      <c r="E28" s="10"/>
    </row>
    <row r="29" spans="1:5" s="23" customFormat="1" ht="14.25" customHeight="1" x14ac:dyDescent="0.2">
      <c r="A29" s="24" t="s">
        <v>6</v>
      </c>
      <c r="B29" s="12">
        <v>3194</v>
      </c>
      <c r="C29" s="12">
        <v>2755</v>
      </c>
      <c r="D29" s="8">
        <f>SUM(SupremeCourtJusticeJudicialDistrict10General[[#This Row],[Nassau County 
Vote Results]:[Suffolk County 
Vote Results]])</f>
        <v>5949</v>
      </c>
      <c r="E29" s="10"/>
    </row>
    <row r="30" spans="1:5" s="23" customFormat="1" ht="14.25" customHeight="1" x14ac:dyDescent="0.2">
      <c r="A30" s="25" t="s">
        <v>2</v>
      </c>
      <c r="B30" s="12">
        <f>SUM(SupremeCourtJusticeJudicialDistrict10General[Nassau County 
Vote Results])</f>
        <v>2530440</v>
      </c>
      <c r="C30" s="12">
        <f>SUM(SupremeCourtJusticeJudicialDistrict10General[Suffolk County 
Vote Results])</f>
        <v>1954384</v>
      </c>
      <c r="D30" s="8">
        <f>SUM(SupremeCourtJusticeJudicialDistrict10General[Total Votes by Party])</f>
        <v>4484824</v>
      </c>
      <c r="E30" s="10"/>
    </row>
    <row r="31" spans="1:5" x14ac:dyDescent="0.2">
      <c r="B31" s="16"/>
    </row>
    <row r="32" spans="1:5" x14ac:dyDescent="0.2">
      <c r="B32" s="16"/>
    </row>
    <row r="33" spans="2:2" x14ac:dyDescent="0.2">
      <c r="B33" s="16"/>
    </row>
    <row r="34" spans="2:2" x14ac:dyDescent="0.2">
      <c r="B34" s="16"/>
    </row>
  </sheetData>
  <sheetProtection algorithmName="SHA-512" hashValue="l9E0n7dtXng1MHoju1BWoHmxzkgRzQEXeuUgFI+mF+91OCAo1eLxXROTjbkC2FmZmnLqILUul17kfAWhzd/ezg==" saltValue="JJUKcGh4ywZ5uetQ7Np1nw==" spinCount="100000" sheet="1" objects="1" scenarios="1" selectLockedCells="1" selectUnlockedCells="1"/>
  <mergeCells count="1">
    <mergeCell ref="A1:D1"/>
  </mergeCells>
  <pageMargins left="0.25" right="0.25" top="0.25" bottom="0.25" header="0.25" footer="0.25"/>
  <pageSetup paperSize="5" fitToHeight="0" orientation="landscape" r:id="rId1"/>
  <headerFooter alignWithMargins="0">
    <oddFooter>&amp;RPage &amp;P of &amp;N</oddFooter>
  </headerFooter>
  <ignoredErrors>
    <ignoredError sqref="E4" formula="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1st JD</vt:lpstr>
      <vt:lpstr>2nd JD</vt:lpstr>
      <vt:lpstr>3rd JD</vt:lpstr>
      <vt:lpstr>4th JD</vt:lpstr>
      <vt:lpstr>5th JD</vt:lpstr>
      <vt:lpstr>7th JD</vt:lpstr>
      <vt:lpstr>8th JD</vt:lpstr>
      <vt:lpstr>9th JD</vt:lpstr>
      <vt:lpstr>10th JD</vt:lpstr>
      <vt:lpstr>11th JD</vt:lpstr>
      <vt:lpstr>13th JD</vt:lpstr>
      <vt:lpstr>Proposition 1</vt:lpstr>
      <vt:lpstr>115th AD</vt:lpstr>
      <vt:lpstr>'1st JD'!Print_Area</vt:lpstr>
      <vt:lpstr>'2nd JD'!Print_Area</vt:lpstr>
      <vt:lpstr>'3rd JD'!Print_Area</vt:lpstr>
      <vt:lpstr>'4th JD'!Print_Area</vt:lpstr>
      <vt:lpstr>'5th JD'!Print_Area</vt:lpstr>
      <vt:lpstr>'Proposition 1'!Print_Area</vt:lpstr>
      <vt:lpstr>'Proposition 1'!Print_Titles</vt:lpstr>
    </vt:vector>
  </TitlesOfParts>
  <Manager/>
  <Company>NYSBOE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pjorczak</dc:creator>
  <cp:keywords/>
  <dc:description/>
  <cp:lastModifiedBy>McGrath, Kathleen (ELECTIONS)</cp:lastModifiedBy>
  <cp:revision/>
  <cp:lastPrinted>2020-12-03T13:26:25Z</cp:lastPrinted>
  <dcterms:created xsi:type="dcterms:W3CDTF">2008-10-28T18:22:21Z</dcterms:created>
  <dcterms:modified xsi:type="dcterms:W3CDTF">2025-12-11T15:35:04Z</dcterms:modified>
  <cp:category/>
  <cp:contentStatus/>
</cp:coreProperties>
</file>