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KMcGrath\Documents\"/>
    </mc:Choice>
  </mc:AlternateContent>
  <xr:revisionPtr revIDLastSave="0" documentId="8_{942A3296-AEAA-48B7-963E-92D2529BBEFE}" xr6:coauthVersionLast="47" xr6:coauthVersionMax="47" xr10:uidLastSave="{00000000-0000-0000-0000-000000000000}"/>
  <bookViews>
    <workbookView xWindow="5940" yWindow="345" windowWidth="15300" windowHeight="10080" firstSheet="22" activeTab="24" xr2:uid="{00000000-000D-0000-FFFF-FFFF00000000}"/>
  </bookViews>
  <sheets>
    <sheet name="Comptroller DEM" sheetId="1" r:id="rId1"/>
    <sheet name="1st CD DEM" sheetId="111" r:id="rId2"/>
    <sheet name="3rd CD DEM" sheetId="3" r:id="rId3"/>
    <sheet name="3rd CD REP" sheetId="4" r:id="rId4"/>
    <sheet name="4th CD REP" sheetId="43" r:id="rId5"/>
    <sheet name="6th CD DEM" sheetId="44" r:id="rId6"/>
    <sheet name="7th CD DEM" sheetId="45" r:id="rId7"/>
    <sheet name="9th CD DEM" sheetId="46" r:id="rId8"/>
    <sheet name="10th CD DEM" sheetId="47" r:id="rId9"/>
    <sheet name="11th CD DEM" sheetId="48" r:id="rId10"/>
    <sheet name="12th CD DEM" sheetId="49" r:id="rId11"/>
    <sheet name="13th CD DEM" sheetId="50" r:id="rId12"/>
    <sheet name="14th CD DEM" sheetId="51" r:id="rId13"/>
    <sheet name="15th CD DEM" sheetId="52" r:id="rId14"/>
    <sheet name="17th CD DEM" sheetId="5" r:id="rId15"/>
    <sheet name="19th CD REP" sheetId="6" r:id="rId16"/>
    <sheet name="21st CD DEM" sheetId="7" r:id="rId17"/>
    <sheet name="21st CD REP" sheetId="8" r:id="rId18"/>
    <sheet name="23rd CD DEM" sheetId="9" r:id="rId19"/>
    <sheet name="24th CD DEM" sheetId="10" r:id="rId20"/>
    <sheet name="25th CD DEM" sheetId="11" r:id="rId21"/>
    <sheet name="12th SD DEM" sheetId="53" r:id="rId22"/>
    <sheet name="13th SD DEM" sheetId="54" r:id="rId23"/>
    <sheet name="15th SD DEM" sheetId="56" r:id="rId24"/>
    <sheet name="22nd SD REP" sheetId="57" r:id="rId25"/>
    <sheet name="23rd SD DEM" sheetId="58" r:id="rId26"/>
    <sheet name="25th SD DEM" sheetId="59" r:id="rId27"/>
    <sheet name="27th SD DEM" sheetId="60" r:id="rId28"/>
    <sheet name="29th SD DEM" sheetId="61" r:id="rId29"/>
    <sheet name="31st SD DEM" sheetId="62" r:id="rId30"/>
    <sheet name="38th SD WOR" sheetId="136" r:id="rId31"/>
    <sheet name="39th SD DEM" sheetId="12" r:id="rId32"/>
    <sheet name="42nd SD CON" sheetId="139" r:id="rId33"/>
    <sheet name="44th SD DEM" sheetId="13" r:id="rId34"/>
    <sheet name="51st SD REP" sheetId="14" r:id="rId35"/>
    <sheet name="54th SD DEM" sheetId="16" r:id="rId36"/>
    <sheet name="61st SD DEM " sheetId="28" r:id="rId37"/>
    <sheet name="23rd AD DEM" sheetId="93" r:id="rId38"/>
    <sheet name="26th AD REP" sheetId="92" r:id="rId39"/>
    <sheet name="28th AD DEM" sheetId="91" r:id="rId40"/>
    <sheet name="30th AD DEM" sheetId="90" r:id="rId41"/>
    <sheet name="32nd AD DEM" sheetId="89" r:id="rId42"/>
    <sheet name="33rd AD DEM" sheetId="88" r:id="rId43"/>
    <sheet name="34th AD DEM" sheetId="87" r:id="rId44"/>
    <sheet name="36th AD DEM" sheetId="86" r:id="rId45"/>
    <sheet name="37th AD DEM" sheetId="85" r:id="rId46"/>
    <sheet name="38th AD DEM" sheetId="84" r:id="rId47"/>
    <sheet name="39th AD DEM" sheetId="83" r:id="rId48"/>
    <sheet name="43rd AD DEM" sheetId="82" r:id="rId49"/>
    <sheet name="46th AD DEM" sheetId="81" r:id="rId50"/>
    <sheet name="50th AD DEM" sheetId="80" r:id="rId51"/>
    <sheet name="52nd AD DEM" sheetId="79" r:id="rId52"/>
    <sheet name="54th AD DEM" sheetId="94" r:id="rId53"/>
    <sheet name="56th AD DEM" sheetId="78" r:id="rId54"/>
    <sheet name="57th AD DEM" sheetId="77" r:id="rId55"/>
    <sheet name="59th AD DEM" sheetId="76" r:id="rId56"/>
    <sheet name="65th AD DEM" sheetId="75" r:id="rId57"/>
    <sheet name="66th AD DEM" sheetId="74" r:id="rId58"/>
    <sheet name="68th AD DEM" sheetId="73" r:id="rId59"/>
    <sheet name="69th AD DEM" sheetId="72" r:id="rId60"/>
    <sheet name="70th AD DEM" sheetId="71" r:id="rId61"/>
    <sheet name="71st AD DEM" sheetId="70" r:id="rId62"/>
    <sheet name="72nd AD DEM" sheetId="69" r:id="rId63"/>
    <sheet name="75th AD DEM" sheetId="68" r:id="rId64"/>
    <sheet name="81st AD DEM" sheetId="67" r:id="rId65"/>
    <sheet name="82nd AD DEM" sheetId="66" r:id="rId66"/>
    <sheet name="84th AD DEM" sheetId="65" r:id="rId67"/>
    <sheet name="86th AD REP" sheetId="64" r:id="rId68"/>
    <sheet name="87th AD DEM" sheetId="63" r:id="rId69"/>
    <sheet name="90th AD DEM" sheetId="29" r:id="rId70"/>
    <sheet name="96th AD DEM" sheetId="30" r:id="rId71"/>
    <sheet name="97th AD CON" sheetId="31" r:id="rId72"/>
    <sheet name="102nd AD DEM" sheetId="17" r:id="rId73"/>
    <sheet name="106th AD DEM" sheetId="20" r:id="rId74"/>
    <sheet name="118th AD REP" sheetId="21" r:id="rId75"/>
    <sheet name="119th AD DEM" sheetId="33" r:id="rId76"/>
    <sheet name="119th AD REP" sheetId="32" r:id="rId77"/>
    <sheet name="120th AD DEM" sheetId="41" r:id="rId78"/>
    <sheet name="123rd AD DEM" sheetId="34" r:id="rId79"/>
    <sheet name="129th AD DEM" sheetId="35" r:id="rId80"/>
    <sheet name="130th AD DEM" sheetId="22" r:id="rId81"/>
    <sheet name="130th AD REP" sheetId="42" r:id="rId82"/>
    <sheet name="137th AD DEM" sheetId="36" r:id="rId83"/>
    <sheet name="149th AD DEM" sheetId="37" r:id="rId84"/>
    <sheet name="1st JD 66th AD DEM" sheetId="126" r:id="rId85"/>
    <sheet name="1st Alt JD 66th AD DEM" sheetId="127" r:id="rId86"/>
    <sheet name="1st JD 68th AD DEM" sheetId="128" r:id="rId87"/>
    <sheet name="1st Alt JD 68th AD DEM" sheetId="129" r:id="rId88"/>
    <sheet name="1st JD 71st AD DEM" sheetId="131" r:id="rId89"/>
    <sheet name="1st JD 72nd AD DEM" sheetId="132" r:id="rId90"/>
    <sheet name="1st Alt JD 72nd AD DEM" sheetId="133" r:id="rId91"/>
    <sheet name="2nd JD 54th AD DEM" sheetId="122" r:id="rId92"/>
    <sheet name="2nd JD 57th AD DEM" sheetId="123" r:id="rId93"/>
    <sheet name="2nd JD 58th AD DEM" sheetId="125" r:id="rId94"/>
    <sheet name="2nd Alt JD 58th AD DEM" sheetId="124" r:id="rId95"/>
    <sheet name="5th JD 120th AD DEM" sheetId="113" r:id="rId96"/>
    <sheet name="5th Alt JD 120th AD DEM" sheetId="114" r:id="rId97"/>
    <sheet name="7th JD 137th AD DEM" sheetId="115" r:id="rId98"/>
    <sheet name="9th JD 99th AD CON" sheetId="116" r:id="rId99"/>
    <sheet name="9th Alt JD 99th AD CON" sheetId="117" r:id="rId100"/>
    <sheet name="11th JD 24th AD DEM" sheetId="112" r:id="rId101"/>
    <sheet name="11th JD 28th AD DEM" sheetId="118" r:id="rId102"/>
    <sheet name="11th JD 33rd AD DEM" sheetId="120" r:id="rId103"/>
    <sheet name="12th JD 81st AD DEM" sheetId="134" r:id="rId104"/>
    <sheet name="12th Alt JD 81st AD DEM " sheetId="135" r:id="rId105"/>
    <sheet name="State Comm 24th AD DEM" sheetId="95" r:id="rId106"/>
    <sheet name="State Comm 34th AD DEM" sheetId="96" r:id="rId107"/>
    <sheet name="State Comm 35th AD DEM" sheetId="97" r:id="rId108"/>
    <sheet name="State Comm 39th AD DEM" sheetId="98" r:id="rId109"/>
    <sheet name="State Comm 43rd AD DEM" sheetId="99" r:id="rId110"/>
    <sheet name="State Comm 54th AD DEM" sheetId="100" r:id="rId111"/>
    <sheet name="State Comm 56th AD DEM" sheetId="102" r:id="rId112"/>
    <sheet name="State Comm 57th AD DEM" sheetId="103" r:id="rId113"/>
    <sheet name="State Comm 58th AD DEM" sheetId="104" r:id="rId114"/>
    <sheet name="State Comm 59th AD DEM" sheetId="105" r:id="rId115"/>
    <sheet name="State Comm 65th AD DEM" sheetId="106" r:id="rId116"/>
    <sheet name="State Comm 68th AD DEM" sheetId="107" r:id="rId117"/>
    <sheet name="State Comm 71st AD DEM" sheetId="108" r:id="rId118"/>
    <sheet name="State Comm 72nd AD DEM" sheetId="109" r:id="rId119"/>
    <sheet name="State Comm 81st AD DEM" sheetId="110" r:id="rId120"/>
    <sheet name="State Comm 120th AD DEM" sheetId="38" r:id="rId121"/>
    <sheet name="State Comm Female 137th AD DEM" sheetId="39" r:id="rId122"/>
    <sheet name="State Comm  Male 137th AD DEM" sheetId="138" r:id="rId123"/>
  </sheets>
  <definedNames>
    <definedName name="_xlnm.Print_Area" localSheetId="1">'1st CD DEM'!$A$1:$E$8</definedName>
    <definedName name="_xlnm.Print_Area" localSheetId="0">'Comptroller DEM'!$A$1:$H$66</definedName>
    <definedName name="_xlnm.Print_Titles" localSheetId="0">'Comptroller DEM'!$A:$A,'Comptroller DEM'!$1:$2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54" l="1"/>
  <c r="B65" i="1"/>
  <c r="B66" i="1" s="1"/>
  <c r="E6" i="4"/>
  <c r="E7" i="4"/>
  <c r="E5" i="4"/>
  <c r="D6" i="85"/>
  <c r="D7" i="85"/>
  <c r="D8" i="85"/>
  <c r="C9" i="85"/>
  <c r="E5" i="3"/>
  <c r="E6" i="3"/>
  <c r="E7" i="3"/>
  <c r="M6" i="6"/>
  <c r="M7" i="6"/>
  <c r="M5" i="6"/>
  <c r="F8" i="5"/>
  <c r="F9" i="5"/>
  <c r="F10" i="5"/>
  <c r="K4" i="9"/>
  <c r="K5" i="9"/>
  <c r="K6" i="9"/>
  <c r="K7" i="9"/>
  <c r="K3" i="9"/>
  <c r="H57" i="1"/>
  <c r="P4" i="10"/>
  <c r="P5" i="10"/>
  <c r="P6" i="10"/>
  <c r="P7" i="10"/>
  <c r="P3" i="10"/>
  <c r="H16" i="1"/>
  <c r="H48" i="1"/>
  <c r="D4" i="139"/>
  <c r="C4" i="139"/>
  <c r="B8" i="139"/>
  <c r="C7" i="139"/>
  <c r="C6" i="139"/>
  <c r="C5" i="139"/>
  <c r="C3" i="139"/>
  <c r="C8" i="139" l="1"/>
  <c r="D3" i="139"/>
  <c r="E65" i="1"/>
  <c r="E66" i="1" s="1"/>
  <c r="F65" i="1"/>
  <c r="F66" i="1" s="1"/>
  <c r="G65" i="1"/>
  <c r="G66" i="1" s="1"/>
  <c r="H4" i="1"/>
  <c r="H5" i="1"/>
  <c r="H6" i="1"/>
  <c r="H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5" i="1"/>
  <c r="H56" i="1"/>
  <c r="H58" i="1"/>
  <c r="H59" i="1"/>
  <c r="H60" i="1"/>
  <c r="H61" i="1"/>
  <c r="H62" i="1"/>
  <c r="H63" i="1"/>
  <c r="H64" i="1"/>
  <c r="H3" i="1"/>
  <c r="D5" i="38"/>
  <c r="D6" i="38"/>
  <c r="C4" i="38"/>
  <c r="D4" i="38" s="1"/>
  <c r="C5" i="38"/>
  <c r="C6" i="38"/>
  <c r="C7" i="38"/>
  <c r="C8" i="38"/>
  <c r="C9" i="38"/>
  <c r="C3" i="38"/>
  <c r="D4" i="115"/>
  <c r="E6" i="114"/>
  <c r="D4" i="114"/>
  <c r="E4" i="114" s="1"/>
  <c r="D5" i="114"/>
  <c r="E5" i="114" s="1"/>
  <c r="D6" i="114"/>
  <c r="D7" i="114"/>
  <c r="E7" i="114" s="1"/>
  <c r="D8" i="114"/>
  <c r="E8" i="114" s="1"/>
  <c r="D9" i="114"/>
  <c r="E9" i="114" s="1"/>
  <c r="D10" i="114"/>
  <c r="E10" i="114" s="1"/>
  <c r="D11" i="114"/>
  <c r="E11" i="114" s="1"/>
  <c r="D12" i="114"/>
  <c r="E12" i="114" s="1"/>
  <c r="D13" i="114"/>
  <c r="E13" i="114" s="1"/>
  <c r="D14" i="114"/>
  <c r="E14" i="114" s="1"/>
  <c r="D15" i="114"/>
  <c r="D16" i="114"/>
  <c r="D17" i="114"/>
  <c r="D3" i="114"/>
  <c r="D4" i="113"/>
  <c r="E4" i="113" s="1"/>
  <c r="D5" i="113"/>
  <c r="E5" i="113" s="1"/>
  <c r="D6" i="113"/>
  <c r="E6" i="113" s="1"/>
  <c r="D7" i="113"/>
  <c r="E7" i="113" s="1"/>
  <c r="D8" i="113"/>
  <c r="E8" i="113" s="1"/>
  <c r="D9" i="113"/>
  <c r="E9" i="113" s="1"/>
  <c r="D10" i="113"/>
  <c r="E10" i="113" s="1"/>
  <c r="D11" i="113"/>
  <c r="E11" i="113" s="1"/>
  <c r="D12" i="113"/>
  <c r="E12" i="113" s="1"/>
  <c r="D13" i="113"/>
  <c r="E13" i="113" s="1"/>
  <c r="D14" i="113"/>
  <c r="E14" i="113" s="1"/>
  <c r="D15" i="113"/>
  <c r="E15" i="113" s="1"/>
  <c r="D16" i="113"/>
  <c r="D17" i="113"/>
  <c r="D18" i="113"/>
  <c r="D3" i="113"/>
  <c r="C4" i="124"/>
  <c r="D4" i="124" s="1"/>
  <c r="E4" i="41"/>
  <c r="E3" i="41"/>
  <c r="F9" i="21"/>
  <c r="H3" i="21"/>
  <c r="D4" i="20"/>
  <c r="E4" i="20" s="1"/>
  <c r="D3" i="20"/>
  <c r="E3" i="20" s="1"/>
  <c r="G6" i="17"/>
  <c r="C6" i="73"/>
  <c r="D6" i="73" s="1"/>
  <c r="C8" i="74"/>
  <c r="D8" i="74" s="1"/>
  <c r="C4" i="94"/>
  <c r="I3" i="14"/>
  <c r="I4" i="14"/>
  <c r="J4" i="14" s="1"/>
  <c r="E4" i="85"/>
  <c r="D5" i="85"/>
  <c r="E5" i="85" s="1"/>
  <c r="D4" i="85"/>
  <c r="D3" i="85"/>
  <c r="C5" i="86"/>
  <c r="D5" i="86" s="1"/>
  <c r="C4" i="88"/>
  <c r="D4" i="88" s="1"/>
  <c r="D6" i="89"/>
  <c r="C6" i="89"/>
  <c r="C3" i="89"/>
  <c r="C3" i="93"/>
  <c r="E5" i="12"/>
  <c r="F5" i="12" s="1"/>
  <c r="E3" i="12"/>
  <c r="F3" i="12" s="1"/>
  <c r="D4" i="58"/>
  <c r="Q3" i="7"/>
  <c r="R3" i="7" s="1"/>
  <c r="M4" i="6"/>
  <c r="N4" i="6" s="1"/>
  <c r="M3" i="6"/>
  <c r="N3" i="6" s="1"/>
  <c r="F4" i="5"/>
  <c r="G4" i="5" s="1"/>
  <c r="F5" i="5"/>
  <c r="G5" i="5" s="1"/>
  <c r="F6" i="5"/>
  <c r="G6" i="5" s="1"/>
  <c r="F7" i="5"/>
  <c r="G7" i="5" s="1"/>
  <c r="F3" i="5"/>
  <c r="G3" i="5" s="1"/>
  <c r="C4" i="52"/>
  <c r="D3" i="51"/>
  <c r="D4" i="47"/>
  <c r="D3" i="47"/>
  <c r="E3" i="47" s="1"/>
  <c r="C4" i="43"/>
  <c r="D4" i="43" s="1"/>
  <c r="C3" i="43"/>
  <c r="D3" i="43" s="1"/>
  <c r="E4" i="4"/>
  <c r="F4" i="4" s="1"/>
  <c r="E3" i="4"/>
  <c r="F3" i="4" s="1"/>
  <c r="E4" i="3"/>
  <c r="F4" i="3" s="1"/>
  <c r="E3" i="3"/>
  <c r="C3" i="111"/>
  <c r="D3" i="111" s="1"/>
  <c r="C4" i="115"/>
  <c r="C5" i="115"/>
  <c r="D5" i="115" s="1"/>
  <c r="C6" i="115"/>
  <c r="D6" i="115" s="1"/>
  <c r="C7" i="115"/>
  <c r="D7" i="115" s="1"/>
  <c r="C8" i="115"/>
  <c r="D8" i="115" s="1"/>
  <c r="C9" i="115"/>
  <c r="D9" i="115" s="1"/>
  <c r="C10" i="115"/>
  <c r="D10" i="115" s="1"/>
  <c r="C11" i="115"/>
  <c r="D11" i="115" s="1"/>
  <c r="B8" i="138"/>
  <c r="C7" i="138"/>
  <c r="C6" i="138"/>
  <c r="C5" i="138"/>
  <c r="C4" i="138"/>
  <c r="D4" i="138" s="1"/>
  <c r="C3" i="138"/>
  <c r="D3" i="138" s="1"/>
  <c r="B7" i="136"/>
  <c r="C6" i="136"/>
  <c r="C5" i="136"/>
  <c r="C4" i="136"/>
  <c r="C3" i="136"/>
  <c r="D3" i="136" s="1"/>
  <c r="C8" i="138" l="1"/>
  <c r="C7" i="136"/>
  <c r="B24" i="135" l="1"/>
  <c r="C23" i="135"/>
  <c r="C22" i="135"/>
  <c r="C21" i="135"/>
  <c r="C20" i="135"/>
  <c r="D20" i="135" s="1"/>
  <c r="C19" i="135"/>
  <c r="D19" i="135" s="1"/>
  <c r="C18" i="135"/>
  <c r="D18" i="135" s="1"/>
  <c r="C17" i="135"/>
  <c r="D17" i="135" s="1"/>
  <c r="C16" i="135"/>
  <c r="D16" i="135" s="1"/>
  <c r="C15" i="135"/>
  <c r="D15" i="135" s="1"/>
  <c r="C14" i="135"/>
  <c r="D14" i="135" s="1"/>
  <c r="C13" i="135"/>
  <c r="D13" i="135" s="1"/>
  <c r="C12" i="135"/>
  <c r="D12" i="135" s="1"/>
  <c r="C11" i="135"/>
  <c r="D11" i="135" s="1"/>
  <c r="C10" i="135"/>
  <c r="D10" i="135" s="1"/>
  <c r="C9" i="135"/>
  <c r="D9" i="135" s="1"/>
  <c r="C8" i="135"/>
  <c r="D8" i="135" s="1"/>
  <c r="C7" i="135"/>
  <c r="D7" i="135" s="1"/>
  <c r="C6" i="135"/>
  <c r="D6" i="135" s="1"/>
  <c r="C5" i="135"/>
  <c r="D5" i="135" s="1"/>
  <c r="C4" i="135"/>
  <c r="D4" i="135" s="1"/>
  <c r="C3" i="135"/>
  <c r="C4" i="133"/>
  <c r="D4" i="133" s="1"/>
  <c r="C5" i="133"/>
  <c r="D5" i="133" s="1"/>
  <c r="C6" i="133"/>
  <c r="D6" i="133"/>
  <c r="C7" i="133"/>
  <c r="D7" i="133" s="1"/>
  <c r="C8" i="133"/>
  <c r="D8" i="133"/>
  <c r="C9" i="133"/>
  <c r="D9" i="133" s="1"/>
  <c r="C10" i="133"/>
  <c r="D10" i="133" s="1"/>
  <c r="C11" i="133"/>
  <c r="D11" i="133" s="1"/>
  <c r="C12" i="133"/>
  <c r="D12" i="133"/>
  <c r="C13" i="133"/>
  <c r="D13" i="133"/>
  <c r="C14" i="133"/>
  <c r="D14" i="133"/>
  <c r="C15" i="133"/>
  <c r="D15" i="133"/>
  <c r="C16" i="133"/>
  <c r="D16" i="133" s="1"/>
  <c r="C17" i="133"/>
  <c r="D17" i="133" s="1"/>
  <c r="C18" i="133"/>
  <c r="D18" i="133" s="1"/>
  <c r="C4" i="129"/>
  <c r="D4" i="129"/>
  <c r="C5" i="129"/>
  <c r="D5" i="129" s="1"/>
  <c r="C6" i="129"/>
  <c r="D6" i="129" s="1"/>
  <c r="C7" i="129"/>
  <c r="D7" i="129" s="1"/>
  <c r="C8" i="129"/>
  <c r="D8" i="129"/>
  <c r="C9" i="129"/>
  <c r="D9" i="129" s="1"/>
  <c r="C10" i="129"/>
  <c r="D10" i="129"/>
  <c r="C11" i="129"/>
  <c r="D11" i="129"/>
  <c r="C12" i="129"/>
  <c r="D12" i="129"/>
  <c r="C13" i="129"/>
  <c r="D13" i="129"/>
  <c r="C14" i="129"/>
  <c r="D14" i="129" s="1"/>
  <c r="C15" i="129"/>
  <c r="D15" i="129"/>
  <c r="C16" i="129"/>
  <c r="D16" i="129"/>
  <c r="C17" i="129"/>
  <c r="D17" i="129"/>
  <c r="C18" i="129"/>
  <c r="D18" i="129"/>
  <c r="C19" i="129"/>
  <c r="D19" i="129"/>
  <c r="C20" i="129"/>
  <c r="D20" i="129"/>
  <c r="C21" i="129"/>
  <c r="D21" i="129"/>
  <c r="C22" i="129"/>
  <c r="D22" i="129" s="1"/>
  <c r="C23" i="129"/>
  <c r="D23" i="129"/>
  <c r="C24" i="129"/>
  <c r="D24" i="129"/>
  <c r="C25" i="129"/>
  <c r="D25" i="129"/>
  <c r="C26" i="129"/>
  <c r="D26" i="129"/>
  <c r="C4" i="127"/>
  <c r="D4" i="127" s="1"/>
  <c r="C5" i="127"/>
  <c r="D5" i="127" s="1"/>
  <c r="C6" i="127"/>
  <c r="D6" i="127" s="1"/>
  <c r="C7" i="127"/>
  <c r="D7" i="127" s="1"/>
  <c r="C8" i="127"/>
  <c r="D8" i="127" s="1"/>
  <c r="C9" i="127"/>
  <c r="D9" i="127" s="1"/>
  <c r="C10" i="127"/>
  <c r="D10" i="127" s="1"/>
  <c r="C11" i="127"/>
  <c r="D11" i="127" s="1"/>
  <c r="C12" i="127"/>
  <c r="D12" i="127" s="1"/>
  <c r="C13" i="127"/>
  <c r="D13" i="127" s="1"/>
  <c r="C14" i="127"/>
  <c r="D14" i="127" s="1"/>
  <c r="C15" i="127"/>
  <c r="D15" i="127" s="1"/>
  <c r="C16" i="127"/>
  <c r="D16" i="127" s="1"/>
  <c r="C17" i="127"/>
  <c r="D17" i="127" s="1"/>
  <c r="C18" i="127"/>
  <c r="D18" i="127" s="1"/>
  <c r="C19" i="127"/>
  <c r="D19" i="127" s="1"/>
  <c r="C20" i="127"/>
  <c r="D20" i="127" s="1"/>
  <c r="C21" i="127"/>
  <c r="D21" i="127" s="1"/>
  <c r="C22" i="127"/>
  <c r="D22" i="127" s="1"/>
  <c r="C5" i="124"/>
  <c r="D5" i="124" s="1"/>
  <c r="C6" i="124"/>
  <c r="D6" i="124" s="1"/>
  <c r="C7" i="124"/>
  <c r="D7" i="124" s="1"/>
  <c r="C8" i="124"/>
  <c r="D8" i="124" s="1"/>
  <c r="C9" i="124"/>
  <c r="D9" i="124" s="1"/>
  <c r="C10" i="124"/>
  <c r="D10" i="124" s="1"/>
  <c r="C11" i="124"/>
  <c r="D11" i="124" s="1"/>
  <c r="C12" i="124"/>
  <c r="D12" i="124" s="1"/>
  <c r="C13" i="124"/>
  <c r="D13" i="124" s="1"/>
  <c r="C14" i="124"/>
  <c r="D14" i="124" s="1"/>
  <c r="C15" i="124"/>
  <c r="D15" i="124" s="1"/>
  <c r="C16" i="124"/>
  <c r="D16" i="124" s="1"/>
  <c r="C17" i="124"/>
  <c r="D17" i="124" s="1"/>
  <c r="C18" i="124"/>
  <c r="D18" i="124" s="1"/>
  <c r="C19" i="124"/>
  <c r="D19" i="124" s="1"/>
  <c r="C20" i="124"/>
  <c r="D20" i="124" s="1"/>
  <c r="C21" i="124"/>
  <c r="D21" i="124" s="1"/>
  <c r="C22" i="124"/>
  <c r="D22" i="124" s="1"/>
  <c r="C17" i="134"/>
  <c r="D17" i="134" s="1"/>
  <c r="C4" i="134"/>
  <c r="D4" i="134" s="1"/>
  <c r="C5" i="134"/>
  <c r="D5" i="134" s="1"/>
  <c r="C6" i="134"/>
  <c r="D6" i="134" s="1"/>
  <c r="C7" i="134"/>
  <c r="D7" i="134" s="1"/>
  <c r="C8" i="134"/>
  <c r="D8" i="134" s="1"/>
  <c r="C9" i="134"/>
  <c r="D9" i="134" s="1"/>
  <c r="C10" i="134"/>
  <c r="D10" i="134" s="1"/>
  <c r="C11" i="134"/>
  <c r="D11" i="134" s="1"/>
  <c r="C12" i="134"/>
  <c r="D12" i="134" s="1"/>
  <c r="C13" i="134"/>
  <c r="D13" i="134" s="1"/>
  <c r="C14" i="134"/>
  <c r="D14" i="134" s="1"/>
  <c r="C15" i="134"/>
  <c r="D15" i="134" s="1"/>
  <c r="C16" i="134"/>
  <c r="D16" i="134" s="1"/>
  <c r="C18" i="134"/>
  <c r="D18" i="134" s="1"/>
  <c r="C4" i="132"/>
  <c r="D4" i="132" s="1"/>
  <c r="C5" i="132"/>
  <c r="D5" i="132" s="1"/>
  <c r="C6" i="132"/>
  <c r="D6" i="132" s="1"/>
  <c r="C7" i="132"/>
  <c r="D7" i="132" s="1"/>
  <c r="C8" i="132"/>
  <c r="D8" i="132" s="1"/>
  <c r="C9" i="132"/>
  <c r="D9" i="132" s="1"/>
  <c r="C10" i="132"/>
  <c r="D10" i="132" s="1"/>
  <c r="C11" i="132"/>
  <c r="D11" i="132" s="1"/>
  <c r="C12" i="132"/>
  <c r="D12" i="132" s="1"/>
  <c r="C13" i="132"/>
  <c r="D13" i="132" s="1"/>
  <c r="C14" i="132"/>
  <c r="D14" i="132" s="1"/>
  <c r="C15" i="132"/>
  <c r="D15" i="132" s="1"/>
  <c r="C16" i="132"/>
  <c r="D16" i="132" s="1"/>
  <c r="C17" i="132"/>
  <c r="D17" i="132" s="1"/>
  <c r="C18" i="132"/>
  <c r="D18" i="132" s="1"/>
  <c r="C19" i="132"/>
  <c r="D19" i="132" s="1"/>
  <c r="C20" i="132"/>
  <c r="D20" i="132" s="1"/>
  <c r="C21" i="132"/>
  <c r="D21" i="132" s="1"/>
  <c r="C22" i="132"/>
  <c r="D22" i="132" s="1"/>
  <c r="C4" i="131"/>
  <c r="D4" i="131" s="1"/>
  <c r="C5" i="131"/>
  <c r="D5" i="131" s="1"/>
  <c r="C6" i="131"/>
  <c r="D6" i="131" s="1"/>
  <c r="C7" i="131"/>
  <c r="D7" i="131" s="1"/>
  <c r="C8" i="131"/>
  <c r="D8" i="131" s="1"/>
  <c r="C9" i="131"/>
  <c r="D9" i="131" s="1"/>
  <c r="C10" i="131"/>
  <c r="D10" i="131" s="1"/>
  <c r="C11" i="131"/>
  <c r="D11" i="131" s="1"/>
  <c r="C12" i="131"/>
  <c r="D12" i="131" s="1"/>
  <c r="C13" i="131"/>
  <c r="D13" i="131" s="1"/>
  <c r="C14" i="131"/>
  <c r="D14" i="131" s="1"/>
  <c r="C15" i="131"/>
  <c r="D15" i="131" s="1"/>
  <c r="C16" i="131"/>
  <c r="D16" i="131" s="1"/>
  <c r="C17" i="131"/>
  <c r="D17" i="131" s="1"/>
  <c r="C18" i="131"/>
  <c r="D18" i="131" s="1"/>
  <c r="C19" i="131"/>
  <c r="D19" i="131" s="1"/>
  <c r="C20" i="131"/>
  <c r="D20" i="131" s="1"/>
  <c r="C21" i="131"/>
  <c r="D21" i="131" s="1"/>
  <c r="C22" i="131"/>
  <c r="D22" i="131" s="1"/>
  <c r="C23" i="131"/>
  <c r="D23" i="131" s="1"/>
  <c r="C24" i="131"/>
  <c r="D24" i="131" s="1"/>
  <c r="C25" i="131"/>
  <c r="D25" i="131" s="1"/>
  <c r="C4" i="128"/>
  <c r="D4" i="128" s="1"/>
  <c r="C5" i="128"/>
  <c r="D5" i="128" s="1"/>
  <c r="C6" i="128"/>
  <c r="D6" i="128" s="1"/>
  <c r="C7" i="128"/>
  <c r="D7" i="128" s="1"/>
  <c r="C8" i="128"/>
  <c r="D8" i="128" s="1"/>
  <c r="C9" i="128"/>
  <c r="D9" i="128" s="1"/>
  <c r="C10" i="128"/>
  <c r="D10" i="128" s="1"/>
  <c r="C11" i="128"/>
  <c r="D11" i="128" s="1"/>
  <c r="C12" i="128"/>
  <c r="D12" i="128" s="1"/>
  <c r="C13" i="128"/>
  <c r="D13" i="128" s="1"/>
  <c r="C14" i="128"/>
  <c r="D14" i="128" s="1"/>
  <c r="C15" i="128"/>
  <c r="D15" i="128" s="1"/>
  <c r="C16" i="128"/>
  <c r="D16" i="128" s="1"/>
  <c r="C17" i="128"/>
  <c r="D17" i="128" s="1"/>
  <c r="C18" i="128"/>
  <c r="D18" i="128" s="1"/>
  <c r="C19" i="128"/>
  <c r="D19" i="128" s="1"/>
  <c r="C20" i="128"/>
  <c r="D20" i="128" s="1"/>
  <c r="C21" i="128"/>
  <c r="D21" i="128" s="1"/>
  <c r="C22" i="128"/>
  <c r="D22" i="128" s="1"/>
  <c r="C23" i="128"/>
  <c r="D23" i="128" s="1"/>
  <c r="C24" i="128"/>
  <c r="D24" i="128" s="1"/>
  <c r="C25" i="128"/>
  <c r="D25" i="128" s="1"/>
  <c r="C26" i="128"/>
  <c r="D26" i="128" s="1"/>
  <c r="C27" i="128"/>
  <c r="D27" i="128" s="1"/>
  <c r="C28" i="128"/>
  <c r="D28" i="128" s="1"/>
  <c r="C29" i="128"/>
  <c r="D29" i="128" s="1"/>
  <c r="C4" i="126"/>
  <c r="D4" i="126" s="1"/>
  <c r="C5" i="126"/>
  <c r="D5" i="126" s="1"/>
  <c r="C6" i="126"/>
  <c r="D6" i="126" s="1"/>
  <c r="C7" i="126"/>
  <c r="D7" i="126" s="1"/>
  <c r="C8" i="126"/>
  <c r="D8" i="126" s="1"/>
  <c r="C9" i="126"/>
  <c r="D9" i="126" s="1"/>
  <c r="C10" i="126"/>
  <c r="D10" i="126" s="1"/>
  <c r="C11" i="126"/>
  <c r="D11" i="126" s="1"/>
  <c r="C12" i="126"/>
  <c r="D12" i="126" s="1"/>
  <c r="C13" i="126"/>
  <c r="D13" i="126" s="1"/>
  <c r="C14" i="126"/>
  <c r="D14" i="126" s="1"/>
  <c r="C15" i="126"/>
  <c r="D15" i="126" s="1"/>
  <c r="C16" i="126"/>
  <c r="D16" i="126" s="1"/>
  <c r="C17" i="126"/>
  <c r="D17" i="126" s="1"/>
  <c r="C18" i="126"/>
  <c r="D18" i="126" s="1"/>
  <c r="C19" i="126"/>
  <c r="D19" i="126" s="1"/>
  <c r="C20" i="126"/>
  <c r="D20" i="126" s="1"/>
  <c r="C21" i="126"/>
  <c r="D21" i="126" s="1"/>
  <c r="C22" i="126"/>
  <c r="D22" i="126" s="1"/>
  <c r="C23" i="126"/>
  <c r="D23" i="126" s="1"/>
  <c r="C24" i="126"/>
  <c r="D24" i="126" s="1"/>
  <c r="C4" i="125"/>
  <c r="D4" i="125" s="1"/>
  <c r="C5" i="125"/>
  <c r="D5" i="125" s="1"/>
  <c r="C6" i="125"/>
  <c r="D6" i="125" s="1"/>
  <c r="C7" i="125"/>
  <c r="D7" i="125" s="1"/>
  <c r="C8" i="125"/>
  <c r="D8" i="125" s="1"/>
  <c r="C9" i="125"/>
  <c r="D9" i="125" s="1"/>
  <c r="C10" i="125"/>
  <c r="D10" i="125" s="1"/>
  <c r="C11" i="125"/>
  <c r="D11" i="125" s="1"/>
  <c r="C12" i="125"/>
  <c r="D12" i="125" s="1"/>
  <c r="C13" i="125"/>
  <c r="D13" i="125" s="1"/>
  <c r="C14" i="125"/>
  <c r="D14" i="125" s="1"/>
  <c r="C15" i="125"/>
  <c r="D15" i="125" s="1"/>
  <c r="C16" i="125"/>
  <c r="D16" i="125" s="1"/>
  <c r="C17" i="125"/>
  <c r="D17" i="125" s="1"/>
  <c r="C18" i="125"/>
  <c r="D18" i="125" s="1"/>
  <c r="C19" i="125"/>
  <c r="D19" i="125" s="1"/>
  <c r="C20" i="125"/>
  <c r="D20" i="125" s="1"/>
  <c r="C21" i="125"/>
  <c r="D21" i="125" s="1"/>
  <c r="C22" i="125"/>
  <c r="D22" i="125" s="1"/>
  <c r="C4" i="123"/>
  <c r="D4" i="123" s="1"/>
  <c r="C5" i="123"/>
  <c r="D5" i="123" s="1"/>
  <c r="C6" i="123"/>
  <c r="D6" i="123" s="1"/>
  <c r="C7" i="123"/>
  <c r="D7" i="123" s="1"/>
  <c r="C8" i="123"/>
  <c r="D8" i="123" s="1"/>
  <c r="C9" i="123"/>
  <c r="D9" i="123" s="1"/>
  <c r="C10" i="123"/>
  <c r="D10" i="123" s="1"/>
  <c r="C11" i="123"/>
  <c r="D11" i="123" s="1"/>
  <c r="C12" i="123"/>
  <c r="D12" i="123" s="1"/>
  <c r="C13" i="123"/>
  <c r="D13" i="123" s="1"/>
  <c r="C14" i="123"/>
  <c r="D14" i="123" s="1"/>
  <c r="C15" i="123"/>
  <c r="D15" i="123" s="1"/>
  <c r="C16" i="123"/>
  <c r="D16" i="123" s="1"/>
  <c r="C17" i="123"/>
  <c r="D17" i="123" s="1"/>
  <c r="C18" i="123"/>
  <c r="D18" i="123" s="1"/>
  <c r="C19" i="123"/>
  <c r="D19" i="123" s="1"/>
  <c r="C20" i="123"/>
  <c r="D20" i="123" s="1"/>
  <c r="C21" i="123"/>
  <c r="D21" i="123" s="1"/>
  <c r="C22" i="123"/>
  <c r="D22" i="123" s="1"/>
  <c r="C4" i="122"/>
  <c r="D4" i="122" s="1"/>
  <c r="C5" i="122"/>
  <c r="D5" i="122" s="1"/>
  <c r="C6" i="122"/>
  <c r="D6" i="122" s="1"/>
  <c r="C7" i="122"/>
  <c r="D7" i="122" s="1"/>
  <c r="C4" i="120"/>
  <c r="D4" i="120" s="1"/>
  <c r="C5" i="120"/>
  <c r="D5" i="120" s="1"/>
  <c r="C6" i="120"/>
  <c r="D6" i="120" s="1"/>
  <c r="C7" i="120"/>
  <c r="D7" i="120" s="1"/>
  <c r="C8" i="120"/>
  <c r="D8" i="120" s="1"/>
  <c r="C9" i="120"/>
  <c r="D9" i="120" s="1"/>
  <c r="C10" i="120"/>
  <c r="D10" i="120" s="1"/>
  <c r="C11" i="120"/>
  <c r="D11" i="120" s="1"/>
  <c r="C12" i="120"/>
  <c r="D12" i="120" s="1"/>
  <c r="C13" i="120"/>
  <c r="D13" i="120" s="1"/>
  <c r="C14" i="120"/>
  <c r="D14" i="120" s="1"/>
  <c r="C15" i="120"/>
  <c r="D15" i="120" s="1"/>
  <c r="C16" i="120"/>
  <c r="D16" i="120" s="1"/>
  <c r="C17" i="120"/>
  <c r="D17" i="120" s="1"/>
  <c r="C18" i="120"/>
  <c r="D18" i="120" s="1"/>
  <c r="C19" i="120"/>
  <c r="D19" i="120" s="1"/>
  <c r="C4" i="118"/>
  <c r="D4" i="118" s="1"/>
  <c r="C5" i="118"/>
  <c r="D5" i="118" s="1"/>
  <c r="C6" i="118"/>
  <c r="D6" i="118" s="1"/>
  <c r="C7" i="118"/>
  <c r="D7" i="118" s="1"/>
  <c r="C8" i="118"/>
  <c r="D8" i="118" s="1"/>
  <c r="C9" i="118"/>
  <c r="D9" i="118" s="1"/>
  <c r="C10" i="118"/>
  <c r="D10" i="118" s="1"/>
  <c r="C11" i="118"/>
  <c r="D11" i="118" s="1"/>
  <c r="C12" i="118"/>
  <c r="D12" i="118" s="1"/>
  <c r="C13" i="118"/>
  <c r="D13" i="118" s="1"/>
  <c r="C14" i="118"/>
  <c r="D14" i="118" s="1"/>
  <c r="C15" i="118"/>
  <c r="D15" i="118" s="1"/>
  <c r="C16" i="118"/>
  <c r="D16" i="118" s="1"/>
  <c r="C4" i="112"/>
  <c r="D4" i="112" s="1"/>
  <c r="C5" i="112"/>
  <c r="D5" i="112" s="1"/>
  <c r="C6" i="112"/>
  <c r="D6" i="112" s="1"/>
  <c r="C7" i="112"/>
  <c r="D7" i="112" s="1"/>
  <c r="C8" i="112"/>
  <c r="D8" i="112" s="1"/>
  <c r="C9" i="112"/>
  <c r="D9" i="112" s="1"/>
  <c r="C10" i="112"/>
  <c r="D10" i="112" s="1"/>
  <c r="C11" i="112"/>
  <c r="D11" i="112" s="1"/>
  <c r="C24" i="135" l="1"/>
  <c r="D3" i="135"/>
  <c r="B24" i="134"/>
  <c r="C23" i="134"/>
  <c r="C22" i="134"/>
  <c r="C21" i="134"/>
  <c r="C20" i="134"/>
  <c r="D20" i="134" s="1"/>
  <c r="C19" i="134"/>
  <c r="D19" i="134" s="1"/>
  <c r="C3" i="134"/>
  <c r="B22" i="133"/>
  <c r="C21" i="133"/>
  <c r="C20" i="133"/>
  <c r="C19" i="133"/>
  <c r="C3" i="133"/>
  <c r="B26" i="132"/>
  <c r="C25" i="132"/>
  <c r="C24" i="132"/>
  <c r="C23" i="132"/>
  <c r="C3" i="132"/>
  <c r="B29" i="131"/>
  <c r="C28" i="131"/>
  <c r="C27" i="131"/>
  <c r="C26" i="131"/>
  <c r="C3" i="131"/>
  <c r="D3" i="131" s="1"/>
  <c r="B31" i="129"/>
  <c r="C30" i="129"/>
  <c r="C29" i="129"/>
  <c r="C28" i="129"/>
  <c r="C27" i="129"/>
  <c r="D27" i="129" s="1"/>
  <c r="C3" i="129"/>
  <c r="B33" i="128"/>
  <c r="C32" i="128"/>
  <c r="C31" i="128"/>
  <c r="C30" i="128"/>
  <c r="C3" i="128"/>
  <c r="D3" i="128" s="1"/>
  <c r="B26" i="127"/>
  <c r="C25" i="127"/>
  <c r="C24" i="127"/>
  <c r="C23" i="127"/>
  <c r="C3" i="127"/>
  <c r="D3" i="127" s="1"/>
  <c r="B28" i="126"/>
  <c r="C27" i="126"/>
  <c r="C26" i="126"/>
  <c r="C25" i="126"/>
  <c r="D25" i="126" s="1"/>
  <c r="C3" i="126"/>
  <c r="D3" i="126" s="1"/>
  <c r="B26" i="125"/>
  <c r="C25" i="125"/>
  <c r="C24" i="125"/>
  <c r="C23" i="125"/>
  <c r="C3" i="125"/>
  <c r="D3" i="125" s="1"/>
  <c r="B26" i="124"/>
  <c r="C25" i="124"/>
  <c r="C24" i="124"/>
  <c r="C23" i="124"/>
  <c r="C3" i="124"/>
  <c r="D3" i="124" s="1"/>
  <c r="B26" i="123"/>
  <c r="C25" i="123"/>
  <c r="C24" i="123"/>
  <c r="C23" i="123"/>
  <c r="C3" i="123"/>
  <c r="B13" i="122"/>
  <c r="C12" i="122"/>
  <c r="C11" i="122"/>
  <c r="C10" i="122"/>
  <c r="C9" i="122"/>
  <c r="D9" i="122" s="1"/>
  <c r="C8" i="122"/>
  <c r="D8" i="122" s="1"/>
  <c r="C3" i="122"/>
  <c r="B23" i="120"/>
  <c r="C22" i="120"/>
  <c r="C21" i="120"/>
  <c r="C20" i="120"/>
  <c r="C3" i="120"/>
  <c r="B21" i="118"/>
  <c r="C20" i="118"/>
  <c r="C19" i="118"/>
  <c r="C18" i="118"/>
  <c r="C17" i="118"/>
  <c r="D17" i="118" s="1"/>
  <c r="C3" i="118"/>
  <c r="C10" i="117"/>
  <c r="B10" i="117"/>
  <c r="D9" i="117"/>
  <c r="D8" i="117"/>
  <c r="D7" i="117"/>
  <c r="D6" i="117"/>
  <c r="E6" i="117" s="1"/>
  <c r="D5" i="117"/>
  <c r="E5" i="117" s="1"/>
  <c r="D4" i="117"/>
  <c r="E4" i="117" s="1"/>
  <c r="D3" i="117"/>
  <c r="E3" i="117" s="1"/>
  <c r="C10" i="116"/>
  <c r="B10" i="116"/>
  <c r="D9" i="116"/>
  <c r="D8" i="116"/>
  <c r="D7" i="116"/>
  <c r="D6" i="116"/>
  <c r="E6" i="116" s="1"/>
  <c r="D5" i="116"/>
  <c r="E5" i="116" s="1"/>
  <c r="D4" i="116"/>
  <c r="E4" i="116" s="1"/>
  <c r="D3" i="116"/>
  <c r="E3" i="116" s="1"/>
  <c r="B15" i="115"/>
  <c r="C14" i="115"/>
  <c r="C13" i="115"/>
  <c r="C12" i="115"/>
  <c r="C3" i="115"/>
  <c r="D3" i="115" s="1"/>
  <c r="C18" i="114"/>
  <c r="B18" i="114"/>
  <c r="E3" i="114"/>
  <c r="C19" i="113"/>
  <c r="B19" i="113"/>
  <c r="B15" i="112"/>
  <c r="C14" i="112"/>
  <c r="C13" i="112"/>
  <c r="C12" i="112"/>
  <c r="C3" i="112"/>
  <c r="D3" i="112" s="1"/>
  <c r="D10" i="117" l="1"/>
  <c r="D10" i="116"/>
  <c r="C15" i="115"/>
  <c r="D18" i="114"/>
  <c r="D19" i="113"/>
  <c r="E3" i="113"/>
  <c r="C22" i="133"/>
  <c r="C31" i="129"/>
  <c r="C26" i="127"/>
  <c r="C26" i="124"/>
  <c r="C24" i="134"/>
  <c r="C26" i="132"/>
  <c r="C29" i="131"/>
  <c r="C28" i="126"/>
  <c r="C26" i="125"/>
  <c r="C26" i="123"/>
  <c r="C13" i="122"/>
  <c r="C23" i="120"/>
  <c r="C21" i="118"/>
  <c r="C15" i="112"/>
  <c r="D3" i="134"/>
  <c r="D3" i="133"/>
  <c r="D3" i="132"/>
  <c r="D3" i="129"/>
  <c r="C33" i="128"/>
  <c r="D3" i="123"/>
  <c r="D3" i="122"/>
  <c r="D3" i="120"/>
  <c r="D3" i="118"/>
  <c r="C4" i="110" l="1"/>
  <c r="D4" i="110" s="1"/>
  <c r="C4" i="109"/>
  <c r="D4" i="109" s="1"/>
  <c r="C5" i="109"/>
  <c r="D5" i="109" s="1"/>
  <c r="C6" i="109"/>
  <c r="D6" i="109" s="1"/>
  <c r="C7" i="109"/>
  <c r="D7" i="109" s="1"/>
  <c r="C4" i="108"/>
  <c r="D4" i="108" s="1"/>
  <c r="B8" i="111" l="1"/>
  <c r="C7" i="111"/>
  <c r="C6" i="111"/>
  <c r="C5" i="111"/>
  <c r="C4" i="111"/>
  <c r="D4" i="111" s="1"/>
  <c r="C8" i="111" l="1"/>
  <c r="F3" i="3" l="1"/>
  <c r="C4" i="107"/>
  <c r="D4" i="107" s="1"/>
  <c r="C5" i="107"/>
  <c r="D5" i="107" s="1"/>
  <c r="C6" i="107"/>
  <c r="D6" i="107" s="1"/>
  <c r="C7" i="107"/>
  <c r="D7" i="107" s="1"/>
  <c r="C8" i="107"/>
  <c r="D8" i="107" s="1"/>
  <c r="C4" i="106"/>
  <c r="D4" i="106" s="1"/>
  <c r="C4" i="105"/>
  <c r="D4" i="105" s="1"/>
  <c r="C5" i="105"/>
  <c r="D5" i="105" s="1"/>
  <c r="C4" i="104"/>
  <c r="D4" i="104" s="1"/>
  <c r="C4" i="103"/>
  <c r="D4" i="103" s="1"/>
  <c r="C5" i="103"/>
  <c r="D5" i="103" s="1"/>
  <c r="C6" i="103"/>
  <c r="D6" i="103" s="1"/>
  <c r="C4" i="102"/>
  <c r="D4" i="102" s="1"/>
  <c r="C5" i="102"/>
  <c r="D5" i="102" s="1"/>
  <c r="C6" i="102"/>
  <c r="D6" i="102" s="1"/>
  <c r="C5" i="100"/>
  <c r="D5" i="100" s="1"/>
  <c r="C4" i="99"/>
  <c r="D4" i="99" s="1"/>
  <c r="C5" i="99"/>
  <c r="D5" i="99" s="1"/>
  <c r="C4" i="98"/>
  <c r="D4" i="98" s="1"/>
  <c r="C5" i="98"/>
  <c r="D5" i="98" s="1"/>
  <c r="C6" i="98"/>
  <c r="D6" i="98" s="1"/>
  <c r="C4" i="95" l="1"/>
  <c r="D4" i="95" s="1"/>
  <c r="C5" i="95"/>
  <c r="D5" i="95" s="1"/>
  <c r="C6" i="95"/>
  <c r="D6" i="95" s="1"/>
  <c r="B10" i="110"/>
  <c r="C9" i="110"/>
  <c r="C8" i="110"/>
  <c r="C7" i="110"/>
  <c r="C6" i="110"/>
  <c r="D6" i="110" s="1"/>
  <c r="C5" i="110"/>
  <c r="D5" i="110" s="1"/>
  <c r="D3" i="110"/>
  <c r="C3" i="110"/>
  <c r="B11" i="109"/>
  <c r="C10" i="109"/>
  <c r="C9" i="109"/>
  <c r="C8" i="109"/>
  <c r="C3" i="109"/>
  <c r="C11" i="109" s="1"/>
  <c r="B9" i="108"/>
  <c r="C8" i="108"/>
  <c r="C7" i="108"/>
  <c r="C6" i="108"/>
  <c r="C5" i="108"/>
  <c r="D5" i="108" s="1"/>
  <c r="C3" i="108"/>
  <c r="B13" i="107"/>
  <c r="C12" i="107"/>
  <c r="C11" i="107"/>
  <c r="C10" i="107"/>
  <c r="C9" i="107"/>
  <c r="D9" i="107" s="1"/>
  <c r="C3" i="107"/>
  <c r="D3" i="107" s="1"/>
  <c r="B9" i="106"/>
  <c r="C8" i="106"/>
  <c r="C7" i="106"/>
  <c r="C6" i="106"/>
  <c r="C5" i="106"/>
  <c r="D5" i="106" s="1"/>
  <c r="C3" i="106"/>
  <c r="D3" i="106" s="1"/>
  <c r="B9" i="105"/>
  <c r="C8" i="105"/>
  <c r="C7" i="105"/>
  <c r="C6" i="105"/>
  <c r="C3" i="105"/>
  <c r="B9" i="104"/>
  <c r="C8" i="104"/>
  <c r="C7" i="104"/>
  <c r="C6" i="104"/>
  <c r="C5" i="104"/>
  <c r="D5" i="104" s="1"/>
  <c r="C3" i="104"/>
  <c r="B10" i="103"/>
  <c r="C9" i="103"/>
  <c r="C8" i="103"/>
  <c r="C7" i="103"/>
  <c r="C3" i="103"/>
  <c r="B10" i="102"/>
  <c r="C9" i="102"/>
  <c r="C8" i="102"/>
  <c r="C7" i="102"/>
  <c r="C3" i="102"/>
  <c r="B10" i="100"/>
  <c r="C9" i="100"/>
  <c r="C8" i="100"/>
  <c r="C7" i="100"/>
  <c r="C6" i="100"/>
  <c r="D6" i="100" s="1"/>
  <c r="C4" i="100"/>
  <c r="D4" i="100" s="1"/>
  <c r="C3" i="100"/>
  <c r="B10" i="99"/>
  <c r="C9" i="99"/>
  <c r="C8" i="99"/>
  <c r="C7" i="99"/>
  <c r="C6" i="99"/>
  <c r="D6" i="99" s="1"/>
  <c r="C3" i="99"/>
  <c r="D3" i="99" s="1"/>
  <c r="B10" i="98"/>
  <c r="C9" i="98"/>
  <c r="C8" i="98"/>
  <c r="C7" i="98"/>
  <c r="C3" i="98"/>
  <c r="B9" i="97"/>
  <c r="C8" i="97"/>
  <c r="C7" i="97"/>
  <c r="C6" i="97"/>
  <c r="C5" i="97"/>
  <c r="D5" i="97" s="1"/>
  <c r="C4" i="97"/>
  <c r="D4" i="97" s="1"/>
  <c r="C3" i="97"/>
  <c r="D3" i="97" s="1"/>
  <c r="B9" i="96"/>
  <c r="C8" i="96"/>
  <c r="C7" i="96"/>
  <c r="C6" i="96"/>
  <c r="C5" i="96"/>
  <c r="D5" i="96" s="1"/>
  <c r="C4" i="96"/>
  <c r="D4" i="96" s="1"/>
  <c r="C3" i="96"/>
  <c r="B10" i="95"/>
  <c r="C9" i="95"/>
  <c r="C8" i="95"/>
  <c r="C7" i="95"/>
  <c r="C3" i="95"/>
  <c r="D3" i="95" s="1"/>
  <c r="C4" i="69"/>
  <c r="D4" i="69" s="1"/>
  <c r="C4" i="70"/>
  <c r="D4" i="70" s="1"/>
  <c r="C4" i="72"/>
  <c r="D4" i="72" s="1"/>
  <c r="C4" i="73"/>
  <c r="D4" i="73" s="1"/>
  <c r="C5" i="73"/>
  <c r="D5" i="73" s="1"/>
  <c r="C4" i="74"/>
  <c r="D4" i="74" s="1"/>
  <c r="C5" i="74"/>
  <c r="D5" i="74" s="1"/>
  <c r="C6" i="74"/>
  <c r="D6" i="74" s="1"/>
  <c r="C7" i="74"/>
  <c r="D7" i="74" s="1"/>
  <c r="C4" i="75"/>
  <c r="D4" i="75" s="1"/>
  <c r="C5" i="75"/>
  <c r="D5" i="75" s="1"/>
  <c r="C6" i="75"/>
  <c r="D6" i="75" s="1"/>
  <c r="C7" i="75"/>
  <c r="D7" i="75" s="1"/>
  <c r="C4" i="76"/>
  <c r="D4" i="76" s="1"/>
  <c r="C4" i="78"/>
  <c r="D4" i="78" s="1"/>
  <c r="C5" i="78"/>
  <c r="D5" i="78" s="1"/>
  <c r="B8" i="94"/>
  <c r="C7" i="94"/>
  <c r="C6" i="94"/>
  <c r="C5" i="94"/>
  <c r="D4" i="94"/>
  <c r="C3" i="94"/>
  <c r="C4" i="80"/>
  <c r="D4" i="80" s="1"/>
  <c r="C4" i="83"/>
  <c r="D4" i="83" s="1"/>
  <c r="C4" i="86"/>
  <c r="D4" i="86" s="1"/>
  <c r="C4" i="89"/>
  <c r="D4" i="89" s="1"/>
  <c r="C5" i="89"/>
  <c r="D5" i="89" s="1"/>
  <c r="C7" i="89"/>
  <c r="D7" i="89" s="1"/>
  <c r="C4" i="90"/>
  <c r="D4" i="90" s="1"/>
  <c r="C5" i="90"/>
  <c r="D5" i="90" s="1"/>
  <c r="B8" i="93"/>
  <c r="C7" i="93"/>
  <c r="C6" i="93"/>
  <c r="C5" i="93"/>
  <c r="C4" i="93"/>
  <c r="D4" i="93" s="1"/>
  <c r="C8" i="93"/>
  <c r="B8" i="92"/>
  <c r="C7" i="92"/>
  <c r="C6" i="92"/>
  <c r="C5" i="92"/>
  <c r="C4" i="92"/>
  <c r="D4" i="92" s="1"/>
  <c r="C3" i="92"/>
  <c r="B8" i="91"/>
  <c r="C7" i="91"/>
  <c r="C6" i="91"/>
  <c r="C5" i="91"/>
  <c r="C4" i="91"/>
  <c r="D4" i="91" s="1"/>
  <c r="C3" i="91"/>
  <c r="B9" i="90"/>
  <c r="C8" i="90"/>
  <c r="C7" i="90"/>
  <c r="C6" i="90"/>
  <c r="C3" i="90"/>
  <c r="B11" i="89"/>
  <c r="C10" i="89"/>
  <c r="C9" i="89"/>
  <c r="C8" i="89"/>
  <c r="B8" i="88"/>
  <c r="C7" i="88"/>
  <c r="C6" i="88"/>
  <c r="C5" i="88"/>
  <c r="C3" i="88"/>
  <c r="B8" i="87"/>
  <c r="C7" i="87"/>
  <c r="C6" i="87"/>
  <c r="C5" i="87"/>
  <c r="C4" i="87"/>
  <c r="D4" i="87" s="1"/>
  <c r="C3" i="87"/>
  <c r="D3" i="87" s="1"/>
  <c r="B9" i="86"/>
  <c r="C8" i="86"/>
  <c r="C7" i="86"/>
  <c r="C6" i="86"/>
  <c r="C3" i="86"/>
  <c r="B9" i="85"/>
  <c r="B8" i="84"/>
  <c r="C7" i="84"/>
  <c r="C6" i="84"/>
  <c r="C5" i="84"/>
  <c r="C4" i="84"/>
  <c r="D4" i="84" s="1"/>
  <c r="C3" i="84"/>
  <c r="D3" i="84" s="1"/>
  <c r="B8" i="83"/>
  <c r="C7" i="83"/>
  <c r="C6" i="83"/>
  <c r="C5" i="83"/>
  <c r="C3" i="83"/>
  <c r="B8" i="82"/>
  <c r="C7" i="82"/>
  <c r="C6" i="82"/>
  <c r="C5" i="82"/>
  <c r="C4" i="82"/>
  <c r="D4" i="82" s="1"/>
  <c r="C3" i="82"/>
  <c r="C8" i="82" s="1"/>
  <c r="B8" i="81"/>
  <c r="C7" i="81"/>
  <c r="C6" i="81"/>
  <c r="C5" i="81"/>
  <c r="C4" i="81"/>
  <c r="D4" i="81" s="1"/>
  <c r="C3" i="81"/>
  <c r="B8" i="80"/>
  <c r="C7" i="80"/>
  <c r="C6" i="80"/>
  <c r="C5" i="80"/>
  <c r="C3" i="80"/>
  <c r="D3" i="80" s="1"/>
  <c r="B8" i="79"/>
  <c r="C7" i="79"/>
  <c r="C6" i="79"/>
  <c r="C5" i="79"/>
  <c r="C4" i="79"/>
  <c r="D4" i="79" s="1"/>
  <c r="C3" i="79"/>
  <c r="D3" i="79" s="1"/>
  <c r="B9" i="78"/>
  <c r="C8" i="78"/>
  <c r="C7" i="78"/>
  <c r="C6" i="78"/>
  <c r="C3" i="78"/>
  <c r="B8" i="77"/>
  <c r="C7" i="77"/>
  <c r="C6" i="77"/>
  <c r="C5" i="77"/>
  <c r="C4" i="77"/>
  <c r="D4" i="77" s="1"/>
  <c r="C3" i="77"/>
  <c r="B8" i="76"/>
  <c r="C7" i="76"/>
  <c r="C6" i="76"/>
  <c r="C5" i="76"/>
  <c r="C3" i="76"/>
  <c r="D3" i="76" s="1"/>
  <c r="B12" i="75"/>
  <c r="C11" i="75"/>
  <c r="C10" i="75"/>
  <c r="C9" i="75"/>
  <c r="C8" i="75"/>
  <c r="D8" i="75" s="1"/>
  <c r="C3" i="75"/>
  <c r="D3" i="75" s="1"/>
  <c r="B12" i="74"/>
  <c r="C11" i="74"/>
  <c r="C10" i="74"/>
  <c r="C9" i="74"/>
  <c r="C3" i="74"/>
  <c r="D3" i="74" s="1"/>
  <c r="B10" i="73"/>
  <c r="C9" i="73"/>
  <c r="C8" i="73"/>
  <c r="C7" i="73"/>
  <c r="C3" i="73"/>
  <c r="B8" i="72"/>
  <c r="C7" i="72"/>
  <c r="C6" i="72"/>
  <c r="C5" i="72"/>
  <c r="C3" i="72"/>
  <c r="B8" i="71"/>
  <c r="C7" i="71"/>
  <c r="C6" i="71"/>
  <c r="C5" i="71"/>
  <c r="C4" i="71"/>
  <c r="D4" i="71" s="1"/>
  <c r="C3" i="71"/>
  <c r="B9" i="70"/>
  <c r="C8" i="70"/>
  <c r="C7" i="70"/>
  <c r="C6" i="70"/>
  <c r="C5" i="70"/>
  <c r="D5" i="70" s="1"/>
  <c r="D3" i="70"/>
  <c r="C3" i="70"/>
  <c r="B8" i="69"/>
  <c r="C7" i="69"/>
  <c r="C6" i="69"/>
  <c r="C5" i="69"/>
  <c r="C3" i="69"/>
  <c r="B8" i="68"/>
  <c r="C7" i="68"/>
  <c r="C6" i="68"/>
  <c r="C5" i="68"/>
  <c r="C4" i="68"/>
  <c r="C3" i="68"/>
  <c r="B8" i="67"/>
  <c r="C7" i="67"/>
  <c r="C6" i="67"/>
  <c r="C5" i="67"/>
  <c r="D4" i="67"/>
  <c r="C4" i="67"/>
  <c r="C3" i="67"/>
  <c r="D3" i="67" s="1"/>
  <c r="B9" i="66"/>
  <c r="C8" i="66"/>
  <c r="C7" i="66"/>
  <c r="C6" i="66"/>
  <c r="C5" i="66"/>
  <c r="D5" i="66" s="1"/>
  <c r="C4" i="66"/>
  <c r="D4" i="66" s="1"/>
  <c r="D3" i="66"/>
  <c r="C3" i="66"/>
  <c r="B9" i="65"/>
  <c r="C8" i="65"/>
  <c r="C7" i="65"/>
  <c r="C6" i="65"/>
  <c r="C5" i="65"/>
  <c r="D5" i="65" s="1"/>
  <c r="C4" i="65"/>
  <c r="D4" i="65" s="1"/>
  <c r="C3" i="65"/>
  <c r="B8" i="64"/>
  <c r="C7" i="64"/>
  <c r="C6" i="64"/>
  <c r="C5" i="64"/>
  <c r="D4" i="64"/>
  <c r="C4" i="64"/>
  <c r="C3" i="64"/>
  <c r="B8" i="63"/>
  <c r="C7" i="63"/>
  <c r="C6" i="63"/>
  <c r="C5" i="63"/>
  <c r="C4" i="63"/>
  <c r="D4" i="63" s="1"/>
  <c r="C3" i="63"/>
  <c r="C9" i="96" l="1"/>
  <c r="D3" i="96"/>
  <c r="C8" i="91"/>
  <c r="C8" i="71"/>
  <c r="C8" i="72"/>
  <c r="C8" i="68"/>
  <c r="D3" i="68"/>
  <c r="D4" i="68"/>
  <c r="C9" i="105"/>
  <c r="C10" i="103"/>
  <c r="C9" i="104"/>
  <c r="D3" i="104"/>
  <c r="C8" i="76"/>
  <c r="C8" i="77"/>
  <c r="D3" i="77"/>
  <c r="C8" i="94"/>
  <c r="C8" i="79"/>
  <c r="C8" i="64"/>
  <c r="C10" i="110"/>
  <c r="C8" i="63"/>
  <c r="D3" i="63"/>
  <c r="C9" i="65"/>
  <c r="D3" i="65"/>
  <c r="C9" i="66"/>
  <c r="C9" i="108"/>
  <c r="D3" i="108"/>
  <c r="C9" i="97"/>
  <c r="C8" i="67"/>
  <c r="C8" i="81"/>
  <c r="C8" i="84"/>
  <c r="C8" i="87"/>
  <c r="C8" i="92"/>
  <c r="D3" i="109"/>
  <c r="C13" i="107"/>
  <c r="C9" i="106"/>
  <c r="D3" i="103"/>
  <c r="C10" i="102"/>
  <c r="D3" i="102"/>
  <c r="C10" i="100"/>
  <c r="C10" i="99"/>
  <c r="C10" i="98"/>
  <c r="C10" i="95"/>
  <c r="D3" i="105"/>
  <c r="D3" i="100"/>
  <c r="D3" i="98"/>
  <c r="C8" i="69"/>
  <c r="C9" i="70"/>
  <c r="C10" i="73"/>
  <c r="C12" i="74"/>
  <c r="C12" i="75"/>
  <c r="C9" i="78"/>
  <c r="D3" i="94"/>
  <c r="C8" i="80"/>
  <c r="C8" i="83"/>
  <c r="D9" i="85"/>
  <c r="E3" i="85"/>
  <c r="C9" i="86"/>
  <c r="C8" i="88"/>
  <c r="C11" i="89"/>
  <c r="C9" i="90"/>
  <c r="D3" i="93"/>
  <c r="D3" i="92"/>
  <c r="D3" i="91"/>
  <c r="D3" i="90"/>
  <c r="D3" i="89"/>
  <c r="D3" i="88"/>
  <c r="D3" i="86"/>
  <c r="D3" i="83"/>
  <c r="D3" i="82"/>
  <c r="D3" i="81"/>
  <c r="D3" i="78"/>
  <c r="D3" i="73"/>
  <c r="D3" i="72"/>
  <c r="D3" i="71"/>
  <c r="D3" i="69"/>
  <c r="D3" i="64"/>
  <c r="C8" i="62" l="1"/>
  <c r="B8" i="62"/>
  <c r="D7" i="62"/>
  <c r="D6" i="62"/>
  <c r="D5" i="62"/>
  <c r="D4" i="62"/>
  <c r="E4" i="62" s="1"/>
  <c r="D3" i="62"/>
  <c r="C8" i="61"/>
  <c r="B8" i="61"/>
  <c r="D7" i="61"/>
  <c r="D6" i="61"/>
  <c r="D5" i="61"/>
  <c r="D4" i="61"/>
  <c r="E4" i="61" s="1"/>
  <c r="D3" i="61"/>
  <c r="B8" i="60"/>
  <c r="C7" i="60"/>
  <c r="C6" i="60"/>
  <c r="C5" i="60"/>
  <c r="C4" i="60"/>
  <c r="D4" i="60" s="1"/>
  <c r="C3" i="60"/>
  <c r="D3" i="60" s="1"/>
  <c r="B8" i="59"/>
  <c r="C7" i="59"/>
  <c r="C6" i="59"/>
  <c r="C5" i="59"/>
  <c r="C8" i="59" s="1"/>
  <c r="C4" i="59"/>
  <c r="D4" i="59" s="1"/>
  <c r="C3" i="59"/>
  <c r="D3" i="59" s="1"/>
  <c r="C8" i="58"/>
  <c r="B8" i="58"/>
  <c r="D7" i="58"/>
  <c r="D6" i="58"/>
  <c r="D5" i="58"/>
  <c r="E4" i="58"/>
  <c r="D3" i="58"/>
  <c r="E3" i="58" s="1"/>
  <c r="B8" i="57"/>
  <c r="C7" i="57"/>
  <c r="C6" i="57"/>
  <c r="C5" i="57"/>
  <c r="C4" i="57"/>
  <c r="D4" i="57" s="1"/>
  <c r="C3" i="57"/>
  <c r="D3" i="57" s="1"/>
  <c r="C8" i="56"/>
  <c r="B8" i="56"/>
  <c r="D7" i="56"/>
  <c r="D6" i="56"/>
  <c r="D5" i="56"/>
  <c r="D4" i="56"/>
  <c r="E4" i="56" s="1"/>
  <c r="D3" i="56"/>
  <c r="E3" i="56" s="1"/>
  <c r="B9" i="54"/>
  <c r="C8" i="54"/>
  <c r="C7" i="54"/>
  <c r="C6" i="54"/>
  <c r="C5" i="54"/>
  <c r="C4" i="54"/>
  <c r="D4" i="54" s="1"/>
  <c r="C3" i="54"/>
  <c r="D3" i="54" s="1"/>
  <c r="C8" i="53"/>
  <c r="B8" i="53"/>
  <c r="D7" i="53"/>
  <c r="D6" i="53"/>
  <c r="D5" i="53"/>
  <c r="D4" i="53"/>
  <c r="E4" i="53" s="1"/>
  <c r="D3" i="53"/>
  <c r="E3" i="53" s="1"/>
  <c r="C9" i="54" l="1"/>
  <c r="C8" i="60"/>
  <c r="D8" i="53"/>
  <c r="D8" i="62"/>
  <c r="E3" i="62"/>
  <c r="D8" i="58"/>
  <c r="C8" i="57"/>
  <c r="D8" i="56"/>
  <c r="D8" i="61"/>
  <c r="E3" i="61"/>
  <c r="C6" i="49" l="1"/>
  <c r="D6" i="49" s="1"/>
  <c r="C7" i="49"/>
  <c r="D7" i="49" s="1"/>
  <c r="C5" i="49"/>
  <c r="D5" i="49" s="1"/>
  <c r="C8" i="49"/>
  <c r="D8" i="49" s="1"/>
  <c r="B9" i="52" l="1"/>
  <c r="C8" i="52"/>
  <c r="C7" i="52"/>
  <c r="C6" i="52"/>
  <c r="C5" i="52"/>
  <c r="D5" i="52" s="1"/>
  <c r="D4" i="52"/>
  <c r="C3" i="52"/>
  <c r="C9" i="51"/>
  <c r="B9" i="51"/>
  <c r="D8" i="51"/>
  <c r="D7" i="51"/>
  <c r="D6" i="51"/>
  <c r="D5" i="51"/>
  <c r="E5" i="51" s="1"/>
  <c r="D4" i="51"/>
  <c r="E4" i="51" s="1"/>
  <c r="C10" i="50"/>
  <c r="B10" i="50"/>
  <c r="D9" i="50"/>
  <c r="D8" i="50"/>
  <c r="D7" i="50"/>
  <c r="D6" i="50"/>
  <c r="E6" i="50" s="1"/>
  <c r="D5" i="50"/>
  <c r="E5" i="50" s="1"/>
  <c r="D4" i="50"/>
  <c r="E4" i="50" s="1"/>
  <c r="D3" i="50"/>
  <c r="E3" i="50" s="1"/>
  <c r="B14" i="49"/>
  <c r="C13" i="49"/>
  <c r="C12" i="49"/>
  <c r="C11" i="49"/>
  <c r="C10" i="49"/>
  <c r="D10" i="49" s="1"/>
  <c r="C9" i="49"/>
  <c r="D9" i="49" s="1"/>
  <c r="C4" i="49"/>
  <c r="D4" i="49" s="1"/>
  <c r="C3" i="49"/>
  <c r="C8" i="48"/>
  <c r="B8" i="48"/>
  <c r="D7" i="48"/>
  <c r="D6" i="48"/>
  <c r="D5" i="48"/>
  <c r="D4" i="48"/>
  <c r="E4" i="48" s="1"/>
  <c r="D3" i="48"/>
  <c r="C8" i="47"/>
  <c r="B8" i="47"/>
  <c r="D7" i="47"/>
  <c r="D6" i="47"/>
  <c r="D5" i="47"/>
  <c r="E4" i="47"/>
  <c r="B9" i="46"/>
  <c r="C8" i="46"/>
  <c r="C7" i="46"/>
  <c r="C6" i="46"/>
  <c r="C5" i="46"/>
  <c r="C4" i="46"/>
  <c r="D4" i="46" s="1"/>
  <c r="C3" i="46"/>
  <c r="D3" i="46" s="1"/>
  <c r="C10" i="45"/>
  <c r="B10" i="45"/>
  <c r="D9" i="45"/>
  <c r="D8" i="45"/>
  <c r="D7" i="45"/>
  <c r="D6" i="45"/>
  <c r="E6" i="45" s="1"/>
  <c r="D5" i="45"/>
  <c r="E5" i="45" s="1"/>
  <c r="D4" i="45"/>
  <c r="E4" i="45" s="1"/>
  <c r="D3" i="45"/>
  <c r="B8" i="44"/>
  <c r="C7" i="44"/>
  <c r="C6" i="44"/>
  <c r="C5" i="44"/>
  <c r="C4" i="44"/>
  <c r="D4" i="44" s="1"/>
  <c r="C3" i="44"/>
  <c r="D3" i="44" s="1"/>
  <c r="D10" i="45" l="1"/>
  <c r="E3" i="45"/>
  <c r="C9" i="52"/>
  <c r="D3" i="52"/>
  <c r="D8" i="48"/>
  <c r="E3" i="48"/>
  <c r="C9" i="46"/>
  <c r="C8" i="44"/>
  <c r="D9" i="51"/>
  <c r="E3" i="51"/>
  <c r="D10" i="50"/>
  <c r="C14" i="49"/>
  <c r="D8" i="47"/>
  <c r="D3" i="49"/>
  <c r="B8" i="43" l="1"/>
  <c r="C7" i="43"/>
  <c r="C6" i="43"/>
  <c r="C5" i="43"/>
  <c r="C8" i="43"/>
  <c r="C9" i="42" l="1"/>
  <c r="B9" i="42"/>
  <c r="D8" i="42"/>
  <c r="D7" i="42"/>
  <c r="D6" i="42"/>
  <c r="D5" i="42"/>
  <c r="E5" i="42" s="1"/>
  <c r="D4" i="42"/>
  <c r="E4" i="42" s="1"/>
  <c r="D3" i="42"/>
  <c r="E3" i="42" s="1"/>
  <c r="D8" i="41"/>
  <c r="C8" i="41"/>
  <c r="B8" i="41"/>
  <c r="E7" i="41"/>
  <c r="E6" i="41"/>
  <c r="E5" i="41"/>
  <c r="F4" i="41"/>
  <c r="D9" i="42" l="1"/>
  <c r="E8" i="41"/>
  <c r="F3" i="41"/>
  <c r="B8" i="39" l="1"/>
  <c r="C7" i="39"/>
  <c r="C6" i="39"/>
  <c r="C5" i="39"/>
  <c r="C4" i="39"/>
  <c r="D4" i="39" s="1"/>
  <c r="C3" i="39"/>
  <c r="B10" i="38"/>
  <c r="C10" i="38"/>
  <c r="B9" i="37"/>
  <c r="C8" i="37"/>
  <c r="C7" i="37"/>
  <c r="C6" i="37"/>
  <c r="C5" i="37"/>
  <c r="D5" i="37" s="1"/>
  <c r="D4" i="37"/>
  <c r="C4" i="37"/>
  <c r="C3" i="37"/>
  <c r="D3" i="37" s="1"/>
  <c r="B8" i="36"/>
  <c r="C7" i="36"/>
  <c r="C6" i="36"/>
  <c r="C5" i="36"/>
  <c r="C4" i="36"/>
  <c r="D4" i="36" s="1"/>
  <c r="C3" i="36"/>
  <c r="B8" i="35"/>
  <c r="C7" i="35"/>
  <c r="C6" i="35"/>
  <c r="C5" i="35"/>
  <c r="C4" i="35"/>
  <c r="D4" i="35" s="1"/>
  <c r="C3" i="35"/>
  <c r="D3" i="35" s="1"/>
  <c r="B8" i="34"/>
  <c r="C7" i="34"/>
  <c r="C6" i="34"/>
  <c r="C5" i="34"/>
  <c r="C4" i="34"/>
  <c r="D4" i="34" s="1"/>
  <c r="C3" i="34"/>
  <c r="B8" i="33"/>
  <c r="C7" i="33"/>
  <c r="C6" i="33"/>
  <c r="C5" i="33"/>
  <c r="C4" i="33"/>
  <c r="D4" i="33" s="1"/>
  <c r="C3" i="33"/>
  <c r="D3" i="33" s="1"/>
  <c r="B8" i="32"/>
  <c r="C7" i="32"/>
  <c r="C6" i="32"/>
  <c r="C5" i="32"/>
  <c r="C4" i="32"/>
  <c r="D4" i="32" s="1"/>
  <c r="C3" i="32"/>
  <c r="D3" i="32" s="1"/>
  <c r="B8" i="31"/>
  <c r="C7" i="31"/>
  <c r="C6" i="31"/>
  <c r="C5" i="31"/>
  <c r="C4" i="31"/>
  <c r="D4" i="31" s="1"/>
  <c r="C3" i="31"/>
  <c r="B8" i="30"/>
  <c r="C7" i="30"/>
  <c r="C6" i="30"/>
  <c r="C5" i="30"/>
  <c r="C4" i="30"/>
  <c r="D4" i="30" s="1"/>
  <c r="C3" i="30"/>
  <c r="D3" i="30" s="1"/>
  <c r="B8" i="29"/>
  <c r="C7" i="29"/>
  <c r="C6" i="29"/>
  <c r="C5" i="29"/>
  <c r="C4" i="29"/>
  <c r="D4" i="29" s="1"/>
  <c r="C3" i="29"/>
  <c r="C8" i="39" l="1"/>
  <c r="D3" i="39"/>
  <c r="C8" i="36"/>
  <c r="D3" i="36"/>
  <c r="C8" i="29"/>
  <c r="D3" i="29"/>
  <c r="C8" i="34"/>
  <c r="D3" i="34"/>
  <c r="C9" i="37"/>
  <c r="C8" i="35"/>
  <c r="C8" i="32"/>
  <c r="C8" i="33"/>
  <c r="C8" i="31"/>
  <c r="C8" i="30"/>
  <c r="D3" i="38"/>
  <c r="D3" i="31"/>
  <c r="B8" i="28" l="1"/>
  <c r="C7" i="28"/>
  <c r="C6" i="28"/>
  <c r="C5" i="28"/>
  <c r="C4" i="28"/>
  <c r="D4" i="28" s="1"/>
  <c r="C3" i="28"/>
  <c r="D3" i="28" s="1"/>
  <c r="C8" i="28" l="1"/>
  <c r="C8" i="22" l="1"/>
  <c r="B8" i="22"/>
  <c r="D7" i="22"/>
  <c r="D6" i="22"/>
  <c r="D5" i="22"/>
  <c r="D4" i="22"/>
  <c r="E4" i="22" s="1"/>
  <c r="D3" i="22"/>
  <c r="E3" i="22" s="1"/>
  <c r="G9" i="21"/>
  <c r="E9" i="21"/>
  <c r="D9" i="21"/>
  <c r="C9" i="21"/>
  <c r="B9" i="21"/>
  <c r="H8" i="21"/>
  <c r="H7" i="21"/>
  <c r="H6" i="21"/>
  <c r="H5" i="21"/>
  <c r="I5" i="21" s="1"/>
  <c r="H4" i="21"/>
  <c r="I3" i="21"/>
  <c r="C8" i="20"/>
  <c r="B8" i="20"/>
  <c r="D7" i="20"/>
  <c r="D6" i="20"/>
  <c r="D5" i="20"/>
  <c r="F9" i="17"/>
  <c r="E9" i="17"/>
  <c r="D9" i="17"/>
  <c r="C9" i="17"/>
  <c r="B9" i="17"/>
  <c r="G8" i="17"/>
  <c r="G7" i="17"/>
  <c r="G5" i="17"/>
  <c r="H5" i="17" s="1"/>
  <c r="G4" i="17"/>
  <c r="H4" i="17" s="1"/>
  <c r="G3" i="17"/>
  <c r="D8" i="20" l="1"/>
  <c r="I4" i="21"/>
  <c r="H9" i="21"/>
  <c r="D8" i="22"/>
  <c r="G9" i="17"/>
  <c r="H3" i="17"/>
  <c r="E8" i="16" l="1"/>
  <c r="D8" i="16"/>
  <c r="C8" i="16"/>
  <c r="B8" i="16"/>
  <c r="F7" i="16"/>
  <c r="F6" i="16"/>
  <c r="F5" i="16"/>
  <c r="F4" i="16"/>
  <c r="G4" i="16" s="1"/>
  <c r="F3" i="16"/>
  <c r="H8" i="14"/>
  <c r="G8" i="14"/>
  <c r="F8" i="14"/>
  <c r="E8" i="14"/>
  <c r="D8" i="14"/>
  <c r="C8" i="14"/>
  <c r="B8" i="14"/>
  <c r="I7" i="14"/>
  <c r="I6" i="14"/>
  <c r="I5" i="14"/>
  <c r="C8" i="13"/>
  <c r="B8" i="13"/>
  <c r="D7" i="13"/>
  <c r="D6" i="13"/>
  <c r="D5" i="13"/>
  <c r="D4" i="13"/>
  <c r="E4" i="13" s="1"/>
  <c r="D3" i="13"/>
  <c r="E3" i="13" s="1"/>
  <c r="D9" i="12"/>
  <c r="C9" i="12"/>
  <c r="B9" i="12"/>
  <c r="E8" i="12"/>
  <c r="E7" i="12"/>
  <c r="E6" i="12"/>
  <c r="E4" i="12"/>
  <c r="F4" i="12" s="1"/>
  <c r="I8" i="14" l="1"/>
  <c r="F8" i="16"/>
  <c r="G3" i="16"/>
  <c r="D8" i="13"/>
  <c r="E9" i="12"/>
  <c r="J3" i="14"/>
  <c r="C9" i="11" l="1"/>
  <c r="B9" i="11"/>
  <c r="D8" i="11"/>
  <c r="D7" i="11"/>
  <c r="D6" i="11"/>
  <c r="D5" i="11"/>
  <c r="E5" i="11" s="1"/>
  <c r="D4" i="11"/>
  <c r="E4" i="11" s="1"/>
  <c r="D3" i="11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B8" i="10"/>
  <c r="Q4" i="10"/>
  <c r="J8" i="9"/>
  <c r="I8" i="9"/>
  <c r="H8" i="9"/>
  <c r="G8" i="9"/>
  <c r="F8" i="9"/>
  <c r="E8" i="9"/>
  <c r="D8" i="9"/>
  <c r="C8" i="9"/>
  <c r="B8" i="9"/>
  <c r="L4" i="9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Q7" i="8"/>
  <c r="Q6" i="8"/>
  <c r="Q5" i="8"/>
  <c r="Q4" i="8"/>
  <c r="R4" i="8" s="1"/>
  <c r="Q3" i="8"/>
  <c r="R3" i="8" s="1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Q7" i="7"/>
  <c r="Q6" i="7"/>
  <c r="Q5" i="7"/>
  <c r="Q4" i="7"/>
  <c r="R4" i="7" s="1"/>
  <c r="L8" i="6"/>
  <c r="K8" i="6"/>
  <c r="J8" i="6"/>
  <c r="I8" i="6"/>
  <c r="H8" i="6"/>
  <c r="G8" i="6"/>
  <c r="F8" i="6"/>
  <c r="E8" i="6"/>
  <c r="D8" i="6"/>
  <c r="C8" i="6"/>
  <c r="B8" i="6"/>
  <c r="E11" i="5"/>
  <c r="D11" i="5"/>
  <c r="C11" i="5"/>
  <c r="B11" i="5"/>
  <c r="D8" i="4"/>
  <c r="C8" i="4"/>
  <c r="B8" i="4"/>
  <c r="D8" i="3"/>
  <c r="C8" i="3"/>
  <c r="B8" i="3"/>
  <c r="D9" i="11" l="1"/>
  <c r="E3" i="11"/>
  <c r="M8" i="6"/>
  <c r="E8" i="4"/>
  <c r="E8" i="3"/>
  <c r="Q8" i="7"/>
  <c r="K8" i="9"/>
  <c r="L3" i="9"/>
  <c r="P8" i="10"/>
  <c r="Q8" i="8"/>
  <c r="F11" i="5"/>
  <c r="Q3" i="10"/>
  <c r="H65" i="1" l="1"/>
  <c r="D65" i="1" l="1"/>
  <c r="D66" i="1" s="1"/>
  <c r="C65" i="1"/>
  <c r="C66" i="1" s="1"/>
</calcChain>
</file>

<file path=xl/sharedStrings.xml><?xml version="1.0" encoding="utf-8"?>
<sst xmlns="http://schemas.openxmlformats.org/spreadsheetml/2006/main" count="1892" uniqueCount="884">
  <si>
    <t>County</t>
  </si>
  <si>
    <t>Total Votes by County</t>
  </si>
  <si>
    <t xml:space="preserve">Albany County </t>
  </si>
  <si>
    <t xml:space="preserve">Allegany County </t>
  </si>
  <si>
    <t xml:space="preserve">Broome County </t>
  </si>
  <si>
    <t xml:space="preserve">Cattaraugus County </t>
  </si>
  <si>
    <t xml:space="preserve">Cayuga County </t>
  </si>
  <si>
    <t xml:space="preserve">Chautauqua County </t>
  </si>
  <si>
    <t xml:space="preserve">Chemung County </t>
  </si>
  <si>
    <t xml:space="preserve">Chenango County </t>
  </si>
  <si>
    <t xml:space="preserve">Clinton County </t>
  </si>
  <si>
    <t xml:space="preserve">Columbia County </t>
  </si>
  <si>
    <t xml:space="preserve">Cortland County </t>
  </si>
  <si>
    <t xml:space="preserve">Delaware County </t>
  </si>
  <si>
    <t xml:space="preserve">Dutchess County </t>
  </si>
  <si>
    <t xml:space="preserve">Erie County </t>
  </si>
  <si>
    <t xml:space="preserve">Franklin County </t>
  </si>
  <si>
    <t xml:space="preserve">Fulton County </t>
  </si>
  <si>
    <t xml:space="preserve">Genesee County </t>
  </si>
  <si>
    <t xml:space="preserve">Greene County </t>
  </si>
  <si>
    <t xml:space="preserve">Hamilton County </t>
  </si>
  <si>
    <t xml:space="preserve">Herkimer County </t>
  </si>
  <si>
    <t xml:space="preserve">Jefferson County </t>
  </si>
  <si>
    <t xml:space="preserve">Lewis County </t>
  </si>
  <si>
    <t>Livingston County</t>
  </si>
  <si>
    <t xml:space="preserve">Madison County </t>
  </si>
  <si>
    <t xml:space="preserve">Monroe County </t>
  </si>
  <si>
    <t xml:space="preserve">Montgomery County </t>
  </si>
  <si>
    <t xml:space="preserve">Nassau County </t>
  </si>
  <si>
    <t xml:space="preserve">Niagara County </t>
  </si>
  <si>
    <t xml:space="preserve">Oneida County </t>
  </si>
  <si>
    <t xml:space="preserve">Onondaga County </t>
  </si>
  <si>
    <t xml:space="preserve">Ontario County </t>
  </si>
  <si>
    <t xml:space="preserve">Orange County </t>
  </si>
  <si>
    <t xml:space="preserve">Orleans County </t>
  </si>
  <si>
    <t xml:space="preserve">Oswego County </t>
  </si>
  <si>
    <t xml:space="preserve">Otsego County </t>
  </si>
  <si>
    <t xml:space="preserve">Putnam County </t>
  </si>
  <si>
    <t xml:space="preserve">Rensselaer County </t>
  </si>
  <si>
    <t xml:space="preserve">Rockland County </t>
  </si>
  <si>
    <t xml:space="preserve">St. Lawrence County </t>
  </si>
  <si>
    <t xml:space="preserve">Saratoga County </t>
  </si>
  <si>
    <t xml:space="preserve">Schenectady County </t>
  </si>
  <si>
    <t xml:space="preserve">Schoharie County </t>
  </si>
  <si>
    <t xml:space="preserve">Schuyler County </t>
  </si>
  <si>
    <t xml:space="preserve">Seneca County </t>
  </si>
  <si>
    <t xml:space="preserve">Steuben County </t>
  </si>
  <si>
    <t xml:space="preserve">Suffolk County </t>
  </si>
  <si>
    <t xml:space="preserve">Sullivan County </t>
  </si>
  <si>
    <t xml:space="preserve">Tioga County </t>
  </si>
  <si>
    <t xml:space="preserve">Tompkins County </t>
  </si>
  <si>
    <t xml:space="preserve">Ulster County </t>
  </si>
  <si>
    <t xml:space="preserve">Warren County </t>
  </si>
  <si>
    <t xml:space="preserve">Washington County </t>
  </si>
  <si>
    <t xml:space="preserve">Wayne County </t>
  </si>
  <si>
    <t xml:space="preserve">Westchester County </t>
  </si>
  <si>
    <t xml:space="preserve">Wyoming County </t>
  </si>
  <si>
    <t xml:space="preserve">Yates County </t>
  </si>
  <si>
    <t xml:space="preserve">Bronx County </t>
  </si>
  <si>
    <t xml:space="preserve">Kings County </t>
  </si>
  <si>
    <t xml:space="preserve">New York County </t>
  </si>
  <si>
    <t xml:space="preserve">Queens County </t>
  </si>
  <si>
    <t xml:space="preserve">Richmond County </t>
  </si>
  <si>
    <t>Total Votes by Party</t>
  </si>
  <si>
    <t>Total Votes by Candidate</t>
  </si>
  <si>
    <t xml:space="preserve">Essex County </t>
  </si>
  <si>
    <t>Candidate Name (Party)</t>
  </si>
  <si>
    <t>Part of Nassau County 
Vote Results</t>
  </si>
  <si>
    <t>Part of Suffolk County 
Vote Results</t>
  </si>
  <si>
    <t>Blank</t>
  </si>
  <si>
    <t>Void</t>
  </si>
  <si>
    <t>Scattering</t>
  </si>
  <si>
    <t>Part of Queens County 
Vote Results</t>
  </si>
  <si>
    <t>Part of Dutchess County
Vote Results</t>
  </si>
  <si>
    <t>Putnam County
Vote Results</t>
  </si>
  <si>
    <t>Rockland County 
Vote Results</t>
  </si>
  <si>
    <t>Part of Westchester County 
Vote Results</t>
  </si>
  <si>
    <t>Broome County 
Vote Results</t>
  </si>
  <si>
    <t>Chenango County 
Vote Results</t>
  </si>
  <si>
    <t>Columbia County 
Vote Results</t>
  </si>
  <si>
    <t>Part of Cortland County 
Vote Results</t>
  </si>
  <si>
    <t>Delaware County 
Vote Results</t>
  </si>
  <si>
    <t>Greene County 
Vote Results</t>
  </si>
  <si>
    <t>Otsego County 
Vote Results</t>
  </si>
  <si>
    <t>Part of Rensselaer County 
Vote Results</t>
  </si>
  <si>
    <t>Sullivan County 
Vote Results</t>
  </si>
  <si>
    <t>Tompkins County 
Vote Results</t>
  </si>
  <si>
    <t>Part of Ulster County 
Vote Results</t>
  </si>
  <si>
    <t>Herkimer County  
Vote Results</t>
  </si>
  <si>
    <t>Part of Jefferson County 
Vote Results</t>
  </si>
  <si>
    <t>Lewis County 
Vote Results</t>
  </si>
  <si>
    <t>Part of Montgomery County 
Vote Results</t>
  </si>
  <si>
    <t>Part of Oneida County 
Vote Results</t>
  </si>
  <si>
    <t>Part of Saratoga County 
Vote Results</t>
  </si>
  <si>
    <t>St. Lawrence County 
Vote Results</t>
  </si>
  <si>
    <t>Schoharie County 
Vote Results</t>
  </si>
  <si>
    <t>Warren County 
Vote Results</t>
  </si>
  <si>
    <t>Washington County 
Vote Results</t>
  </si>
  <si>
    <t>Allegany County 
Vote Results</t>
  </si>
  <si>
    <t>Cattaraugus County 
Vote Results</t>
  </si>
  <si>
    <t>Chautauqua County 
Vote Results</t>
  </si>
  <si>
    <t>Chemung County 
Vote Results</t>
  </si>
  <si>
    <t>Part of Erie County 
Vote Results</t>
  </si>
  <si>
    <t>Part of Niagara County 
Vote Results</t>
  </si>
  <si>
    <t>Part of Schuyler County 
Vote Results</t>
  </si>
  <si>
    <t>Part of Steuben County 
Vote Results</t>
  </si>
  <si>
    <t>Tioga County 
Vote Results</t>
  </si>
  <si>
    <t>Part of Cayuga County 
Vote Results</t>
  </si>
  <si>
    <t>Genesee County 
Vote Results</t>
  </si>
  <si>
    <t>Livingston County 
Vote Results</t>
  </si>
  <si>
    <t>Part of Ontario County 
Vote Results</t>
  </si>
  <si>
    <t>Orleans County 
Vote Results</t>
  </si>
  <si>
    <t>Oswego County 
Vote Results</t>
  </si>
  <si>
    <t>Seneca County 
Vote Results</t>
  </si>
  <si>
    <t>Wayne County 
Vote Results</t>
  </si>
  <si>
    <t>Wyoming County 
Vote Results</t>
  </si>
  <si>
    <t>Yates County 
Vote Results</t>
  </si>
  <si>
    <t>Monroe County Vote Results</t>
  </si>
  <si>
    <t>Part of Ontario County Vote Results</t>
  </si>
  <si>
    <t>Part of Dutchess County 
Vote Results</t>
  </si>
  <si>
    <t>Part of Orange County 
Vote Results</t>
  </si>
  <si>
    <t>Part of Putnam County 
Vote Results</t>
  </si>
  <si>
    <t>Saratoga County 
Vote Results</t>
  </si>
  <si>
    <t>Part of Schenectady County 
Vote Results</t>
  </si>
  <si>
    <t>Part of Broome County 
Vote Results</t>
  </si>
  <si>
    <t>Part of Chenango County 
Vote Results</t>
  </si>
  <si>
    <t>Part of Monroe County 
Vote Results</t>
  </si>
  <si>
    <t>Ontario County 
Vote Results</t>
  </si>
  <si>
    <t>Part of Albany County 
Vote Results</t>
  </si>
  <si>
    <t>Part of Delaware County 
Vote Results</t>
  </si>
  <si>
    <t>Part of Otsego County 
Vote Results</t>
  </si>
  <si>
    <t>Part of Columbia County 
Vote Results</t>
  </si>
  <si>
    <t>Part of Fulton County 
Vote Results</t>
  </si>
  <si>
    <t>Hamilton County 
Vote Results</t>
  </si>
  <si>
    <t>Part of Herkimer County 
Vote Results</t>
  </si>
  <si>
    <t>Part of Otsego 
Vote Results</t>
  </si>
  <si>
    <t>Part of Rockland County 
Vote Results</t>
  </si>
  <si>
    <t>Part of Onondaga County 
Vote Results</t>
  </si>
  <si>
    <t>Thomas R. Suozzi (DEM)</t>
  </si>
  <si>
    <t>Danielle Welch (DEM)</t>
  </si>
  <si>
    <t>Michael J. LiPetri Jr (REP)</t>
  </si>
  <si>
    <t>Greg Hach (REP)</t>
  </si>
  <si>
    <t>State Comptroller - Democratic - Primary Election - June 23, 2026</t>
  </si>
  <si>
    <t>Representative in Congress 17th Congressional District - Democratic - Primary Election - June 23, 2026</t>
  </si>
  <si>
    <t>Effie Guadalupe Phillips-Staley (DEM)</t>
  </si>
  <si>
    <t>Beth Davidson (DEM)</t>
  </si>
  <si>
    <t>John Cappello (DEM)</t>
  </si>
  <si>
    <t>Michael Sacks (DEM)</t>
  </si>
  <si>
    <t>Representative in Congress 19th Congressional District - Republican - Primary Election - June 23, 2026</t>
  </si>
  <si>
    <t>Alexander M. Portelli (REP)</t>
  </si>
  <si>
    <t>Peter K. Oberacker (REP)</t>
  </si>
  <si>
    <t>Representative in Congress 21st Congressional District - Democratic - Primary Election - June 23, 2026</t>
  </si>
  <si>
    <t>Stuart J. Amoriell (DEM)</t>
  </si>
  <si>
    <t>Blake Gendebien (DEM)</t>
  </si>
  <si>
    <t>Clinton County 
Vote Results</t>
  </si>
  <si>
    <t>Essex County 
Vote Results</t>
  </si>
  <si>
    <t>Franklin County
 Vote Results</t>
  </si>
  <si>
    <t>Fulton County
 Vote Results</t>
  </si>
  <si>
    <t>Hamilton County
 Vote Results</t>
  </si>
  <si>
    <t>Representative in Congress 21st Congressional District - Republican - Primary Election - June 23, 2026</t>
  </si>
  <si>
    <t>Clinton County
 Vote Results</t>
  </si>
  <si>
    <t>Essex County
 Vote Results</t>
  </si>
  <si>
    <t>Robert J. Smullen (REP)</t>
  </si>
  <si>
    <t>Anthony Constantino (REP)</t>
  </si>
  <si>
    <t>Representative in Congress 23rd Congressional District - Democratic - Primary Election - June 23, 2026</t>
  </si>
  <si>
    <t>Aaron Gies (DEM)</t>
  </si>
  <si>
    <t>Kevin T. Stocker (DEM)</t>
  </si>
  <si>
    <t>Representative in Congress 24th Congressional District - Democratic - Primary Election - June 23, 2026</t>
  </si>
  <si>
    <t>Alissa J. Ellman (DEM)</t>
  </si>
  <si>
    <t>Diana K. Kastenbaum (DEM)</t>
  </si>
  <si>
    <t>Joseph D. Morelle (DEM)</t>
  </si>
  <si>
    <t>Sherita S. Traywick (DEM)</t>
  </si>
  <si>
    <t>State Senator 39th Senate District - Democratic - Primary Election - June 23, 2026</t>
  </si>
  <si>
    <t>Gay Lee (DEM)</t>
  </si>
  <si>
    <t>Lisa Kaul (DEM)</t>
  </si>
  <si>
    <t>Evan R. Menist (DEM)</t>
  </si>
  <si>
    <t>State Senator 44th Senate District - Democratic - Primary Election - June 23, 2026</t>
  </si>
  <si>
    <t>Sarah F. Rogerson (DEM)</t>
  </si>
  <si>
    <t>Patrick F. Nelson (DEM)</t>
  </si>
  <si>
    <t>State Senator 51st Senate District - Republican - Primary Election - June 23, 2026</t>
  </si>
  <si>
    <t>Terry Bernardo (REP)</t>
  </si>
  <si>
    <t>Christopher W. Tague (REP)</t>
  </si>
  <si>
    <t>State Senator 54th Senate District - Democratic - Primary Election - June 23, 2026</t>
  </si>
  <si>
    <t>Scott Comegys (DEM)</t>
  </si>
  <si>
    <t>Michael Mills (DEM)</t>
  </si>
  <si>
    <t>Member of Assembly 102nd Assembly District - Democratic - Primary Election - June 23, 2026</t>
  </si>
  <si>
    <t>Thomas Boomhower (DEM)</t>
  </si>
  <si>
    <t>Janet S. Tweed (DEM)</t>
  </si>
  <si>
    <t>Mary T. Finneran (DEM)</t>
  </si>
  <si>
    <t>Member of Assembly 106th Assembly District - Democratic - Primary Election - June 23, 2026</t>
  </si>
  <si>
    <t>Didi Barrett (DEM)</t>
  </si>
  <si>
    <t>Samuel Hodge (DEM)</t>
  </si>
  <si>
    <t>Member of Assembly 118th Assembly District - Republican - Primary Election - June 23, 2026</t>
  </si>
  <si>
    <t>Heather A. Scribner (REP)</t>
  </si>
  <si>
    <t>Charles Potter (REP)</t>
  </si>
  <si>
    <t>Chanda King (REP)</t>
  </si>
  <si>
    <t>Member of Assembly 120th Assembly District - Democratic Primary Election - June 23, 2026</t>
  </si>
  <si>
    <t>Timothy C. Allers (DEM)</t>
  </si>
  <si>
    <t>Jim Cannon (DEM)</t>
  </si>
  <si>
    <t>Member of Assembly 130th Assembly District - Democratic - Primary Election - June 23, 2026</t>
  </si>
  <si>
    <t>Carl Fitzsimmons (DEM)</t>
  </si>
  <si>
    <t>Joseph Lamanna (DEM)</t>
  </si>
  <si>
    <t>Member of Assembly 130th Assembly District - Republican - Primary Election - June 23, 2026</t>
  </si>
  <si>
    <t>Summer L. Johnson (REP)</t>
  </si>
  <si>
    <t>George Dobbins (REP)</t>
  </si>
  <si>
    <t>Mark C. Johns (REP)</t>
  </si>
  <si>
    <t>Representative in Congress 3rd Congressional District - Republican - Primary Election - June 23, 2026</t>
  </si>
  <si>
    <t>Representative in Congress 4th Congressional District - Republican - Primary Election - June 23, 2026</t>
  </si>
  <si>
    <t>Jeanine C. Driscoll (REP)</t>
  </si>
  <si>
    <t>Marvin Williams (REP)</t>
  </si>
  <si>
    <t>Member of Assembly 137th Assembly District - Democratic - Primary Election - June 23, 2026</t>
  </si>
  <si>
    <t>Demond L. Meeks (DEM)</t>
  </si>
  <si>
    <t>Mercedes Vazquez-Simmons (DEM)</t>
  </si>
  <si>
    <t>Part of Kings County Vote Results</t>
  </si>
  <si>
    <t>Part of Queens County Vote Results</t>
  </si>
  <si>
    <t>Part of Kings County 
Vote Results</t>
  </si>
  <si>
    <t>Part of New York County 
Vote Results</t>
  </si>
  <si>
    <t>Richmond County 
Vote Results</t>
  </si>
  <si>
    <t>Part of New York County Vote Results</t>
  </si>
  <si>
    <t>Part of Bronx County 
Vote Results</t>
  </si>
  <si>
    <t>Representative in Congress 6th Congressional District - Democratic - Primary Election - June 23, 2026</t>
  </si>
  <si>
    <t>Representative in Congress 7th Congressional District - Democratic - Primary Election - June 23, 2026</t>
  </si>
  <si>
    <t>Representative in Congress 9th Congressional District - Democratic - Primary Election - June 23, 2026</t>
  </si>
  <si>
    <t>Representative in Congress 10th Congressional District - Democratic - Primary Election - June 23, 2026</t>
  </si>
  <si>
    <t>Representative in Congress 12th Congressional District - Democratic - Primary Election - June 23, 2026</t>
  </si>
  <si>
    <t>Representative in Congress 13th Congressional District - Democratic - Primary Election - June 23, 2026</t>
  </si>
  <si>
    <t>Representative in Congress 14th Congressional District - Democratic - Primary Election - June 23, 2026</t>
  </si>
  <si>
    <t>Representative in Congress 15th Congressional District - Democratic - Primary Election - June 23, 2026</t>
  </si>
  <si>
    <t>Grace Meng (DEM)</t>
  </si>
  <si>
    <t>Chuck Park (DEM)</t>
  </si>
  <si>
    <t>Vichal Kumar (DEM)</t>
  </si>
  <si>
    <t>Antonio Reynoso (DEM)</t>
  </si>
  <si>
    <t>Claire Valdez (DEM)</t>
  </si>
  <si>
    <t>Julie Won (DEM)</t>
  </si>
  <si>
    <t>Mike Goldfarb (DEM)</t>
  </si>
  <si>
    <t>Yvette D. Clarke (DEM)</t>
  </si>
  <si>
    <t>Joshua A. Bristol (DEM)</t>
  </si>
  <si>
    <t>Dan Goldman (DEM)</t>
  </si>
  <si>
    <t>Brad Lander (DEM)</t>
  </si>
  <si>
    <t>Allison Ziogas (DEM)</t>
  </si>
  <si>
    <t>Mike DeCillis (DEM)</t>
  </si>
  <si>
    <t>Representative in Congress 11th Congressional District - Democratic - Primary Election -  June 23, 2026</t>
  </si>
  <si>
    <t>Nina Schwalbe (DEM)</t>
  </si>
  <si>
    <t>Patrick Timmins (DEM)</t>
  </si>
  <si>
    <t>Chris Diep (DEM)</t>
  </si>
  <si>
    <t>George Conway (DEM)</t>
  </si>
  <si>
    <t>Laura Dunn (DEM)</t>
  </si>
  <si>
    <t>Micah C. Lasher (DEM)</t>
  </si>
  <si>
    <t>Alex Bores (DEM)</t>
  </si>
  <si>
    <t>Jack Kennedy Schlossberg (DEM)</t>
  </si>
  <si>
    <t>Theo Bruce Chino-Tavarez (DEM)</t>
  </si>
  <si>
    <t>Darializa Avila Chevalier (DEM)</t>
  </si>
  <si>
    <t>Adriano Espaillat (DEM)</t>
  </si>
  <si>
    <t>Alexandria Ocasio-Cortez (DEM)</t>
  </si>
  <si>
    <t>Felipe Garcia (DEM)</t>
  </si>
  <si>
    <t>Marty Dolan (DEM)</t>
  </si>
  <si>
    <t>Ritchie Torres (DEM)</t>
  </si>
  <si>
    <t>Jose Vega (DEM)</t>
  </si>
  <si>
    <t>Michael Blake (DEM)</t>
  </si>
  <si>
    <t>Part of Richmond County 
Vote Results</t>
  </si>
  <si>
    <t>State Senator 12th Senate District - Democratic - Primary Election - June 23, 2026</t>
  </si>
  <si>
    <t>Steven B. Raga (DEM)</t>
  </si>
  <si>
    <t>Aber Kawas (DEM)</t>
  </si>
  <si>
    <t>State Senator 13th Senate District - Democratic - Primary Election - June 23, 2026</t>
  </si>
  <si>
    <t>Jessica Ramos (DEM)</t>
  </si>
  <si>
    <t>Hiram Monserrate (DEM)</t>
  </si>
  <si>
    <t>Jessica Gonzalez-Rojas (DEM)</t>
  </si>
  <si>
    <t>State Senator 15th Senate District - Democratic - Primary Election - June 23, 2026</t>
  </si>
  <si>
    <t>Albert Baldeo (DEM)</t>
  </si>
  <si>
    <t>State Senator 22nd Senate District - Republican - Primary Election - June 23, 2026</t>
  </si>
  <si>
    <t>Bernard Vaiselberg (REP)</t>
  </si>
  <si>
    <t>State Senator 23rd Senate District -  Democratic - Primary Election - June 23, 2026</t>
  </si>
  <si>
    <t>Jessica Scarcella-Spanton (DEM)</t>
  </si>
  <si>
    <t>State Senator 25th Senate District - Democratic - Primary Election - June 23, 2026</t>
  </si>
  <si>
    <t>Marlon Rice (DEM)</t>
  </si>
  <si>
    <t>Jabari Brisport (DEM)</t>
  </si>
  <si>
    <t>State Senator 27th Senate District - Democratic - Primary Election - June 23, 2026</t>
  </si>
  <si>
    <t>Yuh-Line Niou (DEM)</t>
  </si>
  <si>
    <t>Grace Lee (DEM)</t>
  </si>
  <si>
    <t>State Senator 29th Senate District - Democratic - Primary Election - June 23, 2026</t>
  </si>
  <si>
    <t>Nicholas Reyes (DEM)</t>
  </si>
  <si>
    <t>Jose M. Serrano (DEM)</t>
  </si>
  <si>
    <t>State Senator 31st Senate District - Democratic - Primary Election - June 23, 2026</t>
  </si>
  <si>
    <t>Robert Jackson (DEM)</t>
  </si>
  <si>
    <t>Nayma Silver-Matos (DEM)</t>
  </si>
  <si>
    <t>Member of Assembly 23rd Assembly District - Democratic - Primary Election - June 23, 2026</t>
  </si>
  <si>
    <t>Mike Scala (DEM)</t>
  </si>
  <si>
    <t>Member of Assembly 26th Assembly District - Republican - Primary Election - June 23, 2026</t>
  </si>
  <si>
    <t>Philip Sean Grillo (REP)</t>
  </si>
  <si>
    <t>Member of Assembly 28th Assembly District - Democratic - Primary Election - June 23, 2026</t>
  </si>
  <si>
    <t>Andrew D. Hevesi (DEM)</t>
  </si>
  <si>
    <t>Jonathan D. Rinaldi (DEM)</t>
  </si>
  <si>
    <t>Member of Assembly 30th Assembly District - Democratic - Primary Election - June 23, 2026</t>
  </si>
  <si>
    <t>Somnath Ghimire (DEM)</t>
  </si>
  <si>
    <t>Patrick Martinez (DEM)</t>
  </si>
  <si>
    <t>Shamsul Haque (DEM)</t>
  </si>
  <si>
    <t>Mohammed J. Molla (DEM)</t>
  </si>
  <si>
    <t>Latoya L. LeGrand (DEM)</t>
  </si>
  <si>
    <t>Tunisia Morrison (DEM)</t>
  </si>
  <si>
    <t>Queen Johnson (DEM)</t>
  </si>
  <si>
    <t>Member of Assembly 33rd Assembly District - Democratic - Primary Election - June 23, 2026</t>
  </si>
  <si>
    <t>Oster Bryan (DEM)</t>
  </si>
  <si>
    <t>Clyde Vanel (DEM)</t>
  </si>
  <si>
    <t>Member of Assembly 34th Assembly District - Democratic - Primary Election - June 23, 2026</t>
  </si>
  <si>
    <t>Brian Romero (DEM)</t>
  </si>
  <si>
    <t>Rosa Sanchez (DEM)</t>
  </si>
  <si>
    <t>Member of Assembly 36th Assembly District - Democratic - Primary Election - June 23, 2026</t>
  </si>
  <si>
    <t>Mary Jobaida (DEM)</t>
  </si>
  <si>
    <t>Diana C. Moreno (DEM)</t>
  </si>
  <si>
    <t>Member of Assembly 37th Assembly District - Democratic - Primary Election - June 23, 2026</t>
  </si>
  <si>
    <t>Samantha Kattan (DEM)</t>
  </si>
  <si>
    <t>Pia Rahman (DEM)</t>
  </si>
  <si>
    <t>Melissa Orlando (DEM)</t>
  </si>
  <si>
    <t>Member of Assembly 38th Assembly District - Democratic - Primary Election - June 23, 2026</t>
  </si>
  <si>
    <t>David Orkin (DEM)</t>
  </si>
  <si>
    <t>Jenifer Rajkumar (DEM)</t>
  </si>
  <si>
    <t>Member of Assembly 39th Assembly District - Democratic - Primary Election - June 23, 2026</t>
  </si>
  <si>
    <t>Catalina Cruz (DEM)</t>
  </si>
  <si>
    <t>Yonel E. Letellier Sosa (DEM)</t>
  </si>
  <si>
    <t>Member of Assembly 43rd Assembly District - Democratic - Primary Election - June 23, 2026</t>
  </si>
  <si>
    <t>Ahron Gluck (DEM)</t>
  </si>
  <si>
    <t>Brian-Christopher A. Cunningham (DEM)</t>
  </si>
  <si>
    <t>Member of Assembly 46th Assembly District - Democratic - Primary Election - June 23, 2026</t>
  </si>
  <si>
    <t>Joseph Santangelo (DEM)</t>
  </si>
  <si>
    <t>Chris McCreight (DEM)</t>
  </si>
  <si>
    <t>Member of Assembly 50th Assembly District - Democratic - Primary Election - June 23, 2026</t>
  </si>
  <si>
    <t>Emily Gallagher (DEM)</t>
  </si>
  <si>
    <t>Andrew Bodiford (DEM)</t>
  </si>
  <si>
    <t>Member of Assembly 52nd Assembly District - Democratic - Primary Election - June 23, 2026</t>
  </si>
  <si>
    <t>Jo Anne Simon (DEM)</t>
  </si>
  <si>
    <t>Lydia Bella Green (DEM)</t>
  </si>
  <si>
    <t>Christian Celeste Tate (DEM)</t>
  </si>
  <si>
    <t>Erik Martin Dilan (DEM)</t>
  </si>
  <si>
    <t>Member of Assembly 54th Assembly District - Democratic - Primary Election - June 23, 2026</t>
  </si>
  <si>
    <t>Member of Assembly 56th Assembly District - Democratic - Primary Election - June 23, 2026</t>
  </si>
  <si>
    <t>Michael Bailey (DEM)</t>
  </si>
  <si>
    <t>Stefani L. Zinerman (DEM)</t>
  </si>
  <si>
    <t>Eon Huntley (DEM)</t>
  </si>
  <si>
    <t>Member of Assembly 57th Assembly District - Democratic - Primary Election - June 23, 2026</t>
  </si>
  <si>
    <t>Samantha N. Johnson (DEM)</t>
  </si>
  <si>
    <t>Phara Souffrant Forrest (DEM)</t>
  </si>
  <si>
    <t>Member of Assembly 59th Assembly District - Democratic - Primary Election - June 23, 2026</t>
  </si>
  <si>
    <t>Jaime R. Williams (DEM)</t>
  </si>
  <si>
    <t>Member of Assembly 65th Assembly District - Democratic - Primary Election - June 23, 2026</t>
  </si>
  <si>
    <t>Jasmin Sanchez (DEM)</t>
  </si>
  <si>
    <t>Illapa Sairitupac (DEM)</t>
  </si>
  <si>
    <t>Mariama N. James (DEM)</t>
  </si>
  <si>
    <t>Wei-Li Tjong (DEM)</t>
  </si>
  <si>
    <t>Lilah Mejia (DEM)</t>
  </si>
  <si>
    <t>Jay Jacky Wong (DEM)</t>
  </si>
  <si>
    <t>Member of Assembly 66th Assembly District - Democratic - Primary Election - June 23, 2026</t>
  </si>
  <si>
    <t>David Siffert (DEM)</t>
  </si>
  <si>
    <t>Benjamin Yee (DEM)</t>
  </si>
  <si>
    <t>Furhan Ahmad (DEM)</t>
  </si>
  <si>
    <t>Ryder Kessler (DEM)</t>
  </si>
  <si>
    <t>Jeannine Kiely (DEM)</t>
  </si>
  <si>
    <t>Corinne Arnold (DEM)</t>
  </si>
  <si>
    <t>Member of Assembly 68th Assembly District - Democratic - Primary Election - June 23, 2026</t>
  </si>
  <si>
    <t>Diana I. Ayala (DEM)</t>
  </si>
  <si>
    <t>Edward Gibbs (DEM)</t>
  </si>
  <si>
    <t>Tamika Mapp (DEM)</t>
  </si>
  <si>
    <t>William Smith (DEM)</t>
  </si>
  <si>
    <t>Member of Assembly 69th Assembly District - Democratic - Primary Election - June 23, 2026</t>
  </si>
  <si>
    <t>Stephanie R. Ruskay (DEM)</t>
  </si>
  <si>
    <t>Member of Assembly 70th Assembly District - Democratic - Primary Election - June 23, 2026</t>
  </si>
  <si>
    <t>Conrad Blackburn (DEM)</t>
  </si>
  <si>
    <t>Jordan J.G. Wright (DEM)</t>
  </si>
  <si>
    <t>Member of Assembly 71st Assembly District - Democratic - Primary Election - June 23, 2026</t>
  </si>
  <si>
    <t>Al Taylor (DEM)</t>
  </si>
  <si>
    <t>Rolando Gomez (DEM)</t>
  </si>
  <si>
    <t>Julien Segura (DEM)</t>
  </si>
  <si>
    <t>Francesca Castellanos (DEM)</t>
  </si>
  <si>
    <t>Manny De Los Santos (DEM)</t>
  </si>
  <si>
    <t>Tony Simone (DEM)</t>
  </si>
  <si>
    <t>Member of Assembly 75th Assembly District - Democratic - Primary Election - June 23, 2026</t>
  </si>
  <si>
    <t>Member of Assembly 81st Assembly District - Democratic - Primary Election - June 23, 2026</t>
  </si>
  <si>
    <t>Jeffrey Dinowitz (DEM)</t>
  </si>
  <si>
    <t>Morgan Evers (DEM)</t>
  </si>
  <si>
    <t>Member of Assembly 82nd Assembly District - Democratic - Primary Election - June 23, 2026</t>
  </si>
  <si>
    <t>Jake Kuhl (DEM)</t>
  </si>
  <si>
    <t>Felix Omozusi (DEM)</t>
  </si>
  <si>
    <t>Michael R. Benedetto (DEM)</t>
  </si>
  <si>
    <t>Member of Assembly 84th Assembly District - Democratic - Primary Election - June 23, 2026</t>
  </si>
  <si>
    <t>Courtland W. Hankins (DEM)</t>
  </si>
  <si>
    <t>Amanda N. Septimo (DEM)</t>
  </si>
  <si>
    <t>Hector Feliciano (DEM)</t>
  </si>
  <si>
    <t>Member of Assembly 86th Assembly District - Republican - Primary Election - June 23, 2026</t>
  </si>
  <si>
    <t>Maria Diaz (REP)</t>
  </si>
  <si>
    <t>Shery A. Olivo (REP)</t>
  </si>
  <si>
    <t>Member of Assembly 87th Assembly District - Democratic - Primary Election - June 23, 2026</t>
  </si>
  <si>
    <t>Karines Reyes (DEM)</t>
  </si>
  <si>
    <t>Zakir Choudhury (DEM)</t>
  </si>
  <si>
    <t>Jamilla A. Uddin - F (DEM)</t>
  </si>
  <si>
    <t>Albert Baldeo - M (DEM)</t>
  </si>
  <si>
    <t>Usha I. Raghunath - F (DEM)</t>
  </si>
  <si>
    <t>State Committee 34th Assembly District - Democratic - Primary Election - June 23, 2026
Vote for 2</t>
  </si>
  <si>
    <t>Luis P. Montalvo - M (DEM)</t>
  </si>
  <si>
    <t>Carolina Maria Korth - F (DEM)</t>
  </si>
  <si>
    <t>John G. Scott - M (DEM)</t>
  </si>
  <si>
    <t>State Committee 35th Assembly District - Democratic - Primary Election - June 23, 2026
Vote for 2</t>
  </si>
  <si>
    <t>Lidia V. Alvarado - F (DEM)</t>
  </si>
  <si>
    <t>William A. Espinal - M (DEM)</t>
  </si>
  <si>
    <t>Trenise Jessica Fuller - F (DEM)</t>
  </si>
  <si>
    <t>Alberto Ossa - M (DEM)</t>
  </si>
  <si>
    <t>Gabriela Perez - F (DEM)</t>
  </si>
  <si>
    <t>Kevin I. Jusino - M (DEM)</t>
  </si>
  <si>
    <t>Yanna M. Henriquez - F (DEM)</t>
  </si>
  <si>
    <t>State Committee 43rd Assembly District - Democratic - Primary Election - June 23, 2026
Vote for 2</t>
  </si>
  <si>
    <t>Michelle Tege - F (DEM)</t>
  </si>
  <si>
    <t>Anthony Beckford - M (DEM)</t>
  </si>
  <si>
    <t>Nakisha O. Evans - F (DEM)</t>
  </si>
  <si>
    <t>Akel K. Williams - M (DEM)</t>
  </si>
  <si>
    <t>State Committee 54th Assembly District - Democratic - Primary Election - June 23, 2026
Vote for 2</t>
  </si>
  <si>
    <t>Alan Gamboa - M (DEM)</t>
  </si>
  <si>
    <t>Sandy Nurse - F (DEM)</t>
  </si>
  <si>
    <t>Arleny Alvarado-McCalla - F (DEM)</t>
  </si>
  <si>
    <t>Heriberto Mateo - M (DEM)</t>
  </si>
  <si>
    <t>State Committee 56th Assembly District - Democratic - Primary Election - June 23, 2026
Vote for 2</t>
  </si>
  <si>
    <t>Henry L. Butler - M (DEM)</t>
  </si>
  <si>
    <t>Carmella C. Charrington - F (DEM)</t>
  </si>
  <si>
    <t>Omar Hardy - M (DEM)</t>
  </si>
  <si>
    <t>State Committee 57th Assembly District - Democratic - Primary Election - June 23, 2026
Vote for 2</t>
  </si>
  <si>
    <t>Shaquana D. Boykin - F (DEM)</t>
  </si>
  <si>
    <t>Akwasi Agyeman - M (DEM)</t>
  </si>
  <si>
    <t>Maisha Morales - F (DEM)</t>
  </si>
  <si>
    <t>Michael Boomer - M (DEM)</t>
  </si>
  <si>
    <t>State Committee 58th Assembly District - Democratic - Primary Election - June 23, 2026
Vote for 2</t>
  </si>
  <si>
    <t>Mercedes Narcisse - F (DEM)</t>
  </si>
  <si>
    <t>Kevin S. Parker - M (DEM)</t>
  </si>
  <si>
    <t>Monique Chandler-Waterman - F (DEM)</t>
  </si>
  <si>
    <t>State Committee 59th Assembly District - Democratic - Primary Election - June 23, 2026
Vote for 2</t>
  </si>
  <si>
    <t>Jaime R. Williams - F (DEM)</t>
  </si>
  <si>
    <t>Frank R. Seddio - M (DEM)</t>
  </si>
  <si>
    <t>Stanley Scutt - M (DEM)</t>
  </si>
  <si>
    <t>State Committee 65th Assembly District - Democratic - Primary Election - June 23, 2026
Vote for 2</t>
  </si>
  <si>
    <t>Fannie Ip - F (DEM)</t>
  </si>
  <si>
    <t>Grauven Olivares - F (DEM)</t>
  </si>
  <si>
    <t>Morton Minsley - M (DEM)</t>
  </si>
  <si>
    <t>State Committee 68th Assembly District - Democratic - Primary Election - June 23, 2026
Vote for 2</t>
  </si>
  <si>
    <t>Saundrea I. Coleman - F (DEM)</t>
  </si>
  <si>
    <t>Rosa G. Diaz - X (DEM)</t>
  </si>
  <si>
    <t>Joannie Acevedo - F (DEM)</t>
  </si>
  <si>
    <t>James D. Gray - M (DEM)</t>
  </si>
  <si>
    <t>Mildred Maneiro - F (DEM)</t>
  </si>
  <si>
    <t>Stephanie Arroyo - F (DEM)</t>
  </si>
  <si>
    <t>Lance Blake - M (DEM)</t>
  </si>
  <si>
    <t>Lukas Ventouras (DEM)</t>
  </si>
  <si>
    <t>Christopher J. Gallant (DEM)</t>
  </si>
  <si>
    <t>Robin Wilt (DEM)</t>
  </si>
  <si>
    <t>Minerva Roman-Luna - F (DEM)</t>
  </si>
  <si>
    <t>Maria A. Luna - F (DEM)</t>
  </si>
  <si>
    <t>Nobles Crawford - M (DEM)</t>
  </si>
  <si>
    <t>State Committee 71st Assembly District - Democratic - Primary Election - June 23, 2026
Vote for 2</t>
  </si>
  <si>
    <t>State Committee 72nd Assembly District - Democratic - Primary Election - June 23, 2026
Vote for 2</t>
  </si>
  <si>
    <t>Rosendo Mejia Dominguez - M (DEM)</t>
  </si>
  <si>
    <t>Dayana Pichardo - F (DEM)</t>
  </si>
  <si>
    <t>Francesca Castellanos - F (DEM)</t>
  </si>
  <si>
    <t>Vicent Paulino - M (DEM)</t>
  </si>
  <si>
    <t>Edgar Tavarez - M (DEM)</t>
  </si>
  <si>
    <t>State Committee 81st Assembly District - Democratic - Primary Election - June 23, 2026
Vote for 2</t>
  </si>
  <si>
    <t>Michael Heller - M (DEM)</t>
  </si>
  <si>
    <t>Johanna Edmondson - F (DEM)</t>
  </si>
  <si>
    <t>Bereket Ghebremedhin - M (DEM)</t>
  </si>
  <si>
    <t>Betsey Knapp - F (DEM)</t>
  </si>
  <si>
    <t>11th Judicial Delegates 24th Assembly District - Democratic - Primary Election - June 23, 2026
Vote for 7</t>
  </si>
  <si>
    <t>Usha I. Raghunath (DEM)</t>
  </si>
  <si>
    <t>Martha Taylor (DEM)</t>
  </si>
  <si>
    <t>Rhonda S. Binda (DEM)</t>
  </si>
  <si>
    <t>David I. Weprin (DEM)</t>
  </si>
  <si>
    <t>John P. Albert (DEM)</t>
  </si>
  <si>
    <t>Ahnaf Alam (DEM)</t>
  </si>
  <si>
    <t>Jonathan B. Taylor (DEM)</t>
  </si>
  <si>
    <t>Mark S. Weprin (DEM)</t>
  </si>
  <si>
    <t>11th Judicial Delegates 28th Assembly District - Democratic - Primary Election - June 23, 2026
Vote for 8</t>
  </si>
  <si>
    <t>Melissa Ann San Pedro (DEM)</t>
  </si>
  <si>
    <t>Mark J. Laster (DEM)</t>
  </si>
  <si>
    <t>Christopher R. Hanusa (DEM)</t>
  </si>
  <si>
    <t>Maria Kaufer (DEM)</t>
  </si>
  <si>
    <t>Gladys Sandoval (DEM)</t>
  </si>
  <si>
    <t>Karen Koslowitz (DEM)</t>
  </si>
  <si>
    <t>Sharon Levy (DEM)</t>
  </si>
  <si>
    <t>David Aronov (DEM)</t>
  </si>
  <si>
    <t>Maximillian Morquecho (DEM)</t>
  </si>
  <si>
    <t>Ronnie Croce (DEM)</t>
  </si>
  <si>
    <t>Myrna C. Jacobson (DEM)</t>
  </si>
  <si>
    <t>Lara M. Evangelista (DEM)</t>
  </si>
  <si>
    <t>11th Judicial Delegates 33rd Assembly District - Democratic - Primary Election - June 23, 2026
Vote for 11</t>
  </si>
  <si>
    <t>Arnold McKinley (DEM)</t>
  </si>
  <si>
    <t>Sandra Long (DEM)</t>
  </si>
  <si>
    <t>Danny Jarvis (DEM)</t>
  </si>
  <si>
    <t>Warren Ross (DEM)</t>
  </si>
  <si>
    <t xml:space="preserve">Phil Hollant (DEM) </t>
  </si>
  <si>
    <t>Robert Williams (DEM)</t>
  </si>
  <si>
    <t>Samuel Murray (DEM)</t>
  </si>
  <si>
    <t>Darryl Smith (DEM)</t>
  </si>
  <si>
    <t>June B. Bunch (DEM)</t>
  </si>
  <si>
    <t>Robert Mark Alleyne (DEM)</t>
  </si>
  <si>
    <t>Leroy Manuel (DEM)</t>
  </si>
  <si>
    <t>Marie A. Slaughter (DEM)</t>
  </si>
  <si>
    <t>Alma J. Cave (DEM)</t>
  </si>
  <si>
    <t>I. Daneek Miller (DEM)</t>
  </si>
  <si>
    <t>Wanda R. Manley (DEM)</t>
  </si>
  <si>
    <t>Roslin Spigner (DEM)</t>
  </si>
  <si>
    <t>Gregory W. Meeks (DEM)</t>
  </si>
  <si>
    <t>2nd Judicial Delegates 54th Assembly District - Democratic - Primary Election - June 23, 2026
Vote for 6</t>
  </si>
  <si>
    <t>Evelyn Muller (DEM)</t>
  </si>
  <si>
    <t>Brunilda Cortes (DEM)</t>
  </si>
  <si>
    <t>Juan C. Rodriguez (DEM)</t>
  </si>
  <si>
    <t>Paula A. Melendez (DEM)</t>
  </si>
  <si>
    <t>Denise Peace (DEM)</t>
  </si>
  <si>
    <t>Pablo Rivera (DEM)</t>
  </si>
  <si>
    <t>Paperboy Love Prince (DEM)</t>
  </si>
  <si>
    <t>Michael Boomer (DEM)</t>
  </si>
  <si>
    <t>Thea J. Ogunusi (DEM)</t>
  </si>
  <si>
    <t>Burton A. Lewis (DEM)</t>
  </si>
  <si>
    <t>Terri Connelly (DEM)</t>
  </si>
  <si>
    <t>Darlene Bashir (DEM)</t>
  </si>
  <si>
    <t>Nilda Acevedo (DEM)</t>
  </si>
  <si>
    <t>Charmel B. Rogers (DEM)</t>
  </si>
  <si>
    <t>Janice Henderson (DEM)</t>
  </si>
  <si>
    <t>Khyrie Alleyne (DEM)</t>
  </si>
  <si>
    <t>Ketriana Yvonne (DEM)</t>
  </si>
  <si>
    <t>Roslyn Lurye Tate (DEM)</t>
  </si>
  <si>
    <t>Brian Chelcun (DEM)</t>
  </si>
  <si>
    <t>Shaquana D. Boykin (DEM)</t>
  </si>
  <si>
    <t>Leigha Gillespie (DEM)</t>
  </si>
  <si>
    <t>Derek Murphy (DEM)</t>
  </si>
  <si>
    <t>John Adelman (DEM)</t>
  </si>
  <si>
    <t>Tara Kumar (DEM)</t>
  </si>
  <si>
    <t>Quincy Auger (DEM)</t>
  </si>
  <si>
    <t>Tanja Richardson (DEM)</t>
  </si>
  <si>
    <t>Jeanessa R. Walker (DEM)</t>
  </si>
  <si>
    <t>2nd Judicial Delegates 57th Assembly District - Democratic - Primary Election - June 23, 2026
Vote for 13</t>
  </si>
  <si>
    <t>Dionne L. Davis (DEM)</t>
  </si>
  <si>
    <t>Judy Porter (DEM)</t>
  </si>
  <si>
    <t>Donna Phillips (DEM)</t>
  </si>
  <si>
    <t>June Persaud (DEM)</t>
  </si>
  <si>
    <t>Dalton Robinson (DEM)</t>
  </si>
  <si>
    <t>R. Eric Waterman (DEM)</t>
  </si>
  <si>
    <t>Yvonne M. Chandler (DEM)</t>
  </si>
  <si>
    <t>Charles O. Galbreath (DEM)</t>
  </si>
  <si>
    <t>Nicole Robinson-Etienne (DEM)</t>
  </si>
  <si>
    <t>Ernest Skinner (DEM)</t>
  </si>
  <si>
    <t>Francis X. Shea (DEM)</t>
  </si>
  <si>
    <t>Joan M. L. Alexander-Bakiriddin (DEM)</t>
  </si>
  <si>
    <t>Andrenia C. Burgis (DEM)</t>
  </si>
  <si>
    <t>Omar C. Boucher (DEM)</t>
  </si>
  <si>
    <t>Velda Jeffrey (DEM)</t>
  </si>
  <si>
    <t>Sabrina Dieujuste (DEM)</t>
  </si>
  <si>
    <t>Deborah Bourne (DEM)</t>
  </si>
  <si>
    <t>Marietta Small (DEM)</t>
  </si>
  <si>
    <t>Farah N. Louis (DEM)</t>
  </si>
  <si>
    <t>Kevin Parker (DEM)</t>
  </si>
  <si>
    <t>2nd Judicial Delegates 58th Assembly District - Democratic - Primary Election - June 23, 2026
Vote for 10</t>
  </si>
  <si>
    <t>1st Judicial Delegates 66th Assembly District - Democratic - Primary Election - June 23, 2026
Vote for 15</t>
  </si>
  <si>
    <t>Mark Fiedler (DEM)</t>
  </si>
  <si>
    <t>Erin Hussein (DEM)</t>
  </si>
  <si>
    <t>Norma Ramirez (DEM)</t>
  </si>
  <si>
    <t>Alix Fredrika Kucker (DEM)</t>
  </si>
  <si>
    <t>Susan Lee (DEM)</t>
  </si>
  <si>
    <t>Vanessa Warren (DEM)</t>
  </si>
  <si>
    <t>Maria Passanente-Derr (DEM)</t>
  </si>
  <si>
    <t>Kathy Slawinski (DEM)</t>
  </si>
  <si>
    <t>Richard Corman (DEM)</t>
  </si>
  <si>
    <t>Daniel L. Palmisano (DEM)</t>
  </si>
  <si>
    <t>Morton Minsley (DEM)</t>
  </si>
  <si>
    <t>Linda E. Jacobson (DEM)</t>
  </si>
  <si>
    <t>Samuel Chiera (DEM)</t>
  </si>
  <si>
    <t>Sheila R. Rule (DEM)</t>
  </si>
  <si>
    <t>Jonathan L. Geballe (DEM)</t>
  </si>
  <si>
    <t>Dennis Gault (DEM)</t>
  </si>
  <si>
    <t>Allen N. Roskoff (DEM)</t>
  </si>
  <si>
    <t>Melissa M. Carty (DEM)</t>
  </si>
  <si>
    <t>Jill Goodkind (DEM)</t>
  </si>
  <si>
    <t>Anthony S. Hoffmann (DEM)</t>
  </si>
  <si>
    <t>Kathryn Freed (DEM)</t>
  </si>
  <si>
    <t>Erik D. Bottcher (DEM)</t>
  </si>
  <si>
    <t>Debra Robles (DEM)</t>
  </si>
  <si>
    <t>Peggy A. Morales (DEM)</t>
  </si>
  <si>
    <t>David Cuspert (DEM)</t>
  </si>
  <si>
    <t>Primo Martin (DEM)</t>
  </si>
  <si>
    <t>Saundrea I. Coleman (DEM)</t>
  </si>
  <si>
    <t>Rosa G. Diaz (DEM)</t>
  </si>
  <si>
    <t>Patricia Del Pilar (DEM)</t>
  </si>
  <si>
    <t>Beverly MacFarlane (DEM)</t>
  </si>
  <si>
    <t>Monisha Mapp (DEM)</t>
  </si>
  <si>
    <t>Keith Lilly (DEM)</t>
  </si>
  <si>
    <t>Raul Reyes (DEM)</t>
  </si>
  <si>
    <t>Claudia Perez (DEM)</t>
  </si>
  <si>
    <t>Nina Saxon (DEM)</t>
  </si>
  <si>
    <t>Harry Rodriguez (DEM)</t>
  </si>
  <si>
    <t>Xavier Santiago (DEM)</t>
  </si>
  <si>
    <t>Elsie Encarnacion (DEM)</t>
  </si>
  <si>
    <t>Melissa Mark Viverito (DEM)</t>
  </si>
  <si>
    <t>Christal D. Williams (DEM)</t>
  </si>
  <si>
    <t>Bridgette Ann Scott (DEM)</t>
  </si>
  <si>
    <t>Wanda Yvette Hopkins (DEM)</t>
  </si>
  <si>
    <t>Natasha R. Williams (DEM)</t>
  </si>
  <si>
    <t>Luis Torres (DEM)</t>
  </si>
  <si>
    <t>Stanley Johnson (DEM)</t>
  </si>
  <si>
    <t>Christine Johnson (DEM)</t>
  </si>
  <si>
    <t>Sharon Cotton (DEM)</t>
  </si>
  <si>
    <t>1st Judicial Delegates 68th Assembly District - Democratic - Primary Election - June 23, 2026
Vote for 10</t>
  </si>
  <si>
    <t>Dolores Leito (DEM)</t>
  </si>
  <si>
    <t>Susan Southwell (DEM)</t>
  </si>
  <si>
    <t>Carmen I. Grullon De Rojas (DEM)</t>
  </si>
  <si>
    <t>Anthony R. Viola (DEM)</t>
  </si>
  <si>
    <t>Nancy Brown (DEM)</t>
  </si>
  <si>
    <t>Jackie Rowe Adams (DEM)</t>
  </si>
  <si>
    <t>Juana H. Luna (DEM)</t>
  </si>
  <si>
    <t>Rita Miller (DEM)</t>
  </si>
  <si>
    <t>Johanna Garcia (DEM)</t>
  </si>
  <si>
    <t>Maria A. Luna (DEM)</t>
  </si>
  <si>
    <t>Earnestine Bell Temple (DEM)</t>
  </si>
  <si>
    <t>Matthew Robert Miller (DEM)</t>
  </si>
  <si>
    <t>Heather Zicko (DEM)</t>
  </si>
  <si>
    <t>Philippe Segura (DEM)</t>
  </si>
  <si>
    <t>Garret D. Sokoloff (DEM)</t>
  </si>
  <si>
    <t>Maybelline Evelyn Boyer (DEM)</t>
  </si>
  <si>
    <t>Joseph M. Morales (DEM)</t>
  </si>
  <si>
    <t>Orlando Nunez (DEM)</t>
  </si>
  <si>
    <t>James E. Behr (DEM)</t>
  </si>
  <si>
    <t>Minerva Roman-Luna (DEM)</t>
  </si>
  <si>
    <t>Michael S. Hano (DEM)</t>
  </si>
  <si>
    <t>1st Judicial Delegates 71st Assembly District - Democratic - Primary Election - June 23, 2026
Vote for 11</t>
  </si>
  <si>
    <t>Miosotis N. Alba (DEM)</t>
  </si>
  <si>
    <t>Danette Lipten (DEM)</t>
  </si>
  <si>
    <t>Joanna Katz (DEM)</t>
  </si>
  <si>
    <t>Lyana M. Fernandez (DEM)</t>
  </si>
  <si>
    <t>Jennyfer Almanzar (DEM)</t>
  </si>
  <si>
    <t>Edwin Rosario (DEM)</t>
  </si>
  <si>
    <t>Jasinta Delacruz (DEM)</t>
  </si>
  <si>
    <t>Maria Mazara (DEM)</t>
  </si>
  <si>
    <t>Elizabeth Pepin (DEM)</t>
  </si>
  <si>
    <t>Vicente Paulino (DEM)</t>
  </si>
  <si>
    <t>Argentina Cruz (DEM)</t>
  </si>
  <si>
    <t>Clarissa Paulino (DEM)</t>
  </si>
  <si>
    <t>Rosario Capellan (DEM)</t>
  </si>
  <si>
    <t>Fernando Mendez (DEM)</t>
  </si>
  <si>
    <t>Brunilda L. Rodriguez (DEM)</t>
  </si>
  <si>
    <t>Ramon De La Rosa (DEM)</t>
  </si>
  <si>
    <t>Maria Morillo (DEM)</t>
  </si>
  <si>
    <t>Dayana Pichardo (DEM)</t>
  </si>
  <si>
    <t>Carmen N. De La Rosa (DEM)</t>
  </si>
  <si>
    <t>1st Judicial Delegates 72nd Assembly District - Democratic - Primary Election - June 23, 2026
Vote for 8</t>
  </si>
  <si>
    <t>Ellen Feld (DEM)</t>
  </si>
  <si>
    <t>Daniel Flores (DEM)</t>
  </si>
  <si>
    <t>Delores Dixon (DEM)</t>
  </si>
  <si>
    <t>Emily Hausman (DEM)</t>
  </si>
  <si>
    <t>William F. Weitz (DEM)</t>
  </si>
  <si>
    <t>Helen K. Morik (DEM)</t>
  </si>
  <si>
    <t>Randi Martos (DEM)</t>
  </si>
  <si>
    <t>Teresa Colon (DEM)</t>
  </si>
  <si>
    <t>Eric Dinowitz (DEM)</t>
  </si>
  <si>
    <t>Jacqueline Gold (DEM)</t>
  </si>
  <si>
    <t>Lisa Fieldstein (DEM)</t>
  </si>
  <si>
    <t>Ryan Acquaotta (DEM)</t>
  </si>
  <si>
    <t>Kirsten Peters (DEM)</t>
  </si>
  <si>
    <t>Betsey Knapp (DEM)</t>
  </si>
  <si>
    <t>Jon Zeftel (DEM)</t>
  </si>
  <si>
    <t>Karly Rodriguez (DEM)</t>
  </si>
  <si>
    <t>Aaron Stayman (DEM)</t>
  </si>
  <si>
    <t>Prentice E. Cox (DEM)</t>
  </si>
  <si>
    <t>Simone A. Murray (DEM)</t>
  </si>
  <si>
    <t>Kielah Burrowes (DEM)</t>
  </si>
  <si>
    <t>Gerald Dumay (DEM)</t>
  </si>
  <si>
    <t>Howard A. Dacosta (DEM)</t>
  </si>
  <si>
    <t>Henroy H. McKenzie (DEM)</t>
  </si>
  <si>
    <t>John Dickson (DEM)</t>
  </si>
  <si>
    <t>Eric Vassell (DEM)</t>
  </si>
  <si>
    <t>Nicole Julius (DEM)</t>
  </si>
  <si>
    <t>Pamela Stephens (DEM)</t>
  </si>
  <si>
    <t>Rhea Ann Smith (DEM)</t>
  </si>
  <si>
    <t>Gladys N. Egwuonwu (DEM)</t>
  </si>
  <si>
    <t>Jibreel S. Jalloh (DEM)</t>
  </si>
  <si>
    <t>Naomi N. Hopkins (DEM)</t>
  </si>
  <si>
    <t>Elaine E. Reid (DEM)</t>
  </si>
  <si>
    <t>Teresa Coaxum (DEM)</t>
  </si>
  <si>
    <t>Hassan Bakiriddin (DEM)</t>
  </si>
  <si>
    <t>Keith Carr (DEM)</t>
  </si>
  <si>
    <t>Vaughn Mayers (DEM)</t>
  </si>
  <si>
    <t>Felina Backer (DEM)</t>
  </si>
  <si>
    <t>2nd Alternate Judicial Delegates 58th Assembly District - Democratic - Primary Election - June 23, 2026
Vote for 10</t>
  </si>
  <si>
    <t>Mark Fraiden (DEM)</t>
  </si>
  <si>
    <t>Raymond W. Cline (DEM)</t>
  </si>
  <si>
    <t>Shelly Warwick (DEM)</t>
  </si>
  <si>
    <t>Deborah Finston (DEM)</t>
  </si>
  <si>
    <t>Carmin Gonzalez (DEM)</t>
  </si>
  <si>
    <t>Alan Ross (DEM)</t>
  </si>
  <si>
    <t>Megan E. Pascarella (DEM)</t>
  </si>
  <si>
    <t>Alfred R. Fuente (DEM)</t>
  </si>
  <si>
    <t>Michael Levario (DEM)</t>
  </si>
  <si>
    <t>Ritu R. Chattree (DEM)</t>
  </si>
  <si>
    <t>Jasper Price (DEM)</t>
  </si>
  <si>
    <t>Patricia A. Laraia (DEM)</t>
  </si>
  <si>
    <t>Frances Curtis (DEM)</t>
  </si>
  <si>
    <t>Karla Moskowitz (DEM)</t>
  </si>
  <si>
    <t>Lois A. Rakoff (DEM)</t>
  </si>
  <si>
    <t>Robert G. Rosenthal (DEM)</t>
  </si>
  <si>
    <t>Judith A. Jacobson (DEM)</t>
  </si>
  <si>
    <t>Jason Gerson (DEM)</t>
  </si>
  <si>
    <t>Richard F. Braun (DEM)</t>
  </si>
  <si>
    <t>Krystal Roper (DEM)</t>
  </si>
  <si>
    <t>Alex Alvarez Diaz (DEM)</t>
  </si>
  <si>
    <t>Evelis Galarza-Serrano (DEM)</t>
  </si>
  <si>
    <t>Lili Ramirez (DEM)</t>
  </si>
  <si>
    <t>Barbara Butler (DEM)</t>
  </si>
  <si>
    <t>Esther DeVore (DEM)</t>
  </si>
  <si>
    <t>Joseph Poole (DEM)</t>
  </si>
  <si>
    <t>Belia Owens (DEM)</t>
  </si>
  <si>
    <t>Christal Williams (DEM)</t>
  </si>
  <si>
    <t>Mildred Jerrell (DEM)</t>
  </si>
  <si>
    <t>Corazon D. Grajales (DEM)</t>
  </si>
  <si>
    <t>Raymond Santana (DEM)</t>
  </si>
  <si>
    <t>Juhaib Choudhury (DEM)</t>
  </si>
  <si>
    <t>Kaliris Salas-Ramirez (DEM)</t>
  </si>
  <si>
    <t>Ismael Rodriguez (DEM)</t>
  </si>
  <si>
    <t>Melinda Velez (DEM)</t>
  </si>
  <si>
    <t>Melanie Ruiz (DEM)</t>
  </si>
  <si>
    <t>Edward Davis (DEM)</t>
  </si>
  <si>
    <t>Sandra Perez (DEM)</t>
  </si>
  <si>
    <t>Wendy Chan (DEM)</t>
  </si>
  <si>
    <t>Lecora Prince-Okeagu (DEM)</t>
  </si>
  <si>
    <t>Rosa M. Rivera (DEM)</t>
  </si>
  <si>
    <t>Wendy Taylor (DEM)</t>
  </si>
  <si>
    <t>William Bellber-Bentancourt (DEM)</t>
  </si>
  <si>
    <t>1st Alternate Judicial Delegates 68th Assembly District - Democratic - Primary Election - June 23, 2026
Vote for 10</t>
  </si>
  <si>
    <t>Carole G. Mulligan (DEM)</t>
  </si>
  <si>
    <t>Quann D. Boyd (DEM)</t>
  </si>
  <si>
    <t>Edgar Tavarez (DEM)</t>
  </si>
  <si>
    <t>Christopher Hazeltine (DEM)</t>
  </si>
  <si>
    <t>Carolyn Murtaugh (DEM)</t>
  </si>
  <si>
    <t>Patricia Anderton (DEM)</t>
  </si>
  <si>
    <t>Paloma Lara (DEM)</t>
  </si>
  <si>
    <t>Elizabeth Balaguer (DEM)</t>
  </si>
  <si>
    <t>Micaela Lugo (DEM)</t>
  </si>
  <si>
    <t>Mariam James (DEM)</t>
  </si>
  <si>
    <t>Erwin Fernandez (DEM)</t>
  </si>
  <si>
    <t>Hector Vasquez (DEM)</t>
  </si>
  <si>
    <t>Iris Baltazar (DEM)</t>
  </si>
  <si>
    <t>Barbara M. Frazier (DEM)</t>
  </si>
  <si>
    <t>Maurice A. Edwards (DEM)</t>
  </si>
  <si>
    <t>1st Alternate Judicial Delegates 72nd Assembly District - Democratic - Primary Election - June 23, 2026
Vote for 8</t>
  </si>
  <si>
    <t>12th Alternate Judicial Delegates 81st Assembly District - Democratic - Primary Election - June 23, 2026
Vote for 9</t>
  </si>
  <si>
    <t>12th Judicial Delegates 81st Assembly District - Democratic - Primary Election - June 23, 2026
Vote for 9</t>
  </si>
  <si>
    <t>Carlton Berkley (DEM)</t>
  </si>
  <si>
    <t>Michael Friedman (DEM)</t>
  </si>
  <si>
    <t>James Reilly (DEM)</t>
  </si>
  <si>
    <t>Cara Kagan (DEM)</t>
  </si>
  <si>
    <t>Sergio Villaverde (DEM)</t>
  </si>
  <si>
    <t>Eleanor Oliff (DEM)</t>
  </si>
  <si>
    <t>Phyllis Roth (DEM)</t>
  </si>
  <si>
    <t>Fredda Tourin (DEM)</t>
  </si>
  <si>
    <t>Robin Weinstein (DEM)</t>
  </si>
  <si>
    <t>Johnathan Wolf (DEM)</t>
  </si>
  <si>
    <t>Jennifer Bader (DEM)</t>
  </si>
  <si>
    <t>Graham Ciraulo (DEM)</t>
  </si>
  <si>
    <t>Stephen Friedmann (DEM)</t>
  </si>
  <si>
    <t>Bereket Ghebremedhin (DEM)</t>
  </si>
  <si>
    <t>Miles Harris (DEM)</t>
  </si>
  <si>
    <t>Stephanie Halpin (DEM)</t>
  </si>
  <si>
    <t>Izaiah Zeek Barrow (DEM)</t>
  </si>
  <si>
    <t>Abigail Martin (DEM)</t>
  </si>
  <si>
    <t>Jonathan D. Rivera (DEM)</t>
  </si>
  <si>
    <t>Jeremy J. Zellner (DEM)</t>
  </si>
  <si>
    <t>State Senator 61st Senate District - Democratic - Primary Election - June 23, 2026</t>
  </si>
  <si>
    <t>Frank Jereis (DEM)</t>
  </si>
  <si>
    <t>Jeannette M. Garcia (DEM)</t>
  </si>
  <si>
    <t>Member of Assembly 90th Assembly District - Democratic - Primary Election - June 23, 2026</t>
  </si>
  <si>
    <t>Member of Assembly 96th Assembly District - Democratic - Primary Election - June 23, 2026</t>
  </si>
  <si>
    <t>Patrick Carroll (DEM)</t>
  </si>
  <si>
    <t>P.T. Thomas (DEM)</t>
  </si>
  <si>
    <t>State Senator 38th Senate District - Working Families - Primary Election - June 23, 2026</t>
  </si>
  <si>
    <t>Joseph W. Rand (WOR)</t>
  </si>
  <si>
    <t>Member of Assembly 97th Assembly District - Conservative - Primary Election - June 23, 2026</t>
  </si>
  <si>
    <t>Abraham Klein (CON)</t>
  </si>
  <si>
    <t>Rob Bonomolo (CON)</t>
  </si>
  <si>
    <t>Member of Assembly 119th Assembly District - Democratic - Primary Election - June 23, 2026</t>
  </si>
  <si>
    <t>Jonathan E. Lipe (DEM)</t>
  </si>
  <si>
    <t>Joseph M. Betar (DEM)</t>
  </si>
  <si>
    <t>Member of Assembly 119th Assembly District - Republican - Primary Election - June 23, 2026</t>
  </si>
  <si>
    <t>Daniel Fusco (REP)</t>
  </si>
  <si>
    <t>Michael C. Gentile (REP)</t>
  </si>
  <si>
    <t>Member of Assembly 123rd Assembly District - Democratic - Primary Election - June 23, 2026</t>
  </si>
  <si>
    <t>Dan Livingston (DEM)</t>
  </si>
  <si>
    <t>Dan Norton (DEM)</t>
  </si>
  <si>
    <t>William B. Magnarelli (DEM)</t>
  </si>
  <si>
    <t>Maurice Mo Brown (DEM)</t>
  </si>
  <si>
    <t>Member of Assembly 129th Assembly District - Democratic - Primary Election - June 23, 2026</t>
  </si>
  <si>
    <t>Member of Assembly 149th Assembly District - Democratic - Primary Election - June 23, 2026</t>
  </si>
  <si>
    <t>Kevin W. Deese (DEM)</t>
  </si>
  <si>
    <t>Karen L. Hoak (DEM)</t>
  </si>
  <si>
    <t>Adam L. Bojak (DEM)</t>
  </si>
  <si>
    <t>5th Judicial Delegates 120th Assembly District - Democratic - Primary Election - June 23, 2026
Vote for 7</t>
  </si>
  <si>
    <t>Elizabeth R. Passer (DEM)</t>
  </si>
  <si>
    <t>Bailey Lovenguth (DEM)</t>
  </si>
  <si>
    <t>Stephanie McHugh Edwards (DEM)</t>
  </si>
  <si>
    <t>Juniper Mae Dunlap (DEM)</t>
  </si>
  <si>
    <t>Mona Heck (DEM)</t>
  </si>
  <si>
    <t>Patrick Dunlap (DEM)</t>
  </si>
  <si>
    <t>Christine Weisenburger (DEM)</t>
  </si>
  <si>
    <t>Julienne Dean (DEM)</t>
  </si>
  <si>
    <t>Michelle Newvine (DEM)</t>
  </si>
  <si>
    <t>Michael Dineen (DEM)</t>
  </si>
  <si>
    <t>Mary Regan Benson (DEM)</t>
  </si>
  <si>
    <t>James Cannon (DEM)</t>
  </si>
  <si>
    <t>Joseph Hart (DEM)</t>
  </si>
  <si>
    <t>5th Alternate Judicial Delegates 120th Assembly District - Democratic - Primary Election - June 23, 2026
Vote for 7</t>
  </si>
  <si>
    <t>Ryan Taylor (DEM)</t>
  </si>
  <si>
    <t>Thomas Rinefierd (DEM)</t>
  </si>
  <si>
    <t>Deborah Chambers (DEM)</t>
  </si>
  <si>
    <t>Kathleen Mantaro (DEM)</t>
  </si>
  <si>
    <t>Barbara Kickbush (DEM)</t>
  </si>
  <si>
    <t>Amy Venskus (DEM)</t>
  </si>
  <si>
    <t>Marianne Hart (DEM)</t>
  </si>
  <si>
    <t>Amy Connolly (DEM)</t>
  </si>
  <si>
    <t>Jace E. Dunlap (DEM)</t>
  </si>
  <si>
    <t>Diane Zeller (DEM)</t>
  </si>
  <si>
    <t>David Passer (DEM)</t>
  </si>
  <si>
    <t>Randy Anthony Ladd (DEM)</t>
  </si>
  <si>
    <t>State Committee 137th Assembly District - Democratic - Primary Election - June 23, 2026</t>
  </si>
  <si>
    <t>Rose E. Bonnick - F (DEM)</t>
  </si>
  <si>
    <t>Mercedes Vazquez-Simmons - F (DEM)</t>
  </si>
  <si>
    <t>Demond L. Meeks - M (DEM)</t>
  </si>
  <si>
    <t>7th Judicial Delegates 137th Assembly District - Democratic - Primary Election - June 23, 2026
Vote for 8</t>
  </si>
  <si>
    <t>Ricky G. Frazier (DEM)</t>
  </si>
  <si>
    <t>Rose E. Bonnick (DEM)</t>
  </si>
  <si>
    <t>Campbell P. Roth (DEM)</t>
  </si>
  <si>
    <t>Jeremy A. Cooney (DEM)</t>
  </si>
  <si>
    <t>Allison G. Chefalo (DEM)</t>
  </si>
  <si>
    <t>Beatriz B. Lebron (DEM)</t>
  </si>
  <si>
    <t>Abigail Gonzalez Jr (DEM)</t>
  </si>
  <si>
    <t>Katelyn Plonczynski (DEM)</t>
  </si>
  <si>
    <t>9th Judicial Delegates 99th Assembly District - Conservative - Primary Election - June 23, 2026
Vote for 2</t>
  </si>
  <si>
    <t>Joshua Blumenthal (CON)</t>
  </si>
  <si>
    <t>Yidel Weis (CON)</t>
  </si>
  <si>
    <t>Warren Martin (CON)</t>
  </si>
  <si>
    <t>Edward J. Keegan (CON)</t>
  </si>
  <si>
    <t>9th Alternate Judicial Delegates 99th Assembly District - Conservative - Primary Election - June 23, 2026
Vote for 2</t>
  </si>
  <si>
    <t>John C. Collins (CON)</t>
  </si>
  <si>
    <t>Thomas D. Dunn (CON)</t>
  </si>
  <si>
    <t>Eli Taub (CON)</t>
  </si>
  <si>
    <t>Representative in Congress 3rd Congressional District - Democratic - Primary Election - June 23, 2026</t>
  </si>
  <si>
    <t>Representative in Congress 25th Congressional District - Democratic - Primary Election - June 23, 2026</t>
  </si>
  <si>
    <t>State Committee 120th Assembly District - Democratic - Primary Election - June 23, 2026
Vote for 2</t>
  </si>
  <si>
    <t>Jordan Harcleroad - M (DEM)</t>
  </si>
  <si>
    <t>Brien Connolly - M (DEM)</t>
  </si>
  <si>
    <t>Shannon Masters - F (DEM)</t>
  </si>
  <si>
    <t>Elizabeth Passer - F (DEM)</t>
  </si>
  <si>
    <t>Cait Conley (DEM)</t>
  </si>
  <si>
    <t>Omar Mohamad (DEM)</t>
  </si>
  <si>
    <t>Pesach Osina (DEM)</t>
  </si>
  <si>
    <t>Robert J. Speranza (REP)</t>
  </si>
  <si>
    <t>Kevin P. Coenen (DEM)</t>
  </si>
  <si>
    <t>Member of Assembly 32nd Assembly District -  Democratic - Primary Election - June 23, 2026</t>
  </si>
  <si>
    <t>Thomas P. DiNapoli
(DEM)</t>
  </si>
  <si>
    <t>Drew Warshaw
(DEM)</t>
  </si>
  <si>
    <t>Raj Goyle
(DEM)</t>
  </si>
  <si>
    <t>Part of Suffolk County
Vote Results</t>
  </si>
  <si>
    <t>Yoel Rolnitzky (CON)</t>
  </si>
  <si>
    <t>Representative in Congress 1st Congressional District - Democratic - Primary Election - June 23, 2026</t>
  </si>
  <si>
    <t>Part of Orange County Vote Results</t>
  </si>
  <si>
    <t>State Senator 42nd Senate District - Conservative - Primary Election - June 23, 2026</t>
  </si>
  <si>
    <t>Jennifer R. Figueroa (CON)</t>
  </si>
  <si>
    <t>Oscar J. Romero Jr (DEM)</t>
  </si>
  <si>
    <t>John Ruiz Miranda (DEM)</t>
  </si>
  <si>
    <t>Marcus A. Sanchez Jr (DEM)</t>
  </si>
  <si>
    <t>State Committee 39th Assembly District - Democratic - Primary Election - June 23, 2026
Vote for 2</t>
  </si>
  <si>
    <t>Joseph P. Addabbo Jr (DEM)</t>
  </si>
  <si>
    <t>Carl Caller (REP)</t>
  </si>
  <si>
    <t>Member of Assembly 72nd Assembly District - Democratic - Primary Election - June 23, 2026</t>
  </si>
  <si>
    <t>R. J. Nunez-Lawrence (DEM)</t>
  </si>
  <si>
    <t>Edwin K. Wong (DEM)</t>
  </si>
  <si>
    <t>Nathaniel Hezekiah III (DEM)</t>
  </si>
  <si>
    <t>Kenesha Traynham-Cooper - F (DEM)</t>
  </si>
  <si>
    <t>Jibreel Jalloh (DEM)</t>
  </si>
  <si>
    <t>1st Alternate Judicial Delegates 66th Assembly District - Democratic - Primary Election - June 23, 2026
Vote for 15</t>
  </si>
  <si>
    <t>Thomas Smoot Jr (DEM)</t>
  </si>
  <si>
    <t>aEmily YueXin Miller (DEM)</t>
  </si>
  <si>
    <t>Clifford A. Florence Jr - M (DEM)</t>
  </si>
  <si>
    <t>State Committee 24th Assembly District - Democratic - Primary Election - June 23, 2026
Vote for 2</t>
  </si>
  <si>
    <t>Imran I. Rahman - M (DEM)</t>
  </si>
  <si>
    <t>Eli Northrup (DEM)</t>
  </si>
  <si>
    <t>Joshua Blumenthal-Write In (CON)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</si>
</sst>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000000"/>
      <name val="Calibri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5B3D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5B3D7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3" fontId="5" fillId="0" borderId="1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3" fontId="5" fillId="8" borderId="1" xfId="0" applyNumberFormat="1" applyFont="1" applyFill="1" applyBorder="1" applyAlignment="1">
      <alignment horizontal="right" vertical="top"/>
    </xf>
    <xf numFmtId="3" fontId="7" fillId="0" borderId="1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vertical="top"/>
    </xf>
    <xf numFmtId="3" fontId="6" fillId="3" borderId="1" xfId="0" applyNumberFormat="1" applyFont="1" applyFill="1" applyBorder="1" applyAlignment="1">
      <alignment horizontal="right" vertical="top"/>
    </xf>
    <xf numFmtId="3" fontId="6" fillId="7" borderId="1" xfId="0" applyNumberFormat="1" applyFont="1" applyFill="1" applyBorder="1" applyAlignment="1">
      <alignment horizontal="right" vertical="top"/>
    </xf>
    <xf numFmtId="3" fontId="6" fillId="5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center"/>
    </xf>
    <xf numFmtId="0" fontId="8" fillId="0" borderId="0" xfId="0" applyFont="1"/>
    <xf numFmtId="0" fontId="6" fillId="2" borderId="6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right" vertical="center"/>
    </xf>
    <xf numFmtId="3" fontId="6" fillId="3" borderId="4" xfId="0" applyNumberFormat="1" applyFont="1" applyFill="1" applyBorder="1"/>
    <xf numFmtId="3" fontId="5" fillId="0" borderId="1" xfId="0" applyNumberFormat="1" applyFont="1" applyBorder="1"/>
    <xf numFmtId="3" fontId="5" fillId="4" borderId="1" xfId="0" applyNumberFormat="1" applyFont="1" applyFill="1" applyBorder="1"/>
    <xf numFmtId="3" fontId="6" fillId="7" borderId="1" xfId="0" applyNumberFormat="1" applyFont="1" applyFill="1" applyBorder="1"/>
    <xf numFmtId="3" fontId="0" fillId="0" borderId="0" xfId="0" applyNumberFormat="1"/>
    <xf numFmtId="3" fontId="6" fillId="5" borderId="1" xfId="0" applyNumberFormat="1" applyFont="1" applyFill="1" applyBorder="1"/>
    <xf numFmtId="3" fontId="6" fillId="3" borderId="5" xfId="0" applyNumberFormat="1" applyFont="1" applyFill="1" applyBorder="1"/>
    <xf numFmtId="3" fontId="6" fillId="3" borderId="1" xfId="0" applyNumberFormat="1" applyFont="1" applyFill="1" applyBorder="1"/>
    <xf numFmtId="3" fontId="7" fillId="0" borderId="1" xfId="0" applyNumberFormat="1" applyFont="1" applyBorder="1"/>
    <xf numFmtId="3" fontId="5" fillId="0" borderId="3" xfId="0" applyNumberFormat="1" applyFont="1" applyBorder="1"/>
    <xf numFmtId="0" fontId="6" fillId="2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right" vertical="center" wrapText="1"/>
    </xf>
    <xf numFmtId="3" fontId="5" fillId="8" borderId="1" xfId="0" applyNumberFormat="1" applyFont="1" applyFill="1" applyBorder="1"/>
    <xf numFmtId="3" fontId="8" fillId="0" borderId="0" xfId="0" applyNumberFormat="1" applyFont="1"/>
    <xf numFmtId="0" fontId="0" fillId="0" borderId="0" xfId="0" applyAlignment="1">
      <alignment wrapText="1"/>
    </xf>
    <xf numFmtId="3" fontId="6" fillId="3" borderId="4" xfId="0" applyNumberFormat="1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wrapText="1"/>
    </xf>
    <xf numFmtId="3" fontId="5" fillId="4" borderId="8" xfId="0" applyNumberFormat="1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1" xfId="0" applyFont="1" applyFill="1" applyBorder="1"/>
    <xf numFmtId="3" fontId="10" fillId="0" borderId="9" xfId="0" applyNumberFormat="1" applyFont="1" applyBorder="1"/>
    <xf numFmtId="3" fontId="10" fillId="0" borderId="1" xfId="0" applyNumberFormat="1" applyFont="1" applyBorder="1"/>
    <xf numFmtId="3" fontId="10" fillId="0" borderId="10" xfId="0" applyNumberFormat="1" applyFont="1" applyBorder="1"/>
    <xf numFmtId="3" fontId="6" fillId="4" borderId="8" xfId="0" applyNumberFormat="1" applyFont="1" applyFill="1" applyBorder="1"/>
    <xf numFmtId="3" fontId="5" fillId="4" borderId="3" xfId="0" applyNumberFormat="1" applyFont="1" applyFill="1" applyBorder="1"/>
    <xf numFmtId="3" fontId="6" fillId="5" borderId="7" xfId="0" applyNumberFormat="1" applyFont="1" applyFill="1" applyBorder="1"/>
    <xf numFmtId="3" fontId="6" fillId="5" borderId="8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5" fillId="7" borderId="1" xfId="0" applyNumberFormat="1" applyFont="1" applyFill="1" applyBorder="1"/>
    <xf numFmtId="3" fontId="11" fillId="0" borderId="0" xfId="0" applyNumberFormat="1" applyFont="1"/>
    <xf numFmtId="3" fontId="5" fillId="7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94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E2EFDA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FFFFF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border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border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3DEDAF-3D5F-4F92-8A7A-8BBEE2EB7BC9}" name="GovLtGovGeneral" displayName="GovLtGovGeneral" ref="A2:H66" totalsRowShown="0" headerRowDxfId="1925" dataDxfId="1923" headerRowBorderDxfId="1924" tableBorderDxfId="1922" totalsRowBorderDxfId="1921">
  <tableColumns count="8">
    <tableColumn id="1" xr3:uid="{8E5DDF31-5933-4786-B892-EAC2AFE95455}" name="County" dataDxfId="1920" totalsRowDxfId="1919"/>
    <tableColumn id="2" xr3:uid="{0DC283FA-75D3-4AFF-8F1B-5B3A9E4279CF}" name="Thomas P. DiNapoli_x000a_(DEM)" dataDxfId="1918" totalsRowDxfId="1917"/>
    <tableColumn id="16" xr3:uid="{EE1ADC1F-3E45-44A5-B5B2-141265E7EE78}" name="Drew Warshaw_x000a_(DEM)" dataDxfId="1916" totalsRowDxfId="1915"/>
    <tableColumn id="14" xr3:uid="{FE2CC06A-ED76-4ABA-AB79-42A3A778851F}" name="Raj Goyle_x000a_(DEM)" dataDxfId="1914" totalsRowDxfId="1913"/>
    <tableColumn id="6" xr3:uid="{F67AF4FB-BE65-44E8-896A-1BBF6300DEEE}" name="Blank" totalsRowDxfId="1912"/>
    <tableColumn id="5" xr3:uid="{AC3D04D5-B327-4C94-8BA9-2A97B76D66AC}" name="Void" totalsRowDxfId="1911"/>
    <tableColumn id="3" xr3:uid="{9AE0100F-6EA6-42E8-BE53-EBA1DAAB4220}" name="Scattering" totalsRowDxfId="1910"/>
    <tableColumn id="4" xr3:uid="{2F4814DC-72AC-4FA8-B1C1-489B41C6DB8A}" name="Total Votes by County" dataDxfId="1909" totalsRowDxfId="1908">
      <calculatedColumnFormula>SUM(#REF!)</calculatedColumnFormula>
    </tableColumn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DC4F7AC-CA6A-4975-86B4-10617496547C}" name="RepInCongressCongressionalDistrict11General" displayName="RepInCongressCongressionalDistrict11General" ref="A2:E8" totalsRowCount="1" headerRowDxfId="1785" dataDxfId="1783" totalsRowDxfId="1781" headerRowBorderDxfId="1784" tableBorderDxfId="1782" totalsRowBorderDxfId="1780">
  <autoFilter ref="A2:E7" xr:uid="{2B509EDC-5809-47C3-974E-7BB7547D093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11092CC-AE3B-4779-88DE-D24BB19EC324}" name="Candidate Name (Party)" totalsRowLabel="Total Votes by County" dataDxfId="1779" totalsRowDxfId="1778"/>
    <tableColumn id="4" xr3:uid="{93DD66DE-D83C-4B19-8BF4-4FAEE67B41B7}" name="Part of Kings County _x000a_Vote Results" totalsRowFunction="custom" dataDxfId="1777" totalsRowDxfId="1776">
      <totalsRowFormula>SUM(RepInCongressCongressionalDistrict11General[Part of Kings County 
Vote Results])</totalsRowFormula>
    </tableColumn>
    <tableColumn id="2" xr3:uid="{BED4DDBF-B299-49F9-93EC-5BDF12604EDC}" name="Richmond County _x000a_Vote Results" totalsRowFunction="custom" dataDxfId="1775" totalsRowDxfId="1774">
      <totalsRowFormula>SUM(RepInCongressCongressionalDistrict11General[Richmond County 
Vote Results])</totalsRowFormula>
    </tableColumn>
    <tableColumn id="3" xr3:uid="{4850058D-7101-4B94-BE3C-FC15F5DC743F}" name="Total Votes by Party" totalsRowFunction="custom" dataDxfId="1773" totalsRowDxfId="1772">
      <calculatedColumnFormula>SUM(RepInCongressCongressionalDistrict11General[[#This Row],[Richmond County 
Vote Results]:[Part of Kings County 
Vote Results]])</calculatedColumnFormula>
      <totalsRowFormula>SUM(RepInCongressCongressionalDistrict11General[Total Votes by Party])</totalsRowFormula>
    </tableColumn>
    <tableColumn id="5" xr3:uid="{5A111916-71D8-4A6C-B987-DEEE5002FBA6}" name="Total Votes by Candidate" dataDxfId="1771" totalsRowDxfId="1770"/>
  </tableColumns>
  <tableStyleInfo name="TableStyleMedium2" showFirstColumn="0" showLastColumn="0" showRowStripes="0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198572A0-B2FA-49F3-B0DF-3B099008F15F}" name="MemberOfAssemblyAssemblyDistrict99General113" displayName="MemberOfAssemblyAssemblyDistrict99General113" ref="A2:E10" totalsRowCount="1" headerRowDxfId="337" dataDxfId="335" totalsRowDxfId="333" headerRowBorderDxfId="336" tableBorderDxfId="334" totalsRowBorderDxfId="332">
  <autoFilter ref="A2:E9" xr:uid="{7954D400-A973-4CA4-A173-A394218CD0D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F383018-020A-4ACA-831B-1B3B465B81BB}" name="Candidate Name (Party)" totalsRowLabel="Total Votes by County" dataDxfId="331" totalsRowDxfId="330"/>
    <tableColumn id="2" xr3:uid="{774D548E-D9C0-4642-AD2C-3988AD40C65E}" name="Part of Orange County _x000a_Vote Results" totalsRowFunction="custom" dataDxfId="329" totalsRowDxfId="328">
      <totalsRowFormula>SUM(MemberOfAssemblyAssemblyDistrict99General113[Part of Orange County 
Vote Results])</totalsRowFormula>
    </tableColumn>
    <tableColumn id="4" xr3:uid="{79D58D62-D283-4E60-ADEA-AD56171B1B9D}" name="Part of Rockland County _x000a_Vote Results" totalsRowFunction="custom" dataDxfId="327" totalsRowDxfId="326">
      <totalsRowFormula>SUM(MemberOfAssemblyAssemblyDistrict99General113[Part of Rockland County 
Vote Results])</totalsRowFormula>
    </tableColumn>
    <tableColumn id="3" xr3:uid="{EFACA22D-C314-4AB5-8088-0737915977EC}" name="Total Votes by Party" totalsRowFunction="custom" dataDxfId="325" totalsRowDxfId="324">
      <calculatedColumnFormula>SUM(MemberOfAssemblyAssemblyDistrict99General113[[#This Row],[Part of Orange County 
Vote Results]:[Part of Rockland County 
Vote Results]])</calculatedColumnFormula>
      <totalsRowFormula>SUM(MemberOfAssemblyAssemblyDistrict99General113[Total Votes by Party])</totalsRowFormula>
    </tableColumn>
    <tableColumn id="5" xr3:uid="{7787D515-EA21-4F86-98D7-29BF42C4A7E6}" name="Total Votes by Candidate" dataDxfId="323" totalsRowDxfId="322"/>
  </tableColumns>
  <tableStyleInfo name="TableStyleMedium2" showFirstColumn="0" showLastColumn="0" showRowStripes="0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729CE1-751E-4686-9334-E75A24A3DA4D}" name="MemberOfAssemblyAssemblyDistrict24General3" displayName="MemberOfAssemblyAssemblyDistrict24General3" ref="A2:D15" totalsRowCount="1" headerRowDxfId="321" dataDxfId="319" totalsRowDxfId="317" headerRowBorderDxfId="320" tableBorderDxfId="318" totalsRowBorderDxfId="316">
  <autoFilter ref="A2:D14" xr:uid="{E5428B72-0FEF-4A9C-B5B3-DCA320CD638B}">
    <filterColumn colId="0" hiddenButton="1"/>
    <filterColumn colId="1" hiddenButton="1"/>
    <filterColumn colId="2" hiddenButton="1"/>
    <filterColumn colId="3" hiddenButton="1"/>
  </autoFilter>
  <tableColumns count="4">
    <tableColumn id="1" xr3:uid="{0FC1F2FC-5EB6-49C9-9FB0-9C4F5E8C0CE5}" name="Candidate Name (Party)" totalsRowLabel="Total Votes by County" dataDxfId="315" totalsRowDxfId="314"/>
    <tableColumn id="4" xr3:uid="{B6502E53-8181-44F4-AEC8-0766397E2FAE}" name="Part of Queens County _x000a_Vote Results" totalsRowFunction="custom" dataDxfId="313" totalsRowDxfId="312">
      <totalsRowFormula>SUM(MemberOfAssemblyAssemblyDistrict24General3[Part of Queens County 
Vote Results])</totalsRowFormula>
    </tableColumn>
    <tableColumn id="3" xr3:uid="{DCEF5CC4-3A36-46EA-B30F-2E9A6068911F}" name="Total Votes by Party" totalsRowFunction="custom" dataDxfId="311" totalsRowDxfId="310">
      <calculatedColumnFormula>MemberOfAssemblyAssemblyDistrict24General3[[#This Row],[Part of Queens County 
Vote Results]]</calculatedColumnFormula>
      <totalsRowFormula>SUM(MemberOfAssemblyAssemblyDistrict24General3[Total Votes by Party])</totalsRowFormula>
    </tableColumn>
    <tableColumn id="2" xr3:uid="{EF15C16B-0304-401D-BE7D-D58EEF4FBCFD}" name="Total Votes by Candidate" dataDxfId="309" totalsRowDxfId="308"/>
  </tableColumns>
  <tableStyleInfo name="TableStyleMedium2" showFirstColumn="0" showLastColumn="0" showRowStripes="0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6A85D65-78C0-4177-A499-6C7142B930AC}" name="MemberOfAssemblyAssemblyDistrict28General114" displayName="MemberOfAssemblyAssemblyDistrict28General114" ref="A2:D21" totalsRowCount="1" headerRowDxfId="307" dataDxfId="305" totalsRowDxfId="303" headerRowBorderDxfId="306" tableBorderDxfId="304" totalsRowBorderDxfId="302">
  <autoFilter ref="A2:D20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517A4FC0-A742-473C-8D9E-FFCBDDA4FFAF}" name="Candidate Name (Party)" totalsRowLabel="Total Votes by County" dataDxfId="301" totalsRowDxfId="300"/>
    <tableColumn id="4" xr3:uid="{F6A8F906-0978-40D4-84D1-C708596FDD4E}" name="Part of Queens County _x000a_Vote Results" totalsRowFunction="custom" dataDxfId="299" totalsRowDxfId="298">
      <totalsRowFormula>SUM(MemberOfAssemblyAssemblyDistrict28General114[Part of Queens County 
Vote Results])</totalsRowFormula>
    </tableColumn>
    <tableColumn id="3" xr3:uid="{9820361E-CC24-4FD1-A1B5-71BD68E8ABCB}" name="Total Votes by Party" totalsRowFunction="custom" dataDxfId="297" totalsRowDxfId="296">
      <calculatedColumnFormula>MemberOfAssemblyAssemblyDistrict28General114[[#This Row],[Part of Queens County 
Vote Results]]</calculatedColumnFormula>
      <totalsRowFormula>SUM(MemberOfAssemblyAssemblyDistrict28General114[Total Votes by Party])</totalsRowFormula>
    </tableColumn>
    <tableColumn id="2" xr3:uid="{A18A4489-EB33-4435-AB25-99F5B45A011A}" name="Total Votes by Candidate" dataDxfId="295" totalsRowDxfId="294"/>
  </tableColumns>
  <tableStyleInfo name="TableStyleMedium2" showFirstColumn="0" showLastColumn="0" showRowStripes="0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4129DDA5-85E4-4997-877B-DD85F3EAC226}" name="MemberOfAssemblyAssemblyDistrict33General116" displayName="MemberOfAssemblyAssemblyDistrict33General116" ref="A2:D23" totalsRowCount="1" headerRowDxfId="293" dataDxfId="291" totalsRowDxfId="289" headerRowBorderDxfId="292" tableBorderDxfId="290" totalsRowBorderDxfId="288">
  <autoFilter ref="A2:D22" xr:uid="{B4ECF71C-0BF6-4688-8134-CA1EDCBF44BC}">
    <filterColumn colId="0" hiddenButton="1"/>
    <filterColumn colId="1" hiddenButton="1"/>
    <filterColumn colId="2" hiddenButton="1"/>
    <filterColumn colId="3" hiddenButton="1"/>
  </autoFilter>
  <tableColumns count="4">
    <tableColumn id="1" xr3:uid="{EF620FAF-AD75-4FAE-9363-F817971B76D0}" name="Candidate Name (Party)" totalsRowLabel="Total Votes by County" dataDxfId="287" totalsRowDxfId="286"/>
    <tableColumn id="4" xr3:uid="{95899D8E-D996-45F6-AF4D-A32765CE0299}" name="Part of Queens County _x000a_Vote Results" totalsRowFunction="custom" dataDxfId="285" totalsRowDxfId="284">
      <totalsRowFormula>SUM(MemberOfAssemblyAssemblyDistrict33General116[Part of Queens County 
Vote Results])</totalsRowFormula>
    </tableColumn>
    <tableColumn id="3" xr3:uid="{02365F5B-3995-4A76-885E-9DA068C02844}" name="Total Votes by Party" totalsRowFunction="custom" dataDxfId="283" totalsRowDxfId="282">
      <calculatedColumnFormula>MemberOfAssemblyAssemblyDistrict33General116[[#This Row],[Part of Queens County 
Vote Results]]</calculatedColumnFormula>
      <totalsRowFormula>SUM(MemberOfAssemblyAssemblyDistrict33General116[Total Votes by Party])</totalsRowFormula>
    </tableColumn>
    <tableColumn id="2" xr3:uid="{6E704473-A197-401B-A457-F6453B41BC96}" name="Total Votes by Candidate" dataDxfId="281" totalsRowDxfId="280">
      <calculatedColumnFormula>SUM(MemberOfAssemblyAssemblyDistrict33General116[[#This Row],[Total Votes by Party]])</calculatedColumnFormula>
    </tableColumn>
  </tableColumns>
  <tableStyleInfo name="TableStyleMedium2" showFirstColumn="0" showLastColumn="0" showRowStripes="0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504EF657-AE26-45B0-A9F1-BA1D2D2FDD70}" name="MemberOfAssemblyAssemblyDistrict81General130" displayName="MemberOfAssemblyAssemblyDistrict81General130" ref="A2:D24" totalsRowCount="1" headerRowDxfId="279" dataDxfId="277" totalsRowDxfId="275" headerRowBorderDxfId="278" tableBorderDxfId="276" totalsRowBorderDxfId="274">
  <autoFilter ref="A2:D23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83874E04-6279-46EB-8025-185F6D7238F6}" name="Candidate Name (Party)" totalsRowLabel="Total Votes by County" dataDxfId="273" totalsRowDxfId="272"/>
    <tableColumn id="4" xr3:uid="{AC6410E2-B1D3-40B5-934F-661A9CDB9CA3}" name="Part of Bronx County _x000a_Vote Results" totalsRowFunction="custom" dataDxfId="271" totalsRowDxfId="270">
      <totalsRowFormula>SUM(MemberOfAssemblyAssemblyDistrict81General130[Part of Bronx County 
Vote Results])</totalsRowFormula>
    </tableColumn>
    <tableColumn id="3" xr3:uid="{E783C712-B215-4C85-80AB-3E08E3D57007}" name="Total Votes by Party" totalsRowFunction="custom" dataDxfId="269" totalsRowDxfId="268">
      <calculatedColumnFormula>MemberOfAssemblyAssemblyDistrict81General130[[#This Row],[Part of Bronx County 
Vote Results]]</calculatedColumnFormula>
      <totalsRowFormula>SUM(MemberOfAssemblyAssemblyDistrict81General130[Total Votes by Party])</totalsRowFormula>
    </tableColumn>
    <tableColumn id="2" xr3:uid="{2CDD7770-6031-4247-98F4-8620FDAA02A1}" name="Total Votes by Candidate" dataDxfId="267" totalsRowDxfId="266"/>
  </tableColumns>
  <tableStyleInfo name="TableStyleMedium2" showFirstColumn="0" showLastColumn="0" showRowStripes="0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3C37A40-6CEE-4918-94A0-F41E5EFEDB50}" name="MemberOfAssemblyAssemblyDistrict81General130131" displayName="MemberOfAssemblyAssemblyDistrict81General130131" ref="A2:D24" totalsRowCount="1" headerRowDxfId="265" dataDxfId="263" totalsRowDxfId="261" headerRowBorderDxfId="264" tableBorderDxfId="262" totalsRowBorderDxfId="260">
  <autoFilter ref="A2:D23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DA675E41-F8CC-44AC-893F-6439B3783A37}" name="Candidate Name (Party)" totalsRowLabel="Total Votes by County" dataDxfId="259" totalsRowDxfId="258"/>
    <tableColumn id="4" xr3:uid="{F3E3AD16-CD06-4427-81D7-7E09A8BB0026}" name="Part of Bronx County _x000a_Vote Results" totalsRowFunction="custom" dataDxfId="257" totalsRowDxfId="256">
      <totalsRowFormula>SUM(MemberOfAssemblyAssemblyDistrict81General130131[Part of Bronx County 
Vote Results])</totalsRowFormula>
    </tableColumn>
    <tableColumn id="3" xr3:uid="{DCA93725-1A4C-47C9-8F0E-E4283A2DC376}" name="Total Votes by Party" totalsRowFunction="custom" dataDxfId="255" totalsRowDxfId="254">
      <calculatedColumnFormula>MemberOfAssemblyAssemblyDistrict81General130131[[#This Row],[Part of Bronx County 
Vote Results]]</calculatedColumnFormula>
      <totalsRowFormula>SUM(MemberOfAssemblyAssemblyDistrict81General130131[Total Votes by Party])</totalsRowFormula>
    </tableColumn>
    <tableColumn id="2" xr3:uid="{934E6BF8-C42C-4B4A-8AB7-FFFFBD7C629C}" name="Total Votes by Candidate" dataDxfId="253" totalsRowDxfId="252"/>
  </tableColumns>
  <tableStyleInfo name="TableStyleMedium2" showFirstColumn="0" showLastColumn="0" showRowStripes="0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CB2D6F77-14A2-4CCB-9F45-6C20FB0072F5}" name="MemberOfAssemblyAssemblyDistrict24General" displayName="MemberOfAssemblyAssemblyDistrict24General" ref="A2:D10" totalsRowCount="1" headerRowDxfId="251" dataDxfId="249" totalsRowDxfId="247" headerRowBorderDxfId="250" tableBorderDxfId="248" totalsRowBorderDxfId="246">
  <autoFilter ref="A2:D9" xr:uid="{E5428B72-0FEF-4A9C-B5B3-DCA320CD638B}">
    <filterColumn colId="0" hiddenButton="1"/>
    <filterColumn colId="1" hiddenButton="1"/>
    <filterColumn colId="2" hiddenButton="1"/>
    <filterColumn colId="3" hiddenButton="1"/>
  </autoFilter>
  <tableColumns count="4">
    <tableColumn id="1" xr3:uid="{0810CA28-DA78-4607-A73C-F0DEB09E0B3A}" name="Candidate Name (Party)" totalsRowLabel="Total Votes by County" dataDxfId="245" totalsRowDxfId="244"/>
    <tableColumn id="4" xr3:uid="{50EB5F05-80D0-43C5-AD94-4CC79C38C3C9}" name="Part of Queens County _x000a_Vote Results" totalsRowFunction="custom" dataDxfId="243" totalsRowDxfId="242">
      <totalsRowFormula>SUM(MemberOfAssemblyAssemblyDistrict24General[Part of Queens County 
Vote Results])</totalsRowFormula>
    </tableColumn>
    <tableColumn id="3" xr3:uid="{DD5DFF67-A927-4CBF-87B6-9E66659006DE}" name="Total Votes by Party" totalsRowFunction="custom" dataDxfId="241" totalsRowDxfId="240">
      <calculatedColumnFormula>MemberOfAssemblyAssemblyDistrict24General[[#This Row],[Part of Queens County 
Vote Results]]</calculatedColumnFormula>
      <totalsRowFormula>SUM(MemberOfAssemblyAssemblyDistrict24General[Total Votes by Party])</totalsRowFormula>
    </tableColumn>
    <tableColumn id="2" xr3:uid="{C959A24A-0F44-4FA3-AE9F-DFA58B3DBF02}" name="Total Votes by Candidate" dataDxfId="239" totalsRowDxfId="238"/>
  </tableColumns>
  <tableStyleInfo name="TableStyleMedium2" showFirstColumn="0" showLastColumn="0" showRowStripes="0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A7F4D9A-CB41-4815-8BC7-584B2A496DAB}" name="MemberOfAssemblyAssemblyDistrict34General95" displayName="MemberOfAssemblyAssemblyDistrict34General95" ref="A2:D9" totalsRowCount="1" headerRowDxfId="237" dataDxfId="235" totalsRowDxfId="233" headerRowBorderDxfId="236" tableBorderDxfId="234" totalsRowBorderDxfId="232">
  <autoFilter ref="A2:D8" xr:uid="{17A2092C-D04F-49FE-A19A-7D1A5B52CBAE}">
    <filterColumn colId="0" hiddenButton="1"/>
    <filterColumn colId="1" hiddenButton="1"/>
    <filterColumn colId="2" hiddenButton="1"/>
    <filterColumn colId="3" hiddenButton="1"/>
  </autoFilter>
  <tableColumns count="4">
    <tableColumn id="1" xr3:uid="{627840E3-9186-49A8-BF66-68333E7E7344}" name="Candidate Name (Party)" totalsRowLabel="Total Votes by County" dataDxfId="231" totalsRowDxfId="230"/>
    <tableColumn id="4" xr3:uid="{B927D854-C356-4992-8229-049AA27454A9}" name="Part of Queens County _x000a_Vote Results" totalsRowFunction="custom" dataDxfId="229" totalsRowDxfId="228">
      <totalsRowFormula>SUM(MemberOfAssemblyAssemblyDistrict34General95[Part of Queens County 
Vote Results])</totalsRowFormula>
    </tableColumn>
    <tableColumn id="3" xr3:uid="{176F5369-C790-4BD1-AFC1-DECB3454D22A}" name="Total Votes by Party" totalsRowFunction="custom" dataDxfId="227" totalsRowDxfId="226">
      <calculatedColumnFormula>MemberOfAssemblyAssemblyDistrict34General95[[#This Row],[Part of Queens County 
Vote Results]]</calculatedColumnFormula>
      <totalsRowFormula>SUM(MemberOfAssemblyAssemblyDistrict34General95[Total Votes by Party])</totalsRowFormula>
    </tableColumn>
    <tableColumn id="2" xr3:uid="{ACDFBBA4-B0EE-4029-9C50-25A28C851C54}" name="Total Votes by Candidate" dataDxfId="225" totalsRowDxfId="224">
      <calculatedColumnFormula>SUM(MemberOfAssemblyAssemblyDistrict34General95[[#This Row],[Total Votes by Party]],#REF!)</calculatedColumnFormula>
    </tableColumn>
  </tableColumns>
  <tableStyleInfo name="TableStyleMedium2" showFirstColumn="0" showLastColumn="0" showRowStripes="0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C289AC19-8B3A-4682-B906-7ACB2E6A1201}" name="MemberOfAssemblyAssemblyDistrict35General" displayName="MemberOfAssemblyAssemblyDistrict35General" ref="A2:D9" totalsRowCount="1" headerRowDxfId="223" dataDxfId="221" totalsRowDxfId="219" headerRowBorderDxfId="222" tableBorderDxfId="220" totalsRowBorderDxfId="218">
  <autoFilter ref="A2:D8" xr:uid="{1EB8363C-646C-4620-B421-B6C3565C17E2}">
    <filterColumn colId="0" hiddenButton="1"/>
    <filterColumn colId="1" hiddenButton="1"/>
    <filterColumn colId="2" hiddenButton="1"/>
    <filterColumn colId="3" hiddenButton="1"/>
  </autoFilter>
  <tableColumns count="4">
    <tableColumn id="1" xr3:uid="{2B93796A-6207-4C00-A759-79F4B770B8D5}" name="Candidate Name (Party)" totalsRowLabel="Total Votes by County" dataDxfId="217" totalsRowDxfId="216"/>
    <tableColumn id="4" xr3:uid="{D0AF9590-F30D-4171-8EAE-28AD1A222464}" name="Part of Queens County _x000a_Vote Results" totalsRowFunction="custom" dataDxfId="215" totalsRowDxfId="214">
      <totalsRowFormula>SUM(MemberOfAssemblyAssemblyDistrict35General[Part of Queens County 
Vote Results])</totalsRowFormula>
    </tableColumn>
    <tableColumn id="3" xr3:uid="{7A9BF861-EC23-49B5-A6D9-ADE147C02D67}" name="Total Votes by Party" totalsRowFunction="custom" dataDxfId="213" totalsRowDxfId="212">
      <calculatedColumnFormula>MemberOfAssemblyAssemblyDistrict35General[[#This Row],[Part of Queens County 
Vote Results]]</calculatedColumnFormula>
      <totalsRowFormula>SUM(MemberOfAssemblyAssemblyDistrict35General[Total Votes by Party])</totalsRowFormula>
    </tableColumn>
    <tableColumn id="2" xr3:uid="{9DAC4808-6ECB-4C4D-8B77-518BA6EFC217}" name="Total Votes by Candidate" dataDxfId="211" totalsRowDxfId="210"/>
  </tableColumns>
  <tableStyleInfo name="TableStyleMedium2" showFirstColumn="0" showLastColumn="0" showRowStripes="0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D87BF104-8C3E-4E41-AD5C-CD50802C1534}" name="MemberOfAssemblyAssemblyDistrict39General97" displayName="MemberOfAssemblyAssemblyDistrict39General97" ref="A2:D10" totalsRowCount="1" headerRowDxfId="209" dataDxfId="207" totalsRowDxfId="205" headerRowBorderDxfId="208" tableBorderDxfId="206" totalsRowBorderDxfId="204">
  <autoFilter ref="A2:D9" xr:uid="{BEC8AD1F-1472-4FA5-863E-8D544C0F76D7}">
    <filterColumn colId="0" hiddenButton="1"/>
    <filterColumn colId="1" hiddenButton="1"/>
    <filterColumn colId="2" hiddenButton="1"/>
    <filterColumn colId="3" hiddenButton="1"/>
  </autoFilter>
  <tableColumns count="4">
    <tableColumn id="1" xr3:uid="{CCAE64C5-8E5D-43C6-B663-2DBF61DE148C}" name="Candidate Name (Party)" totalsRowLabel="Total Votes by County" dataDxfId="203" totalsRowDxfId="202"/>
    <tableColumn id="4" xr3:uid="{E3FE4C53-A365-4451-8B84-8C1B3DD99CA3}" name="Part of Queens County _x000a_Vote Results" totalsRowFunction="custom" dataDxfId="201" totalsRowDxfId="200">
      <totalsRowFormula>SUM(MemberOfAssemblyAssemblyDistrict39General97[Part of Queens County 
Vote Results])</totalsRowFormula>
    </tableColumn>
    <tableColumn id="3" xr3:uid="{78EE9A4B-21EA-4222-A0DC-64C9B39D81D1}" name="Total Votes by Party" totalsRowFunction="custom" dataDxfId="199" totalsRowDxfId="198">
      <calculatedColumnFormula>MemberOfAssemblyAssemblyDistrict39General97[[#This Row],[Part of Queens County 
Vote Results]]</calculatedColumnFormula>
      <totalsRowFormula>SUM(MemberOfAssemblyAssemblyDistrict39General97[Total Votes by Party])</totalsRowFormula>
    </tableColumn>
    <tableColumn id="2" xr3:uid="{9C7CDE99-3932-4146-AB43-7B9B4EF227BE}" name="Total Votes by Candidate" dataDxfId="197" totalsRowDxfId="196">
      <calculatedColumnFormula>SUM(MemberOfAssemblyAssemblyDistrict39General97[[#This Row],[Total Votes by Party]])</calculatedColumnFormula>
    </tableColumn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7CF1603D-C32C-4C59-B64C-A5339F10F423}" name="RepInCongressCongressionalDistrict12General" displayName="RepInCongressCongressionalDistrict12General" ref="A2:D14" totalsRowCount="1" headerRowDxfId="1769" dataDxfId="1767" totalsRowDxfId="1765" headerRowBorderDxfId="1768" tableBorderDxfId="1766" totalsRowBorderDxfId="1764">
  <autoFilter ref="A2:D13" xr:uid="{21975E14-01E6-4429-9B84-675EEFAF38A3}">
    <filterColumn colId="0" hiddenButton="1"/>
    <filterColumn colId="1" hiddenButton="1"/>
    <filterColumn colId="2" hiddenButton="1"/>
    <filterColumn colId="3" hiddenButton="1"/>
  </autoFilter>
  <tableColumns count="4">
    <tableColumn id="1" xr3:uid="{83BE865C-6208-4FD9-9EEE-9A2F931F4F25}" name="Candidate Name (Party)" totalsRowLabel="Total Votes by County" dataDxfId="1763" totalsRowDxfId="1762"/>
    <tableColumn id="3" xr3:uid="{B16049F8-5236-493E-A6F1-8B6A4EEE6773}" name="Part of New York County Vote Results" totalsRowFunction="custom" dataDxfId="1761" totalsRowDxfId="1760">
      <totalsRowFormula>SUM(RepInCongressCongressionalDistrict12General[Part of New York County Vote Results])</totalsRowFormula>
    </tableColumn>
    <tableColumn id="6" xr3:uid="{0238F116-C96A-4A5C-AF6D-13B6E1F7B43E}" name="Total Votes by Party" totalsRowFunction="custom" dataDxfId="1759" totalsRowDxfId="1758">
      <calculatedColumnFormula>SUM(RepInCongressCongressionalDistrict12General[[#This Row],[Part of New York County Vote Results]])</calculatedColumnFormula>
      <totalsRowFormula>SUM(RepInCongressCongressionalDistrict12General[Total Votes by Party])</totalsRowFormula>
    </tableColumn>
    <tableColumn id="5" xr3:uid="{CBE888DB-AB7A-4B1E-BB3B-BADAD9C194B3}" name="Total Votes by Candidate" dataDxfId="1757" totalsRowDxfId="1756"/>
  </tableColumns>
  <tableStyleInfo name="TableStyleMedium2" showFirstColumn="0" showLastColumn="0" showRowStripes="0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AA211B0E-6E79-435F-82DB-0388E3298E99}" name="MemberOfAssemblyAssemblyDistrict43General98" displayName="MemberOfAssemblyAssemblyDistrict43General98" ref="A2:D10" totalsRowCount="1" headerRowDxfId="195" dataDxfId="193" totalsRowDxfId="191" headerRowBorderDxfId="194" tableBorderDxfId="192" totalsRowBorderDxfId="190">
  <autoFilter ref="A2:D9" xr:uid="{9AE16682-B515-45EE-912B-69FCDE72BB7E}">
    <filterColumn colId="0" hiddenButton="1"/>
    <filterColumn colId="1" hiddenButton="1"/>
    <filterColumn colId="2" hiddenButton="1"/>
    <filterColumn colId="3" hiddenButton="1"/>
  </autoFilter>
  <tableColumns count="4">
    <tableColumn id="1" xr3:uid="{A3247E2C-3F42-4005-9099-AD7D472E3831}" name="Candidate Name (Party)" totalsRowLabel="Total Votes by County" dataDxfId="189" totalsRowDxfId="188"/>
    <tableColumn id="4" xr3:uid="{9539E72C-5295-41B9-B1D7-3C60BC1F578A}" name="Part of Kings County _x000a_Vote Results" totalsRowFunction="custom" dataDxfId="187" totalsRowDxfId="186">
      <totalsRowFormula>SUM(MemberOfAssemblyAssemblyDistrict43General98[Part of Kings County 
Vote Results])</totalsRowFormula>
    </tableColumn>
    <tableColumn id="3" xr3:uid="{CC44F0BE-0183-4F8E-9033-38343F6D952D}" name="Total Votes by Party" totalsRowFunction="custom" dataDxfId="185" totalsRowDxfId="184">
      <calculatedColumnFormula>MemberOfAssemblyAssemblyDistrict43General98[[#This Row],[Part of Kings County 
Vote Results]]</calculatedColumnFormula>
      <totalsRowFormula>SUM(MemberOfAssemblyAssemblyDistrict43General98[Total Votes by Party])</totalsRowFormula>
    </tableColumn>
    <tableColumn id="2" xr3:uid="{FF5D6B8E-F781-427E-8B0C-1EE2AE2B151B}" name="Total Votes by Candidate" dataDxfId="183" totalsRowDxfId="182"/>
  </tableColumns>
  <tableStyleInfo name="TableStyleMedium2" showFirstColumn="0" showLastColumn="0" showRowStripes="0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86939CEF-50A1-4FA8-98CD-75AF35032C70}" name="MemberOfAssemblyAssemblyDistrict54General99" displayName="MemberOfAssemblyAssemblyDistrict54General99" ref="A2:D10" totalsRowCount="1" headerRowDxfId="181" dataDxfId="179" totalsRowDxfId="177" headerRowBorderDxfId="180" tableBorderDxfId="178" totalsRowBorderDxfId="176">
  <autoFilter ref="A2:D9" xr:uid="{1CF8D885-C45F-4D89-A766-3A66B39900A8}">
    <filterColumn colId="0" hiddenButton="1"/>
    <filterColumn colId="1" hiddenButton="1"/>
    <filterColumn colId="2" hiddenButton="1"/>
    <filterColumn colId="3" hiddenButton="1"/>
  </autoFilter>
  <tableColumns count="4">
    <tableColumn id="1" xr3:uid="{DFA4BA7C-D6DE-410C-9BA8-85E7328F2CC6}" name="Candidate Name (Party)" totalsRowLabel="Total Votes by County" dataDxfId="175" totalsRowDxfId="174"/>
    <tableColumn id="4" xr3:uid="{A9F5B1F8-BF09-4A91-8859-0C2D1BBD8154}" name="Part of Kings County _x000a_Vote Results" totalsRowFunction="custom" dataDxfId="173" totalsRowDxfId="172">
      <totalsRowFormula>SUM(MemberOfAssemblyAssemblyDistrict54General99[Part of Kings County 
Vote Results])</totalsRowFormula>
    </tableColumn>
    <tableColumn id="3" xr3:uid="{531BB917-9284-4C56-A5CA-C61F52D6E91F}" name="Total Votes by Party" totalsRowFunction="custom" dataDxfId="171" totalsRowDxfId="170">
      <calculatedColumnFormula>MemberOfAssemblyAssemblyDistrict54General99[[#This Row],[Part of Kings County 
Vote Results]]</calculatedColumnFormula>
      <totalsRowFormula>SUM(MemberOfAssemblyAssemblyDistrict54General99[Total Votes by Party])</totalsRowFormula>
    </tableColumn>
    <tableColumn id="2" xr3:uid="{4EA012AB-7101-4097-92E5-5A2EE811167A}" name="Total Votes by Candidate" dataDxfId="169" totalsRowDxfId="168"/>
  </tableColumns>
  <tableStyleInfo name="TableStyleMedium2" showFirstColumn="0" showLastColumn="0" showRowStripes="0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18C508C8-C5AC-4ACE-8EEF-02A7F76C824C}" name="MemberOfAssemblyAssemblyDistrict56General101" displayName="MemberOfAssemblyAssemblyDistrict56General101" ref="A2:D10" totalsRowCount="1" headerRowDxfId="167" dataDxfId="165" totalsRowDxfId="163" headerRowBorderDxfId="166" tableBorderDxfId="164" totalsRowBorderDxfId="162">
  <autoFilter ref="A2:D9" xr:uid="{B43538B1-6F61-46C2-AEC0-8740BACEBF7F}">
    <filterColumn colId="0" hiddenButton="1"/>
    <filterColumn colId="1" hiddenButton="1"/>
    <filterColumn colId="2" hiddenButton="1"/>
    <filterColumn colId="3" hiddenButton="1"/>
  </autoFilter>
  <tableColumns count="4">
    <tableColumn id="1" xr3:uid="{AB3D9970-50AD-40A4-AC2F-9DAC825DAD44}" name="Candidate Name (Party)" totalsRowLabel="Total Votes by County" dataDxfId="161" totalsRowDxfId="160"/>
    <tableColumn id="4" xr3:uid="{676F6157-EE34-4DC3-B6AE-3CD39D3CAFD4}" name="Part of Kings County _x000a_Vote Results" totalsRowFunction="custom" dataDxfId="159" totalsRowDxfId="158">
      <totalsRowFormula>SUM(MemberOfAssemblyAssemblyDistrict56General101[Part of Kings County 
Vote Results])</totalsRowFormula>
    </tableColumn>
    <tableColumn id="3" xr3:uid="{8DF9E269-04E1-4B16-9FD5-ECFCCD6C5EB1}" name="Total Votes by Party" totalsRowFunction="custom" dataDxfId="157" totalsRowDxfId="156">
      <calculatedColumnFormula>MemberOfAssemblyAssemblyDistrict56General101[[#This Row],[Part of Kings County 
Vote Results]]</calculatedColumnFormula>
      <totalsRowFormula>SUM(MemberOfAssemblyAssemblyDistrict56General101[Total Votes by Party])</totalsRowFormula>
    </tableColumn>
    <tableColumn id="2" xr3:uid="{F0EE8F38-FE4E-46A2-86BE-E986862EC736}" name="Total Votes by Candidate" dataDxfId="155" totalsRowDxfId="154">
      <calculatedColumnFormula>SUM(MemberOfAssemblyAssemblyDistrict56General101[[#This Row],[Total Votes by Party]])</calculatedColumnFormula>
    </tableColumn>
  </tableColumns>
  <tableStyleInfo name="TableStyleMedium2" showFirstColumn="0" showLastColumn="0" showRowStripes="0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5A132B66-1407-4008-9503-6C8294EA221E}" name="MemberOfAssemblyAssemblyDistrict57General102" displayName="MemberOfAssemblyAssemblyDistrict57General102" ref="A2:D10" totalsRowCount="1" headerRowDxfId="153" dataDxfId="151" totalsRowDxfId="149" headerRowBorderDxfId="152" tableBorderDxfId="150" totalsRowBorderDxfId="148">
  <autoFilter ref="A2:D9" xr:uid="{06885FD3-6BA0-4A8B-A771-AA4B6AD34E9B}">
    <filterColumn colId="0" hiddenButton="1"/>
    <filterColumn colId="1" hiddenButton="1"/>
    <filterColumn colId="2" hiddenButton="1"/>
    <filterColumn colId="3" hiddenButton="1"/>
  </autoFilter>
  <tableColumns count="4">
    <tableColumn id="1" xr3:uid="{0F9449C6-0410-4289-BA7B-B9F87432E2BA}" name="Candidate Name (Party)" totalsRowLabel="Total Votes by County" dataDxfId="147" totalsRowDxfId="146"/>
    <tableColumn id="4" xr3:uid="{475DBE77-00CE-49F2-A4D8-A20A9E109509}" name="Part of Kings County _x000a_Vote Results" totalsRowFunction="custom" dataDxfId="145" totalsRowDxfId="144">
      <totalsRowFormula>SUM(MemberOfAssemblyAssemblyDistrict57General102[Part of Kings County 
Vote Results])</totalsRowFormula>
    </tableColumn>
    <tableColumn id="3" xr3:uid="{9E58815B-FB0F-4563-9271-9BDD3D4E3313}" name="Total Votes by Party" totalsRowFunction="custom" dataDxfId="143" totalsRowDxfId="142">
      <calculatedColumnFormula>MemberOfAssemblyAssemblyDistrict57General102[[#This Row],[Part of Kings County 
Vote Results]]</calculatedColumnFormula>
      <totalsRowFormula>SUM(MemberOfAssemblyAssemblyDistrict57General102[Total Votes by Party])</totalsRowFormula>
    </tableColumn>
    <tableColumn id="2" xr3:uid="{E42F83F5-5DDD-485E-AA9A-3CAAE03AE0DE}" name="Total Votes by Candidate" dataDxfId="141" totalsRowDxfId="140"/>
  </tableColumns>
  <tableStyleInfo name="TableStyleMedium2" showFirstColumn="0" showLastColumn="0" showRowStripes="0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D55AC84B-3A32-4597-9294-29136E1D8C5D}" name="MemberOfAssemblyAssemblyDistrict58General" displayName="MemberOfAssemblyAssemblyDistrict58General" ref="A2:D9" totalsRowCount="1" headerRowDxfId="139" dataDxfId="137" totalsRowDxfId="135" headerRowBorderDxfId="138" tableBorderDxfId="136" totalsRowBorderDxfId="134">
  <autoFilter ref="A2:D8" xr:uid="{62F76209-C641-4D99-AF0C-3E463FCF6991}">
    <filterColumn colId="0" hiddenButton="1"/>
    <filterColumn colId="1" hiddenButton="1"/>
    <filterColumn colId="2" hiddenButton="1"/>
    <filterColumn colId="3" hiddenButton="1"/>
  </autoFilter>
  <tableColumns count="4">
    <tableColumn id="1" xr3:uid="{43005A17-4CBA-4CF9-A055-0EA00BE661A8}" name="Candidate Name (Party)" totalsRowLabel="Total Votes by County" dataDxfId="133" totalsRowDxfId="132"/>
    <tableColumn id="4" xr3:uid="{12770A0B-7056-4F5F-BEA6-062F77A941AC}" name="Part of Kings County _x000a_Vote Results" totalsRowFunction="custom" dataDxfId="131" totalsRowDxfId="130">
      <totalsRowFormula>SUM(MemberOfAssemblyAssemblyDistrict58General[Part of Kings County 
Vote Results])</totalsRowFormula>
    </tableColumn>
    <tableColumn id="3" xr3:uid="{A48AE0E7-BEF3-49A8-A20B-A3FE994E2FE0}" name="Total Votes by Party" totalsRowFunction="custom" dataDxfId="129" totalsRowDxfId="128">
      <calculatedColumnFormula>MemberOfAssemblyAssemblyDistrict58General[[#This Row],[Part of Kings County 
Vote Results]]</calculatedColumnFormula>
      <totalsRowFormula>SUM(MemberOfAssemblyAssemblyDistrict58General[Total Votes by Party])</totalsRowFormula>
    </tableColumn>
    <tableColumn id="2" xr3:uid="{0B81F959-0744-4B1A-9284-A5466CDD778C}" name="Total Votes by Candidate" dataDxfId="127" totalsRowDxfId="126">
      <calculatedColumnFormula>SUM(MemberOfAssemblyAssemblyDistrict58General[[#This Row],[Total Votes by Party]],C5)</calculatedColumnFormula>
    </tableColumn>
  </tableColumns>
  <tableStyleInfo name="TableStyleMedium2" showFirstColumn="0" showLastColumn="0" showRowStripes="0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F660CE0F-B557-4468-A031-0593E46F5F7B}" name="MemberOfAssemblyAssemblyDistrict59General104" displayName="MemberOfAssemblyAssemblyDistrict59General104" ref="A2:D9" totalsRowCount="1" headerRowDxfId="125" dataDxfId="123" totalsRowDxfId="121" headerRowBorderDxfId="124" tableBorderDxfId="122" totalsRowBorderDxfId="120">
  <autoFilter ref="A2:D8" xr:uid="{B879D523-A7B9-4628-BDB2-94E50B233A7C}">
    <filterColumn colId="0" hiddenButton="1"/>
    <filterColumn colId="1" hiddenButton="1"/>
    <filterColumn colId="2" hiddenButton="1"/>
    <filterColumn colId="3" hiddenButton="1"/>
  </autoFilter>
  <tableColumns count="4">
    <tableColumn id="1" xr3:uid="{CE33703D-E93C-41EA-8A20-6492286E6770}" name="Candidate Name (Party)" totalsRowLabel="Total Votes by County" dataDxfId="119" totalsRowDxfId="118"/>
    <tableColumn id="4" xr3:uid="{DBF532F9-B91F-4266-8985-A50243FD936D}" name="Part of Kings County _x000a_Vote Results" totalsRowFunction="custom" dataDxfId="117" totalsRowDxfId="116">
      <totalsRowFormula>SUM(MemberOfAssemblyAssemblyDistrict59General104[Part of Kings County 
Vote Results])</totalsRowFormula>
    </tableColumn>
    <tableColumn id="3" xr3:uid="{F82C85BA-1E76-4F09-94CC-C99444E9E277}" name="Total Votes by Party" totalsRowFunction="custom" dataDxfId="115" totalsRowDxfId="114">
      <calculatedColumnFormula>MemberOfAssemblyAssemblyDistrict59General104[[#This Row],[Part of Kings County 
Vote Results]]</calculatedColumnFormula>
      <totalsRowFormula>SUM(MemberOfAssemblyAssemblyDistrict59General104[Total Votes by Party])</totalsRowFormula>
    </tableColumn>
    <tableColumn id="2" xr3:uid="{A2DFD297-622E-414C-A0D5-110E7E57602F}" name="Total Votes by Candidate" dataDxfId="113" totalsRowDxfId="112">
      <calculatedColumnFormula>SUM(MemberOfAssemblyAssemblyDistrict59General104[[#This Row],[Total Votes by Party]])</calculatedColumnFormula>
    </tableColumn>
  </tableColumns>
  <tableStyleInfo name="TableStyleMedium2" showFirstColumn="0" showLastColumn="0" showRowStripes="0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6F6EB8AA-9602-45EA-AFC3-A54AB037078B}" name="MemberOfAssemblyAssemblyDistrict65General105" displayName="MemberOfAssemblyAssemblyDistrict65General105" ref="A2:D9" totalsRowCount="1" headerRowDxfId="111" dataDxfId="109" totalsRowDxfId="107" headerRowBorderDxfId="110" tableBorderDxfId="108" totalsRowBorderDxfId="106">
  <autoFilter ref="A2:D8" xr:uid="{7E494556-0D9D-4D28-95F5-DF8B28663B44}">
    <filterColumn colId="0" hiddenButton="1"/>
    <filterColumn colId="1" hiddenButton="1"/>
    <filterColumn colId="2" hiddenButton="1"/>
    <filterColumn colId="3" hiddenButton="1"/>
  </autoFilter>
  <tableColumns count="4">
    <tableColumn id="1" xr3:uid="{A563308F-476E-487F-9FA3-5C41B8171910}" name="Candidate Name (Party)" totalsRowLabel="Total Votes by County" dataDxfId="105" totalsRowDxfId="104"/>
    <tableColumn id="4" xr3:uid="{9624418F-F663-44C0-B33D-028C21325CB7}" name="Part of New York County _x000a_Vote Results" totalsRowFunction="custom" dataDxfId="103" totalsRowDxfId="102">
      <totalsRowFormula>SUM(MemberOfAssemblyAssemblyDistrict65General105[Part of New York County 
Vote Results])</totalsRowFormula>
    </tableColumn>
    <tableColumn id="3" xr3:uid="{E0666581-1FBE-4BDD-B533-3124F76F6497}" name="Total Votes by Party" totalsRowFunction="custom" dataDxfId="101" totalsRowDxfId="100">
      <calculatedColumnFormula>MemberOfAssemblyAssemblyDistrict65General105[[#This Row],[Part of New York County 
Vote Results]]</calculatedColumnFormula>
      <totalsRowFormula>SUM(MemberOfAssemblyAssemblyDistrict65General105[Total Votes by Party])</totalsRowFormula>
    </tableColumn>
    <tableColumn id="2" xr3:uid="{90969E3D-F492-46C9-B970-1C785E8F65F9}" name="Total Votes by Candidate" dataDxfId="99" totalsRowDxfId="98">
      <calculatedColumnFormula>SUM(MemberOfAssemblyAssemblyDistrict65General105[[#This Row],[Total Votes by Party]],C5)</calculatedColumnFormula>
    </tableColumn>
  </tableColumns>
  <tableStyleInfo name="TableStyleMedium2" showFirstColumn="0" showLastColumn="0" showRowStripes="0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F20100C5-690F-4EF7-9435-93B406967056}" name="MemberOfAssemblyAssemblyDistrict68General106" displayName="MemberOfAssemblyAssemblyDistrict68General106" ref="A2:D13" totalsRowCount="1" headerRowDxfId="97" dataDxfId="95" totalsRowDxfId="93" headerRowBorderDxfId="96" tableBorderDxfId="94" totalsRowBorderDxfId="92">
  <autoFilter ref="A2:D12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4BD07700-81DE-4DB4-9EB3-3A2C4C101DAB}" name="Candidate Name (Party)" totalsRowLabel="Total Votes by County" dataDxfId="91" totalsRowDxfId="90"/>
    <tableColumn id="4" xr3:uid="{41CE0704-2E13-46E6-83A1-312BD7596EDB}" name="Part of New York County _x000a_Vote Results" totalsRowFunction="custom" dataDxfId="89" totalsRowDxfId="88">
      <totalsRowFormula>SUM(MemberOfAssemblyAssemblyDistrict68General106[Part of New York County 
Vote Results])</totalsRowFormula>
    </tableColumn>
    <tableColumn id="3" xr3:uid="{D7BF8FEA-7ED3-4758-87B4-3EB4A0478A82}" name="Total Votes by Party" totalsRowFunction="custom" dataDxfId="87" totalsRowDxfId="86">
      <calculatedColumnFormula>MemberOfAssemblyAssemblyDistrict68General106[[#This Row],[Part of New York County 
Vote Results]]</calculatedColumnFormula>
      <totalsRowFormula>SUM(MemberOfAssemblyAssemblyDistrict68General106[Total Votes by Party])</totalsRowFormula>
    </tableColumn>
    <tableColumn id="2" xr3:uid="{2BF4563F-8A19-4DC1-97F9-2E528D5C9E01}" name="Total Votes by Candidate" dataDxfId="85" totalsRowDxfId="84"/>
  </tableColumns>
  <tableStyleInfo name="TableStyleMedium2" showFirstColumn="0" showLastColumn="0" showRowStripes="0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72084062-CDAA-4938-B5C0-176D2898D6FD}" name="MemberOfAssemblyAssemblyDistrict71General107" displayName="MemberOfAssemblyAssemblyDistrict71General107" ref="A2:D9" totalsRowCount="1" headerRowDxfId="83" dataDxfId="81" totalsRowDxfId="79" headerRowBorderDxfId="82" tableBorderDxfId="80" totalsRowBorderDxfId="78">
  <autoFilter ref="A2:D8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075E0E25-9527-418A-94D0-3DED6EE0DD62}" name="Candidate Name (Party)" totalsRowLabel="Total Votes by County" dataDxfId="77" totalsRowDxfId="76"/>
    <tableColumn id="4" xr3:uid="{759672F0-6C15-4082-BE42-0456B30AF2BA}" name="Part of New York County _x000a_Vote Results" totalsRowFunction="custom" dataDxfId="75" totalsRowDxfId="74">
      <totalsRowFormula>SUM(MemberOfAssemblyAssemblyDistrict71General107[Part of New York County 
Vote Results])</totalsRowFormula>
    </tableColumn>
    <tableColumn id="3" xr3:uid="{67429D52-721C-43D0-8D22-848DA988AD8D}" name="Total Votes by Party" totalsRowFunction="custom" dataDxfId="73" totalsRowDxfId="72">
      <calculatedColumnFormula>MemberOfAssemblyAssemblyDistrict71General107[[#This Row],[Part of New York County 
Vote Results]]</calculatedColumnFormula>
      <totalsRowFormula>SUM(MemberOfAssemblyAssemblyDistrict71General107[Total Votes by Party])</totalsRowFormula>
    </tableColumn>
    <tableColumn id="2" xr3:uid="{B8F87E1E-9109-4669-B883-AB77CB48AA0D}" name="Total Votes by Candidate" dataDxfId="71" totalsRowDxfId="70">
      <calculatedColumnFormula>SUM(MemberOfAssemblyAssemblyDistrict71General107[[#This Row],[Total Votes by Party]],C5)</calculatedColumnFormula>
    </tableColumn>
  </tableColumns>
  <tableStyleInfo name="TableStyleMedium2" showFirstColumn="0" showLastColumn="0" showRowStripes="0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6DAD01E8-A907-4D2D-AD9C-D4EE82E972E0}" name="MemberOfAssemblyAssemblyDistrict72General108" displayName="MemberOfAssemblyAssemblyDistrict72General108" ref="A2:D11" totalsRowCount="1" headerRowDxfId="69" dataDxfId="67" totalsRowDxfId="65" headerRowBorderDxfId="68" tableBorderDxfId="66" totalsRowBorderDxfId="64">
  <autoFilter ref="A2:D10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F276893F-A164-40D2-BBDC-023DCDE9955E}" name="Candidate Name (Party)" totalsRowLabel="Total Votes by County" dataDxfId="63" totalsRowDxfId="62"/>
    <tableColumn id="4" xr3:uid="{A2A5FA2D-13C0-443C-9062-FBBDBB866F38}" name="Part of New York County _x000a_Vote Results" totalsRowFunction="custom" dataDxfId="61" totalsRowDxfId="60">
      <totalsRowFormula>SUM(MemberOfAssemblyAssemblyDistrict72General108[Part of New York County 
Vote Results])</totalsRowFormula>
    </tableColumn>
    <tableColumn id="3" xr3:uid="{66881B63-E9B4-4C3D-AFAC-B826CFA8C13A}" name="Total Votes by Party" totalsRowFunction="custom" dataDxfId="59" totalsRowDxfId="58">
      <calculatedColumnFormula>MemberOfAssemblyAssemblyDistrict72General108[[#This Row],[Part of New York County 
Vote Results]]</calculatedColumnFormula>
      <totalsRowFormula>SUM(MemberOfAssemblyAssemblyDistrict72General108[Total Votes by Party])</totalsRowFormula>
    </tableColumn>
    <tableColumn id="2" xr3:uid="{E014C338-1B59-4FEE-9F55-5F0E49894B22}" name="Total Votes by Candidate" dataDxfId="57" totalsRowDxfId="56">
      <calculatedColumnFormula>SUM(MemberOfAssemblyAssemblyDistrict72General108[[#This Row],[Total Votes by Party]])</calculatedColumnFormula>
    </tableColumn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9502223A-999C-483D-82D7-0F796A058CD9}" name="RepInCongressCongressionalDistrict13General" displayName="RepInCongressCongressionalDistrict13General" ref="A2:E10" totalsRowCount="1" headerRowDxfId="1755" dataDxfId="1753" totalsRowDxfId="1751" headerRowBorderDxfId="1754" tableBorderDxfId="1752" totalsRowBorderDxfId="1750">
  <autoFilter ref="A2:E9" xr:uid="{FF6665A5-72E6-44D5-BE3B-8B2CACB4A7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74711FE-AFD2-4CF1-8374-7B371991A8F0}" name="Candidate Name (Party)" totalsRowLabel="Total Votes by County" dataDxfId="1749" totalsRowDxfId="1748"/>
    <tableColumn id="2" xr3:uid="{ACBF6CE5-1BBA-4F16-898A-E070BA42ECD5}" name="Part of Bronx County _x000a_Vote Results" totalsRowFunction="custom" dataDxfId="1747" totalsRowDxfId="1746">
      <totalsRowFormula>SUM(RepInCongressCongressionalDistrict13General[Part of Bronx County 
Vote Results])</totalsRowFormula>
    </tableColumn>
    <tableColumn id="4" xr3:uid="{BA26051E-ADCC-4BC5-82F0-0D7D4782F0B3}" name="Part of New York County _x000a_Vote Results" totalsRowFunction="custom" dataDxfId="1745" totalsRowDxfId="1744">
      <totalsRowFormula>SUM(RepInCongressCongressionalDistrict13General[Part of New York County 
Vote Results])</totalsRowFormula>
    </tableColumn>
    <tableColumn id="3" xr3:uid="{1B336A72-C015-4836-9A75-8828A5FD842F}" name="Total Votes by Party" totalsRowFunction="custom" dataDxfId="1743" totalsRowDxfId="1742">
      <calculatedColumnFormula>SUM(RepInCongressCongressionalDistrict13General[[#This Row],[Part of Bronx County 
Vote Results]:[Part of New York County 
Vote Results]])</calculatedColumnFormula>
      <totalsRowFormula>SUM(RepInCongressCongressionalDistrict13General[Total Votes by Party])</totalsRowFormula>
    </tableColumn>
    <tableColumn id="5" xr3:uid="{54AF4D50-0728-4157-83F6-75AE4C04188A}" name="Total Votes by Candidate" dataDxfId="1741" totalsRowDxfId="1740"/>
  </tableColumns>
  <tableStyleInfo name="TableStyleMedium2" showFirstColumn="0" showLastColumn="0" showRowStripes="0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78A78439-8F08-413F-A70A-D15C0C2F830B}" name="MemberOfAssemblyAssemblyDistrict81General109" displayName="MemberOfAssemblyAssemblyDistrict81General109" ref="A2:D10" totalsRowCount="1" headerRowDxfId="55" dataDxfId="53" totalsRowDxfId="51" headerRowBorderDxfId="54" tableBorderDxfId="52" totalsRowBorderDxfId="50">
  <autoFilter ref="A2:D9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823F1D1B-1514-49C0-882F-E4162C74A87C}" name="Candidate Name (Party)" totalsRowLabel="Total Votes by County" dataDxfId="49" totalsRowDxfId="48"/>
    <tableColumn id="4" xr3:uid="{9290CFCB-14A8-49B7-9092-E3B631BC91CC}" name="Part of Bronx County _x000a_Vote Results" totalsRowFunction="custom" dataDxfId="47" totalsRowDxfId="46">
      <totalsRowFormula>SUM(MemberOfAssemblyAssemblyDistrict81General109[Part of Bronx County 
Vote Results])</totalsRowFormula>
    </tableColumn>
    <tableColumn id="3" xr3:uid="{00A619B1-976F-4EB2-8880-2076D70328D4}" name="Total Votes by Party" totalsRowFunction="custom" dataDxfId="45" totalsRowDxfId="44">
      <calculatedColumnFormula>MemberOfAssemblyAssemblyDistrict81General109[[#This Row],[Part of Bronx County 
Vote Results]]</calculatedColumnFormula>
      <totalsRowFormula>SUM(MemberOfAssemblyAssemblyDistrict81General109[Total Votes by Party])</totalsRowFormula>
    </tableColumn>
    <tableColumn id="2" xr3:uid="{169FE0B8-5B4D-4769-B795-9E2CB7C2F5CD}" name="Total Votes by Candidate" dataDxfId="43" totalsRowDxfId="42"/>
  </tableColumns>
  <tableStyleInfo name="TableStyleMedium2" showFirstColumn="0" showLastColumn="0" showRowStripes="0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D22F4DD-4ECC-491E-9207-5D5351D831E7}" name="MemberOfAssemblyAssemblyDistrict120General" displayName="MemberOfAssemblyAssemblyDistrict120General" ref="A2:D10" totalsRowCount="1" headerRowDxfId="41" dataDxfId="39" totalsRowDxfId="37" headerRowBorderDxfId="40" tableBorderDxfId="38" totalsRowBorderDxfId="36">
  <autoFilter ref="A2:D9" xr:uid="{E7CC8E6A-635A-4976-9E9C-8AB012ADC458}">
    <filterColumn colId="0" hiddenButton="1"/>
    <filterColumn colId="1" hiddenButton="1"/>
    <filterColumn colId="2" hiddenButton="1"/>
    <filterColumn colId="3" hiddenButton="1"/>
  </autoFilter>
  <tableColumns count="4">
    <tableColumn id="1" xr3:uid="{BC051932-771A-45FD-A15F-303A4A5783E8}" name="Candidate Name (Party)" totalsRowLabel="Total Votes by County" dataDxfId="35" totalsRowDxfId="34"/>
    <tableColumn id="4" xr3:uid="{34EF537A-1667-4E32-860A-EEDF99CD14B7}" name="Oswego County _x000a_Vote Results" totalsRowFunction="custom" dataDxfId="33" totalsRowDxfId="32">
      <totalsRowFormula>SUM(MemberOfAssemblyAssemblyDistrict120General[Oswego County 
Vote Results])</totalsRowFormula>
    </tableColumn>
    <tableColumn id="6" xr3:uid="{AD5D1FE0-0037-4F53-98A2-B7BDDF1083A2}" name="Total Votes by Party" totalsRowFunction="custom" dataDxfId="31" totalsRowDxfId="30">
      <calculatedColumnFormula>SUM(MemberOfAssemblyAssemblyDistrict120General[[#This Row],[Oswego County 
Vote Results]])</calculatedColumnFormula>
      <totalsRowFormula>SUM(MemberOfAssemblyAssemblyDistrict120General[Total Votes by Party])</totalsRowFormula>
    </tableColumn>
    <tableColumn id="5" xr3:uid="{7E014026-2AD1-4071-B259-0B8D3F440613}" name="Total Votes by Candidate" dataDxfId="29" totalsRowDxfId="28"/>
  </tableColumns>
  <tableStyleInfo name="TableStyleMedium2" showFirstColumn="0" showLastColumn="0" showRowStripes="0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37F81D5-A165-44C4-81AC-4868E83B12A0}" name="MemberOfAssemblyAssemblyDistrict137General40" displayName="MemberOfAssemblyAssemblyDistrict137General40" ref="A2:D8" totalsRowCount="1" headerRowDxfId="27" dataDxfId="25" totalsRowDxfId="23" headerRowBorderDxfId="26" tableBorderDxfId="24" totalsRowBorderDxfId="22">
  <autoFilter ref="A2:D7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E677334D-63DA-43A3-A80A-89E57E3BA601}" name="Candidate Name (Party)" totalsRowLabel="Total Votes by County" dataDxfId="21" totalsRowDxfId="20"/>
    <tableColumn id="4" xr3:uid="{F20D803E-0A16-451E-AE0C-31ED5298DBCE}" name="Part of Monroe County _x000a_Vote Results" totalsRowFunction="custom" dataDxfId="19" totalsRowDxfId="18">
      <totalsRowFormula>SUM(MemberOfAssemblyAssemblyDistrict137General40[Part of Monroe County 
Vote Results])</totalsRowFormula>
    </tableColumn>
    <tableColumn id="3" xr3:uid="{7AA65910-6141-41EA-8419-E18EFC133DF7}" name="Total Votes by Party" totalsRowFunction="custom" dataDxfId="17" totalsRowDxfId="16">
      <calculatedColumnFormula>MemberOfAssemblyAssemblyDistrict137General40[[#This Row],[Part of Monroe County 
Vote Results]]</calculatedColumnFormula>
      <totalsRowFormula>SUM(MemberOfAssemblyAssemblyDistrict137General40[Total Votes by Party])</totalsRowFormula>
    </tableColumn>
    <tableColumn id="2" xr3:uid="{E8EB9B4E-8461-4E86-AC53-5CAF28B0476E}" name="Total Votes by Candidate" dataDxfId="15" totalsRowDxfId="14">
      <calculatedColumnFormula>SUM(MemberOfAssemblyAssemblyDistrict137General40[[#This Row],[Total Votes by Party]],C4)</calculatedColumnFormula>
    </tableColumn>
  </tableColumns>
  <tableStyleInfo name="TableStyleMedium2" showFirstColumn="0" showLastColumn="0" showRowStripes="0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52B1DB5-E6CE-4705-9EA5-0781FF4B317B}" name="MemberOfAssemblyAssemblyDistrict137General4026" displayName="MemberOfAssemblyAssemblyDistrict137General4026" ref="A2:D8" totalsRowCount="1" headerRowDxfId="13" dataDxfId="11" totalsRowDxfId="9" headerRowBorderDxfId="12" tableBorderDxfId="10" totalsRowBorderDxfId="8">
  <autoFilter ref="A2:D7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67D130A8-43B2-4500-8FB0-046FB29CB1DD}" name="Candidate Name (Party)" totalsRowLabel="Total Votes by County" dataDxfId="7" totalsRowDxfId="6"/>
    <tableColumn id="4" xr3:uid="{5DF9F2D2-A8D8-45CC-B954-284666ADE137}" name="Part of Monroe County _x000a_Vote Results" totalsRowFunction="custom" dataDxfId="5" totalsRowDxfId="4">
      <totalsRowFormula>SUM(MemberOfAssemblyAssemblyDistrict137General4026[Part of Monroe County 
Vote Results])</totalsRowFormula>
    </tableColumn>
    <tableColumn id="3" xr3:uid="{9804B7CE-19DA-42BF-81AA-DE278BC4105A}" name="Total Votes by Party" totalsRowFunction="custom" dataDxfId="3" totalsRowDxfId="2">
      <calculatedColumnFormula>MemberOfAssemblyAssemblyDistrict137General4026[[#This Row],[Part of Monroe County 
Vote Results]]</calculatedColumnFormula>
      <totalsRowFormula>SUM(MemberOfAssemblyAssemblyDistrict137General4026[Total Votes by Party])</totalsRowFormula>
    </tableColumn>
    <tableColumn id="2" xr3:uid="{E68852FE-2FF4-4FEE-AD30-3CDBB079E7C9}" name="Total Votes by Candidate" dataDxfId="1" totalsRowDxfId="0">
      <calculatedColumnFormula>SUM(MemberOfAssemblyAssemblyDistrict137General4026[[#This Row],[Total Votes by Party]],C4)</calculatedColumnFormula>
    </tableColumn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0FDE79F-D191-475D-B89C-E676A32E2B10}" name="RepInCongressCongressionalDistrict14General" displayName="RepInCongressCongressionalDistrict14General" ref="A2:E9" totalsRowCount="1" headerRowDxfId="1739" dataDxfId="1737" totalsRowDxfId="1735" headerRowBorderDxfId="1738" tableBorderDxfId="1736" totalsRowBorderDxfId="1734">
  <autoFilter ref="A2:E8" xr:uid="{0748C5B6-70AB-43AF-9D47-AE1627D286F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1BD9DFF-1ADB-487A-853C-8B20DB077EA4}" name="Candidate Name (Party)" totalsRowLabel="Total Votes by County" dataDxfId="1733" totalsRowDxfId="1732"/>
    <tableColumn id="2" xr3:uid="{D16D467B-9F1C-4718-8916-8CE8C1EF7D73}" name="Part of Bronx County _x000a_Vote Results" totalsRowFunction="custom" dataDxfId="1731" totalsRowDxfId="1730">
      <totalsRowFormula>SUM(RepInCongressCongressionalDistrict14General[Part of Bronx County 
Vote Results])</totalsRowFormula>
    </tableColumn>
    <tableColumn id="4" xr3:uid="{ED83406D-F659-4ADE-A472-F3B53A2651CF}" name="Part of Queens County _x000a_Vote Results" totalsRowFunction="custom" dataDxfId="1729" totalsRowDxfId="1728">
      <totalsRowFormula>SUM(RepInCongressCongressionalDistrict14General[Part of Queens County 
Vote Results])</totalsRowFormula>
    </tableColumn>
    <tableColumn id="3" xr3:uid="{75BE67E1-206E-41D7-845C-D805E3865E97}" name="Total Votes by Party" totalsRowFunction="custom" dataDxfId="1727" totalsRowDxfId="1726">
      <calculatedColumnFormula>SUM(RepInCongressCongressionalDistrict14General[[#This Row],[Part of Bronx County 
Vote Results]:[Part of Queens County 
Vote Results]])</calculatedColumnFormula>
      <totalsRowFormula>SUM(RepInCongressCongressionalDistrict14General[Total Votes by Party])</totalsRowFormula>
    </tableColumn>
    <tableColumn id="5" xr3:uid="{A7C555F1-446D-42C8-9007-41FC38A8DB0E}" name="Total Votes by Candidate" dataDxfId="1725" totalsRowDxfId="1724"/>
  </tableColumns>
  <tableStyleInfo name="TableStyleMedium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1BD17647-6B80-4CC2-BF15-88D76FFB0BE0}" name="RepInCongressCongressionalDistrict15General" displayName="RepInCongressCongressionalDistrict15General" ref="A2:D9" totalsRowCount="1" headerRowDxfId="1723" dataDxfId="1721" totalsRowDxfId="1719" headerRowBorderDxfId="1722" tableBorderDxfId="1720" totalsRowBorderDxfId="1718">
  <autoFilter ref="A2:D8" xr:uid="{BA9C7FE1-F4F4-409E-B13A-39FF6A93574F}">
    <filterColumn colId="0" hiddenButton="1"/>
    <filterColumn colId="1" hiddenButton="1"/>
    <filterColumn colId="2" hiddenButton="1"/>
    <filterColumn colId="3" hiddenButton="1"/>
  </autoFilter>
  <tableColumns count="4">
    <tableColumn id="1" xr3:uid="{3A4DE104-2495-4336-9D25-FF17C6662C26}" name="Candidate Name (Party)" totalsRowLabel="Total Votes by County" dataDxfId="1717" totalsRowDxfId="1716"/>
    <tableColumn id="4" xr3:uid="{6E00C434-5627-4B23-A640-7C40F0E1171A}" name="Part of Bronx County _x000a_Vote Results" totalsRowFunction="custom" dataDxfId="1715" totalsRowDxfId="1714">
      <totalsRowFormula>SUM(RepInCongressCongressionalDistrict15General[Part of Bronx County 
Vote Results])</totalsRowFormula>
    </tableColumn>
    <tableColumn id="3" xr3:uid="{E2935DDF-5081-47DE-9DB2-0E52C6740865}" name="Total Votes by Party" totalsRowFunction="custom" dataDxfId="1713" totalsRowDxfId="1712">
      <calculatedColumnFormula>RepInCongressCongressionalDistrict15General[[#This Row],[Part of Bronx County 
Vote Results]]</calculatedColumnFormula>
      <totalsRowFormula>SUM(RepInCongressCongressionalDistrict15General[Total Votes by Party])</totalsRowFormula>
    </tableColumn>
    <tableColumn id="2" xr3:uid="{CFD1D7FD-253C-467D-BAB4-3C056D7473C2}" name="Total Votes by Candidate" dataDxfId="1711" totalsRowDxfId="1710"/>
  </tableColumns>
  <tableStyleInfo name="TableStyleMedium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6D9D87-E7EA-45A5-B9A1-735D689D998F}" name="RepInCongressCongressionalDistrict17General" displayName="RepInCongressCongressionalDistrict17General" ref="A2:G11" totalsRowCount="1" headerRowDxfId="1709" dataDxfId="1707" totalsRowDxfId="1705" headerRowBorderDxfId="1708" tableBorderDxfId="1706" totalsRowBorderDxfId="1704">
  <autoFilter ref="A2:G10" xr:uid="{BB80A5BF-F8A6-4751-8ACC-0548AF09BF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E8212A0-F685-4D39-8B60-3F871F21B0B7}" name="Candidate Name (Party)" totalsRowLabel="Total Votes by County" dataDxfId="1703" totalsRowDxfId="1702"/>
    <tableColumn id="8" xr3:uid="{B8E86887-DAE5-49F3-A88D-63A2739692F9}" name="Part of Dutchess County_x000a_Vote Results" totalsRowFunction="custom" dataDxfId="1701" totalsRowDxfId="1700">
      <totalsRowFormula>SUM(RepInCongressCongressionalDistrict17General[Part of Dutchess County
Vote Results])</totalsRowFormula>
    </tableColumn>
    <tableColumn id="7" xr3:uid="{1442DDF5-E31D-47AC-AAE0-755E7C98A906}" name="Putnam County_x000a_Vote Results" totalsRowFunction="custom" dataDxfId="1699" totalsRowDxfId="1698">
      <totalsRowFormula>SUM(RepInCongressCongressionalDistrict17General[Putnam County
Vote Results])</totalsRowFormula>
    </tableColumn>
    <tableColumn id="2" xr3:uid="{BB2C8126-983D-4C49-986B-9D05B4756CD0}" name="Rockland County _x000a_Vote Results" totalsRowFunction="custom" dataDxfId="1697" totalsRowDxfId="1696">
      <totalsRowFormula>SUM(RepInCongressCongressionalDistrict17General[Rockland County 
Vote Results])</totalsRowFormula>
    </tableColumn>
    <tableColumn id="4" xr3:uid="{58BF4620-810C-4617-903F-1BFEA54D27A3}" name="Part of Westchester County _x000a_Vote Results" totalsRowFunction="custom" dataDxfId="1695" totalsRowDxfId="1694">
      <totalsRowFormula>SUM(RepInCongressCongressionalDistrict17General[Part of Westchester County 
Vote Results])</totalsRowFormula>
    </tableColumn>
    <tableColumn id="3" xr3:uid="{4A63A9D0-24EC-4E23-876C-3D9DAB47A67B}" name="Total Votes by Party" totalsRowFunction="custom" dataDxfId="1693" totalsRowDxfId="1692">
      <calculatedColumnFormula>SUM(RepInCongressCongressionalDistrict17General[[#This Row],[Rockland County 
Vote Results]:[Part of Westchester County 
Vote Results]])</calculatedColumnFormula>
      <totalsRowFormula>SUM(RepInCongressCongressionalDistrict17General[Total Votes by Party])</totalsRowFormula>
    </tableColumn>
    <tableColumn id="5" xr3:uid="{0119D485-BE04-4E79-826D-7CFB243E60DD}" name="Total Votes by Candidate" dataDxfId="1691" totalsRowDxfId="1690"/>
  </tableColumns>
  <tableStyleInfo name="TableStyleMedium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4E1C9E9-535A-4FE1-96CB-6B0C4B8AF02A}" name="RepInCongressCongressionalDistrict19General" displayName="RepInCongressCongressionalDistrict19General" ref="A2:N8" totalsRowCount="1" headerRowDxfId="1689" dataDxfId="1687" totalsRowDxfId="1685" headerRowBorderDxfId="1688" tableBorderDxfId="1686" totalsRowBorderDxfId="1684">
  <autoFilter ref="A2:N7" xr:uid="{E4E31CCD-DBAF-461B-809F-2E5F9AA9AF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478786D-2AD9-49F8-9991-006E0030E758}" name="Candidate Name (Party)" totalsRowLabel="Total Votes by County" dataDxfId="1683" totalsRowDxfId="1682"/>
    <tableColumn id="7" xr3:uid="{3D4C2092-6875-4238-86E1-74C9183DA7E9}" name="Broome County _x000a_Vote Results" totalsRowFunction="custom" dataDxfId="1681" totalsRowDxfId="1680">
      <totalsRowFormula>SUM(RepInCongressCongressionalDistrict19General[Broome County 
Vote Results])</totalsRowFormula>
    </tableColumn>
    <tableColumn id="6" xr3:uid="{B3DC12C9-A086-44B8-ACA7-D5EACB29AC27}" name="Chenango County _x000a_Vote Results" totalsRowFunction="custom" dataDxfId="1679" totalsRowDxfId="1678">
      <totalsRowFormula>SUM(RepInCongressCongressionalDistrict19General[Chenango County 
Vote Results])</totalsRowFormula>
    </tableColumn>
    <tableColumn id="2" xr3:uid="{42BFCCDA-CB7C-4644-BF60-2B79AB585A86}" name="Columbia County _x000a_Vote Results" totalsRowFunction="custom" dataDxfId="1677" totalsRowDxfId="1676">
      <totalsRowFormula>SUM(RepInCongressCongressionalDistrict19General[Columbia County 
Vote Results])</totalsRowFormula>
    </tableColumn>
    <tableColumn id="3" xr3:uid="{0F7AAC40-E7F9-4B41-AB53-5B6CDF9AC7E7}" name="Part of Cortland County _x000a_Vote Results" totalsRowFunction="custom" dataDxfId="1675" totalsRowDxfId="1674">
      <totalsRowFormula>SUM(RepInCongressCongressionalDistrict19General[Part of Cortland County 
Vote Results])</totalsRowFormula>
    </tableColumn>
    <tableColumn id="13" xr3:uid="{1F5C8782-4FD8-49F2-BDA0-1F2B6618782E}" name="Delaware County _x000a_Vote Results" totalsRowFunction="custom" dataDxfId="1673" totalsRowDxfId="1672">
      <totalsRowFormula>SUM(RepInCongressCongressionalDistrict19General[Delaware County 
Vote Results])</totalsRowFormula>
    </tableColumn>
    <tableColumn id="12" xr3:uid="{846F291E-E94F-4E08-B80B-1382B6266CD8}" name="Greene County _x000a_Vote Results" totalsRowFunction="custom" dataDxfId="1671" totalsRowDxfId="1670">
      <totalsRowFormula>SUM(RepInCongressCongressionalDistrict19General[Greene County 
Vote Results])</totalsRowFormula>
    </tableColumn>
    <tableColumn id="11" xr3:uid="{3A88B751-8E47-4CBC-AF24-771B38F62809}" name="Otsego County _x000a_Vote Results" totalsRowFunction="custom" dataDxfId="1669" totalsRowDxfId="1668">
      <totalsRowFormula>SUM(RepInCongressCongressionalDistrict19General[Otsego County 
Vote Results])</totalsRowFormula>
    </tableColumn>
    <tableColumn id="10" xr3:uid="{A8036560-DA67-47B5-856D-611227A63FF9}" name="Part of Rensselaer County _x000a_Vote Results" totalsRowFunction="custom" dataDxfId="1667" totalsRowDxfId="1666">
      <totalsRowFormula>SUM(RepInCongressCongressionalDistrict19General[Part of Rensselaer County 
Vote Results])</totalsRowFormula>
    </tableColumn>
    <tableColumn id="9" xr3:uid="{B454A57A-BCF2-495D-B8ED-709E6E83901D}" name="Sullivan County _x000a_Vote Results" totalsRowFunction="custom" dataDxfId="1665" totalsRowDxfId="1664">
      <totalsRowFormula>SUM(RepInCongressCongressionalDistrict19General[Sullivan County 
Vote Results])</totalsRowFormula>
    </tableColumn>
    <tableColumn id="4" xr3:uid="{AC404C5A-7773-4277-9758-A9F98A167173}" name="Tompkins County _x000a_Vote Results" totalsRowFunction="custom" dataDxfId="1663" totalsRowDxfId="1662">
      <totalsRowFormula>SUM(RepInCongressCongressionalDistrict19General[Tompkins County 
Vote Results])</totalsRowFormula>
    </tableColumn>
    <tableColumn id="8" xr3:uid="{B89C5557-49EE-4243-9033-78A913C4A9F1}" name="Part of Ulster County _x000a_Vote Results" totalsRowFunction="custom" dataDxfId="1661" totalsRowDxfId="1660">
      <totalsRowFormula>SUM(RepInCongressCongressionalDistrict19General[Part of Ulster County 
Vote Results])</totalsRowFormula>
    </tableColumn>
    <tableColumn id="14" xr3:uid="{229EADF9-430D-4B4C-A3E9-F625E48691A5}" name="Total Votes by Party" totalsRowFunction="custom" dataDxfId="1659" totalsRowDxfId="1658">
      <calculatedColumnFormula>SUM(D3:L3)</calculatedColumnFormula>
      <totalsRowFormula>SUM(RepInCongressCongressionalDistrict19General[Total Votes by Party])</totalsRowFormula>
    </tableColumn>
    <tableColumn id="5" xr3:uid="{1DB15B50-FE8C-4466-A58A-4542E074E742}" name="Total Votes by Candidate" dataDxfId="1657" totalsRowDxfId="1656"/>
  </tableColumns>
  <tableStyleInfo name="TableStyleMedium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3BE8EF0-DA9A-473F-8761-3605086DF7D5}" name="RepInCongressCongressionalDistrict21General" displayName="RepInCongressCongressionalDistrict21General" ref="A2:R8" totalsRowCount="1" headerRowDxfId="1655" dataDxfId="1653" totalsRowDxfId="1651" headerRowBorderDxfId="1654" tableBorderDxfId="1652" totalsRowBorderDxfId="1650">
  <autoFilter ref="A2:R7" xr:uid="{539EBD77-812D-4C79-BDB5-02B7A3F2A6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89EA5939-EC5D-414C-8CF2-7044CA9F18B1}" name="Candidate Name (Party)" totalsRowLabel="Total Votes by County" dataDxfId="1649" totalsRowDxfId="1648"/>
    <tableColumn id="2" xr3:uid="{DFCBCDBB-C4BF-4F4C-A49F-762D5A502686}" name="Clinton County _x000a_Vote Results" totalsRowFunction="custom" dataDxfId="1647" totalsRowDxfId="1646">
      <totalsRowFormula>SUM(RepInCongressCongressionalDistrict21General[Clinton County 
Vote Results])</totalsRowFormula>
    </tableColumn>
    <tableColumn id="13" xr3:uid="{D05E3740-D0C0-44A6-986F-1824E3F49E2E}" name="Essex County _x000a_Vote Results" totalsRowFunction="custom" dataDxfId="1645" totalsRowDxfId="1644">
      <totalsRowFormula>SUM(RepInCongressCongressionalDistrict21General[Essex County 
Vote Results])</totalsRowFormula>
    </tableColumn>
    <tableColumn id="12" xr3:uid="{BC62C9BD-723E-41EA-A3F3-E1AEF943B43D}" name="Franklin County_x000a_ Vote Results" totalsRowFunction="custom" dataDxfId="1643" totalsRowDxfId="1642">
      <totalsRowFormula>SUM(RepInCongressCongressionalDistrict21General[Franklin County
 Vote Results])</totalsRowFormula>
    </tableColumn>
    <tableColumn id="11" xr3:uid="{0E13AF1B-7633-486B-A03F-9C2D5F4A5DB4}" name="Fulton County_x000a_ Vote Results" totalsRowFunction="custom" dataDxfId="1641" totalsRowDxfId="1640">
      <totalsRowFormula>SUBTOTAL(109,E3:E7)</totalsRowFormula>
    </tableColumn>
    <tableColumn id="10" xr3:uid="{62564999-6979-44D6-AA28-AF01A1866742}" name="Hamilton County_x000a_ Vote Results" totalsRowFunction="custom" dataDxfId="1639" totalsRowDxfId="1638">
      <totalsRowFormula>SUM(RepInCongressCongressionalDistrict21General[Hamilton County
 Vote Results])</totalsRowFormula>
    </tableColumn>
    <tableColumn id="3" xr3:uid="{6AF1618D-B613-4B9F-AFDF-22130FB348AE}" name="Herkimer County  _x000a_Vote Results" totalsRowFunction="custom" dataDxfId="1637" totalsRowDxfId="1636">
      <totalsRowFormula>SUM(RepInCongressCongressionalDistrict21General[Herkimer County  
Vote Results])</totalsRowFormula>
    </tableColumn>
    <tableColumn id="9" xr3:uid="{EDD79226-A61D-4FC1-B0D6-12F350114528}" name="Part of Jefferson County _x000a_Vote Results" totalsRowFunction="custom" dataDxfId="1635" totalsRowDxfId="1634">
      <totalsRowFormula>SUM(RepInCongressCongressionalDistrict21General[Part of Jefferson County 
Vote Results])</totalsRowFormula>
    </tableColumn>
    <tableColumn id="8" xr3:uid="{33D301F8-ECB7-49AD-94E8-780AD0A72EEC}" name="Lewis County _x000a_Vote Results" totalsRowFunction="custom" dataDxfId="1633" totalsRowDxfId="1632">
      <totalsRowFormula>SUM(RepInCongressCongressionalDistrict21General[Lewis County 
Vote Results])</totalsRowFormula>
    </tableColumn>
    <tableColumn id="16" xr3:uid="{90A80F28-2992-4355-9091-68EA2CACFE2F}" name="Part of Montgomery County _x000a_Vote Results" totalsRowFunction="custom" dataDxfId="1631" totalsRowDxfId="1630">
      <totalsRowFormula>SUM(RepInCongressCongressionalDistrict21General[Part of Montgomery County 
Vote Results])</totalsRowFormula>
    </tableColumn>
    <tableColumn id="18" xr3:uid="{0645A63B-E3AF-4FE8-A207-EC325101E402}" name="Part of Oneida County _x000a_Vote Results" totalsRowFunction="custom" dataDxfId="1629" totalsRowDxfId="1628">
      <totalsRowFormula>SUM(RepInCongressCongressionalDistrict21General[Part of Oneida County 
Vote Results])</totalsRowFormula>
    </tableColumn>
    <tableColumn id="17" xr3:uid="{9A136C2D-DAF9-46E5-BB4C-0562F86E9325}" name="Part of Saratoga County _x000a_Vote Results" totalsRowFunction="custom" dataDxfId="1627" totalsRowDxfId="1626">
      <totalsRowFormula>SUM(RepInCongressCongressionalDistrict21General[Part of Saratoga County 
Vote Results])</totalsRowFormula>
    </tableColumn>
    <tableColumn id="7" xr3:uid="{591D9554-8FB9-457B-8FE8-7B1DAFF8BAA5}" name="St. Lawrence County _x000a_Vote Results" totalsRowFunction="custom" dataDxfId="1625" totalsRowDxfId="1624">
      <totalsRowFormula>SUM(RepInCongressCongressionalDistrict21General[St. Lawrence County 
Vote Results])</totalsRowFormula>
    </tableColumn>
    <tableColumn id="19" xr3:uid="{E340E2FC-8869-4F49-80D6-12E4A44362D8}" name="Schoharie County _x000a_Vote Results" totalsRowFunction="custom" dataDxfId="1623" totalsRowDxfId="1622">
      <totalsRowFormula>SUM(RepInCongressCongressionalDistrict21General[Schoharie County 
Vote Results])</totalsRowFormula>
    </tableColumn>
    <tableColumn id="14" xr3:uid="{F08E5962-6035-4B93-9C3A-D9EB20DF22ED}" name="Warren County _x000a_Vote Results" totalsRowFunction="custom" dataDxfId="1621" totalsRowDxfId="1620">
      <totalsRowFormula>SUM(RepInCongressCongressionalDistrict21General[Warren County 
Vote Results])</totalsRowFormula>
    </tableColumn>
    <tableColumn id="6" xr3:uid="{5F8DF462-F625-44C2-A171-2164F5A31A05}" name="Washington County _x000a_Vote Results" totalsRowFunction="custom" dataDxfId="1619" totalsRowDxfId="1618">
      <totalsRowFormula>SUM(RepInCongressCongressionalDistrict21General[Washington County 
Vote Results])</totalsRowFormula>
    </tableColumn>
    <tableColumn id="15" xr3:uid="{5BB73C16-0BE3-4903-80C1-9546276D9160}" name="Total Votes by Party" totalsRowFunction="custom" dataDxfId="1617" totalsRowDxfId="1616">
      <calculatedColumnFormula>SUM(RepInCongressCongressionalDistrict21General[[#This Row],[Clinton County 
Vote Results]:[Washington County 
Vote Results]])</calculatedColumnFormula>
      <totalsRowFormula>SUM(RepInCongressCongressionalDistrict21General[Total Votes by Party])</totalsRowFormula>
    </tableColumn>
    <tableColumn id="5" xr3:uid="{05A216B7-22E6-4209-851F-2C31E951FE4F}" name="Total Votes by Candidate" dataDxfId="1615" totalsRowDxfId="1614"/>
  </tableColumns>
  <tableStyleInfo name="TableStyleMedium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BD90F9B-253F-487A-B63B-B291EA9B3829}" name="RepInCongressCongressionalDistrict21General9" displayName="RepInCongressCongressionalDistrict21General9" ref="A2:R8" totalsRowCount="1" headerRowDxfId="1613" dataDxfId="1611" totalsRowDxfId="1609" headerRowBorderDxfId="1612" tableBorderDxfId="1610" totalsRowBorderDxfId="1608">
  <autoFilter ref="A2:R7" xr:uid="{539EBD77-812D-4C79-BDB5-02B7A3F2A6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16FC0D04-C3EA-4FB3-9CEA-91A90E75FEFE}" name="Candidate Name (Party)" totalsRowLabel="Total Votes by County" dataDxfId="1607" totalsRowDxfId="1606"/>
    <tableColumn id="2" xr3:uid="{03AB28D4-3D6A-435C-9E46-EE393CF2FA36}" name="Clinton County_x000a_ Vote Results" totalsRowFunction="custom" dataDxfId="1605" totalsRowDxfId="1604">
      <totalsRowFormula>SUM(RepInCongressCongressionalDistrict21General9[Clinton County
 Vote Results])</totalsRowFormula>
    </tableColumn>
    <tableColumn id="13" xr3:uid="{60618A18-3A75-48D9-A44B-C712CD9A5850}" name="Essex County_x000a_ Vote Results" totalsRowFunction="custom" dataDxfId="1603" totalsRowDxfId="1602">
      <totalsRowFormula>SUM(RepInCongressCongressionalDistrict21General9[Essex County
 Vote Results])</totalsRowFormula>
    </tableColumn>
    <tableColumn id="12" xr3:uid="{98D0736B-7EC6-4C32-860A-5263B2157D31}" name="Franklin County_x000a_ Vote Results" totalsRowFunction="custom" dataDxfId="1601" totalsRowDxfId="1600">
      <totalsRowFormula>SUM(RepInCongressCongressionalDistrict21General9[Franklin County
 Vote Results])</totalsRowFormula>
    </tableColumn>
    <tableColumn id="11" xr3:uid="{274A7907-1805-4358-8BA4-9043AA2D7495}" name="Fulton County_x000a_ Vote Results" totalsRowFunction="custom" dataDxfId="1599" totalsRowDxfId="1598">
      <totalsRowFormula>SUBTOTAL(109,E3:E7)</totalsRowFormula>
    </tableColumn>
    <tableColumn id="10" xr3:uid="{B0380B75-64E8-4A28-817D-B678E750F484}" name="Hamilton County_x000a_ Vote Results" totalsRowFunction="custom" dataDxfId="1597" totalsRowDxfId="1596">
      <totalsRowFormula>SUM(RepInCongressCongressionalDistrict21General9[Hamilton County
 Vote Results])</totalsRowFormula>
    </tableColumn>
    <tableColumn id="3" xr3:uid="{271AC37B-A6A3-4E42-8E2E-24E557FA576B}" name="Herkimer County  _x000a_Vote Results" totalsRowFunction="custom" dataDxfId="1595" totalsRowDxfId="1594">
      <totalsRowFormula>SUM(RepInCongressCongressionalDistrict21General9[Herkimer County  
Vote Results])</totalsRowFormula>
    </tableColumn>
    <tableColumn id="9" xr3:uid="{F02A0503-FC4D-4B77-8A3A-20B88BAC0249}" name="Part of Jefferson County _x000a_Vote Results" totalsRowFunction="custom" dataDxfId="1593" totalsRowDxfId="1592">
      <totalsRowFormula>SUM(RepInCongressCongressionalDistrict21General9[Part of Jefferson County 
Vote Results])</totalsRowFormula>
    </tableColumn>
    <tableColumn id="8" xr3:uid="{C296C1D7-D4F9-4492-B9BF-B49286BFFECA}" name="Lewis County _x000a_Vote Results" totalsRowFunction="custom" dataDxfId="1591" totalsRowDxfId="1590">
      <totalsRowFormula>SUM(RepInCongressCongressionalDistrict21General9[Lewis County 
Vote Results])</totalsRowFormula>
    </tableColumn>
    <tableColumn id="16" xr3:uid="{C83EB56F-8035-429F-8FB4-A8ABA512B0AB}" name="Part of Montgomery County _x000a_Vote Results" totalsRowFunction="custom" dataDxfId="1589" totalsRowDxfId="1588">
      <totalsRowFormula>SUM(RepInCongressCongressionalDistrict21General9[Part of Montgomery County 
Vote Results])</totalsRowFormula>
    </tableColumn>
    <tableColumn id="18" xr3:uid="{3A944330-A0CB-44B3-89B6-4869525D53FA}" name="Part of Oneida County _x000a_Vote Results" totalsRowFunction="custom" dataDxfId="1587" totalsRowDxfId="1586">
      <totalsRowFormula>SUM(RepInCongressCongressionalDistrict21General9[Part of Oneida County 
Vote Results])</totalsRowFormula>
    </tableColumn>
    <tableColumn id="17" xr3:uid="{D3D0AC6E-D125-4DFE-B109-D3ACDE8918FA}" name="Part of Saratoga County _x000a_Vote Results" totalsRowFunction="custom" dataDxfId="1585" totalsRowDxfId="1584">
      <totalsRowFormula>SUM(RepInCongressCongressionalDistrict21General9[Part of Saratoga County 
Vote Results])</totalsRowFormula>
    </tableColumn>
    <tableColumn id="7" xr3:uid="{9396DB2E-03A6-4B0F-AF99-8E85AD77284B}" name="St. Lawrence County _x000a_Vote Results" totalsRowFunction="custom" dataDxfId="1583" totalsRowDxfId="1582">
      <totalsRowFormula>SUM(RepInCongressCongressionalDistrict21General9[St. Lawrence County 
Vote Results])</totalsRowFormula>
    </tableColumn>
    <tableColumn id="19" xr3:uid="{F06AC5B6-F548-4F2E-A44C-FC3AF504D772}" name="Schoharie County _x000a_Vote Results" totalsRowFunction="custom" dataDxfId="1581" totalsRowDxfId="1580">
      <totalsRowFormula>SUM(RepInCongressCongressionalDistrict21General9[Schoharie County 
Vote Results])</totalsRowFormula>
    </tableColumn>
    <tableColumn id="14" xr3:uid="{55AD4E05-12EE-4AE6-A770-49C844CB2FC6}" name="Warren County _x000a_Vote Results" totalsRowFunction="custom" dataDxfId="1579" totalsRowDxfId="1578">
      <totalsRowFormula>SUM(RepInCongressCongressionalDistrict21General9[Warren County 
Vote Results])</totalsRowFormula>
    </tableColumn>
    <tableColumn id="6" xr3:uid="{A42B549E-6BC1-4C4E-9BC7-657A728F725A}" name="Washington County _x000a_Vote Results" totalsRowFunction="custom" dataDxfId="1577" totalsRowDxfId="1576">
      <totalsRowFormula>SUM(RepInCongressCongressionalDistrict21General9[Washington County 
Vote Results])</totalsRowFormula>
    </tableColumn>
    <tableColumn id="15" xr3:uid="{699C622E-D28A-4AB9-96EE-F5C45AFAA43E}" name="Total Votes by Party" totalsRowFunction="custom" dataDxfId="1575" totalsRowDxfId="1574">
      <calculatedColumnFormula>SUM(RepInCongressCongressionalDistrict21General9[[#This Row],[Clinton County
 Vote Results]:[Washington County 
Vote Results]])</calculatedColumnFormula>
      <totalsRowFormula>SUM(RepInCongressCongressionalDistrict21General9[Total Votes by Party])</totalsRowFormula>
    </tableColumn>
    <tableColumn id="5" xr3:uid="{FDF70A1C-ED12-42C1-B45C-570FE97092A5}" name="Total Votes by Candidate" dataDxfId="1573" totalsRowDxfId="1572"/>
  </tableColumns>
  <tableStyleInfo name="TableStyleMedium2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07D1AC1-6B08-456E-A5BD-87DDD55378F2}" name="RepInCongressCongressionalDistrict23General" displayName="RepInCongressCongressionalDistrict23General" ref="A2:L8" totalsRowCount="1" headerRowDxfId="1571" dataDxfId="1569" totalsRowDxfId="1567" headerRowBorderDxfId="1570" tableBorderDxfId="1568" totalsRowBorderDxfId="1566">
  <autoFilter ref="A2:L7" xr:uid="{0C49DDDC-F88C-4209-934A-3C7F684B09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82D7675-5B41-4BB7-902F-DC31B0638D7C}" name="Candidate Name (Party)" totalsRowLabel="Total Votes by County" dataDxfId="1565" totalsRowDxfId="1564"/>
    <tableColumn id="2" xr3:uid="{4CF4EAB8-E325-4062-B6AD-F075209EBD20}" name="Allegany County _x000a_Vote Results" totalsRowFunction="custom" dataDxfId="1563" totalsRowDxfId="1562">
      <totalsRowFormula>SUM(RepInCongressCongressionalDistrict23General[Allegany County 
Vote Results])</totalsRowFormula>
    </tableColumn>
    <tableColumn id="13" xr3:uid="{B4CB9E06-51F3-42FF-918B-8FBFB9AA57B3}" name="Cattaraugus County _x000a_Vote Results" totalsRowFunction="custom" dataDxfId="1561" totalsRowDxfId="1560">
      <totalsRowFormula>SUM(RepInCongressCongressionalDistrict23General[Cattaraugus County 
Vote Results])</totalsRowFormula>
    </tableColumn>
    <tableColumn id="12" xr3:uid="{A725724C-B6BD-4027-9A69-E987DF1F16D5}" name="Chautauqua County _x000a_Vote Results" totalsRowFunction="custom" dataDxfId="1559" totalsRowDxfId="1558">
      <totalsRowFormula>SUM(RepInCongressCongressionalDistrict23General[Chautauqua County 
Vote Results])</totalsRowFormula>
    </tableColumn>
    <tableColumn id="11" xr3:uid="{5D1EA8BF-304B-49B6-8DA8-B20929B77043}" name="Chemung County _x000a_Vote Results" totalsRowFunction="custom" dataDxfId="1557" totalsRowDxfId="1556">
      <totalsRowFormula>SUM(RepInCongressCongressionalDistrict23General[Chemung County 
Vote Results])</totalsRowFormula>
    </tableColumn>
    <tableColumn id="9" xr3:uid="{6F1FF281-CA1F-4853-95D3-933C791D0E1E}" name="Part of Erie County _x000a_Vote Results" totalsRowFunction="custom" dataDxfId="1555" totalsRowDxfId="1554">
      <totalsRowFormula>SUM(RepInCongressCongressionalDistrict23General[Part of Erie County 
Vote Results])</totalsRowFormula>
    </tableColumn>
    <tableColumn id="4" xr3:uid="{DEBE18A8-D56D-4EA7-A566-C860E5DC48FA}" name="Part of Niagara County _x000a_Vote Results" totalsRowFunction="custom" dataDxfId="1553" totalsRowDxfId="1552">
      <totalsRowFormula>SUM(RepInCongressCongressionalDistrict23General[Part of Niagara County 
Vote Results])</totalsRowFormula>
    </tableColumn>
    <tableColumn id="3" xr3:uid="{22CB6B7B-6A2C-4BB0-BDD8-F88CD269DACD}" name="Part of Schuyler County _x000a_Vote Results" totalsRowFunction="custom" dataDxfId="1551" totalsRowDxfId="1550">
      <totalsRowFormula>SUM(RepInCongressCongressionalDistrict23General[Part of Schuyler County 
Vote Results])</totalsRowFormula>
    </tableColumn>
    <tableColumn id="10" xr3:uid="{37307DCC-DBF7-465D-BBAE-1AC240F4994D}" name="Part of Steuben County _x000a_Vote Results" totalsRowFunction="custom" dataDxfId="1549" totalsRowDxfId="1548">
      <totalsRowFormula>SUM(RepInCongressCongressionalDistrict23General[Part of Steuben County 
Vote Results])</totalsRowFormula>
    </tableColumn>
    <tableColumn id="8" xr3:uid="{AC6BBBD8-4BA7-4B5E-8C8A-1377E49691F5}" name="Tioga County _x000a_Vote Results" totalsRowFunction="custom" dataDxfId="1547" totalsRowDxfId="1546">
      <totalsRowFormula>SUM(RepInCongressCongressionalDistrict23General[Tioga County 
Vote Results])</totalsRowFormula>
    </tableColumn>
    <tableColumn id="6" xr3:uid="{B1C9DADE-B9BA-4CB4-A332-DD095871A08A}" name="Total Votes by Party" totalsRowFunction="custom" dataDxfId="1545" totalsRowDxfId="1544">
      <calculatedColumnFormula>SUM(B3,C3,D3,E3,F3,G3,H3,I3,J3)</calculatedColumnFormula>
      <totalsRowFormula>SUM(RepInCongressCongressionalDistrict23General[Total Votes by Party])</totalsRowFormula>
    </tableColumn>
    <tableColumn id="5" xr3:uid="{CDCC31B1-E4B7-4AE9-9541-D039B91D6A18}" name="Total Votes by Candidate" dataDxfId="1543" totalsRowDxfId="1542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6500DE70-4A5B-4E91-A121-176458731310}" name="RepInCongressCongressionalDistrict1General" displayName="RepInCongressCongressionalDistrict1General" ref="A2:D8" totalsRowCount="1" headerRowDxfId="1907" dataDxfId="1905" totalsRowDxfId="1903" headerRowBorderDxfId="1906" tableBorderDxfId="1904" totalsRowBorderDxfId="1902">
  <autoFilter ref="A2:D7" xr:uid="{E4C80049-8B70-4EEE-86C5-EA95090A6C7F}">
    <filterColumn colId="0" hiddenButton="1"/>
    <filterColumn colId="1" hiddenButton="1"/>
    <filterColumn colId="2" hiddenButton="1"/>
    <filterColumn colId="3" hiddenButton="1"/>
  </autoFilter>
  <tableColumns count="4">
    <tableColumn id="1" xr3:uid="{D7B3B8FE-EDCC-460F-990E-E68827172EB8}" name="Candidate Name (Party)" totalsRowLabel="Total Votes by County" dataDxfId="1901" totalsRowDxfId="1900"/>
    <tableColumn id="4" xr3:uid="{1C2C0DD4-5779-4F95-81F2-7A168DFADEAC}" name="Part of Suffolk County _x000a_Vote Results" totalsRowFunction="custom" dataDxfId="1899" totalsRowDxfId="1898">
      <totalsRowFormula>SUM(RepInCongressCongressionalDistrict1General[Part of Suffolk County 
Vote Results])</totalsRowFormula>
    </tableColumn>
    <tableColumn id="3" xr3:uid="{0E04BB5F-37A9-4263-9157-CDAE8047987A}" name="Total Votes by Party" totalsRowFunction="custom" dataDxfId="1897" totalsRowDxfId="1896">
      <calculatedColumnFormula>RepInCongressCongressionalDistrict1General[[#This Row],[Part of Suffolk County 
Vote Results]]</calculatedColumnFormula>
      <totalsRowFormula>SUM(RepInCongressCongressionalDistrict1General[Total Votes by Party])</totalsRowFormula>
    </tableColumn>
    <tableColumn id="2" xr3:uid="{4185E482-B8D9-4068-8FF4-82B137F4349B}" name="Total Votes by Candidate" dataDxfId="1895" totalsRowDxfId="1894"/>
  </tableColumns>
  <tableStyleInfo name="TableStyleMedium2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A3894C1-75B0-4649-AC05-66CF09D6508D}" name="RepInCongressCongressionalDistrict24General" displayName="RepInCongressCongressionalDistrict24General" ref="A2:Q8" totalsRowCount="1" headerRowDxfId="1541" dataDxfId="1539" totalsRowDxfId="1537" headerRowBorderDxfId="1540" tableBorderDxfId="1538" totalsRowBorderDxfId="1536">
  <autoFilter ref="A2:Q7" xr:uid="{73707D82-830B-41CE-ABF5-16DAFA77C9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615C39E1-9839-4876-A0D7-79EEFDE03C28}" name="Candidate Name (Party)" totalsRowLabel="Total Votes by County" dataDxfId="1535" totalsRowDxfId="1534"/>
    <tableColumn id="2" xr3:uid="{77B0EC42-B0AB-4DF7-B59A-C5034923CA1D}" name="Part of Cayuga County _x000a_Vote Results" totalsRowFunction="custom" dataDxfId="1533" totalsRowDxfId="1532">
      <totalsRowFormula>SUM(RepInCongressCongressionalDistrict24General[Part of Cayuga County 
Vote Results])</totalsRowFormula>
    </tableColumn>
    <tableColumn id="6" xr3:uid="{AF8AB2EB-4288-4F1D-B624-8BEF5C2DEF1D}" name="Genesee County _x000a_Vote Results" totalsRowFunction="custom" dataDxfId="1531" totalsRowDxfId="1530">
      <totalsRowFormula>SUM(RepInCongressCongressionalDistrict24General[Genesee County 
Vote Results])</totalsRowFormula>
    </tableColumn>
    <tableColumn id="12" xr3:uid="{87F9A0B8-DE98-4449-AF64-CCBB67C4A3A6}" name="Part of Jefferson County _x000a_Vote Results" totalsRowFunction="custom" dataDxfId="1529" totalsRowDxfId="1528">
      <totalsRowFormula>SUM(RepInCongressCongressionalDistrict24General[Part of Jefferson County 
Vote Results])</totalsRowFormula>
    </tableColumn>
    <tableColumn id="11" xr3:uid="{8D7EF466-DA5C-40BF-9742-DAFA1712D532}" name="Livingston County _x000a_Vote Results" totalsRowFunction="custom" dataDxfId="1527" totalsRowDxfId="1526">
      <totalsRowFormula>SUM(RepInCongressCongressionalDistrict24General[Livingston County 
Vote Results])</totalsRowFormula>
    </tableColumn>
    <tableColumn id="10" xr3:uid="{418451A4-FA87-4885-9E64-DA2F3A0E66C6}" name="Part of Niagara County _x000a_Vote Results" totalsRowFunction="custom" dataDxfId="1525" totalsRowDxfId="1524">
      <totalsRowFormula>SUM(RepInCongressCongressionalDistrict24General[Part of Niagara County 
Vote Results])</totalsRowFormula>
    </tableColumn>
    <tableColumn id="9" xr3:uid="{589228A3-2CC1-485B-9AC2-CC763EAB599D}" name="Part of Ontario County _x000a_Vote Results" totalsRowFunction="custom" dataDxfId="1523" totalsRowDxfId="1522">
      <totalsRowFormula>SUM(RepInCongressCongressionalDistrict24General[Part of Ontario County 
Vote Results])</totalsRowFormula>
    </tableColumn>
    <tableColumn id="13" xr3:uid="{BD32A042-F736-4A0A-B386-E596B214F9D6}" name="Orleans County _x000a_Vote Results" totalsRowFunction="custom" dataDxfId="1521" totalsRowDxfId="1520">
      <totalsRowFormula>SUM(RepInCongressCongressionalDistrict24General[Orleans County 
Vote Results])</totalsRowFormula>
    </tableColumn>
    <tableColumn id="4" xr3:uid="{C1116CEB-374F-4F76-8D9B-C431629BF71A}" name="Oswego County _x000a_Vote Results" totalsRowFunction="custom" dataDxfId="1519" totalsRowDxfId="1518">
      <totalsRowFormula>SUM(RepInCongressCongressionalDistrict24General[Oswego County 
Vote Results])</totalsRowFormula>
    </tableColumn>
    <tableColumn id="17" xr3:uid="{4675787F-8EC9-4477-AE18-11608E34C08F}" name="Part of Schuyler County _x000a_Vote Results" totalsRowFunction="custom" dataDxfId="1517" totalsRowDxfId="1516">
      <totalsRowFormula>SUM(RepInCongressCongressionalDistrict24General[Part of Schuyler County 
Vote Results])</totalsRowFormula>
    </tableColumn>
    <tableColumn id="14" xr3:uid="{3185C89E-735C-4E19-A224-6CC98F8EFF4A}" name="Seneca County _x000a_Vote Results" totalsRowFunction="custom" dataDxfId="1515" totalsRowDxfId="1514">
      <totalsRowFormula>SUM(RepInCongressCongressionalDistrict24General[Seneca County 
Vote Results])</totalsRowFormula>
    </tableColumn>
    <tableColumn id="16" xr3:uid="{8E909979-FF12-4C46-8AD9-9835F71CB9FA}" name="Part of Steuben County _x000a_Vote Results" totalsRowFunction="custom" dataDxfId="1513" totalsRowDxfId="1512">
      <totalsRowFormula>SUM(RepInCongressCongressionalDistrict24General[Part of Steuben County 
Vote Results])</totalsRowFormula>
    </tableColumn>
    <tableColumn id="3" xr3:uid="{28A7270F-0A33-460C-9671-AE83084B3CA8}" name="Wayne County _x000a_Vote Results" totalsRowFunction="custom" dataDxfId="1511" totalsRowDxfId="1510">
      <totalsRowFormula>SUM(RepInCongressCongressionalDistrict24General[Wayne County 
Vote Results])</totalsRowFormula>
    </tableColumn>
    <tableColumn id="15" xr3:uid="{77319A8C-B02D-40B2-B4D5-91F2B8488702}" name="Wyoming County _x000a_Vote Results" totalsRowFunction="custom" dataDxfId="1509" totalsRowDxfId="1508">
      <totalsRowFormula>SUM(RepInCongressCongressionalDistrict24General[Wyoming County 
Vote Results])</totalsRowFormula>
    </tableColumn>
    <tableColumn id="8" xr3:uid="{5929388C-98DE-450B-BB71-B89CB56111A0}" name="Yates County _x000a_Vote Results" totalsRowFunction="custom" dataDxfId="1507" totalsRowDxfId="1506">
      <totalsRowFormula>SUM(RepInCongressCongressionalDistrict24General[Yates County 
Vote Results])</totalsRowFormula>
    </tableColumn>
    <tableColumn id="7" xr3:uid="{A721F545-9546-47F4-9C4E-86C7D94E63A0}" name="Total Votes by Party" totalsRowFunction="custom" dataDxfId="1505" totalsRowDxfId="1504">
      <calculatedColumnFormula>SUM(B3:O3)</calculatedColumnFormula>
      <totalsRowFormula>SUM(RepInCongressCongressionalDistrict24General[Total Votes by Party])</totalsRowFormula>
    </tableColumn>
    <tableColumn id="5" xr3:uid="{94BDE914-7D38-496A-9A30-EECBC45C1EF3}" name="Total Votes by Candidate" dataDxfId="1503" totalsRowDxfId="1502"/>
  </tableColumns>
  <tableStyleInfo name="TableStyleMedium2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3AD87C3-262C-4C68-BFC7-354A7A133B91}" name="RepInCongressCongressionalDistrict25General" displayName="RepInCongressCongressionalDistrict25General" ref="A2:E9" totalsRowCount="1" headerRowDxfId="1501" dataDxfId="1499" totalsRowDxfId="1497" headerRowBorderDxfId="1500" tableBorderDxfId="1498" totalsRowBorderDxfId="1496">
  <autoFilter ref="A2:E8" xr:uid="{64708C82-C3FB-4629-83EE-627387BA1A7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A96AD68-3C61-4175-B912-0CB568143754}" name="Candidate Name (Party)" totalsRowLabel="Total Votes by County" dataDxfId="1495" totalsRowDxfId="1494"/>
    <tableColumn id="4" xr3:uid="{744154DF-D4D3-41FF-A957-1D4D957EBA96}" name="Monroe County Vote Results" totalsRowFunction="custom" dataDxfId="1493" totalsRowDxfId="1492">
      <totalsRowFormula>SUM(RepInCongressCongressionalDistrict25General[Monroe County Vote Results])</totalsRowFormula>
    </tableColumn>
    <tableColumn id="5" xr3:uid="{FBC8933B-1136-48F3-A57E-72D88DFF87AF}" name="Part of Ontario County Vote Results" totalsRowFunction="custom" dataDxfId="1491" totalsRowDxfId="1490">
      <totalsRowFormula>SUM(RepInCongressCongressionalDistrict25General[Part of Ontario County Vote Results])</totalsRowFormula>
    </tableColumn>
    <tableColumn id="3" xr3:uid="{BE542B9E-B520-431B-A8E5-2946B64FFC91}" name="Total Votes by Party" totalsRowFunction="custom" dataDxfId="1489" totalsRowDxfId="1488">
      <calculatedColumnFormula>SUM(B3,C3)</calculatedColumnFormula>
      <totalsRowFormula>SUM(RepInCongressCongressionalDistrict25General[Total Votes by Party])</totalsRowFormula>
    </tableColumn>
    <tableColumn id="2" xr3:uid="{5C1FB4D5-4709-4426-B659-53C1A1845EC0}" name="Total Votes by Candidate" dataDxfId="1487" totalsRowDxfId="1486"/>
  </tableColumns>
  <tableStyleInfo name="TableStyleMedium2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D8E0D666-7847-4FD2-96F3-B8FADA56660A}" name="StateSenatorSenateDistrict12General" displayName="StateSenatorSenateDistrict12General" ref="A2:E8" totalsRowCount="1" headerRowDxfId="1485" dataDxfId="1483" totalsRowDxfId="1481" headerRowBorderDxfId="1484" tableBorderDxfId="1482" totalsRowBorderDxfId="1480">
  <autoFilter ref="A2:E7" xr:uid="{2CE300DD-8912-442E-850C-3B4D930DBB1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6A6953-F84E-4301-BA47-793A81269222}" name="Candidate Name (Party)" totalsRowLabel="Total Votes by County" dataDxfId="1479" totalsRowDxfId="1478"/>
    <tableColumn id="4" xr3:uid="{C054DDC1-DC6E-4137-A19A-B495894A49F7}" name="Part of Kings County _x000a_Vote Results" totalsRowFunction="custom" dataDxfId="1477" totalsRowDxfId="1476">
      <totalsRowFormula>SUM(StateSenatorSenateDistrict12General[Part of Kings County 
Vote Results])</totalsRowFormula>
    </tableColumn>
    <tableColumn id="5" xr3:uid="{27728641-82ED-481D-8F4B-B2D5997D484A}" name="Part of Queens County _x000a_Vote Results" totalsRowFunction="custom" dataDxfId="1475" totalsRowDxfId="1474">
      <totalsRowFormula>SUM(StateSenatorSenateDistrict12General[Part of Queens County 
Vote Results])</totalsRowFormula>
    </tableColumn>
    <tableColumn id="3" xr3:uid="{3960BCE3-5348-4484-A94E-5269565DA878}" name="Total Votes by Party" totalsRowFunction="custom" dataDxfId="1473" totalsRowDxfId="1472">
      <calculatedColumnFormula>SUM(B3:C3)</calculatedColumnFormula>
      <totalsRowFormula>SUM(StateSenatorSenateDistrict12General[Total Votes by Party])</totalsRowFormula>
    </tableColumn>
    <tableColumn id="2" xr3:uid="{57786A8A-FB29-4A02-8CB2-3B5A0D5FBDA8}" name="Total Votes by Candidate" dataDxfId="1471" totalsRowDxfId="1470">
      <calculatedColumnFormula>SUM(StateSenatorSenateDistrict12General[[#This Row],[Total Votes by Party]],D4)</calculatedColumnFormula>
    </tableColumn>
  </tableColumns>
  <tableStyleInfo name="TableStyleMedium2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C06ED72B-2EE1-441F-A637-13F9C0B6A392}" name="StateSenatorSenateDistrict13General" displayName="StateSenatorSenateDistrict13General" ref="A2:D9" totalsRowCount="1" headerRowDxfId="1469" dataDxfId="1467" totalsRowDxfId="1465" headerRowBorderDxfId="1468" tableBorderDxfId="1466" totalsRowBorderDxfId="1464">
  <autoFilter ref="A2:D8" xr:uid="{7D329055-02FA-4249-9564-3F326CBE70EC}">
    <filterColumn colId="0" hiddenButton="1"/>
    <filterColumn colId="1" hiddenButton="1"/>
    <filterColumn colId="2" hiddenButton="1"/>
    <filterColumn colId="3" hiddenButton="1"/>
  </autoFilter>
  <tableColumns count="4">
    <tableColumn id="1" xr3:uid="{80C32F68-EB35-47B1-9DA0-9FD4B1588575}" name="Candidate Name (Party)" totalsRowLabel="Total Votes by County" dataDxfId="1463" totalsRowDxfId="1462"/>
    <tableColumn id="4" xr3:uid="{7D5CC358-E842-4E68-A781-E44B632BBE22}" name="Part of Queens County _x000a_Vote Results" totalsRowFunction="custom" dataDxfId="1461" totalsRowDxfId="1460">
      <totalsRowFormula>SUM(StateSenatorSenateDistrict13General[Part of Queens County 
Vote Results])</totalsRowFormula>
    </tableColumn>
    <tableColumn id="3" xr3:uid="{897695A9-908D-4F40-B8B7-8B8A237DE6FB}" name="Total Votes by Party" totalsRowFunction="custom" dataDxfId="1459" totalsRowDxfId="1458">
      <calculatedColumnFormula>StateSenatorSenateDistrict13General[[#This Row],[Part of Queens County 
Vote Results]]</calculatedColumnFormula>
      <totalsRowFormula>SUM(StateSenatorSenateDistrict13General[Total Votes by Party])</totalsRowFormula>
    </tableColumn>
    <tableColumn id="2" xr3:uid="{F1C2B604-33C1-4E53-B4F5-3FF471CAA47C}" name="Total Votes by Candidate" dataDxfId="1457" totalsRowDxfId="1456"/>
  </tableColumns>
  <tableStyleInfo name="TableStyleMedium2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CE594490-42B2-4407-9474-7ABC9DF2FFBD}" name="StateSenatorSenateDistrict15General" displayName="StateSenatorSenateDistrict15General" ref="A2:E8" totalsRowCount="1" headerRowDxfId="1455" dataDxfId="1453" totalsRowDxfId="1451" headerRowBorderDxfId="1454" tableBorderDxfId="1452" totalsRowBorderDxfId="1450">
  <autoFilter ref="A2:E7" xr:uid="{631AFF6B-E30D-4A6D-A286-BC64D492E01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47DD164-0336-43B1-8319-B26AC13AEF90}" name="Candidate Name (Party)" totalsRowLabel="Total Votes by County" dataDxfId="1449" totalsRowDxfId="1448"/>
    <tableColumn id="4" xr3:uid="{0931E3EE-D4AE-44C7-8E73-086D327A7347}" name="Part of Kings County _x000a_Vote Results" totalsRowFunction="custom" dataDxfId="1447" totalsRowDxfId="1446">
      <totalsRowFormula>SUM(StateSenatorSenateDistrict15General[Part of Kings County 
Vote Results])</totalsRowFormula>
    </tableColumn>
    <tableColumn id="5" xr3:uid="{300C0664-FF96-4AF6-831A-2830A5708093}" name="Part of Queens County _x000a_Vote Results" totalsRowFunction="custom" dataDxfId="1445" totalsRowDxfId="1444">
      <totalsRowFormula>SUM(StateSenatorSenateDistrict15General[Part of Queens County 
Vote Results])</totalsRowFormula>
    </tableColumn>
    <tableColumn id="3" xr3:uid="{A8AEFF5B-75D3-4F4B-89A6-65F8938BDE43}" name="Total Votes by Party" totalsRowFunction="custom" dataDxfId="1443" totalsRowDxfId="1442">
      <calculatedColumnFormula>SUM(B3:C3)</calculatedColumnFormula>
      <totalsRowFormula>SUM(StateSenatorSenateDistrict15General[Total Votes by Party])</totalsRowFormula>
    </tableColumn>
    <tableColumn id="2" xr3:uid="{54D4FE84-749C-41F5-98A0-A11F615A43ED}" name="Total Votes by Candidate" dataDxfId="1441" totalsRowDxfId="1440"/>
  </tableColumns>
  <tableStyleInfo name="TableStyleMedium2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E9CC126-0AE6-4531-B511-A4B873AD6A62}" name="StateSenatorSenateDistrict22General" displayName="StateSenatorSenateDistrict22General" ref="A2:D8" totalsRowCount="1" headerRowDxfId="1939" dataDxfId="1937" totalsRowDxfId="1935" headerRowBorderDxfId="1938" tableBorderDxfId="1936" totalsRowBorderDxfId="1934">
  <autoFilter ref="A2:D7" xr:uid="{44108E97-03E6-4A5D-A27C-003B5E8A5A04}">
    <filterColumn colId="0" hiddenButton="1"/>
    <filterColumn colId="1" hiddenButton="1"/>
    <filterColumn colId="2" hiddenButton="1"/>
    <filterColumn colId="3" hiddenButton="1"/>
  </autoFilter>
  <tableColumns count="4">
    <tableColumn id="1" xr3:uid="{90C3267E-BD6E-4016-BF03-54A53A3C5981}" name="Candidate Name (Party)" totalsRowLabel="Total Votes by County" dataDxfId="1933" totalsRowDxfId="1932"/>
    <tableColumn id="4" xr3:uid="{04F9B1D8-3D6C-48E4-928C-3BAD0A3D78C5}" name="Part of Kings County _x000a_Vote Results" totalsRowFunction="custom" dataDxfId="1931" totalsRowDxfId="1930">
      <totalsRowFormula>SUM(StateSenatorSenateDistrict22General[Part of Kings County 
Vote Results])</totalsRowFormula>
    </tableColumn>
    <tableColumn id="3" xr3:uid="{75D8ACC0-B04D-442D-BD04-B9DD9DBBA098}" name="Total Votes by Party" totalsRowFunction="custom" dataDxfId="1929" totalsRowDxfId="1928">
      <calculatedColumnFormula>StateSenatorSenateDistrict22General[[#This Row],[Part of Kings County 
Vote Results]]</calculatedColumnFormula>
      <totalsRowFormula>SUM(StateSenatorSenateDistrict22General[Total Votes by Party])</totalsRowFormula>
    </tableColumn>
    <tableColumn id="2" xr3:uid="{A32B2D11-D64C-42F4-9BBA-B9D2828A31C8}" name="Total Votes by Candidate" dataDxfId="1927" totalsRowDxfId="1926"/>
  </tableColumns>
  <tableStyleInfo name="TableStyleMedium2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59C6A5A3-5F05-492E-AAC1-E6F0A0E58E9B}" name="StateSenatorSenateDistrict23General" displayName="StateSenatorSenateDistrict23General" ref="A2:E8" totalsRowCount="1" headerRowDxfId="1439" dataDxfId="1437" totalsRowDxfId="1435" headerRowBorderDxfId="1438" tableBorderDxfId="1436" totalsRowBorderDxfId="1434">
  <autoFilter ref="A2:E7" xr:uid="{54126B05-CA63-458B-A224-2EA9D7AFEEA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FC8F70-BF41-468D-BCD3-94941EDF89D3}" name="Candidate Name (Party)" totalsRowLabel="Total Votes by County" dataDxfId="1433" totalsRowDxfId="1432"/>
    <tableColumn id="2" xr3:uid="{18E6438F-815B-4A88-B63F-6B36125CBFCB}" name="Part of Kings County _x000a_Vote Results" totalsRowFunction="custom" dataDxfId="1431" totalsRowDxfId="1430">
      <totalsRowFormula>SUM(StateSenatorSenateDistrict23General[Part of Kings County 
Vote Results])</totalsRowFormula>
    </tableColumn>
    <tableColumn id="4" xr3:uid="{A687609C-775D-45B9-A6CC-ED73FBCA697F}" name="Part of Richmond County _x000a_Vote Results" totalsRowFunction="custom" dataDxfId="1429" totalsRowDxfId="1428">
      <totalsRowFormula>SUM(StateSenatorSenateDistrict23General[Part of Richmond County 
Vote Results])</totalsRowFormula>
    </tableColumn>
    <tableColumn id="3" xr3:uid="{40CB36F1-AC0B-4F07-B0EE-F3EEE20355DA}" name="Total Votes by Party" totalsRowFunction="custom" dataDxfId="1427" totalsRowDxfId="1426">
      <calculatedColumnFormula>SUM(StateSenatorSenateDistrict23General[[#This Row],[Part of Kings County 
Vote Results]:[Part of Richmond County 
Vote Results]])</calculatedColumnFormula>
      <totalsRowFormula>SUM(StateSenatorSenateDistrict23General[Total Votes by Party])</totalsRowFormula>
    </tableColumn>
    <tableColumn id="5" xr3:uid="{EB0A1E10-5364-450F-AF2B-56F5F580808C}" name="Total Votes by Candidate" dataDxfId="1425" totalsRowDxfId="1424"/>
  </tableColumns>
  <tableStyleInfo name="TableStyleMedium2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FD395420-52BC-44D6-9E94-1FE263098F74}" name="StateSenatorSenateDistrict25General" displayName="StateSenatorSenateDistrict25General" ref="A2:D8" totalsRowCount="1" headerRowDxfId="1423" dataDxfId="1421" totalsRowDxfId="1419" headerRowBorderDxfId="1422" tableBorderDxfId="1420" totalsRowBorderDxfId="1418">
  <autoFilter ref="A2:D7" xr:uid="{06ECA87C-D4FC-4637-A821-A249C3AF945C}">
    <filterColumn colId="0" hiddenButton="1"/>
    <filterColumn colId="1" hiddenButton="1"/>
    <filterColumn colId="2" hiddenButton="1"/>
    <filterColumn colId="3" hiddenButton="1"/>
  </autoFilter>
  <tableColumns count="4">
    <tableColumn id="1" xr3:uid="{3A412FAF-2DAB-426E-83CD-87AA5B0205A6}" name="Candidate Name (Party)" totalsRowLabel="Total Votes by County" dataDxfId="1417" totalsRowDxfId="1416"/>
    <tableColumn id="4" xr3:uid="{56AE6A39-CD39-4E79-B964-017053A5B68C}" name="Part of Kings County _x000a_Vote Results" totalsRowFunction="custom" dataDxfId="1415" totalsRowDxfId="1414">
      <totalsRowFormula>SUM(StateSenatorSenateDistrict25General[Part of Kings County 
Vote Results])</totalsRowFormula>
    </tableColumn>
    <tableColumn id="3" xr3:uid="{970B3C7C-D411-49A4-84F8-2C7B555D1787}" name="Total Votes by Party" totalsRowFunction="custom" dataDxfId="1413" totalsRowDxfId="1412">
      <calculatedColumnFormula>StateSenatorSenateDistrict25General[[#This Row],[Part of Kings County 
Vote Results]]</calculatedColumnFormula>
      <totalsRowFormula>SUM(StateSenatorSenateDistrict25General[Total Votes by Party])</totalsRowFormula>
    </tableColumn>
    <tableColumn id="2" xr3:uid="{366217EC-1668-4CA8-94D9-A9C01A929310}" name="Total Votes by Candidate" dataDxfId="1411" totalsRowDxfId="1410">
      <calculatedColumnFormula>SUM(StateSenatorSenateDistrict25General[[#This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CE3367D7-E4D0-4631-B5E9-8BACE7B801EA}" name="StateSenatorSenateDistrict27General" displayName="StateSenatorSenateDistrict27General" ref="A2:D8" totalsRowCount="1" headerRowDxfId="1409" dataDxfId="1407" totalsRowDxfId="1405" headerRowBorderDxfId="1408" tableBorderDxfId="1406" totalsRowBorderDxfId="1404">
  <autoFilter ref="A2:D7" xr:uid="{62C311E0-B033-4133-8CC3-8FB9FA631EE3}">
    <filterColumn colId="0" hiddenButton="1"/>
    <filterColumn colId="1" hiddenButton="1"/>
    <filterColumn colId="2" hiddenButton="1"/>
    <filterColumn colId="3" hiddenButton="1"/>
  </autoFilter>
  <tableColumns count="4">
    <tableColumn id="1" xr3:uid="{FD64544C-88B5-47D1-AD74-B87591BE1E39}" name="Candidate Name (Party)" totalsRowLabel="Total Votes by County" dataDxfId="1403" totalsRowDxfId="1402"/>
    <tableColumn id="4" xr3:uid="{06466B1A-7566-464E-B0A2-186409FCEDE0}" name="Part of New York County _x000a_Vote Results" totalsRowFunction="custom" dataDxfId="1401" totalsRowDxfId="1400">
      <totalsRowFormula>SUM(StateSenatorSenateDistrict27General[Part of New York County 
Vote Results])</totalsRowFormula>
    </tableColumn>
    <tableColumn id="3" xr3:uid="{7C67AEAB-7420-4171-8971-D8FAA0ED9BB6}" name="Total Votes by Party" totalsRowFunction="custom" dataDxfId="1399" totalsRowDxfId="1398">
      <calculatedColumnFormula>StateSenatorSenateDistrict27General[[#This Row],[Part of New York County 
Vote Results]]</calculatedColumnFormula>
      <totalsRowFormula>SUM(StateSenatorSenateDistrict27General[Total Votes by Party])</totalsRowFormula>
    </tableColumn>
    <tableColumn id="2" xr3:uid="{21CFE287-A842-4DC5-84BE-FDCDDEE62E99}" name="Total Votes by Candidate" dataDxfId="1397" totalsRowDxfId="1396">
      <calculatedColumnFormula>SUM(StateSenatorSenateDistrict27General[[#This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DCBD3DD-5D6F-4864-A2F1-A41CD62DF8F4}" name="StateSenatorSenateDistrict29General" displayName="StateSenatorSenateDistrict29General" ref="A2:E8" totalsRowCount="1" headerRowDxfId="1395" dataDxfId="1393" totalsRowDxfId="1391" headerRowBorderDxfId="1394" tableBorderDxfId="1392" totalsRowBorderDxfId="1390">
  <autoFilter ref="A2:E7" xr:uid="{391D07F9-7643-47D4-8D64-70A4F00BAFE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0D81AF7-863C-4489-A5A3-C8426784C334}" name="Candidate Name (Party)" totalsRowLabel="Total Votes by County" dataDxfId="1389" totalsRowDxfId="1388"/>
    <tableColumn id="2" xr3:uid="{7E8205A7-2137-4A35-8FED-931682A38EBC}" name="Part of Bronx County _x000a_Vote Results" totalsRowFunction="custom" dataDxfId="1387" totalsRowDxfId="1386">
      <totalsRowFormula>SUM(StateSenatorSenateDistrict29General[Part of Bronx County 
Vote Results])</totalsRowFormula>
    </tableColumn>
    <tableColumn id="4" xr3:uid="{1ED21E0E-4A08-4053-8637-A5D6622F3CB3}" name="Part of New York County _x000a_Vote Results" totalsRowFunction="custom" dataDxfId="1385" totalsRowDxfId="1384">
      <totalsRowFormula>SUM(StateSenatorSenateDistrict29General[Part of New York County 
Vote Results])</totalsRowFormula>
    </tableColumn>
    <tableColumn id="3" xr3:uid="{DA561CB9-507B-4E29-B685-ED6DBB42E44B}" name="Total Votes by Party" totalsRowFunction="custom" dataDxfId="1383" totalsRowDxfId="1382">
      <calculatedColumnFormula>SUM(StateSenatorSenateDistrict29General[[#This Row],[Part of Bronx County 
Vote Results]:[Part of New York County 
Vote Results]])</calculatedColumnFormula>
      <totalsRowFormula>SUM(StateSenatorSenateDistrict29General[Total Votes by Party])</totalsRowFormula>
    </tableColumn>
    <tableColumn id="5" xr3:uid="{633D98B4-5C64-422B-AB88-9C374140C5C5}" name="Total Votes by Candidate" dataDxfId="1381" totalsRowDxfId="1380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4B9DF5-E4C9-4775-AC12-CB652FB444BB}" name="RepInCongressCongressionalDistrict3General" displayName="RepInCongressCongressionalDistrict3General" ref="A2:F8" totalsRowCount="1" headerRowDxfId="1893" dataDxfId="1891" headerRowBorderDxfId="1892" tableBorderDxfId="1890" totalsRowBorderDxfId="1889">
  <autoFilter ref="A2:F7" xr:uid="{013F4201-9F43-4569-BC15-21711BC52D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4E93F43-2D98-43FA-9248-135E51464544}" name="Candidate Name (Party)" totalsRowLabel="Total Votes by County" dataDxfId="1888" totalsRowDxfId="1887"/>
    <tableColumn id="2" xr3:uid="{07E2FE9C-CBB3-4AF5-B13A-D26CF71911FC}" name="Part of Nassau County _x000a_Vote Results" totalsRowFunction="custom" dataDxfId="1886" totalsRowDxfId="1885">
      <totalsRowFormula>SUM(RepInCongressCongressionalDistrict3General[Part of Nassau County 
Vote Results])</totalsRowFormula>
    </tableColumn>
    <tableColumn id="4" xr3:uid="{6EFD2035-1BAF-4C4E-AB24-E994CBC22EEC}" name="Part of Queens County _x000a_Vote Results" totalsRowFunction="custom" dataDxfId="1884" totalsRowDxfId="1883">
      <totalsRowFormula>SUM(RepInCongressCongressionalDistrict3General[Part of Queens County 
Vote Results])</totalsRowFormula>
    </tableColumn>
    <tableColumn id="3" xr3:uid="{0A275C79-0CAE-4A21-A7BF-009E8E978BC3}" name="Part of Suffolk County_x000a_Vote Results" totalsRowFunction="custom" dataDxfId="1882" totalsRowDxfId="1881">
      <totalsRowFormula>SUM(RepInCongressCongressionalDistrict3General[Part of Suffolk County
Vote Results])</totalsRowFormula>
    </tableColumn>
    <tableColumn id="6" xr3:uid="{A83CDBED-91C9-4401-8533-050E3B6EA96E}" name="Total Votes by Party" totalsRowFunction="custom" dataDxfId="1880" totalsRowDxfId="1879">
      <calculatedColumnFormula>SUM(B3,D3)</calculatedColumnFormula>
      <totalsRowFormula>SUM(RepInCongressCongressionalDistrict3General[Total Votes by Party])</totalsRowFormula>
    </tableColumn>
    <tableColumn id="5" xr3:uid="{EBA6A21E-991F-49E5-BAB1-11941F6CF08E}" name="Total Votes by Candidate" dataDxfId="1878" totalsRowDxfId="1877"/>
  </tableColumns>
  <tableStyleInfo name="TableStyleMedium2"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602F14DB-B976-43D4-BCCE-7E24F1DE3B0D}" name="StateSenatorSenateDistrict31General" displayName="StateSenatorSenateDistrict31General" ref="A2:E8" totalsRowCount="1" headerRowDxfId="1379" dataDxfId="1377" totalsRowDxfId="1375" headerRowBorderDxfId="1378" tableBorderDxfId="1376" totalsRowBorderDxfId="1374">
  <autoFilter ref="A2:E7" xr:uid="{AC89B2AA-2F33-4C00-947B-3AC1042912D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18FCBB0-76AC-4906-9DB1-D9716C4314DC}" name="Candidate Name (Party)" totalsRowLabel="Total Votes by County" dataDxfId="1373" totalsRowDxfId="1372"/>
    <tableColumn id="4" xr3:uid="{FA35088B-A557-4B14-AD4E-8120598950FF}" name="Part of Bronx County _x000a_Vote Results" totalsRowFunction="custom" dataDxfId="1371" totalsRowDxfId="1370">
      <totalsRowFormula>SUM(StateSenatorSenateDistrict31General[Part of Bronx County 
Vote Results])</totalsRowFormula>
    </tableColumn>
    <tableColumn id="5" xr3:uid="{A9A27B2D-A499-40E3-B187-7C67EE3B0FBB}" name="Part of New York County _x000a_Vote Results" totalsRowFunction="custom" dataDxfId="1369" totalsRowDxfId="1368">
      <totalsRowFormula>SUM(StateSenatorSenateDistrict31General[Part of New York County 
Vote Results])</totalsRowFormula>
    </tableColumn>
    <tableColumn id="3" xr3:uid="{8D019A61-02E6-4D7E-8093-7454FA05C2F5}" name="Total Votes by Party" totalsRowFunction="custom" dataDxfId="1367" totalsRowDxfId="1366">
      <calculatedColumnFormula>SUM(B3,C3)</calculatedColumnFormula>
      <totalsRowFormula>SUM(StateSenatorSenateDistrict31General[Total Votes by Party])</totalsRowFormula>
    </tableColumn>
    <tableColumn id="2" xr3:uid="{B6B25DDA-2C1A-4BF0-9CD6-AEE0C81F1539}" name="Total Votes by Candidate" dataDxfId="1365" totalsRowDxfId="1364"/>
  </tableColumns>
  <tableStyleInfo name="TableStyleMedium2"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D9ED307-BD20-4B8C-987B-85D4A7F43C36}" name="StateSenatorSenateDistrict38General" displayName="StateSenatorSenateDistrict38General" ref="A2:D7" totalsRowCount="1" headerRowDxfId="1363" dataDxfId="1361" totalsRowDxfId="1359" headerRowBorderDxfId="1362" tableBorderDxfId="1360" totalsRowBorderDxfId="1358">
  <autoFilter ref="A2:D6" xr:uid="{76D11FBE-A745-483E-9F05-DF6DDFB6229E}">
    <filterColumn colId="0" hiddenButton="1"/>
    <filterColumn colId="1" hiddenButton="1"/>
    <filterColumn colId="2" hiddenButton="1"/>
    <filterColumn colId="3" hiddenButton="1"/>
  </autoFilter>
  <tableColumns count="4">
    <tableColumn id="1" xr3:uid="{FBA6EAA8-1B8B-4902-B61B-0424BF6A30FF}" name="Candidate Name (Party)" totalsRowLabel="Total Votes by County" dataDxfId="1357" totalsRowDxfId="1356"/>
    <tableColumn id="2" xr3:uid="{BDB08083-E2CA-49C1-9BED-C93BCEBFC007}" name="Part of Rockland County _x000a_Vote Results" totalsRowFunction="custom" dataDxfId="1355" totalsRowDxfId="1354">
      <totalsRowFormula>SUM(StateSenatorSenateDistrict38General[Part of Rockland County 
Vote Results])</totalsRowFormula>
    </tableColumn>
    <tableColumn id="3" xr3:uid="{1C5094E8-C5BF-4659-B626-CC586E41AB27}" name="Total Votes by Party" totalsRowFunction="custom" dataDxfId="1353" totalsRowDxfId="1352">
      <calculatedColumnFormula>SUM(StateSenatorSenateDistrict38General[[#This Row],[Part of Rockland County 
Vote Results]])</calculatedColumnFormula>
      <totalsRowFormula>SUM(StateSenatorSenateDistrict38General[Total Votes by Party])</totalsRowFormula>
    </tableColumn>
    <tableColumn id="5" xr3:uid="{8AFA8508-0E00-4177-80AD-80FA7D8B2D4D}" name="Total Votes by Candidate" dataDxfId="1351" totalsRowDxfId="1350"/>
  </tableColumns>
  <tableStyleInfo name="TableStyleMedium2"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884505F-73C9-4091-B8AB-98BD08B3579D}" name="StateSenatorSenateDistrict39General" displayName="StateSenatorSenateDistrict39General" ref="A2:F9" totalsRowCount="1" headerRowDxfId="1349" dataDxfId="1347" totalsRowDxfId="1345" headerRowBorderDxfId="1348" tableBorderDxfId="1346" totalsRowBorderDxfId="1344">
  <autoFilter ref="A2:F8" xr:uid="{DDBF1CEC-9D14-4D99-A05E-23225379C3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A2FE13F-0B35-43DB-BD20-FC3F95E1896E}" name="Candidate Name (Party)" totalsRowLabel="Total Votes by County" dataDxfId="1343" totalsRowDxfId="1342"/>
    <tableColumn id="2" xr3:uid="{3C5DA971-4F84-430E-B83C-1512BA667B92}" name="Part of Dutchess County _x000a_Vote Results" totalsRowFunction="custom" dataDxfId="1341" totalsRowDxfId="1340">
      <totalsRowFormula>SUM(StateSenatorSenateDistrict39General[Part of Dutchess County 
Vote Results])</totalsRowFormula>
    </tableColumn>
    <tableColumn id="3" xr3:uid="{C60438A8-15FA-4548-8F69-499E98553A0E}" name="Part of Orange County _x000a_Vote Results" totalsRowFunction="custom" dataDxfId="1339" totalsRowDxfId="1338">
      <totalsRowFormula>SUM(StateSenatorSenateDistrict39General[Part of Orange County 
Vote Results])</totalsRowFormula>
    </tableColumn>
    <tableColumn id="4" xr3:uid="{0F4733A0-4322-4301-9FE2-FAEDD163A73F}" name="Part of Putnam County _x000a_Vote Results" totalsRowFunction="custom" dataDxfId="1337" totalsRowDxfId="1336">
      <totalsRowFormula>SUM(StateSenatorSenateDistrict39General[Part of Putnam County 
Vote Results])</totalsRowFormula>
    </tableColumn>
    <tableColumn id="6" xr3:uid="{CADC39AC-24CD-4978-A524-2C6C3F797217}" name="Total Votes by Party" totalsRowFunction="custom" dataDxfId="1335" totalsRowDxfId="1334">
      <calculatedColumnFormula>SUM(StateSenatorSenateDistrict39General[[#This Row],[Part of Dutchess County 
Vote Results]:[Part of Putnam County 
Vote Results]])</calculatedColumnFormula>
      <totalsRowFormula>SUM(StateSenatorSenateDistrict39General[Total Votes by Party])</totalsRowFormula>
    </tableColumn>
    <tableColumn id="5" xr3:uid="{CF7360F4-2C2A-412E-BBC2-077D731B9D92}" name="Total Votes by Candidate" dataDxfId="1333" totalsRowDxfId="1332"/>
  </tableColumns>
  <tableStyleInfo name="TableStyleMedium2" showFirstColumn="0" showLastColumn="0" showRowStripes="0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1685C3A-D76C-4F5C-A05F-1B7BB2615780}" name="StateSenatorSenateDistrict42General" displayName="StateSenatorSenateDistrict42General" ref="A2:D8" totalsRowCount="1" headerRowDxfId="1331" dataDxfId="1329" totalsRowDxfId="1327" headerRowBorderDxfId="1330" tableBorderDxfId="1328" totalsRowBorderDxfId="1326">
  <autoFilter ref="A2:D7" xr:uid="{9CADA4D5-AD93-43D2-97C2-C1AEED7CF8DB}">
    <filterColumn colId="0" hiddenButton="1"/>
    <filterColumn colId="1" hiddenButton="1"/>
    <filterColumn colId="2" hiddenButton="1"/>
    <filterColumn colId="3" hiddenButton="1"/>
  </autoFilter>
  <tableColumns count="4">
    <tableColumn id="1" xr3:uid="{C24445EF-A2A1-4613-A812-58F2F2B0BCAE}" name="Candidate Name (Party)" totalsRowLabel="Total Votes by County" dataDxfId="1325" totalsRowDxfId="1324"/>
    <tableColumn id="3" xr3:uid="{5198E304-6C17-406C-A1DE-EE3878BD9692}" name="Part of Orange County Vote Results" totalsRowFunction="custom" dataDxfId="1323" totalsRowDxfId="1322">
      <totalsRowFormula>SUM(StateSenatorSenateDistrict42General[Part of Orange County Vote Results])</totalsRowFormula>
    </tableColumn>
    <tableColumn id="7" xr3:uid="{DEFA484E-79B6-43C1-BABD-EBE4F8B5E03D}" name="Total Votes by Party" totalsRowFunction="custom" dataDxfId="1321" totalsRowDxfId="1320">
      <calculatedColumnFormula>SUM(StateSenatorSenateDistrict42General[[#This Row],[Part of Orange County Vote Results]])</calculatedColumnFormula>
      <totalsRowFormula>SUM(StateSenatorSenateDistrict42General[Total Votes by Party])</totalsRowFormula>
    </tableColumn>
    <tableColumn id="5" xr3:uid="{78682A9A-C4C8-4133-BD2E-F0F5883F101D}" name="Total Votes by Candidate" dataDxfId="1319" totalsRowDxfId="1318"/>
  </tableColumns>
  <tableStyleInfo name="TableStyleMedium2" showFirstColumn="0" showLastColumn="0" showRowStripes="0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2F76BB6-3CDA-474A-9C9B-B503CDB44ACC}" name="StateSenatorSenateDistrict44General" displayName="StateSenatorSenateDistrict44General" ref="A2:E8" totalsRowCount="1" headerRowDxfId="1317" dataDxfId="1315" totalsRowDxfId="1313" headerRowBorderDxfId="1316" tableBorderDxfId="1314" totalsRowBorderDxfId="1312">
  <autoFilter ref="A2:E7" xr:uid="{143BF5E4-05B9-40FA-B925-7862A6C06E9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6A940DB-2F1F-4D30-B2DE-B5317F346961}" name="Candidate Name (Party)" totalsRowLabel="Total Votes by County" dataDxfId="1311" totalsRowDxfId="1310"/>
    <tableColumn id="2" xr3:uid="{7828C57B-B9BF-48DE-B6FE-82B2541A4183}" name="Saratoga County _x000a_Vote Results" totalsRowFunction="custom" dataDxfId="1309" totalsRowDxfId="1308">
      <totalsRowFormula>SUM(StateSenatorSenateDistrict44General[Saratoga County 
Vote Results])</totalsRowFormula>
    </tableColumn>
    <tableColumn id="4" xr3:uid="{6ABADA1E-B9FF-4400-A472-C4B4C3826182}" name="Part of Schenectady County _x000a_Vote Results" totalsRowFunction="custom" dataDxfId="1307" totalsRowDxfId="1306">
      <totalsRowFormula>SUM(StateSenatorSenateDistrict44General[Part of Schenectady County 
Vote Results])</totalsRowFormula>
    </tableColumn>
    <tableColumn id="3" xr3:uid="{86F36365-5A48-40F9-B77D-ACEF7CC78D6A}" name="Total Votes by Party" totalsRowFunction="custom" dataDxfId="1305" totalsRowDxfId="1304">
      <calculatedColumnFormula>SUM(StateSenatorSenateDistrict44General[[#This Row],[Saratoga County 
Vote Results]:[Part of Schenectady County 
Vote Results]])</calculatedColumnFormula>
      <totalsRowFormula>SUM(StateSenatorSenateDistrict44General[Total Votes by Party])</totalsRowFormula>
    </tableColumn>
    <tableColumn id="5" xr3:uid="{826F6E90-7FF0-4627-9CAC-3BA25A0EEF37}" name="Total Votes by Candidate" dataDxfId="1303" totalsRowDxfId="1302"/>
  </tableColumns>
  <tableStyleInfo name="TableStyleMedium2" showFirstColumn="0" showLastColumn="0" showRowStripes="0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2A21DD8-266D-417E-BBB9-35899B780BBF}" name="StateSenatorSenateDistrict51General" displayName="StateSenatorSenateDistrict51General" ref="A2:J8" totalsRowCount="1" headerRowDxfId="1301" dataDxfId="1299" totalsRowDxfId="1297" headerRowBorderDxfId="1300" tableBorderDxfId="1298" totalsRowBorderDxfId="1296">
  <autoFilter ref="A2:J7" xr:uid="{2231ECA1-A582-4522-8F58-66E619336A2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149690E-3BD1-4613-B0B9-E4270AE8DF9F}" name="Candidate Name (Party)" totalsRowLabel="Total Votes by County" dataDxfId="1295" totalsRowDxfId="1294"/>
    <tableColumn id="2" xr3:uid="{55039AE1-A27C-47C4-BD04-CFE167CF6CB0}" name="Part of Broome County _x000a_Vote Results" totalsRowFunction="custom" dataDxfId="1293" totalsRowDxfId="1292">
      <totalsRowFormula>SUM(StateSenatorSenateDistrict51General[Part of Broome County 
Vote Results])</totalsRowFormula>
    </tableColumn>
    <tableColumn id="6" xr3:uid="{937120AB-67C7-4EB2-9A59-6CEFA029B777}" name="Part of Chenango County _x000a_Vote Results" totalsRowFunction="custom" dataDxfId="1291" totalsRowDxfId="1290">
      <totalsRowFormula>SUM(StateSenatorSenateDistrict51General[Part of Chenango County 
Vote Results])</totalsRowFormula>
    </tableColumn>
    <tableColumn id="12" xr3:uid="{6A3AF319-2BE6-48B0-BB50-225808F53A93}" name="Delaware County _x000a_Vote Results" totalsRowFunction="custom" dataDxfId="1289" totalsRowDxfId="1288">
      <totalsRowFormula>SUM(StateSenatorSenateDistrict51General[Delaware County 
Vote Results])</totalsRowFormula>
    </tableColumn>
    <tableColumn id="11" xr3:uid="{CA5CECD9-45B6-4A43-A6A2-864F083B136A}" name="Otsego County _x000a_Vote Results" totalsRowFunction="custom" dataDxfId="1287" totalsRowDxfId="1286">
      <totalsRowFormula>SUM(StateSenatorSenateDistrict51General[Otsego County 
Vote Results])</totalsRowFormula>
    </tableColumn>
    <tableColumn id="10" xr3:uid="{D5F4761F-1B61-40B7-BBFB-430D14AC03DE}" name="Schoharie County _x000a_Vote Results" totalsRowFunction="custom" dataDxfId="1285" totalsRowDxfId="1284">
      <totalsRowFormula>SUM(StateSenatorSenateDistrict51General[Schoharie County 
Vote Results])</totalsRowFormula>
    </tableColumn>
    <tableColumn id="9" xr3:uid="{C3D2F4E9-EF88-4590-905C-99F36DA4A9AC}" name="Sullivan County _x000a_Vote Results" totalsRowFunction="custom" dataDxfId="1283" totalsRowDxfId="1282">
      <totalsRowFormula>SUM(StateSenatorSenateDistrict51General[Sullivan County 
Vote Results])</totalsRowFormula>
    </tableColumn>
    <tableColumn id="4" xr3:uid="{544048E8-00CE-4C54-9534-DFE138BF7319}" name="Part of Ulster County _x000a_Vote Results" totalsRowFunction="custom" dataDxfId="1281" totalsRowDxfId="1280">
      <totalsRowFormula>SUM(StateSenatorSenateDistrict51General[Part of Ulster County 
Vote Results])</totalsRowFormula>
    </tableColumn>
    <tableColumn id="8" xr3:uid="{184C1A70-286A-4B3F-AC6C-33E88414AA4A}" name="Total Votes by Party" totalsRowFunction="custom" dataDxfId="1279" totalsRowDxfId="1278">
      <calculatedColumnFormula>SUM(StateSenatorSenateDistrict51General[[#This Row],[Part of Broome County 
Vote Results]:[Part of Ulster County 
Vote Results]])</calculatedColumnFormula>
      <totalsRowFormula>SUM(StateSenatorSenateDistrict51General[Total Votes by Party])</totalsRowFormula>
    </tableColumn>
    <tableColumn id="5" xr3:uid="{D7B3E688-24A1-4B2C-9286-BAA6E06268B5}" name="Total Votes by Candidate" dataDxfId="1277" totalsRowDxfId="1276"/>
  </tableColumns>
  <tableStyleInfo name="TableStyleMedium2"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FE9A54A-19D2-46D4-B465-82F90FB94E93}" name="StateSenatorSenateDistrict54General" displayName="StateSenatorSenateDistrict54General" ref="A2:G8" totalsRowCount="1" headerRowDxfId="1275" dataDxfId="1273" totalsRowDxfId="1271" headerRowBorderDxfId="1274" tableBorderDxfId="1272" totalsRowBorderDxfId="1270">
  <autoFilter ref="A2:G7" xr:uid="{66B88628-165F-4A8E-98A1-75A20C4253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152E620-8CD7-4922-8EAF-02BD7FF9676C}" name="Candidate Name (Party)" totalsRowLabel="Total Votes by County" dataDxfId="1269" totalsRowDxfId="1268"/>
    <tableColumn id="2" xr3:uid="{77454440-85CB-4569-8AAC-717A51403D56}" name="Livingston County _x000a_Vote Results" totalsRowFunction="custom" dataDxfId="1267" totalsRowDxfId="1266">
      <totalsRowFormula>SUM(StateSenatorSenateDistrict54General[Livingston County 
Vote Results])</totalsRowFormula>
    </tableColumn>
    <tableColumn id="6" xr3:uid="{2A1BC1A4-F50B-4A17-940E-A2D16A4BB522}" name="Part of Monroe County _x000a_Vote Results" totalsRowFunction="custom" dataDxfId="1265" totalsRowDxfId="1264">
      <totalsRowFormula>SUM(StateSenatorSenateDistrict54General[Part of Monroe County 
Vote Results])</totalsRowFormula>
    </tableColumn>
    <tableColumn id="3" xr3:uid="{E112A530-0DE6-4593-BB37-5E8466FD3B10}" name="Ontario County _x000a_Vote Results" totalsRowFunction="custom" dataDxfId="1263" totalsRowDxfId="1262">
      <totalsRowFormula>SUM(StateSenatorSenateDistrict54General[Ontario County 
Vote Results])</totalsRowFormula>
    </tableColumn>
    <tableColumn id="4" xr3:uid="{0CAF8595-51B6-4872-B86A-FD34EB38E0AE}" name="Wayne County _x000a_Vote Results" totalsRowFunction="custom" dataDxfId="1261" totalsRowDxfId="1260">
      <totalsRowFormula>SUM(StateSenatorSenateDistrict54General[Wayne County 
Vote Results])</totalsRowFormula>
    </tableColumn>
    <tableColumn id="7" xr3:uid="{A1426D9C-739C-4498-814B-E3F6AC241498}" name="Total Votes by Party" totalsRowFunction="custom" dataDxfId="1259" totalsRowDxfId="1258">
      <calculatedColumnFormula>SUM(StateSenatorSenateDistrict54General[[#This Row],[Livingston County 
Vote Results]:[Wayne County 
Vote Results]])</calculatedColumnFormula>
      <totalsRowFormula>SUM(StateSenatorSenateDistrict54General[Total Votes by Party])</totalsRowFormula>
    </tableColumn>
    <tableColumn id="5" xr3:uid="{2F088F81-4A92-44C8-88D2-A6C0FCBEF96A}" name="Total Votes by Candidate" dataDxfId="1257" totalsRowDxfId="1256"/>
  </tableColumns>
  <tableStyleInfo name="TableStyleMedium2"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FFB1349-96A8-4CD6-8C87-C7A3203E20FB}" name="StateSenatorSenateDistrict61General" displayName="StateSenatorSenateDistrict61General" ref="A2:D8" totalsRowCount="1" headerRowDxfId="1255" dataDxfId="1253" totalsRowDxfId="1251" headerRowBorderDxfId="1254" tableBorderDxfId="1252" totalsRowBorderDxfId="1250">
  <autoFilter ref="A2:D7" xr:uid="{6B00269E-69EC-4DA7-9D15-C087191207D6}">
    <filterColumn colId="0" hiddenButton="1"/>
    <filterColumn colId="1" hiddenButton="1"/>
    <filterColumn colId="2" hiddenButton="1"/>
    <filterColumn colId="3" hiddenButton="1"/>
  </autoFilter>
  <tableColumns count="4">
    <tableColumn id="1" xr3:uid="{54496407-9EBC-4882-BD3F-E753B8A54F5C}" name="Candidate Name (Party)" totalsRowLabel="Total Votes by County" dataDxfId="1249" totalsRowDxfId="1248"/>
    <tableColumn id="3" xr3:uid="{8A275782-9A8B-4B7A-A3BD-5FBF1D95A512}" name="Part of Erie County _x000a_Vote Results" totalsRowFunction="custom" dataDxfId="1247" totalsRowDxfId="1246">
      <totalsRowFormula>SUM(StateSenatorSenateDistrict61General[Part of Erie County 
Vote Results])</totalsRowFormula>
    </tableColumn>
    <tableColumn id="6" xr3:uid="{48A09CF2-3DD3-4B49-89CE-7A460A5C6442}" name="Total Votes by Party" totalsRowFunction="custom" dataDxfId="1245" totalsRowDxfId="1244">
      <calculatedColumnFormula>SUM(StateSenatorSenateDistrict61General[[#This Row],[Part of Erie County 
Vote Results]])</calculatedColumnFormula>
      <totalsRowFormula>SUM(StateSenatorSenateDistrict61General[Total Votes by Party])</totalsRowFormula>
    </tableColumn>
    <tableColumn id="5" xr3:uid="{DFC71EB0-30D1-44CD-B5FC-A07F6BF6CB3B}" name="Total Votes by Candidate" dataDxfId="1243" totalsRowDxfId="1242"/>
  </tableColumns>
  <tableStyleInfo name="TableStyleMedium2" showFirstColumn="0" showLastColumn="0" showRowStripes="0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19B4194D-B4CC-43B8-8AC6-A4DDE19DBEE6}" name="MemberOfAssemblyAssemblyDistrict23General" displayName="MemberOfAssemblyAssemblyDistrict23General" ref="A2:D8" totalsRowCount="1" headerRowDxfId="1241" dataDxfId="1239" totalsRowDxfId="1237" headerRowBorderDxfId="1240" tableBorderDxfId="1238" totalsRowBorderDxfId="1236">
  <autoFilter ref="A2:D7" xr:uid="{679E52F4-40D4-4BED-AB89-6BDD478E0150}">
    <filterColumn colId="0" hiddenButton="1"/>
    <filterColumn colId="1" hiddenButton="1"/>
    <filterColumn colId="2" hiddenButton="1"/>
    <filterColumn colId="3" hiddenButton="1"/>
  </autoFilter>
  <tableColumns count="4">
    <tableColumn id="1" xr3:uid="{26809FA0-5A1C-4B5F-8737-DECAEED76A91}" name="Candidate Name (Party)" totalsRowLabel="Total Votes by County" dataDxfId="1235" totalsRowDxfId="1234"/>
    <tableColumn id="4" xr3:uid="{EF07F502-33E5-4F9B-8B20-2B51DC56D1FF}" name="Part of Queens County _x000a_Vote Results" totalsRowFunction="custom" dataDxfId="1233" totalsRowDxfId="1232">
      <totalsRowFormula>SUM(MemberOfAssemblyAssemblyDistrict23General[Part of Queens County 
Vote Results])</totalsRowFormula>
    </tableColumn>
    <tableColumn id="3" xr3:uid="{0F0EB8F9-E998-4E68-8314-403B63931BF6}" name="Total Votes by Party" totalsRowFunction="custom" dataDxfId="1231" totalsRowDxfId="1230">
      <calculatedColumnFormula>MemberOfAssemblyAssemblyDistrict23General[[#This Row],[Part of Queens County 
Vote Results]]</calculatedColumnFormula>
      <totalsRowFormula>SUM(MemberOfAssemblyAssemblyDistrict23General[Total Votes by Party])</totalsRowFormula>
    </tableColumn>
    <tableColumn id="2" xr3:uid="{DA34C5E3-F1E3-4916-80CB-1A55C65684AA}" name="Total Votes by Candidate" dataDxfId="1229" totalsRowDxfId="1228"/>
  </tableColumns>
  <tableStyleInfo name="TableStyleMedium2" showFirstColumn="0" showLastColumn="0" showRowStripes="0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D6ECA7B5-8607-46C0-A0F8-35822336967C}" name="MemberOfAssemblyAssemblyDistrict26General" displayName="MemberOfAssemblyAssemblyDistrict26General" ref="A2:D8" totalsRowCount="1" headerRowDxfId="1227" dataDxfId="1225" totalsRowDxfId="1223" headerRowBorderDxfId="1226" tableBorderDxfId="1224" totalsRowBorderDxfId="1222">
  <autoFilter ref="A2:D7" xr:uid="{8114F151-BBFC-49B5-85E4-D0EA6C816C75}">
    <filterColumn colId="0" hiddenButton="1"/>
    <filterColumn colId="1" hiddenButton="1"/>
    <filterColumn colId="2" hiddenButton="1"/>
    <filterColumn colId="3" hiddenButton="1"/>
  </autoFilter>
  <tableColumns count="4">
    <tableColumn id="1" xr3:uid="{342B3766-6AAA-4EDF-BC28-D619190A1AD1}" name="Candidate Name (Party)" totalsRowLabel="Total Votes by County" dataDxfId="1221" totalsRowDxfId="1220"/>
    <tableColumn id="4" xr3:uid="{77C76F42-ED18-4E9D-BE5D-37FB325D6A69}" name="Part of Queens County _x000a_Vote Results" totalsRowFunction="custom" dataDxfId="1219" totalsRowDxfId="1218">
      <totalsRowFormula>SUM(MemberOfAssemblyAssemblyDistrict26General[Part of Queens County 
Vote Results])</totalsRowFormula>
    </tableColumn>
    <tableColumn id="3" xr3:uid="{1E28DC15-D02D-43A1-A3FD-CDDFB2F74867}" name="Total Votes by Party" totalsRowFunction="custom" dataDxfId="1217" totalsRowDxfId="1216">
      <calculatedColumnFormula>MemberOfAssemblyAssemblyDistrict26General[[#This Row],[Part of Queens County 
Vote Results]]</calculatedColumnFormula>
      <totalsRowFormula>SUM(MemberOfAssemblyAssemblyDistrict26General[Total Votes by Party])</totalsRowFormula>
    </tableColumn>
    <tableColumn id="2" xr3:uid="{EA9ACC44-5DBC-4CAF-BAEF-91A17FE52942}" name="Total Votes by Candidate" dataDxfId="1215" totalsRowDxfId="1214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4E4824-C250-4B6B-B02F-7CF7971D3141}" name="RepInCongressCongressionalDistrict3General5" displayName="RepInCongressCongressionalDistrict3General5" ref="A2:F8" totalsRowCount="1" headerRowDxfId="1876" dataDxfId="1874" headerRowBorderDxfId="1875" tableBorderDxfId="1873" totalsRowBorderDxfId="1872">
  <autoFilter ref="A2:F7" xr:uid="{013F4201-9F43-4569-BC15-21711BC52D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C22FE07-7FC6-46ED-9BCC-5DB5B9D67E2F}" name="Candidate Name (Party)" totalsRowLabel="Total Votes by County" dataDxfId="1871" totalsRowDxfId="1870"/>
    <tableColumn id="2" xr3:uid="{324EC4B3-1B43-4F57-8941-754EF0E5C057}" name="Part of Nassau County _x000a_Vote Results" totalsRowFunction="custom" dataDxfId="1869" totalsRowDxfId="1868">
      <totalsRowFormula>SUM(RepInCongressCongressionalDistrict3General5[Part of Nassau County 
Vote Results])</totalsRowFormula>
    </tableColumn>
    <tableColumn id="4" xr3:uid="{4797B8B8-3378-4BC7-A756-F2C104BE7649}" name="Part of Queens County _x000a_Vote Results" totalsRowFunction="custom" dataDxfId="1867" totalsRowDxfId="1866">
      <totalsRowFormula>SUM(RepInCongressCongressionalDistrict3General5[Part of Queens County 
Vote Results])</totalsRowFormula>
    </tableColumn>
    <tableColumn id="3" xr3:uid="{4704A167-6A68-4AB5-9287-0171E3B4FD89}" name="Part of Suffolk County_x000a_Vote Results" totalsRowFunction="custom" dataDxfId="1865" totalsRowDxfId="1864">
      <totalsRowFormula>SUM(RepInCongressCongressionalDistrict3General5[Part of Suffolk County
Vote Results])</totalsRowFormula>
    </tableColumn>
    <tableColumn id="6" xr3:uid="{123480BD-865D-4654-970A-98F6720BFA72}" name="Total Votes by Party" totalsRowFunction="custom" dataDxfId="1863" totalsRowDxfId="1862">
      <calculatedColumnFormula>SUM(B3,D3)</calculatedColumnFormula>
      <totalsRowFormula>SUM(RepInCongressCongressionalDistrict3General5[Total Votes by Party])</totalsRowFormula>
    </tableColumn>
    <tableColumn id="5" xr3:uid="{D883C2B1-2453-4352-AD1E-71BA945A97C8}" name="Total Votes by Candidate" dataDxfId="1861" totalsRowDxfId="1860"/>
  </tableColumns>
  <tableStyleInfo name="TableStyleMedium2"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3EF5379D-F81D-4571-9292-955F3035C1A9}" name="MemberOfAssemblyAssemblyDistrict28General" displayName="MemberOfAssemblyAssemblyDistrict28General" ref="A2:D8" totalsRowCount="1" headerRowDxfId="1213" dataDxfId="1211" totalsRowDxfId="1209" headerRowBorderDxfId="1212" tableBorderDxfId="1210" totalsRowBorderDxfId="1208">
  <autoFilter ref="A2:D7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38051CB7-23C7-4575-B799-1BE486DE40D1}" name="Candidate Name (Party)" totalsRowLabel="Total Votes by County" dataDxfId="1207" totalsRowDxfId="1206"/>
    <tableColumn id="4" xr3:uid="{21525BF6-D2DE-4E89-9933-23BF593EB44F}" name="Part of Queens County _x000a_Vote Results" totalsRowFunction="custom" dataDxfId="1205" totalsRowDxfId="1204">
      <totalsRowFormula>SUM(MemberOfAssemblyAssemblyDistrict28General[Part of Queens County 
Vote Results])</totalsRowFormula>
    </tableColumn>
    <tableColumn id="3" xr3:uid="{071245EB-C306-4D75-AD05-40FDF1D3B01F}" name="Total Votes by Party" totalsRowFunction="custom" dataDxfId="1203" totalsRowDxfId="1202">
      <calculatedColumnFormula>MemberOfAssemblyAssemblyDistrict28General[[#This Row],[Part of Queens County 
Vote Results]]</calculatedColumnFormula>
      <totalsRowFormula>SUM(MemberOfAssemblyAssemblyDistrict28General[Total Votes by Party])</totalsRowFormula>
    </tableColumn>
    <tableColumn id="2" xr3:uid="{AA26034D-9D0A-450A-97A4-59C30EDA05C2}" name="Total Votes by Candidate" dataDxfId="1201" totalsRowDxfId="1200"/>
  </tableColumns>
  <tableStyleInfo name="TableStyleMedium2" showFirstColumn="0" showLastColumn="0" showRowStripes="0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F9C10B31-97D1-4D03-9817-00A3DF9FF0FA}" name="MemberOfAssemblyAssemblyDistrict30General" displayName="MemberOfAssemblyAssemblyDistrict30General" ref="A2:D9" totalsRowCount="1" headerRowDxfId="1199" dataDxfId="1197" totalsRowDxfId="1195" headerRowBorderDxfId="1198" tableBorderDxfId="1196" totalsRowBorderDxfId="1194">
  <autoFilter ref="A2:D8" xr:uid="{B5059E8C-6AED-43A3-88F6-785E94166D39}">
    <filterColumn colId="0" hiddenButton="1"/>
    <filterColumn colId="1" hiddenButton="1"/>
    <filterColumn colId="2" hiddenButton="1"/>
    <filterColumn colId="3" hiddenButton="1"/>
  </autoFilter>
  <tableColumns count="4">
    <tableColumn id="1" xr3:uid="{3CAE4194-A784-4D6E-81AD-578659309170}" name="Candidate Name (Party)" totalsRowLabel="Total Votes by County" dataDxfId="1193" totalsRowDxfId="1192"/>
    <tableColumn id="4" xr3:uid="{5E2E34F4-A842-4C6A-B814-428C201EC368}" name="Part of Queens County _x000a_Vote Results" totalsRowFunction="custom" dataDxfId="1191" totalsRowDxfId="1190">
      <totalsRowFormula>SUM(MemberOfAssemblyAssemblyDistrict30General[Part of Queens County 
Vote Results])</totalsRowFormula>
    </tableColumn>
    <tableColumn id="3" xr3:uid="{5F323D34-60D8-4E0D-A423-616E456F920F}" name="Total Votes by Party" totalsRowFunction="custom" dataDxfId="1189" totalsRowDxfId="1188">
      <calculatedColumnFormula>MemberOfAssemblyAssemblyDistrict30General[[#This Row],[Part of Queens County 
Vote Results]]</calculatedColumnFormula>
      <totalsRowFormula>SUM(MemberOfAssemblyAssemblyDistrict30General[Total Votes by Party])</totalsRowFormula>
    </tableColumn>
    <tableColumn id="2" xr3:uid="{B5B2AF44-C31F-4517-BAC0-60946354FC9D}" name="Total Votes by Candidate" dataDxfId="1187" totalsRowDxfId="1186">
      <calculatedColumnFormula>SUM(MemberOfAssemblyAssemblyDistrict30General[[#This Row],[Total Votes by Party]])</calculatedColumnFormula>
    </tableColumn>
  </tableColumns>
  <tableStyleInfo name="TableStyleMedium2" showFirstColumn="0" showLastColumn="0" showRowStripes="0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6FEEA6D7-F1BF-4D8C-9A45-25F47AF67332}" name="MemberOfAssemblyAssemblyDistrict32General" displayName="MemberOfAssemblyAssemblyDistrict32General" ref="A2:D11" totalsRowCount="1" headerRowDxfId="1185" dataDxfId="1183" totalsRowDxfId="1181" headerRowBorderDxfId="1184" tableBorderDxfId="1182" totalsRowBorderDxfId="1180">
  <autoFilter ref="A2:D10" xr:uid="{4DAC385A-82AE-4B93-BECC-64FD7EEA86D9}">
    <filterColumn colId="0" hiddenButton="1"/>
    <filterColumn colId="1" hiddenButton="1"/>
    <filterColumn colId="2" hiddenButton="1"/>
    <filterColumn colId="3" hiddenButton="1"/>
  </autoFilter>
  <tableColumns count="4">
    <tableColumn id="1" xr3:uid="{FACE6A89-168F-4190-824C-DEF392D7E938}" name="Candidate Name (Party)" totalsRowLabel="Total Votes by County" dataDxfId="1179" totalsRowDxfId="1178"/>
    <tableColumn id="4" xr3:uid="{2C0D9D03-F30D-4816-AA85-0EF8696B9872}" name="Part of Queens County _x000a_Vote Results" totalsRowFunction="custom" dataDxfId="1177" totalsRowDxfId="1176">
      <totalsRowFormula>SUM(MemberOfAssemblyAssemblyDistrict32General[Part of Queens County 
Vote Results])</totalsRowFormula>
    </tableColumn>
    <tableColumn id="3" xr3:uid="{6D5D3AC2-35A1-4FB9-94F3-6A5B6840E068}" name="Total Votes by Party" totalsRowFunction="custom" dataDxfId="1175" totalsRowDxfId="1174">
      <calculatedColumnFormula>MemberOfAssemblyAssemblyDistrict32General[[#This Row],[Part of Queens County 
Vote Results]]</calculatedColumnFormula>
      <totalsRowFormula>SUM(MemberOfAssemblyAssemblyDistrict32General[Total Votes by Party])</totalsRowFormula>
    </tableColumn>
    <tableColumn id="2" xr3:uid="{3D7108D8-594B-4887-9B6A-4BDC5F21D4A6}" name="Total Votes by Candidate" dataDxfId="1173" totalsRowDxfId="1172">
      <calculatedColumnFormula>SUM(MemberOfAssemblyAssemblyDistrict32General[[#This Row],[Total Votes by Party]])</calculatedColumnFormula>
    </tableColumn>
  </tableColumns>
  <tableStyleInfo name="TableStyleMedium2" showFirstColumn="0" showLastColumn="0" showRowStripes="0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9D7E5A03-9187-4FC1-B8B9-0B2EAB0847B8}" name="MemberOfAssemblyAssemblyDistrict33General" displayName="MemberOfAssemblyAssemblyDistrict33General" ref="A2:D8" totalsRowCount="1" headerRowDxfId="1171" dataDxfId="1169" totalsRowDxfId="1167" headerRowBorderDxfId="1170" tableBorderDxfId="1168" totalsRowBorderDxfId="1166">
  <autoFilter ref="A2:D7" xr:uid="{B4ECF71C-0BF6-4688-8134-CA1EDCBF44BC}">
    <filterColumn colId="0" hiddenButton="1"/>
    <filterColumn colId="1" hiddenButton="1"/>
    <filterColumn colId="2" hiddenButton="1"/>
    <filterColumn colId="3" hiddenButton="1"/>
  </autoFilter>
  <tableColumns count="4">
    <tableColumn id="1" xr3:uid="{93FE68F4-F123-473D-992B-C28A34609365}" name="Candidate Name (Party)" totalsRowLabel="Total Votes by County" dataDxfId="1165" totalsRowDxfId="1164"/>
    <tableColumn id="4" xr3:uid="{553AEB5D-DAAC-4E62-ADF0-98E111E9BCBF}" name="Part of Queens County _x000a_Vote Results" totalsRowFunction="custom" dataDxfId="1163" totalsRowDxfId="1162">
      <totalsRowFormula>SUM(MemberOfAssemblyAssemblyDistrict33General[Part of Queens County 
Vote Results])</totalsRowFormula>
    </tableColumn>
    <tableColumn id="3" xr3:uid="{707AB438-BF35-428A-8FF2-0869BA9C80A5}" name="Total Votes by Party" totalsRowFunction="custom" dataDxfId="1161" totalsRowDxfId="1160">
      <calculatedColumnFormula>MemberOfAssemblyAssemblyDistrict33General[[#This Row],[Part of Queens County 
Vote Results]]</calculatedColumnFormula>
      <totalsRowFormula>SUM(MemberOfAssemblyAssemblyDistrict33General[Total Votes by Party])</totalsRowFormula>
    </tableColumn>
    <tableColumn id="2" xr3:uid="{73041930-8D7C-4404-8458-302A54A17F49}" name="Total Votes by Candidate" dataDxfId="1159" totalsRowDxfId="1158">
      <calculatedColumnFormula>SUM(MemberOfAssemblyAssemblyDistrict33General[[#This Row],[Total Votes by Party]])</calculatedColumnFormula>
    </tableColumn>
  </tableColumns>
  <tableStyleInfo name="TableStyleMedium2" showFirstColumn="0" showLastColumn="0" showRowStripes="0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E3646B12-E66B-4EE2-8CB1-6C5D7924909B}" name="MemberOfAssemblyAssemblyDistrict34General" displayName="MemberOfAssemblyAssemblyDistrict34General" ref="A2:D8" totalsRowCount="1" headerRowDxfId="1157" dataDxfId="1155" totalsRowDxfId="1153" headerRowBorderDxfId="1156" tableBorderDxfId="1154" totalsRowBorderDxfId="1152">
  <autoFilter ref="A2:D7" xr:uid="{17A2092C-D04F-49FE-A19A-7D1A5B52CBAE}">
    <filterColumn colId="0" hiddenButton="1"/>
    <filterColumn colId="1" hiddenButton="1"/>
    <filterColumn colId="2" hiddenButton="1"/>
    <filterColumn colId="3" hiddenButton="1"/>
  </autoFilter>
  <tableColumns count="4">
    <tableColumn id="1" xr3:uid="{0A59BF34-4694-4C19-86DD-64CEC6069848}" name="Candidate Name (Party)" totalsRowLabel="Total Votes by County" dataDxfId="1151" totalsRowDxfId="1150"/>
    <tableColumn id="4" xr3:uid="{04FB8D0E-EC63-46FF-AD83-B777D16C6810}" name="Part of Queens County _x000a_Vote Results" totalsRowFunction="custom" dataDxfId="1149" totalsRowDxfId="1148">
      <totalsRowFormula>SUM(MemberOfAssemblyAssemblyDistrict34General[Part of Queens County 
Vote Results])</totalsRowFormula>
    </tableColumn>
    <tableColumn id="3" xr3:uid="{F91CF50B-1DBD-44CE-B687-55870566BA5F}" name="Total Votes by Party" totalsRowFunction="custom" dataDxfId="1147" totalsRowDxfId="1146">
      <calculatedColumnFormula>MemberOfAssemblyAssemblyDistrict34General[[#This Row],[Part of Queens County 
Vote Results]]</calculatedColumnFormula>
      <totalsRowFormula>SUM(MemberOfAssemblyAssemblyDistrict34General[Total Votes by Party])</totalsRowFormula>
    </tableColumn>
    <tableColumn id="2" xr3:uid="{097E8FCE-A9F5-4E97-AFD6-E8C2000AB6F6}" name="Total Votes by Candidate" dataDxfId="1145" totalsRowDxfId="1144">
      <calculatedColumnFormula>SUM(MemberOfAssemblyAssemblyDistrict34General[[#This Row],[Total Votes by Party]],#REF!)</calculatedColumnFormula>
    </tableColumn>
  </tableColumns>
  <tableStyleInfo name="TableStyleMedium2" showFirstColumn="0" showLastColumn="0" showRowStripes="0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F449DB30-F0AE-4250-A073-A1BB5E52AD30}" name="MemberOfAssemblyAssemblyDistrict36General" displayName="MemberOfAssemblyAssemblyDistrict36General" ref="A2:D9" totalsRowCount="1" headerRowDxfId="1143" dataDxfId="1141" totalsRowDxfId="1139" headerRowBorderDxfId="1142" tableBorderDxfId="1140" totalsRowBorderDxfId="1138">
  <autoFilter ref="A2:D8" xr:uid="{31DCC498-482B-4F33-BE43-0400294C2D8A}">
    <filterColumn colId="0" hiddenButton="1"/>
    <filterColumn colId="1" hiddenButton="1"/>
    <filterColumn colId="2" hiddenButton="1"/>
    <filterColumn colId="3" hiddenButton="1"/>
  </autoFilter>
  <tableColumns count="4">
    <tableColumn id="1" xr3:uid="{2ECFB4B6-4DFE-44B7-A769-46C4D3BA9191}" name="Candidate Name (Party)" totalsRowLabel="Total Votes by County" dataDxfId="1137" totalsRowDxfId="1136"/>
    <tableColumn id="4" xr3:uid="{1AA55AF5-C1B2-4B9B-92D6-93867C8D218C}" name="Part of Queens County _x000a_Vote Results" totalsRowFunction="custom" dataDxfId="1135" totalsRowDxfId="1134">
      <totalsRowFormula>SUM(MemberOfAssemblyAssemblyDistrict36General[Part of Queens County 
Vote Results])</totalsRowFormula>
    </tableColumn>
    <tableColumn id="3" xr3:uid="{898DD712-B0F1-418E-B81B-D12F2A9FAB51}" name="Total Votes by Party" totalsRowFunction="custom" dataDxfId="1133" totalsRowDxfId="1132">
      <calculatedColumnFormula>MemberOfAssemblyAssemblyDistrict36General[[#This Row],[Part of Queens County 
Vote Results]]</calculatedColumnFormula>
      <totalsRowFormula>SUM(MemberOfAssemblyAssemblyDistrict36General[Total Votes by Party])</totalsRowFormula>
    </tableColumn>
    <tableColumn id="2" xr3:uid="{3B9C4ECB-0085-4960-8D66-E8D1134AD6D4}" name="Total Votes by Candidate" dataDxfId="1131" totalsRowDxfId="1130">
      <calculatedColumnFormula>SUM(MemberOfAssemblyAssemblyDistrict36General[[#This Row],[Total Votes by Party]])</calculatedColumnFormula>
    </tableColumn>
  </tableColumns>
  <tableStyleInfo name="TableStyleMedium2" showFirstColumn="0" showLastColumn="0" showRowStripes="0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E450A270-DFC8-4797-992A-7C0C1BE51017}" name="MemberOfAssemblyAssemblyDistrict37General" displayName="MemberOfAssemblyAssemblyDistrict37General" ref="A2:E9" totalsRowCount="1" headerRowDxfId="1129" dataDxfId="1127" totalsRowDxfId="1125" headerRowBorderDxfId="1128" tableBorderDxfId="1126" totalsRowBorderDxfId="1124">
  <autoFilter ref="A2:E8" xr:uid="{6234759C-B62B-4523-B671-315DE9E9399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71D62AE-944A-4C28-8A30-850B71ED98A7}" name="Candidate Name (Party)" totalsRowLabel="Total Votes by County" dataDxfId="1123" totalsRowDxfId="1122"/>
    <tableColumn id="4" xr3:uid="{F309E6AA-3AC3-4DB2-BD9B-3A59A497E1EA}" name="Part of New York County _x000a_Vote Results" totalsRowFunction="custom" dataDxfId="1121" totalsRowDxfId="1120">
      <totalsRowFormula>SUM(MemberOfAssemblyAssemblyDistrict37General[Part of New York County 
Vote Results])</totalsRowFormula>
    </tableColumn>
    <tableColumn id="5" xr3:uid="{7912F108-C7DC-4A25-A76E-88642196E382}" name="Part of Queens County _x000a_Vote Results" totalsRowFunction="custom" dataDxfId="1119" totalsRowDxfId="1118">
      <totalsRowFormula>SUM(MemberOfAssemblyAssemblyDistrict37General[Part of Queens County 
Vote Results])</totalsRowFormula>
    </tableColumn>
    <tableColumn id="3" xr3:uid="{460BF3FA-4BA8-41D8-A7B5-978DEA7DC301}" name="Total Votes by Party" totalsRowFunction="custom" dataDxfId="1117" totalsRowDxfId="1116">
      <calculatedColumnFormula>MemberOfAssemblyAssemblyDistrict37General[[#This Row],[Part of New York County 
Vote Results]]</calculatedColumnFormula>
      <totalsRowFormula>SUM(MemberOfAssemblyAssemblyDistrict37General[Total Votes by Party])</totalsRowFormula>
    </tableColumn>
    <tableColumn id="2" xr3:uid="{7BB4377F-6190-4F3D-A7E1-7C69C3E4666F}" name="Total Votes by Candidate" dataDxfId="1115" totalsRowDxfId="1114">
      <calculatedColumnFormula>SUM(MemberOfAssemblyAssemblyDistrict37General[[#This Row],[Total Votes by Party]])</calculatedColumnFormula>
    </tableColumn>
  </tableColumns>
  <tableStyleInfo name="TableStyleMedium2" showFirstColumn="0" showLastColumn="0" showRowStripes="0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37B67AF8-1697-4EEC-930C-8E6A380ED203}" name="MemberOfAssemblyAssemblyDistrict38General" displayName="MemberOfAssemblyAssemblyDistrict38General" ref="A2:D8" totalsRowCount="1" headerRowDxfId="1113" dataDxfId="1111" totalsRowDxfId="1109" headerRowBorderDxfId="1112" tableBorderDxfId="1110" totalsRowBorderDxfId="1108">
  <autoFilter ref="A2:D7" xr:uid="{9B4D3939-FAFD-41E4-BE4A-89D8C63A9B13}">
    <filterColumn colId="0" hiddenButton="1"/>
    <filterColumn colId="1" hiddenButton="1"/>
    <filterColumn colId="2" hiddenButton="1"/>
    <filterColumn colId="3" hiddenButton="1"/>
  </autoFilter>
  <tableColumns count="4">
    <tableColumn id="1" xr3:uid="{091AF37D-0A68-4C1C-863A-EF12F88A5CE6}" name="Candidate Name (Party)" totalsRowLabel="Total Votes by County" dataDxfId="1107" totalsRowDxfId="1106"/>
    <tableColumn id="4" xr3:uid="{B7C1AA80-6280-439A-A39E-1892B0B65946}" name="Part of Queens County _x000a_Vote Results" totalsRowFunction="custom" dataDxfId="1105" totalsRowDxfId="1104">
      <totalsRowFormula>SUM(MemberOfAssemblyAssemblyDistrict38General[Part of Queens County 
Vote Results])</totalsRowFormula>
    </tableColumn>
    <tableColumn id="3" xr3:uid="{AA1BC0F6-0508-4745-9A7D-0731A2BA3568}" name="Total Votes by Party" totalsRowFunction="custom" dataDxfId="1103" totalsRowDxfId="1102">
      <calculatedColumnFormula>MemberOfAssemblyAssemblyDistrict38General[[#This Row],[Part of Queens County 
Vote Results]]</calculatedColumnFormula>
      <totalsRowFormula>SUM(MemberOfAssemblyAssemblyDistrict38General[Total Votes by Party])</totalsRowFormula>
    </tableColumn>
    <tableColumn id="2" xr3:uid="{407882A2-F68D-4BC4-B599-724D89619814}" name="Total Votes by Candidate" dataDxfId="1101" totalsRowDxfId="1100"/>
  </tableColumns>
  <tableStyleInfo name="TableStyleMedium2" showFirstColumn="0" showLastColumn="0" showRowStripes="0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169B8E7E-675A-407E-BD20-151FE1373217}" name="MemberOfAssemblyAssemblyDistrict39General" displayName="MemberOfAssemblyAssemblyDistrict39General" ref="A2:D8" totalsRowCount="1" headerRowDxfId="1099" dataDxfId="1097" totalsRowDxfId="1095" headerRowBorderDxfId="1098" tableBorderDxfId="1096" totalsRowBorderDxfId="1094">
  <autoFilter ref="A2:D7" xr:uid="{BEC8AD1F-1472-4FA5-863E-8D544C0F76D7}">
    <filterColumn colId="0" hiddenButton="1"/>
    <filterColumn colId="1" hiddenButton="1"/>
    <filterColumn colId="2" hiddenButton="1"/>
    <filterColumn colId="3" hiddenButton="1"/>
  </autoFilter>
  <tableColumns count="4">
    <tableColumn id="1" xr3:uid="{973C3DE7-F4D7-4AE2-A753-3CF40C5D34C9}" name="Candidate Name (Party)" totalsRowLabel="Total Votes by County" dataDxfId="1093" totalsRowDxfId="1092"/>
    <tableColumn id="4" xr3:uid="{8259F979-3BD6-4868-BBE9-79AAA710BF11}" name="Part of Queens County _x000a_Vote Results" totalsRowFunction="custom" dataDxfId="1091" totalsRowDxfId="1090">
      <totalsRowFormula>SUM(MemberOfAssemblyAssemblyDistrict39General[Part of Queens County 
Vote Results])</totalsRowFormula>
    </tableColumn>
    <tableColumn id="3" xr3:uid="{E382E5C5-5F23-479D-AC13-A17F5037C449}" name="Total Votes by Party" totalsRowFunction="custom" dataDxfId="1089" totalsRowDxfId="1088">
      <calculatedColumnFormula>MemberOfAssemblyAssemblyDistrict39General[[#This Row],[Part of Queens County 
Vote Results]]</calculatedColumnFormula>
      <totalsRowFormula>SUM(MemberOfAssemblyAssemblyDistrict39General[Total Votes by Party])</totalsRowFormula>
    </tableColumn>
    <tableColumn id="2" xr3:uid="{9F7D663F-166E-4E9E-8F84-715B44249EEF}" name="Total Votes by Candidate" dataDxfId="1087" totalsRowDxfId="1086">
      <calculatedColumnFormula>SUM(MemberOfAssemblyAssemblyDistrict39General[[#This Row],[Total Votes by Party]])</calculatedColumnFormula>
    </tableColumn>
  </tableColumns>
  <tableStyleInfo name="TableStyleMedium2" showFirstColumn="0" showLastColumn="0" showRowStripes="0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4502F362-4759-4743-8DEC-F16CB2912A7C}" name="MemberOfAssemblyAssemblyDistrict43General" displayName="MemberOfAssemblyAssemblyDistrict43General" ref="A2:D8" totalsRowCount="1" headerRowDxfId="1085" dataDxfId="1083" totalsRowDxfId="1081" headerRowBorderDxfId="1084" tableBorderDxfId="1082" totalsRowBorderDxfId="1080">
  <autoFilter ref="A2:D7" xr:uid="{9AE16682-B515-45EE-912B-69FCDE72BB7E}">
    <filterColumn colId="0" hiddenButton="1"/>
    <filterColumn colId="1" hiddenButton="1"/>
    <filterColumn colId="2" hiddenButton="1"/>
    <filterColumn colId="3" hiddenButton="1"/>
  </autoFilter>
  <tableColumns count="4">
    <tableColumn id="1" xr3:uid="{5B766B99-5DC5-4C27-9EC4-CBF29AB176DF}" name="Candidate Name (Party)" totalsRowLabel="Total Votes by County" dataDxfId="1079" totalsRowDxfId="1078"/>
    <tableColumn id="4" xr3:uid="{20E21326-1A03-40A9-A6DB-AEA0580DA1C3}" name="Part of Kings County _x000a_Vote Results" totalsRowFunction="custom" dataDxfId="1077" totalsRowDxfId="1076">
      <totalsRowFormula>SUM(MemberOfAssemblyAssemblyDistrict43General[Part of Kings County 
Vote Results])</totalsRowFormula>
    </tableColumn>
    <tableColumn id="3" xr3:uid="{A6303410-5DB3-4A22-B562-69927317D757}" name="Total Votes by Party" totalsRowFunction="custom" dataDxfId="1075" totalsRowDxfId="1074">
      <calculatedColumnFormula>MemberOfAssemblyAssemblyDistrict43General[[#This Row],[Part of Kings County 
Vote Results]]</calculatedColumnFormula>
      <totalsRowFormula>SUM(MemberOfAssemblyAssemblyDistrict43General[Total Votes by Party])</totalsRowFormula>
    </tableColumn>
    <tableColumn id="2" xr3:uid="{1761F3FF-3597-491B-81C4-1B44CA9D8F5B}" name="Total Votes by Candidate" dataDxfId="1073" totalsRowDxfId="1072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12A1FB7-BD2E-45A8-B7D8-CC88331DAC24}" name="RepInCongressCongressionalDistrict4General" displayName="RepInCongressCongressionalDistrict4General" ref="A2:D8" totalsRowCount="1" headerRowDxfId="1859" dataDxfId="1857" totalsRowDxfId="1855" headerRowBorderDxfId="1858" tableBorderDxfId="1856" totalsRowBorderDxfId="1854">
  <autoFilter ref="A2:D7" xr:uid="{921EDB68-DC53-40F7-A5D9-925E119F012C}">
    <filterColumn colId="0" hiddenButton="1"/>
    <filterColumn colId="1" hiddenButton="1"/>
    <filterColumn colId="2" hiddenButton="1"/>
    <filterColumn colId="3" hiddenButton="1"/>
  </autoFilter>
  <tableColumns count="4">
    <tableColumn id="1" xr3:uid="{973C1251-98B6-4425-B84D-36C2950E3B7A}" name="Candidate Name (Party)" totalsRowLabel="Total Votes by County" dataDxfId="1853" totalsRowDxfId="1852"/>
    <tableColumn id="4" xr3:uid="{4CE48284-CCF1-4A82-A3EA-0CF3FB97D720}" name="Part of Nassau County _x000a_Vote Results" totalsRowFunction="custom" dataDxfId="1851" totalsRowDxfId="1850">
      <totalsRowFormula>SUM(RepInCongressCongressionalDistrict4General[Part of Nassau County 
Vote Results])</totalsRowFormula>
    </tableColumn>
    <tableColumn id="3" xr3:uid="{AADE635D-E762-4808-AA36-44BF231B43F5}" name="Total Votes by Party" totalsRowFunction="custom" dataDxfId="1849" totalsRowDxfId="1848">
      <calculatedColumnFormula>RepInCongressCongressionalDistrict4General[[#This Row],[Part of Nassau County 
Vote Results]]</calculatedColumnFormula>
      <totalsRowFormula>SUM(RepInCongressCongressionalDistrict4General[Total Votes by Party])</totalsRowFormula>
    </tableColumn>
    <tableColumn id="2" xr3:uid="{B4D91458-D862-4A12-803B-6232B32B286D}" name="Total Votes by Candidate" dataDxfId="1847" totalsRowDxfId="1846">
      <calculatedColumnFormula>SUM(RepInCongressCongressionalDistrict4General[[#This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3A2DCB3B-515F-43A0-A9AE-C9C8DB08AF96}" name="MemberOfAssemblyAssemblyDistrict46General" displayName="MemberOfAssemblyAssemblyDistrict46General" ref="A2:D8" totalsRowCount="1" headerRowDxfId="1071" dataDxfId="1069" totalsRowDxfId="1067" headerRowBorderDxfId="1070" tableBorderDxfId="1068" totalsRowBorderDxfId="1066">
  <autoFilter ref="A2:D7" xr:uid="{19AF2228-AB79-4BFC-9FF2-B9E556269E0B}">
    <filterColumn colId="0" hiddenButton="1"/>
    <filterColumn colId="1" hiddenButton="1"/>
    <filterColumn colId="2" hiddenButton="1"/>
    <filterColumn colId="3" hiddenButton="1"/>
  </autoFilter>
  <tableColumns count="4">
    <tableColumn id="1" xr3:uid="{6DC17A60-96FD-4540-B596-52A53E68BFC7}" name="Candidate Name (Party)" totalsRowLabel="Total Votes by County" dataDxfId="1065" totalsRowDxfId="1064"/>
    <tableColumn id="4" xr3:uid="{3DCB1F04-8785-4B39-AF07-583CF2287A30}" name="Part of Kings County _x000a_Vote Results" totalsRowFunction="custom" dataDxfId="1063" totalsRowDxfId="1062">
      <totalsRowFormula>SUM(MemberOfAssemblyAssemblyDistrict46General[Part of Kings County 
Vote Results])</totalsRowFormula>
    </tableColumn>
    <tableColumn id="3" xr3:uid="{9C8930A8-EC95-41B9-8C2D-CA82C746E3AC}" name="Total Votes by Party" totalsRowFunction="custom" dataDxfId="1061" totalsRowDxfId="1060">
      <calculatedColumnFormula>MemberOfAssemblyAssemblyDistrict46General[[#This Row],[Part of Kings County 
Vote Results]]</calculatedColumnFormula>
      <totalsRowFormula>SUM(MemberOfAssemblyAssemblyDistrict46General[Total Votes by Party])</totalsRowFormula>
    </tableColumn>
    <tableColumn id="2" xr3:uid="{AD233BDB-29DB-4AB5-ABB5-0983B009CD86}" name="Total Votes by Candidate" dataDxfId="1059" totalsRowDxfId="1058"/>
  </tableColumns>
  <tableStyleInfo name="TableStyleMedium2" showFirstColumn="0" showLastColumn="0" showRowStripes="0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B6D27150-4F0D-46AB-B0D3-285BCC54A889}" name="MemberOfAssemblyAssemblyDistrict50General" displayName="MemberOfAssemblyAssemblyDistrict50General" ref="A2:D8" totalsRowCount="1" headerRowDxfId="1057" dataDxfId="1055" totalsRowDxfId="1053" headerRowBorderDxfId="1056" tableBorderDxfId="1054" totalsRowBorderDxfId="1052">
  <autoFilter ref="A2:D7" xr:uid="{EB6FA8A7-AE60-48F2-AE64-A3CE1B8F5364}">
    <filterColumn colId="0" hiddenButton="1"/>
    <filterColumn colId="1" hiddenButton="1"/>
    <filterColumn colId="2" hiddenButton="1"/>
    <filterColumn colId="3" hiddenButton="1"/>
  </autoFilter>
  <tableColumns count="4">
    <tableColumn id="1" xr3:uid="{A5A6858A-1E79-428C-9329-FD0D24EF187C}" name="Candidate Name (Party)" totalsRowLabel="Total Votes by County" dataDxfId="1051" totalsRowDxfId="1050"/>
    <tableColumn id="4" xr3:uid="{56195554-B8EA-411D-8697-0471D524445E}" name="Part of Kings County _x000a_Vote Results" totalsRowFunction="custom" dataDxfId="1049" totalsRowDxfId="1048">
      <totalsRowFormula>SUM(MemberOfAssemblyAssemblyDistrict50General[Part of Kings County 
Vote Results])</totalsRowFormula>
    </tableColumn>
    <tableColumn id="3" xr3:uid="{93368E96-BE46-469D-A0DF-639DDB50661A}" name="Total Votes by Party" totalsRowFunction="custom" dataDxfId="1047" totalsRowDxfId="1046">
      <calculatedColumnFormula>MemberOfAssemblyAssemblyDistrict50General[[#This Row],[Part of Kings County 
Vote Results]]</calculatedColumnFormula>
      <totalsRowFormula>SUM(MemberOfAssemblyAssemblyDistrict50General[Total Votes by Party])</totalsRowFormula>
    </tableColumn>
    <tableColumn id="2" xr3:uid="{70D61F86-F641-4059-9E7D-BB9BD9181CB6}" name="Total Votes by Candidate" dataDxfId="1045" totalsRowDxfId="1044">
      <calculatedColumnFormula>SUM(MemberOfAssemblyAssemblyDistrict50General[[#This Row],[Total Votes by Party]])</calculatedColumnFormula>
    </tableColumn>
  </tableColumns>
  <tableStyleInfo name="TableStyleMedium2" showFirstColumn="0" showLastColumn="0" showRowStripes="0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BA851223-F4C5-4178-AC8D-22114A4DE22D}" name="MemberOfAssemblyAssemblyDistrict52General" displayName="MemberOfAssemblyAssemblyDistrict52General" ref="A2:D8" totalsRowCount="1" headerRowDxfId="1043" dataDxfId="1041" totalsRowDxfId="1039" headerRowBorderDxfId="1042" tableBorderDxfId="1040" totalsRowBorderDxfId="1038">
  <autoFilter ref="A2:D7" xr:uid="{43466E36-55A7-49C8-A7BF-50584D28DAF0}">
    <filterColumn colId="0" hiddenButton="1"/>
    <filterColumn colId="1" hiddenButton="1"/>
    <filterColumn colId="2" hiddenButton="1"/>
    <filterColumn colId="3" hiddenButton="1"/>
  </autoFilter>
  <tableColumns count="4">
    <tableColumn id="1" xr3:uid="{5A2516A9-740E-4DD6-A590-5787AFA96AE7}" name="Candidate Name (Party)" totalsRowLabel="Total Votes by County" dataDxfId="1037" totalsRowDxfId="1036"/>
    <tableColumn id="4" xr3:uid="{6134EDA2-256B-4303-86C1-CF34AF23FCAA}" name="Part of Kings County _x000a_Vote Results" totalsRowFunction="custom" dataDxfId="1035" totalsRowDxfId="1034">
      <totalsRowFormula>SUM(MemberOfAssemblyAssemblyDistrict52General[Part of Kings County 
Vote Results])</totalsRowFormula>
    </tableColumn>
    <tableColumn id="3" xr3:uid="{14D3E4E4-78DB-48FB-9FE7-3D209CDABBBF}" name="Total Votes by Party" totalsRowFunction="custom" dataDxfId="1033" totalsRowDxfId="1032">
      <calculatedColumnFormula>MemberOfAssemblyAssemblyDistrict52General[[#This Row],[Part of Kings County 
Vote Results]]</calculatedColumnFormula>
      <totalsRowFormula>SUM(MemberOfAssemblyAssemblyDistrict52General[Total Votes by Party])</totalsRowFormula>
    </tableColumn>
    <tableColumn id="2" xr3:uid="{34C0AED8-737D-4CE1-9798-170E8FFD4C49}" name="Total Votes by Candidate" dataDxfId="1031" totalsRowDxfId="1030">
      <calculatedColumnFormula>SUM(MemberOfAssemblyAssemblyDistrict52General[[#This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9C986629-29DC-4AE3-A7E0-BB5FFDEB8AFD}" name="MemberOfAssemblyAssemblyDistrict54General" displayName="MemberOfAssemblyAssemblyDistrict54General" ref="A2:D8" totalsRowCount="1" headerRowDxfId="1029" dataDxfId="1027" totalsRowDxfId="1025" headerRowBorderDxfId="1028" tableBorderDxfId="1026" totalsRowBorderDxfId="1024">
  <autoFilter ref="A2:D7" xr:uid="{1CF8D885-C45F-4D89-A766-3A66B39900A8}">
    <filterColumn colId="0" hiddenButton="1"/>
    <filterColumn colId="1" hiddenButton="1"/>
    <filterColumn colId="2" hiddenButton="1"/>
    <filterColumn colId="3" hiddenButton="1"/>
  </autoFilter>
  <tableColumns count="4">
    <tableColumn id="1" xr3:uid="{6EB25711-28E3-4E21-A74C-5EBA9175D5D6}" name="Candidate Name (Party)" totalsRowLabel="Total Votes by County" dataDxfId="1023" totalsRowDxfId="1022"/>
    <tableColumn id="4" xr3:uid="{4DF2D7FC-B658-416D-AA77-BAAE696E8EFE}" name="Part of Kings County _x000a_Vote Results" totalsRowFunction="custom" dataDxfId="1021" totalsRowDxfId="1020">
      <totalsRowFormula>SUM(MemberOfAssemblyAssemblyDistrict54General[Part of Kings County 
Vote Results])</totalsRowFormula>
    </tableColumn>
    <tableColumn id="3" xr3:uid="{1640DAF2-2F99-432D-AB5B-E8F298679354}" name="Total Votes by Party" totalsRowFunction="custom" dataDxfId="1019" totalsRowDxfId="1018">
      <calculatedColumnFormula>MemberOfAssemblyAssemblyDistrict54General[[#This Row],[Part of Kings County 
Vote Results]]</calculatedColumnFormula>
      <totalsRowFormula>SUM(MemberOfAssemblyAssemblyDistrict54General[Total Votes by Party])</totalsRowFormula>
    </tableColumn>
    <tableColumn id="2" xr3:uid="{5DAC37D2-6B31-4C31-A108-095D9FD04E6B}" name="Total Votes by Candidate" dataDxfId="1017" totalsRowDxfId="1016"/>
  </tableColumns>
  <tableStyleInfo name="TableStyleMedium2" showFirstColumn="0" showLastColumn="0" showRowStripes="0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3D9C768C-EED0-4F9A-A46C-25E6E450B6B5}" name="MemberOfAssemblyAssemblyDistrict56General" displayName="MemberOfAssemblyAssemblyDistrict56General" ref="A2:D9" totalsRowCount="1" headerRowDxfId="1015" dataDxfId="1013" totalsRowDxfId="1011" headerRowBorderDxfId="1014" tableBorderDxfId="1012" totalsRowBorderDxfId="1010">
  <autoFilter ref="A2:D8" xr:uid="{B43538B1-6F61-46C2-AEC0-8740BACEBF7F}">
    <filterColumn colId="0" hiddenButton="1"/>
    <filterColumn colId="1" hiddenButton="1"/>
    <filterColumn colId="2" hiddenButton="1"/>
    <filterColumn colId="3" hiddenButton="1"/>
  </autoFilter>
  <tableColumns count="4">
    <tableColumn id="1" xr3:uid="{3CA299FD-F67F-4365-A570-01B57E215AB6}" name="Candidate Name (Party)" totalsRowLabel="Total Votes by County" dataDxfId="1009" totalsRowDxfId="1008"/>
    <tableColumn id="4" xr3:uid="{3453D671-C624-4A0F-AD36-76BB3732EAB5}" name="Part of Kings County _x000a_Vote Results" totalsRowFunction="custom" dataDxfId="1007" totalsRowDxfId="1006">
      <totalsRowFormula>SUM(MemberOfAssemblyAssemblyDistrict56General[Part of Kings County 
Vote Results])</totalsRowFormula>
    </tableColumn>
    <tableColumn id="3" xr3:uid="{5941D965-80EA-4A2D-8F9F-D47363BCE5D6}" name="Total Votes by Party" totalsRowFunction="custom" dataDxfId="1005" totalsRowDxfId="1004">
      <calculatedColumnFormula>MemberOfAssemblyAssemblyDistrict56General[[#This Row],[Part of Kings County 
Vote Results]]</calculatedColumnFormula>
      <totalsRowFormula>SUM(MemberOfAssemblyAssemblyDistrict56General[Total Votes by Party])</totalsRowFormula>
    </tableColumn>
    <tableColumn id="2" xr3:uid="{2C8416D1-343D-4463-84D6-F537091F09B4}" name="Total Votes by Candidate" dataDxfId="1003" totalsRowDxfId="1002">
      <calculatedColumnFormula>SUM(MemberOfAssemblyAssemblyDistrict56General[[#This Row],[Total Votes by Party]])</calculatedColumnFormula>
    </tableColumn>
  </tableColumns>
  <tableStyleInfo name="TableStyleMedium2" showFirstColumn="0" showLastColumn="0" showRowStripes="0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2270378C-FC24-4C61-95B1-7CBC94CCA6BC}" name="MemberOfAssemblyAssemblyDistrict57General" displayName="MemberOfAssemblyAssemblyDistrict57General" ref="A2:D8" totalsRowCount="1" headerRowDxfId="1001" dataDxfId="999" totalsRowDxfId="997" headerRowBorderDxfId="1000" tableBorderDxfId="998" totalsRowBorderDxfId="996">
  <autoFilter ref="A2:D7" xr:uid="{06885FD3-6BA0-4A8B-A771-AA4B6AD34E9B}">
    <filterColumn colId="0" hiddenButton="1"/>
    <filterColumn colId="1" hiddenButton="1"/>
    <filterColumn colId="2" hiddenButton="1"/>
    <filterColumn colId="3" hiddenButton="1"/>
  </autoFilter>
  <tableColumns count="4">
    <tableColumn id="1" xr3:uid="{CC62AECD-59B1-4601-9F7A-F2B09C390BF9}" name="Candidate Name (Party)" totalsRowLabel="Total Votes by County" dataDxfId="995" totalsRowDxfId="994"/>
    <tableColumn id="4" xr3:uid="{8C8BB0FD-46C3-4573-BD0C-11CE9F3B874E}" name="Part of Kings County _x000a_Vote Results" totalsRowFunction="custom" dataDxfId="993" totalsRowDxfId="992">
      <totalsRowFormula>SUM(MemberOfAssemblyAssemblyDistrict57General[Part of Kings County 
Vote Results])</totalsRowFormula>
    </tableColumn>
    <tableColumn id="3" xr3:uid="{5397AF88-6629-44BB-B0E4-126D2A558F52}" name="Total Votes by Party" totalsRowFunction="custom" dataDxfId="991" totalsRowDxfId="990">
      <calculatedColumnFormula>MemberOfAssemblyAssemblyDistrict57General[[#This Row],[Part of Kings County 
Vote Results]]</calculatedColumnFormula>
      <totalsRowFormula>SUM(MemberOfAssemblyAssemblyDistrict57General[Total Votes by Party])</totalsRowFormula>
    </tableColumn>
    <tableColumn id="2" xr3:uid="{DDFCA153-D556-4539-9FAF-3C29C582962D}" name="Total Votes by Candidate" dataDxfId="989" totalsRowDxfId="988"/>
  </tableColumns>
  <tableStyleInfo name="TableStyleMedium2" showFirstColumn="0" showLastColumn="0" showRowStripes="0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46DE84E3-1192-466C-8E26-566AFC9BD3BC}" name="MemberOfAssemblyAssemblyDistrict59General" displayName="MemberOfAssemblyAssemblyDistrict59General" ref="A2:D8" totalsRowCount="1" headerRowDxfId="987" dataDxfId="985" totalsRowDxfId="983" headerRowBorderDxfId="986" tableBorderDxfId="984" totalsRowBorderDxfId="982">
  <autoFilter ref="A2:D7" xr:uid="{B879D523-A7B9-4628-BDB2-94E50B233A7C}">
    <filterColumn colId="0" hiddenButton="1"/>
    <filterColumn colId="1" hiddenButton="1"/>
    <filterColumn colId="2" hiddenButton="1"/>
    <filterColumn colId="3" hiddenButton="1"/>
  </autoFilter>
  <tableColumns count="4">
    <tableColumn id="1" xr3:uid="{077D3352-A149-406B-B607-A334FC9AE716}" name="Candidate Name (Party)" totalsRowLabel="Total Votes by County" dataDxfId="981" totalsRowDxfId="980"/>
    <tableColumn id="4" xr3:uid="{F609C980-95D6-4354-891F-44DA51C84149}" name="Part of Kings County _x000a_Vote Results" totalsRowFunction="custom" dataDxfId="979" totalsRowDxfId="978">
      <totalsRowFormula>SUM(MemberOfAssemblyAssemblyDistrict59General[Part of Kings County 
Vote Results])</totalsRowFormula>
    </tableColumn>
    <tableColumn id="3" xr3:uid="{0429E3AF-3183-4578-9B6F-D7653BAD112B}" name="Total Votes by Party" totalsRowFunction="custom" dataDxfId="977" totalsRowDxfId="976">
      <calculatedColumnFormula>MemberOfAssemblyAssemblyDistrict59General[[#This Row],[Part of Kings County 
Vote Results]]</calculatedColumnFormula>
      <totalsRowFormula>SUM(MemberOfAssemblyAssemblyDistrict59General[Total Votes by Party])</totalsRowFormula>
    </tableColumn>
    <tableColumn id="2" xr3:uid="{CA7D503C-4F58-4E4D-8B51-05AD2E2F7C14}" name="Total Votes by Candidate" dataDxfId="975" totalsRowDxfId="974">
      <calculatedColumnFormula>SUM(MemberOfAssemblyAssemblyDistrict59General[[#This Row],[Total Votes by Party]])</calculatedColumnFormula>
    </tableColumn>
  </tableColumns>
  <tableStyleInfo name="TableStyleMedium2" showFirstColumn="0" showLastColumn="0" showRowStripes="0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420574F6-FA73-46B3-B2C2-6B3C29C04A06}" name="MemberOfAssemblyAssemblyDistrict65General" displayName="MemberOfAssemblyAssemblyDistrict65General" ref="A2:D12" totalsRowCount="1" headerRowDxfId="973" dataDxfId="971" totalsRowDxfId="969" headerRowBorderDxfId="972" tableBorderDxfId="970" totalsRowBorderDxfId="968">
  <autoFilter ref="A2:D11" xr:uid="{7E494556-0D9D-4D28-95F5-DF8B28663B44}">
    <filterColumn colId="0" hiddenButton="1"/>
    <filterColumn colId="1" hiddenButton="1"/>
    <filterColumn colId="2" hiddenButton="1"/>
    <filterColumn colId="3" hiddenButton="1"/>
  </autoFilter>
  <tableColumns count="4">
    <tableColumn id="1" xr3:uid="{DD01DBE0-3B5B-41F4-8C6B-9C8B7A95F7C5}" name="Candidate Name (Party)" totalsRowLabel="Total Votes by County" dataDxfId="967" totalsRowDxfId="966"/>
    <tableColumn id="4" xr3:uid="{53855A60-6078-4664-98B7-6FDC1CE5EBBE}" name="Part of New York County _x000a_Vote Results" totalsRowFunction="custom" dataDxfId="965" totalsRowDxfId="964">
      <totalsRowFormula>SUM(MemberOfAssemblyAssemblyDistrict65General[Part of New York County 
Vote Results])</totalsRowFormula>
    </tableColumn>
    <tableColumn id="3" xr3:uid="{FE58531D-E96E-46D7-8F49-5CABE1BB7674}" name="Total Votes by Party" totalsRowFunction="custom" dataDxfId="963" totalsRowDxfId="962">
      <calculatedColumnFormula>MemberOfAssemblyAssemblyDistrict65General[[#This Row],[Part of New York County 
Vote Results]]</calculatedColumnFormula>
      <totalsRowFormula>SUM(MemberOfAssemblyAssemblyDistrict65General[Total Votes by Party])</totalsRowFormula>
    </tableColumn>
    <tableColumn id="2" xr3:uid="{AB3B155C-DABF-4A6B-8610-D99E12A0FBB6}" name="Total Votes by Candidate" dataDxfId="961" totalsRowDxfId="960">
      <calculatedColumnFormula>SUM(MemberOfAssemblyAssemblyDistrict65General[[#This Row],[Total Votes by Party]],C8)</calculatedColumnFormula>
    </tableColumn>
  </tableColumns>
  <tableStyleInfo name="TableStyleMedium2" showFirstColumn="0" showLastColumn="0" showRowStripes="0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D3E0310E-8483-4279-96F2-F7DA6FF77C71}" name="MemberOfAssemblyAssemblyDistrict66General" displayName="MemberOfAssemblyAssemblyDistrict66General" ref="A2:D12" totalsRowCount="1" headerRowDxfId="959" dataDxfId="957" totalsRowDxfId="955" headerRowBorderDxfId="958" tableBorderDxfId="956" totalsRowBorderDxfId="954">
  <autoFilter ref="A2:D11" xr:uid="{DB588E57-B3EA-45ED-B396-65AD89BE7DBB}">
    <filterColumn colId="0" hiddenButton="1"/>
    <filterColumn colId="1" hiddenButton="1"/>
    <filterColumn colId="2" hiddenButton="1"/>
    <filterColumn colId="3" hiddenButton="1"/>
  </autoFilter>
  <tableColumns count="4">
    <tableColumn id="1" xr3:uid="{9C62BC32-7CFE-45DC-A582-9335D52CAABB}" name="Candidate Name (Party)" totalsRowLabel="Total Votes by County" dataDxfId="953" totalsRowDxfId="952"/>
    <tableColumn id="4" xr3:uid="{FD981431-9EB7-4F25-A01D-DAD62D14B187}" name="Part of New York County _x000a_Vote Results" totalsRowFunction="custom" dataDxfId="951" totalsRowDxfId="950">
      <totalsRowFormula>SUM(MemberOfAssemblyAssemblyDistrict66General[Part of New York County 
Vote Results])</totalsRowFormula>
    </tableColumn>
    <tableColumn id="3" xr3:uid="{39B09BBE-91A8-47DA-910D-CC7DF2BF9026}" name="Total Votes by Party" totalsRowFunction="custom" dataDxfId="949" totalsRowDxfId="948">
      <calculatedColumnFormula>MemberOfAssemblyAssemblyDistrict66General[[#This Row],[Part of New York County 
Vote Results]]</calculatedColumnFormula>
      <totalsRowFormula>SUM(MemberOfAssemblyAssemblyDistrict66General[Total Votes by Party])</totalsRowFormula>
    </tableColumn>
    <tableColumn id="2" xr3:uid="{CA44794E-E0DD-478B-9F37-D75F749DDDEA}" name="Total Votes by Candidate" dataDxfId="947" totalsRowDxfId="946"/>
  </tableColumns>
  <tableStyleInfo name="TableStyleMedium2" showFirstColumn="0" showLastColumn="0" showRowStripes="0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F7C028E8-FF4E-4745-840C-DB2BF4F1640B}" name="MemberOfAssemblyAssemblyDistrict68General" displayName="MemberOfAssemblyAssemblyDistrict68General" ref="A2:D10" totalsRowCount="1" headerRowDxfId="945" dataDxfId="943" totalsRowDxfId="941" headerRowBorderDxfId="944" tableBorderDxfId="942" totalsRowBorderDxfId="940">
  <autoFilter ref="A2:D9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76AAD88D-80BF-403A-AA13-508171C86816}" name="Candidate Name (Party)" totalsRowLabel="Total Votes by County" dataDxfId="939" totalsRowDxfId="938"/>
    <tableColumn id="4" xr3:uid="{163DA7C0-1BEA-4685-9835-EDE147C87763}" name="Part of New York County _x000a_Vote Results" totalsRowFunction="custom" dataDxfId="937" totalsRowDxfId="936">
      <totalsRowFormula>SUM(MemberOfAssemblyAssemblyDistrict68General[Part of New York County 
Vote Results])</totalsRowFormula>
    </tableColumn>
    <tableColumn id="3" xr3:uid="{5354D957-61DD-4E08-BA6F-FD420A55F724}" name="Total Votes by Party" totalsRowFunction="custom" dataDxfId="935" totalsRowDxfId="934">
      <calculatedColumnFormula>MemberOfAssemblyAssemblyDistrict68General[[#This Row],[Part of New York County 
Vote Results]]</calculatedColumnFormula>
      <totalsRowFormula>SUM(MemberOfAssemblyAssemblyDistrict68General[Total Votes by Party])</totalsRowFormula>
    </tableColumn>
    <tableColumn id="2" xr3:uid="{371233EF-005F-4F4A-A2EF-C0221B152D0F}" name="Total Votes by Candidate" dataDxfId="933" totalsRowDxfId="932"/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75F9460-28D9-4D8F-9344-CC724B556183}" name="RepInCongressCongressionalDistrict6General" displayName="RepInCongressCongressionalDistrict6General" ref="A2:D8" totalsRowCount="1" headerRowDxfId="1845" dataDxfId="1843" totalsRowDxfId="1841" headerRowBorderDxfId="1844" tableBorderDxfId="1842" totalsRowBorderDxfId="1840">
  <autoFilter ref="A2:D7" xr:uid="{A5D383CB-B61F-4561-ADC3-55A409D5E370}">
    <filterColumn colId="0" hiddenButton="1"/>
    <filterColumn colId="1" hiddenButton="1"/>
    <filterColumn colId="2" hiddenButton="1"/>
    <filterColumn colId="3" hiddenButton="1"/>
  </autoFilter>
  <tableColumns count="4">
    <tableColumn id="1" xr3:uid="{03D4C238-4972-4355-BDEE-B7693A262481}" name="Candidate Name (Party)" totalsRowLabel="Total Votes by County" dataDxfId="1839" totalsRowDxfId="1838"/>
    <tableColumn id="4" xr3:uid="{27F513FA-713E-4A0E-A26B-48B28C329384}" name="Part of Queens County _x000a_Vote Results" totalsRowFunction="custom" dataDxfId="1837" totalsRowDxfId="1836">
      <totalsRowFormula>SUM(RepInCongressCongressionalDistrict6General[Part of Queens County 
Vote Results])</totalsRowFormula>
    </tableColumn>
    <tableColumn id="3" xr3:uid="{F53E39A3-A25C-4990-89E2-7A82CF817834}" name="Total Votes by Party" totalsRowFunction="custom" dataDxfId="1835" totalsRowDxfId="1834">
      <calculatedColumnFormula>RepInCongressCongressionalDistrict6General[[#This Row],[Part of Queens County 
Vote Results]]</calculatedColumnFormula>
      <totalsRowFormula>SUM(RepInCongressCongressionalDistrict6General[Total Votes by Party])</totalsRowFormula>
    </tableColumn>
    <tableColumn id="2" xr3:uid="{AB040526-2509-4795-B8E7-568312E5599E}" name="Total Votes by Candidate" dataDxfId="1833" totalsRowDxfId="1832"/>
  </tableColumns>
  <tableStyleInfo name="TableStyleMedium2" showFirstColumn="0" showLastColumn="0" showRowStripes="0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E23F29F0-138C-45AE-9827-F8FA416EF4EC}" name="MemberOfAssemblyAssemblyDistrict69General" displayName="MemberOfAssemblyAssemblyDistrict69General" ref="A2:D8" totalsRowCount="1" headerRowDxfId="931" dataDxfId="929" totalsRowDxfId="927" headerRowBorderDxfId="930" tableBorderDxfId="928" totalsRowBorderDxfId="926">
  <autoFilter ref="A2:D7" xr:uid="{49F6F76A-2CF7-46A3-9E61-C944DC0AA3FE}">
    <filterColumn colId="0" hiddenButton="1"/>
    <filterColumn colId="1" hiddenButton="1"/>
    <filterColumn colId="2" hiddenButton="1"/>
    <filterColumn colId="3" hiddenButton="1"/>
  </autoFilter>
  <tableColumns count="4">
    <tableColumn id="1" xr3:uid="{40D8195C-CF2B-439F-816F-9FFEC40090AF}" name="Candidate Name (Party)" totalsRowLabel="Total Votes by County" dataDxfId="925" totalsRowDxfId="924"/>
    <tableColumn id="4" xr3:uid="{B272FB21-8783-4763-9305-C246496FC2E4}" name="Part of New York County _x000a_Vote Results" totalsRowFunction="custom" dataDxfId="923" totalsRowDxfId="922">
      <totalsRowFormula>SUM(MemberOfAssemblyAssemblyDistrict69General[Part of New York County 
Vote Results])</totalsRowFormula>
    </tableColumn>
    <tableColumn id="3" xr3:uid="{56AFCAB7-3222-4CE9-A5CB-2B537B71DBD3}" name="Total Votes by Party" totalsRowFunction="custom" dataDxfId="921" totalsRowDxfId="920">
      <calculatedColumnFormula>MemberOfAssemblyAssemblyDistrict69General[[#This Row],[Part of New York County 
Vote Results]]</calculatedColumnFormula>
      <totalsRowFormula>SUM(MemberOfAssemblyAssemblyDistrict69General[Total Votes by Party])</totalsRowFormula>
    </tableColumn>
    <tableColumn id="2" xr3:uid="{02DC25CA-0FAA-453C-B057-FB047CBC7FD3}" name="Total Votes by Candidate" dataDxfId="919" totalsRowDxfId="918">
      <calculatedColumnFormula>SUM(MemberOfAssemblyAssemblyDistrict69General[[#This Row],[Total Votes by Party]])</calculatedColumnFormula>
    </tableColumn>
  </tableColumns>
  <tableStyleInfo name="TableStyleMedium2" showFirstColumn="0" showLastColumn="0" showRowStripes="0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4B7E12BB-8BC5-4999-A97F-24EE8B3F8A15}" name="MemberOfAssemblyAssemblyDistrict70General" displayName="MemberOfAssemblyAssemblyDistrict70General" ref="A2:D8" totalsRowCount="1" headerRowDxfId="917" dataDxfId="915" totalsRowDxfId="913" headerRowBorderDxfId="916" tableBorderDxfId="914" totalsRowBorderDxfId="912">
  <autoFilter ref="A2:D7" xr:uid="{7C41311A-532C-46E5-9E8C-EAC4A30F20BE}">
    <filterColumn colId="0" hiddenButton="1"/>
    <filterColumn colId="1" hiddenButton="1"/>
    <filterColumn colId="2" hiddenButton="1"/>
    <filterColumn colId="3" hiddenButton="1"/>
  </autoFilter>
  <tableColumns count="4">
    <tableColumn id="1" xr3:uid="{0CDFE709-FE8E-4292-9CD4-2746BC482689}" name="Candidate Name (Party)" totalsRowLabel="Total Votes by County" dataDxfId="911" totalsRowDxfId="910"/>
    <tableColumn id="4" xr3:uid="{D05D7D6B-2D2A-4479-89FB-AE730396546D}" name="Part of New York County _x000a_Vote Results" totalsRowFunction="custom" dataDxfId="909" totalsRowDxfId="908">
      <totalsRowFormula>SUM(MemberOfAssemblyAssemblyDistrict70General[Part of New York County 
Vote Results])</totalsRowFormula>
    </tableColumn>
    <tableColumn id="3" xr3:uid="{32F197F0-D108-4675-AF34-73A0048C056D}" name="Total Votes by Party" totalsRowFunction="custom" dataDxfId="907" totalsRowDxfId="906">
      <calculatedColumnFormula>MemberOfAssemblyAssemblyDistrict70General[[#This Row],[Part of New York County 
Vote Results]]</calculatedColumnFormula>
      <totalsRowFormula>SUM(MemberOfAssemblyAssemblyDistrict70General[Total Votes by Party])</totalsRowFormula>
    </tableColumn>
    <tableColumn id="2" xr3:uid="{3958EF56-7200-4A03-BFB3-9E738204EBF6}" name="Total Votes by Candidate" dataDxfId="905" totalsRowDxfId="904"/>
  </tableColumns>
  <tableStyleInfo name="TableStyleMedium2" showFirstColumn="0" showLastColumn="0" showRowStripes="0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8734AA63-5E88-4CC4-B7B0-B9B3C4B59088}" name="MemberOfAssemblyAssemblyDistrict71General" displayName="MemberOfAssemblyAssemblyDistrict71General" ref="A2:D9" totalsRowCount="1" headerRowDxfId="903" dataDxfId="901" totalsRowDxfId="899" headerRowBorderDxfId="902" tableBorderDxfId="900" totalsRowBorderDxfId="898">
  <autoFilter ref="A2:D8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7EAB8C29-330B-484A-8F04-6DA4408DA603}" name="Candidate Name (Party)" totalsRowLabel="Total Votes by County" dataDxfId="897" totalsRowDxfId="896"/>
    <tableColumn id="4" xr3:uid="{0D969F67-022E-457C-AF18-26EE4858C78B}" name="Part of New York County _x000a_Vote Results" totalsRowFunction="custom" dataDxfId="895" totalsRowDxfId="894">
      <totalsRowFormula>SUM(MemberOfAssemblyAssemblyDistrict71General[Part of New York County 
Vote Results])</totalsRowFormula>
    </tableColumn>
    <tableColumn id="3" xr3:uid="{8ACF4B93-96C5-4647-8038-4EF643D3E1DD}" name="Total Votes by Party" totalsRowFunction="custom" dataDxfId="893" totalsRowDxfId="892">
      <calculatedColumnFormula>MemberOfAssemblyAssemblyDistrict71General[[#This Row],[Part of New York County 
Vote Results]]</calculatedColumnFormula>
      <totalsRowFormula>SUM(MemberOfAssemblyAssemblyDistrict71General[Total Votes by Party])</totalsRowFormula>
    </tableColumn>
    <tableColumn id="2" xr3:uid="{D8F351BA-3F47-4D68-95E3-17FA4BA0DBED}" name="Total Votes by Candidate" dataDxfId="891" totalsRowDxfId="890">
      <calculatedColumnFormula>SUM(MemberOfAssemblyAssemblyDistrict71General[[#This Row],[Total Votes by Party]],C5)</calculatedColumnFormula>
    </tableColumn>
  </tableColumns>
  <tableStyleInfo name="TableStyleMedium2" showFirstColumn="0" showLastColumn="0" showRowStripes="0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22FE491C-E573-44F7-BEBD-D362A2139E5E}" name="MemberOfAssemblyAssemblyDistrict72General" displayName="MemberOfAssemblyAssemblyDistrict72General" ref="A2:D8" totalsRowCount="1" headerRowDxfId="889" dataDxfId="887" totalsRowDxfId="885" headerRowBorderDxfId="888" tableBorderDxfId="886" totalsRowBorderDxfId="884">
  <autoFilter ref="A2:D7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2C77AFED-85A2-40DD-AFE3-308440E4B19B}" name="Candidate Name (Party)" totalsRowLabel="Total Votes by County" dataDxfId="883" totalsRowDxfId="882"/>
    <tableColumn id="4" xr3:uid="{5654B2BC-729B-4E38-978A-C2DBF012CAB2}" name="Part of New York County _x000a_Vote Results" totalsRowFunction="custom" dataDxfId="881" totalsRowDxfId="880">
      <totalsRowFormula>SUM(MemberOfAssemblyAssemblyDistrict72General[Part of New York County 
Vote Results])</totalsRowFormula>
    </tableColumn>
    <tableColumn id="3" xr3:uid="{ED361C15-5890-4D77-B992-61C119D7A189}" name="Total Votes by Party" totalsRowFunction="custom" dataDxfId="879" totalsRowDxfId="878">
      <calculatedColumnFormula>MemberOfAssemblyAssemblyDistrict72General[[#This Row],[Part of New York County 
Vote Results]]</calculatedColumnFormula>
      <totalsRowFormula>SUM(MemberOfAssemblyAssemblyDistrict72General[Total Votes by Party])</totalsRowFormula>
    </tableColumn>
    <tableColumn id="2" xr3:uid="{423A41B0-B939-4F7A-BB8F-ECA68B05BF31}" name="Total Votes by Candidate" dataDxfId="877" totalsRowDxfId="876">
      <calculatedColumnFormula>SUM(MemberOfAssemblyAssemblyDistrict72General[[#This Row],[Total Votes by Party]])</calculatedColumnFormula>
    </tableColumn>
  </tableColumns>
  <tableStyleInfo name="TableStyleMedium2" showFirstColumn="0" showLastColumn="0" showRowStripes="0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D2D68686-156A-47AE-8890-DD3FC524461B}" name="MemberOfAssemblyAssemblyDistrict75General" displayName="MemberOfAssemblyAssemblyDistrict75General" ref="A2:D8" totalsRowCount="1" headerRowDxfId="875" dataDxfId="873" totalsRowDxfId="871" headerRowBorderDxfId="874" tableBorderDxfId="872" totalsRowBorderDxfId="870">
  <autoFilter ref="A2:D7" xr:uid="{26E716A0-5533-40E4-B82D-C8105E11FC7B}">
    <filterColumn colId="0" hiddenButton="1"/>
    <filterColumn colId="1" hiddenButton="1"/>
    <filterColumn colId="2" hiddenButton="1"/>
    <filterColumn colId="3" hiddenButton="1"/>
  </autoFilter>
  <tableColumns count="4">
    <tableColumn id="1" xr3:uid="{C296D13D-0A2D-4F3D-A79F-C899329318AD}" name="Candidate Name (Party)" totalsRowLabel="Total Votes by County" dataDxfId="869" totalsRowDxfId="868"/>
    <tableColumn id="4" xr3:uid="{D9D30E63-649F-4492-B787-C8175836C5CE}" name="Part of New York County _x000a_Vote Results" totalsRowFunction="custom" dataDxfId="867" totalsRowDxfId="866">
      <totalsRowFormula>SUM(MemberOfAssemblyAssemblyDistrict75General[Part of New York County 
Vote Results])</totalsRowFormula>
    </tableColumn>
    <tableColumn id="3" xr3:uid="{35BAD2F0-589E-4A5E-8E08-8740391D8BFB}" name="Total Votes by Party" totalsRowFunction="custom" dataDxfId="865" totalsRowDxfId="864">
      <calculatedColumnFormula>MemberOfAssemblyAssemblyDistrict75General[[#This Row],[Part of New York County 
Vote Results]]</calculatedColumnFormula>
      <totalsRowFormula>SUM(MemberOfAssemblyAssemblyDistrict75General[Total Votes by Party])</totalsRowFormula>
    </tableColumn>
    <tableColumn id="2" xr3:uid="{618391B3-563C-4F25-A587-85F7E3BA6548}" name="Total Votes by Candidate" dataDxfId="863" totalsRowDxfId="862">
      <calculatedColumnFormula>SUM(MemberOfAssemblyAssemblyDistrict75General[[#This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57324328-E3E3-4603-8CCC-3C6C819C3CAE}" name="MemberOfAssemblyAssemblyDistrict81General" displayName="MemberOfAssemblyAssemblyDistrict81General" ref="A2:D8" totalsRowCount="1" headerRowDxfId="861" dataDxfId="859" totalsRowDxfId="857" headerRowBorderDxfId="860" tableBorderDxfId="858" totalsRowBorderDxfId="856">
  <autoFilter ref="A2:D7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DFE69E59-FE11-4AFE-9202-5767FDF9B361}" name="Candidate Name (Party)" totalsRowLabel="Total Votes by County" dataDxfId="855" totalsRowDxfId="854"/>
    <tableColumn id="4" xr3:uid="{075D5896-D333-40E5-9E70-0A2E693B9352}" name="Part of Bronx County _x000a_Vote Results" totalsRowFunction="custom" dataDxfId="853" totalsRowDxfId="852">
      <totalsRowFormula>SUM(MemberOfAssemblyAssemblyDistrict81General[Part of Bronx County 
Vote Results])</totalsRowFormula>
    </tableColumn>
    <tableColumn id="3" xr3:uid="{3A3D30CC-506B-4CA0-A4E3-E840C02E001A}" name="Total Votes by Party" totalsRowFunction="custom" dataDxfId="851" totalsRowDxfId="850">
      <calculatedColumnFormula>MemberOfAssemblyAssemblyDistrict81General[[#This Row],[Part of Bronx County 
Vote Results]]</calculatedColumnFormula>
      <totalsRowFormula>SUM(MemberOfAssemblyAssemblyDistrict81General[Total Votes by Party])</totalsRowFormula>
    </tableColumn>
    <tableColumn id="2" xr3:uid="{958196E9-8671-4C1F-9BA0-A7FCDBAB3B23}" name="Total Votes by Candidate" dataDxfId="849" totalsRowDxfId="848"/>
  </tableColumns>
  <tableStyleInfo name="TableStyleMedium2" showFirstColumn="0" showLastColumn="0" showRowStripes="0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FBA8C644-F043-4673-99CF-6C365B74C812}" name="MemberOfAssemblyAssemblyDistrict82General" displayName="MemberOfAssemblyAssemblyDistrict82General" ref="A2:D9" totalsRowCount="1" headerRowDxfId="847" dataDxfId="845" totalsRowDxfId="843" headerRowBorderDxfId="846" tableBorderDxfId="844" totalsRowBorderDxfId="842">
  <autoFilter ref="A2:D8" xr:uid="{B76A93E2-1975-4BD7-8DD6-7CEB7D707669}">
    <filterColumn colId="0" hiddenButton="1"/>
    <filterColumn colId="1" hiddenButton="1"/>
    <filterColumn colId="2" hiddenButton="1"/>
    <filterColumn colId="3" hiddenButton="1"/>
  </autoFilter>
  <tableColumns count="4">
    <tableColumn id="1" xr3:uid="{11F67E2C-B2B0-467F-B571-3CDA10C96C2C}" name="Candidate Name (Party)" totalsRowLabel="Total Votes by County" dataDxfId="841" totalsRowDxfId="840"/>
    <tableColumn id="4" xr3:uid="{E38DB51D-3D49-453E-9F7A-362C88F4A016}" name="Part of Bronx County _x000a_Vote Results" totalsRowFunction="custom" dataDxfId="839" totalsRowDxfId="838">
      <totalsRowFormula>SUM(MemberOfAssemblyAssemblyDistrict82General[Part of Bronx County 
Vote Results])</totalsRowFormula>
    </tableColumn>
    <tableColumn id="3" xr3:uid="{8ADF0380-FB87-4F60-B597-CFD3970270A6}" name="Total Votes by Party" totalsRowFunction="custom" dataDxfId="837" totalsRowDxfId="836">
      <calculatedColumnFormula>MemberOfAssemblyAssemblyDistrict82General[[#This Row],[Part of Bronx County 
Vote Results]]</calculatedColumnFormula>
      <totalsRowFormula>SUM(MemberOfAssemblyAssemblyDistrict82General[Total Votes by Party])</totalsRowFormula>
    </tableColumn>
    <tableColumn id="2" xr3:uid="{5D7D2B8F-5844-4C9F-9EE0-358676C7D2BB}" name="Total Votes by Candidate" dataDxfId="835" totalsRowDxfId="834"/>
  </tableColumns>
  <tableStyleInfo name="TableStyleMedium2" showFirstColumn="0" showLastColumn="0" showRowStripes="0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2ABBF4D5-F80C-4250-95E1-3B72FDAFCC28}" name="MemberOfAssemblyAssemblyDistrict84General" displayName="MemberOfAssemblyAssemblyDistrict84General" ref="A2:D9" totalsRowCount="1" headerRowDxfId="833" dataDxfId="831" totalsRowDxfId="829" headerRowBorderDxfId="832" tableBorderDxfId="830" totalsRowBorderDxfId="828">
  <autoFilter ref="A2:D8" xr:uid="{047F2C91-73B1-462F-AD15-DB76F9BDD6BC}">
    <filterColumn colId="0" hiddenButton="1"/>
    <filterColumn colId="1" hiddenButton="1"/>
    <filterColumn colId="2" hiddenButton="1"/>
    <filterColumn colId="3" hiddenButton="1"/>
  </autoFilter>
  <tableColumns count="4">
    <tableColumn id="1" xr3:uid="{0A01B777-3E54-4C2F-9B87-D6478D21A1B9}" name="Candidate Name (Party)" totalsRowLabel="Total Votes by County" dataDxfId="827" totalsRowDxfId="826"/>
    <tableColumn id="4" xr3:uid="{AD261493-FFCA-463C-B7BA-33C64EF2D200}" name="Part of Bronx County _x000a_Vote Results" totalsRowFunction="custom" dataDxfId="825" totalsRowDxfId="824">
      <totalsRowFormula>SUM(MemberOfAssemblyAssemblyDistrict84General[Part of Bronx County 
Vote Results])</totalsRowFormula>
    </tableColumn>
    <tableColumn id="3" xr3:uid="{853C8412-4A4A-4781-BA66-F91571693DA1}" name="Total Votes by Party" totalsRowFunction="custom" dataDxfId="823" totalsRowDxfId="822">
      <calculatedColumnFormula>MemberOfAssemblyAssemblyDistrict84General[[#This Row],[Part of Bronx County 
Vote Results]]</calculatedColumnFormula>
      <totalsRowFormula>SUM(MemberOfAssemblyAssemblyDistrict84General[Total Votes by Party])</totalsRowFormula>
    </tableColumn>
    <tableColumn id="2" xr3:uid="{F8A7D5B2-E2DF-4D3B-9222-149A41B61F2E}" name="Total Votes by Candidate" dataDxfId="821" totalsRowDxfId="820"/>
  </tableColumns>
  <tableStyleInfo name="TableStyleMedium2" showFirstColumn="0" showLastColumn="0" showRowStripes="0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EA15FD1E-0073-49D2-B3B6-09ABB9E3287E}" name="MemberOfAssemblyAssemblyDistrict86General" displayName="MemberOfAssemblyAssemblyDistrict86General" ref="A2:D8" totalsRowCount="1" headerRowDxfId="819" dataDxfId="817" totalsRowDxfId="815" headerRowBorderDxfId="818" tableBorderDxfId="816" totalsRowBorderDxfId="814">
  <autoFilter ref="A2:D7" xr:uid="{2B5704FE-706F-47C3-959B-9BA0632CF0E7}">
    <filterColumn colId="0" hiddenButton="1"/>
    <filterColumn colId="1" hiddenButton="1"/>
    <filterColumn colId="2" hiddenButton="1"/>
    <filterColumn colId="3" hiddenButton="1"/>
  </autoFilter>
  <tableColumns count="4">
    <tableColumn id="1" xr3:uid="{1268129D-412E-42CF-82AA-333FCAC544D1}" name="Candidate Name (Party)" totalsRowLabel="Total Votes by County" dataDxfId="813" totalsRowDxfId="812"/>
    <tableColumn id="4" xr3:uid="{DA31B583-AD5E-4880-8019-F2FB8411FA1B}" name="Part of Bronx County _x000a_Vote Results" totalsRowFunction="custom" dataDxfId="811" totalsRowDxfId="810">
      <totalsRowFormula>SUM(MemberOfAssemblyAssemblyDistrict86General[Part of Bronx County 
Vote Results])</totalsRowFormula>
    </tableColumn>
    <tableColumn id="3" xr3:uid="{197022FF-1C85-41C8-8605-786068BE42B6}" name="Total Votes by Party" totalsRowFunction="custom" dataDxfId="809" totalsRowDxfId="808">
      <calculatedColumnFormula>MemberOfAssemblyAssemblyDistrict86General[[#This Row],[Part of Bronx County 
Vote Results]]</calculatedColumnFormula>
      <totalsRowFormula>SUM(MemberOfAssemblyAssemblyDistrict86General[Total Votes by Party])</totalsRowFormula>
    </tableColumn>
    <tableColumn id="2" xr3:uid="{5FB1F1D2-FF26-40EF-9FA7-5A2A70B554C0}" name="Total Votes by Candidate" dataDxfId="807" totalsRowDxfId="806"/>
  </tableColumns>
  <tableStyleInfo name="TableStyleMedium2" showFirstColumn="0" showLastColumn="0" showRowStripes="0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6CB5F778-CEA8-467D-B968-FA0F410F4C5B}" name="MemberOfAssemblyAssemblyDistrict87General" displayName="MemberOfAssemblyAssemblyDistrict87General" ref="A2:D8" totalsRowCount="1" headerRowDxfId="805" dataDxfId="803" totalsRowDxfId="801" headerRowBorderDxfId="804" tableBorderDxfId="802" totalsRowBorderDxfId="800">
  <autoFilter ref="A2:D7" xr:uid="{517D48A4-44D2-4D42-9D5F-B6FA55B3BDFE}">
    <filterColumn colId="0" hiddenButton="1"/>
    <filterColumn colId="1" hiddenButton="1"/>
    <filterColumn colId="2" hiddenButton="1"/>
    <filterColumn colId="3" hiddenButton="1"/>
  </autoFilter>
  <tableColumns count="4">
    <tableColumn id="1" xr3:uid="{104AEEDF-252B-4B82-A6FF-58FF1D4A2F4E}" name="Candidate Name (Party)" totalsRowLabel="Total Votes by County" dataDxfId="799" totalsRowDxfId="798"/>
    <tableColumn id="4" xr3:uid="{36EE1B05-3A78-40C9-9635-AA0901142599}" name="Part of Bronx County _x000a_Vote Results" totalsRowFunction="custom" dataDxfId="797" totalsRowDxfId="796">
      <totalsRowFormula>SUM(MemberOfAssemblyAssemblyDistrict87General[Part of Bronx County 
Vote Results])</totalsRowFormula>
    </tableColumn>
    <tableColumn id="3" xr3:uid="{75CC620F-06D8-49C8-B136-71E0F2602CFF}" name="Total Votes by Party" totalsRowFunction="custom" dataDxfId="795" totalsRowDxfId="794">
      <calculatedColumnFormula>MemberOfAssemblyAssemblyDistrict87General[[#This Row],[Part of Bronx County 
Vote Results]]</calculatedColumnFormula>
      <totalsRowFormula>SUM(MemberOfAssemblyAssemblyDistrict87General[Total Votes by Party])</totalsRowFormula>
    </tableColumn>
    <tableColumn id="2" xr3:uid="{33D938BA-010A-4125-83A4-7BCA9E1CA61C}" name="Total Votes by Candidate" dataDxfId="793" totalsRowDxfId="792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C12CE33-7E8C-4D29-9395-01A8145FF259}" name="RepInCongressCongressionalDistrict7General" displayName="RepInCongressCongressionalDistrict7General" ref="A2:E10" totalsRowCount="1" headerRowDxfId="1831" dataDxfId="1829" totalsRowDxfId="1827" headerRowBorderDxfId="1830" tableBorderDxfId="1828" totalsRowBorderDxfId="1826">
  <autoFilter ref="A2:E9" xr:uid="{44B01D1C-45DF-49CF-8E6C-ADBDB09A402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F96E3F0-3FC5-4847-BB4A-56853C614A6D}" name="Candidate Name (Party)" totalsRowLabel="Total Votes by County" dataDxfId="1825" totalsRowDxfId="1824"/>
    <tableColumn id="2" xr3:uid="{05054EB5-0066-411B-9A0C-5D5F17BC7F25}" name="Part of Kings County Vote Results" totalsRowFunction="custom" dataDxfId="1823" totalsRowDxfId="1822">
      <totalsRowFormula>SUM(RepInCongressCongressionalDistrict7General[Part of Kings County Vote Results])</totalsRowFormula>
    </tableColumn>
    <tableColumn id="4" xr3:uid="{1A45D069-889A-4657-943D-84643B18C233}" name="Part of Queens County Vote Results" totalsRowFunction="custom" dataDxfId="1821" totalsRowDxfId="1820">
      <totalsRowFormula>SUM(RepInCongressCongressionalDistrict7General[Part of Queens County Vote Results])</totalsRowFormula>
    </tableColumn>
    <tableColumn id="6" xr3:uid="{970B8B74-E7AA-4058-84DF-C91EA8CA06E0}" name="Total Votes by Party" totalsRowFunction="custom" dataDxfId="1819" totalsRowDxfId="1818">
      <calculatedColumnFormula>SUM(B3,C3)</calculatedColumnFormula>
      <totalsRowFormula>SUM(RepInCongressCongressionalDistrict7General[Total Votes by Party])</totalsRowFormula>
    </tableColumn>
    <tableColumn id="5" xr3:uid="{69682BC2-C333-4BE0-AE84-6FFE7A8F9977}" name="Total Votes by Candidate" dataDxfId="1817" totalsRowDxfId="1816"/>
  </tableColumns>
  <tableStyleInfo name="TableStyleMedium2" showFirstColumn="0" showLastColumn="0" showRowStripes="0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519E42E-DA79-432D-8364-4421E26A9DE1}" name="MemberOfAssemblyAssemblyDistrict90General" displayName="MemberOfAssemblyAssemblyDistrict90General" ref="A2:D8" totalsRowCount="1" headerRowDxfId="791" dataDxfId="789" totalsRowDxfId="787" headerRowBorderDxfId="790" tableBorderDxfId="788" totalsRowBorderDxfId="786">
  <autoFilter ref="A2:D7" xr:uid="{0AD0D9E1-FBC6-45BE-AB9F-3850A5A8348A}">
    <filterColumn colId="0" hiddenButton="1"/>
    <filterColumn colId="1" hiddenButton="1"/>
    <filterColumn colId="2" hiddenButton="1"/>
    <filterColumn colId="3" hiddenButton="1"/>
  </autoFilter>
  <tableColumns count="4">
    <tableColumn id="1" xr3:uid="{5946DC6B-0473-4E2C-90E5-7B3EA83C158B}" name="Candidate Name (Party)" totalsRowLabel="Total Votes by County" dataDxfId="785" totalsRowDxfId="784"/>
    <tableColumn id="4" xr3:uid="{D76DA61C-C6EA-4172-ACD3-7722694AA65F}" name="Part of Westchester County _x000a_Vote Results" totalsRowFunction="custom" dataDxfId="783" totalsRowDxfId="782">
      <totalsRowFormula>SUM(MemberOfAssemblyAssemblyDistrict90General[Part of Westchester County 
Vote Results])</totalsRowFormula>
    </tableColumn>
    <tableColumn id="3" xr3:uid="{392FBF5E-A188-43F4-A7BD-0DAB414A43BF}" name="Total Votes by Party" totalsRowFunction="custom" dataDxfId="781" totalsRowDxfId="780">
      <calculatedColumnFormula>MemberOfAssemblyAssemblyDistrict90General[[#This Row],[Part of Westchester County 
Vote Results]]</calculatedColumnFormula>
      <totalsRowFormula>SUM(MemberOfAssemblyAssemblyDistrict90General[Total Votes by Party])</totalsRowFormula>
    </tableColumn>
    <tableColumn id="2" xr3:uid="{8CBBD631-06CF-4EED-B149-7BF793935FA5}" name="Total Votes by Candidate" dataDxfId="779" totalsRowDxfId="778"/>
  </tableColumns>
  <tableStyleInfo name="TableStyleMedium2" showFirstColumn="0" showLastColumn="0" showRowStripes="0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B7F8A49-4DDE-4977-B8C4-5E2227470A2F}" name="MemberOfAssemblyAssemblyDistrict96General" displayName="MemberOfAssemblyAssemblyDistrict96General" ref="A2:D8" totalsRowCount="1" headerRowDxfId="777" dataDxfId="775" totalsRowDxfId="773" headerRowBorderDxfId="776" tableBorderDxfId="774" totalsRowBorderDxfId="772">
  <autoFilter ref="A2:D7" xr:uid="{371FD33B-E0F1-4828-9D45-F6A7C6042C07}">
    <filterColumn colId="0" hiddenButton="1"/>
    <filterColumn colId="1" hiddenButton="1"/>
    <filterColumn colId="2" hiddenButton="1"/>
    <filterColumn colId="3" hiddenButton="1"/>
  </autoFilter>
  <tableColumns count="4">
    <tableColumn id="1" xr3:uid="{32DD6F22-1F6B-4CD1-9C44-AA077BBBA54C}" name="Candidate Name (Party)" totalsRowLabel="Total Votes by County" dataDxfId="771" totalsRowDxfId="770"/>
    <tableColumn id="4" xr3:uid="{5D117444-1AE9-4618-A2F5-E72B8E1A6B6B}" name="Part of Rockland County _x000a_Vote Results" totalsRowFunction="custom" dataDxfId="769" totalsRowDxfId="768">
      <totalsRowFormula>SUM(MemberOfAssemblyAssemblyDistrict96General[Part of Rockland County 
Vote Results])</totalsRowFormula>
    </tableColumn>
    <tableColumn id="3" xr3:uid="{C305CFFD-D17A-411B-849D-AF0C968CDB39}" name="Total Votes by Party" totalsRowFunction="custom" dataDxfId="767" totalsRowDxfId="766">
      <calculatedColumnFormula>MemberOfAssemblyAssemblyDistrict96General[[#This Row],[Part of Rockland County 
Vote Results]]</calculatedColumnFormula>
      <totalsRowFormula>SUM(MemberOfAssemblyAssemblyDistrict96General[Total Votes by Party])</totalsRowFormula>
    </tableColumn>
    <tableColumn id="2" xr3:uid="{B91424AD-6778-4013-A8B3-E83DF23A41D3}" name="Total Votes by Candidate" dataDxfId="765" totalsRowDxfId="764">
      <calculatedColumnFormula>SUM(MemberOfAssemblyAssemblyDistrict96General[[#This Row],[Total Votes by Party]],C4,#REF!)</calculatedColumnFormula>
    </tableColumn>
  </tableColumns>
  <tableStyleInfo name="TableStyleMedium2" showFirstColumn="0" showLastColumn="0" showRowStripes="0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BAC161B-E575-42E0-9B33-BE85C5E6BCC5}" name="MemberOfAssemblyAssemblyDistrict97General" displayName="MemberOfAssemblyAssemblyDistrict97General" ref="A2:D8" totalsRowCount="1" headerRowDxfId="763" dataDxfId="761" totalsRowDxfId="759" headerRowBorderDxfId="762" tableBorderDxfId="760" totalsRowBorderDxfId="758">
  <autoFilter ref="A2:D7" xr:uid="{97B32511-51F3-4A1E-A166-F3369638BE7F}">
    <filterColumn colId="0" hiddenButton="1"/>
    <filterColumn colId="1" hiddenButton="1"/>
    <filterColumn colId="2" hiddenButton="1"/>
    <filterColumn colId="3" hiddenButton="1"/>
  </autoFilter>
  <tableColumns count="4">
    <tableColumn id="1" xr3:uid="{86E4894B-27F7-48E2-B61D-5E694B60B1FD}" name="Candidate Name (Party)" totalsRowLabel="Total Votes by County" dataDxfId="757" totalsRowDxfId="756"/>
    <tableColumn id="4" xr3:uid="{4375DDB0-F258-41C4-BDCB-353B914889BE}" name="Part of Rockland County _x000a_Vote Results" totalsRowFunction="custom" dataDxfId="755" totalsRowDxfId="754">
      <totalsRowFormula>SUM(MemberOfAssemblyAssemblyDistrict97General[Part of Rockland County 
Vote Results])</totalsRowFormula>
    </tableColumn>
    <tableColumn id="3" xr3:uid="{9EFEC3C6-7DA8-48D9-8314-35C528679099}" name="Total Votes by Party" totalsRowFunction="custom" dataDxfId="753" totalsRowDxfId="752">
      <calculatedColumnFormula>MemberOfAssemblyAssemblyDistrict97General[[#This Row],[Part of Rockland County 
Vote Results]]</calculatedColumnFormula>
      <totalsRowFormula>SUM(MemberOfAssemblyAssemblyDistrict97General[Total Votes by Party])</totalsRowFormula>
    </tableColumn>
    <tableColumn id="2" xr3:uid="{6EB2407D-2B74-4CE6-AEE9-64242D4392CC}" name="Total Votes by Candidate" dataDxfId="751" totalsRowDxfId="750"/>
  </tableColumns>
  <tableStyleInfo name="TableStyleMedium2" showFirstColumn="0" showLastColumn="0" showRowStripes="0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9631A34-071E-44B7-8293-F2098B627060}" name="MemberOfAssemblyAssemblyDistrict102General" displayName="MemberOfAssemblyAssemblyDistrict102General" ref="A2:H9" totalsRowCount="1" headerRowDxfId="749" dataDxfId="747" totalsRowDxfId="745" headerRowBorderDxfId="748" tableBorderDxfId="746" totalsRowBorderDxfId="744">
  <autoFilter ref="A2:H8" xr:uid="{67401BB3-CFC4-47CC-B246-2E1D572C3D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015E2D2-2E5C-4749-88E7-39F829D78304}" name="Candidate Name (Party)" totalsRowLabel="Total Votes by County" dataDxfId="743" totalsRowDxfId="742"/>
    <tableColumn id="2" xr3:uid="{96229AF3-07B7-4453-AC29-40457E6C47A7}" name="Part of Albany County _x000a_Vote Results" totalsRowFunction="custom" dataDxfId="741" totalsRowDxfId="740">
      <totalsRowFormula>SUM(MemberOfAssemblyAssemblyDistrict102General[Part of Albany County 
Vote Results])</totalsRowFormula>
    </tableColumn>
    <tableColumn id="10" xr3:uid="{84EBAECF-E2F8-4E10-8CBF-57B360582092}" name="Part of Delaware County _x000a_Vote Results" totalsRowFunction="custom" dataDxfId="739" totalsRowDxfId="738">
      <totalsRowFormula>SUM(MemberOfAssemblyAssemblyDistrict102General[Part of Delaware County 
Vote Results])</totalsRowFormula>
    </tableColumn>
    <tableColumn id="8" xr3:uid="{B169D25B-1D1A-46F3-9DD5-FC72322A8275}" name="Greene County _x000a_Vote Results" totalsRowFunction="custom" dataDxfId="737" totalsRowDxfId="736">
      <totalsRowFormula>SUM(MemberOfAssemblyAssemblyDistrict102General[Greene County 
Vote Results])</totalsRowFormula>
    </tableColumn>
    <tableColumn id="7" xr3:uid="{DF025297-E0E6-49EE-8CB1-14F8F39BBE17}" name="Part of Otsego County _x000a_Vote Results" totalsRowFunction="custom" dataDxfId="735" totalsRowDxfId="734">
      <totalsRowFormula>SUM(MemberOfAssemblyAssemblyDistrict102General[Part of Otsego County 
Vote Results])</totalsRowFormula>
    </tableColumn>
    <tableColumn id="4" xr3:uid="{440DE21B-FAB6-4A2F-85AB-1F5D3492920B}" name="Schoharie County _x000a_Vote Results" totalsRowFunction="custom" dataDxfId="733" totalsRowDxfId="732">
      <totalsRowFormula>SUM(MemberOfAssemblyAssemblyDistrict102General[Schoharie County 
Vote Results])</totalsRowFormula>
    </tableColumn>
    <tableColumn id="3" xr3:uid="{BACD3BEF-6728-44F5-BA75-DBD2A23FA1CB}" name="Total Votes by Party" totalsRowFunction="custom" dataDxfId="731" totalsRowDxfId="730">
      <calculatedColumnFormula>SUM(MemberOfAssemblyAssemblyDistrict102General[[#This Row],[Part of Albany County 
Vote Results]:[Schoharie County 
Vote Results]])</calculatedColumnFormula>
      <totalsRowFormula>SUM(MemberOfAssemblyAssemblyDistrict102General[Total Votes by Party])</totalsRowFormula>
    </tableColumn>
    <tableColumn id="5" xr3:uid="{1B75A496-D35C-4E87-9F3C-8FDD778F1032}" name="Total Votes by Candidate" dataDxfId="729" totalsRowDxfId="728"/>
  </tableColumns>
  <tableStyleInfo name="TableStyleMedium2" showFirstColumn="0" showLastColumn="0" showRowStripes="0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4588D1A-B43C-4B4B-862C-3CC9C99E3582}" name="MemberOfAssemblyAssemblyDistrict106General" displayName="MemberOfAssemblyAssemblyDistrict106General" ref="A2:E8" totalsRowCount="1" headerRowDxfId="727" dataDxfId="725" totalsRowDxfId="723" headerRowBorderDxfId="726" tableBorderDxfId="724" totalsRowBorderDxfId="722">
  <autoFilter ref="A2:E7" xr:uid="{42CA49A3-C0EE-449B-8AEB-31CDBCCA969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CABF9DF-877E-4D6B-BC00-544A20F7E42F}" name="Candidate Name (Party)" totalsRowLabel="Total Votes by County" dataDxfId="721" totalsRowDxfId="720"/>
    <tableColumn id="2" xr3:uid="{11C00C6A-7491-4B60-B773-8DFC354D178E}" name="Part of Columbia County _x000a_Vote Results" totalsRowFunction="custom" dataDxfId="719" totalsRowDxfId="718">
      <totalsRowFormula>SUM(MemberOfAssemblyAssemblyDistrict106General[Part of Columbia County 
Vote Results])</totalsRowFormula>
    </tableColumn>
    <tableColumn id="4" xr3:uid="{DDB02F0C-D509-4797-B3BB-142F0546E836}" name="Part of Dutchess County _x000a_Vote Results" totalsRowFunction="custom" dataDxfId="717" totalsRowDxfId="716">
      <totalsRowFormula>SUM(MemberOfAssemblyAssemblyDistrict106General[Part of Dutchess County 
Vote Results])</totalsRowFormula>
    </tableColumn>
    <tableColumn id="3" xr3:uid="{A9B7CFCC-930E-46EB-8264-9DDDAAD89C39}" name="Total Votes by Party" totalsRowFunction="custom" dataDxfId="715" totalsRowDxfId="714">
      <calculatedColumnFormula>SUM(MemberOfAssemblyAssemblyDistrict106General[[#This Row],[Part of Columbia County 
Vote Results]:[Part of Dutchess County 
Vote Results]])</calculatedColumnFormula>
      <totalsRowFormula>SUM(MemberOfAssemblyAssemblyDistrict106General[Total Votes by Party])</totalsRowFormula>
    </tableColumn>
    <tableColumn id="5" xr3:uid="{5CA8C523-20B3-4553-8EBC-7939C464E5D5}" name="Total Votes by Candidate" dataDxfId="713" totalsRowDxfId="712"/>
  </tableColumns>
  <tableStyleInfo name="TableStyleMedium2" showFirstColumn="0" showLastColumn="0" showRowStripes="0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D87C5AE-AFCC-4AAD-A048-CE645B50AA7E}" name="MemberOfAssemblyAssemblyDistrict118General" displayName="MemberOfAssemblyAssemblyDistrict118General" ref="A2:I9" totalsRowCount="1" headerRowDxfId="711" dataDxfId="709" totalsRowDxfId="707" headerRowBorderDxfId="710" tableBorderDxfId="708" totalsRowBorderDxfId="706">
  <autoFilter ref="A2:I8" xr:uid="{7EC11E91-C20D-4D12-94FD-D9D3AAB366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A9E6FDA-6CC4-4CBD-A4AF-12FE48CF93DF}" name="Candidate Name (Party)" totalsRowLabel="Total Votes by County" dataDxfId="705" totalsRowDxfId="704"/>
    <tableColumn id="2" xr3:uid="{0DCC2DAF-8370-4B1A-B2B9-6D8789157A9F}" name="Part of Fulton County _x000a_Vote Results" totalsRowFunction="custom" dataDxfId="703" totalsRowDxfId="702">
      <totalsRowFormula>SUM(MemberOfAssemblyAssemblyDistrict118General[Part of Fulton County 
Vote Results])</totalsRowFormula>
    </tableColumn>
    <tableColumn id="6" xr3:uid="{20942143-5689-4166-BBE7-C8860A992E91}" name="Hamilton County _x000a_Vote Results" totalsRowFunction="custom" dataDxfId="701" totalsRowDxfId="700">
      <totalsRowFormula>SUM(MemberOfAssemblyAssemblyDistrict118General[Hamilton County 
Vote Results])</totalsRowFormula>
    </tableColumn>
    <tableColumn id="7" xr3:uid="{AAFC4067-9E43-4EB5-A23C-7F80C8E77701}" name="Part of Herkimer County _x000a_Vote Results" totalsRowFunction="custom" dataDxfId="699" totalsRowDxfId="698">
      <totalsRowFormula>SUBTOTAL(109,D3:D8)</totalsRowFormula>
    </tableColumn>
    <tableColumn id="3" xr3:uid="{FA1B9173-520F-4C96-9C27-00D780B71B3F}" name="Part of Montgomery County _x000a_Vote Results" totalsRowFunction="custom" dataDxfId="697" totalsRowDxfId="696">
      <totalsRowFormula>SUM(MemberOfAssemblyAssemblyDistrict118General[Part of Montgomery County 
Vote Results])</totalsRowFormula>
    </tableColumn>
    <tableColumn id="9" xr3:uid="{ECA3E659-DA01-4E9F-B0DA-20E684DAC630}" name="Part of Oneida County _x000a_Vote Results" totalsRowFunction="custom" dataDxfId="695" totalsRowDxfId="694">
      <totalsRowFormula>SUM(MemberOfAssemblyAssemblyDistrict118General[Part of Oneida County 
Vote Results])</totalsRowFormula>
    </tableColumn>
    <tableColumn id="4" xr3:uid="{4C1C9807-7AEB-495E-9092-73878226D6AB}" name="Part of Otsego _x000a_Vote Results" totalsRowFunction="custom" dataDxfId="693" totalsRowDxfId="692">
      <totalsRowFormula>SUM(MemberOfAssemblyAssemblyDistrict118General[Part of Otsego 
Vote Results])</totalsRowFormula>
    </tableColumn>
    <tableColumn id="8" xr3:uid="{4E5DEB3B-E6ED-4A3F-89EB-5569E05D2805}" name="Total Votes by Party" totalsRowFunction="custom" dataDxfId="691" totalsRowDxfId="690">
      <calculatedColumnFormula>SUM(MemberOfAssemblyAssemblyDistrict118General[[#This Row],[Part of Fulton County 
Vote Results]:[Part of Otsego 
Vote Results]])</calculatedColumnFormula>
      <totalsRowFormula>SUM(MemberOfAssemblyAssemblyDistrict118General[Total Votes by Party])</totalsRowFormula>
    </tableColumn>
    <tableColumn id="5" xr3:uid="{6DE3BEC9-73B9-4D36-9F20-1C86ECCF890B}" name="Total Votes by Candidate" dataDxfId="689" totalsRowDxfId="688">
      <calculatedColumnFormula>SUM(MemberOfAssemblyAssemblyDistrict118General[[#This Row],[Total Votes by Party]],H4,H5,#REF!)</calculatedColumnFormula>
    </tableColumn>
  </tableColumns>
  <tableStyleInfo name="TableStyleMedium2" showFirstColumn="0" showLastColumn="0" showRowStripes="0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3F678BCE-BF35-4245-998F-82B0A3CC5FCA}" name="MemberOfAssemblyAssemblyDistrict119General34" displayName="MemberOfAssemblyAssemblyDistrict119General34" ref="A2:D8" totalsRowCount="1" headerRowDxfId="687" dataDxfId="685" totalsRowDxfId="683" headerRowBorderDxfId="686" tableBorderDxfId="684" totalsRowBorderDxfId="682">
  <autoFilter ref="A2:D7" xr:uid="{A85E9E46-A4EA-4B4C-9BA9-C51E7A5B06F4}">
    <filterColumn colId="0" hiddenButton="1"/>
    <filterColumn colId="1" hiddenButton="1"/>
    <filterColumn colId="2" hiddenButton="1"/>
    <filterColumn colId="3" hiddenButton="1"/>
  </autoFilter>
  <tableColumns count="4">
    <tableColumn id="1" xr3:uid="{0096B6EF-FBE5-4071-8CCA-DF4A6E73777F}" name="Candidate Name (Party)" totalsRowLabel="Total Votes by County" dataDxfId="681" totalsRowDxfId="680"/>
    <tableColumn id="4" xr3:uid="{326424CB-E22D-4C6B-A5D4-EF8B5D82B3DF}" name="Part of Oneida County _x000a_Vote Results" totalsRowFunction="custom" dataDxfId="679" totalsRowDxfId="678">
      <totalsRowFormula>SUM(MemberOfAssemblyAssemblyDistrict119General34[Part of Oneida County 
Vote Results])</totalsRowFormula>
    </tableColumn>
    <tableColumn id="3" xr3:uid="{E26DBFF1-85A7-4C92-BD5B-572A13B385EF}" name="Total Votes by Party" totalsRowFunction="custom" dataDxfId="677" totalsRowDxfId="676">
      <calculatedColumnFormula>SUM(MemberOfAssemblyAssemblyDistrict119General34[[#This Row],[Part of Oneida County 
Vote Results]])</calculatedColumnFormula>
      <totalsRowFormula>SUM(MemberOfAssemblyAssemblyDistrict119General34[Total Votes by Party])</totalsRowFormula>
    </tableColumn>
    <tableColumn id="5" xr3:uid="{F9334C43-D6F6-4115-8A69-31E91395BA88}" name="Total Votes by Candidate" dataDxfId="675" totalsRowDxfId="674"/>
  </tableColumns>
  <tableStyleInfo name="TableStyleMedium2" showFirstColumn="0" showLastColumn="0" showRowStripes="0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B1756620-031D-45E7-B7A9-8D5D2C485DDA}" name="MemberOfAssemblyAssemblyDistrict119General" displayName="MemberOfAssemblyAssemblyDistrict119General" ref="A2:D8" totalsRowCount="1" headerRowDxfId="673" dataDxfId="671" totalsRowDxfId="669" headerRowBorderDxfId="672" tableBorderDxfId="670" totalsRowBorderDxfId="668">
  <autoFilter ref="A2:D7" xr:uid="{A85E9E46-A4EA-4B4C-9BA9-C51E7A5B06F4}">
    <filterColumn colId="0" hiddenButton="1"/>
    <filterColumn colId="1" hiddenButton="1"/>
    <filterColumn colId="2" hiddenButton="1"/>
    <filterColumn colId="3" hiddenButton="1"/>
  </autoFilter>
  <tableColumns count="4">
    <tableColumn id="1" xr3:uid="{201F52F9-C07D-4F92-92A6-ABA4A597FB0D}" name="Candidate Name (Party)" totalsRowLabel="Total Votes by County" dataDxfId="667" totalsRowDxfId="666"/>
    <tableColumn id="4" xr3:uid="{63491B47-B17D-44B0-8BE9-2C012FA749BE}" name="Part of Oneida County _x000a_Vote Results" totalsRowFunction="custom" dataDxfId="665" totalsRowDxfId="664">
      <totalsRowFormula>SUM(MemberOfAssemblyAssemblyDistrict119General[Part of Oneida County 
Vote Results])</totalsRowFormula>
    </tableColumn>
    <tableColumn id="3" xr3:uid="{D79F07D9-C91A-406B-BFAD-9E696B1F3FC1}" name="Total Votes by Party" totalsRowFunction="custom" dataDxfId="663" totalsRowDxfId="662">
      <calculatedColumnFormula>SUM(MemberOfAssemblyAssemblyDistrict119General[[#This Row],[Part of Oneida County 
Vote Results]])</calculatedColumnFormula>
      <totalsRowFormula>SUM(MemberOfAssemblyAssemblyDistrict119General[Total Votes by Party])</totalsRowFormula>
    </tableColumn>
    <tableColumn id="5" xr3:uid="{49F9C982-CA59-4CC6-94B3-A5F5D6810DC3}" name="Total Votes by Candidate" dataDxfId="661" totalsRowDxfId="660"/>
  </tableColumns>
  <tableStyleInfo name="TableStyleMedium2" showFirstColumn="0" showLastColumn="0" showRowStripes="0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982EFF8-942F-480F-A05C-1760FF55F318}" name="MemberOfAssemblyAssemblyDistrict120General16" displayName="MemberOfAssemblyAssemblyDistrict120General16" ref="A2:F8" totalsRowCount="1" headerRowDxfId="659" dataDxfId="657" totalsRowDxfId="655" headerRowBorderDxfId="658" tableBorderDxfId="656" totalsRowBorderDxfId="654">
  <autoFilter ref="A2:F7" xr:uid="{E7CC8E6A-635A-4976-9E9C-8AB012ADC4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823EA65-E1A4-4194-B95D-D8120950AE4C}" name="Candidate Name (Party)" totalsRowLabel="Total Votes by County" dataDxfId="653" totalsRowDxfId="652"/>
    <tableColumn id="2" xr3:uid="{9BC7CEB3-7C2D-4530-B5B6-615174BC95A2}" name="Part of Cayuga County _x000a_Vote Results" totalsRowFunction="custom" dataDxfId="651" totalsRowDxfId="650">
      <totalsRowFormula>SUM(MemberOfAssemblyAssemblyDistrict120General16[Part of Cayuga County 
Vote Results])</totalsRowFormula>
    </tableColumn>
    <tableColumn id="3" xr3:uid="{7F632ADE-A747-4543-B278-FFE0BBD9794E}" name="Part of Jefferson County _x000a_Vote Results" totalsRowFunction="custom" dataDxfId="649" totalsRowDxfId="648">
      <totalsRowFormula>SUM(MemberOfAssemblyAssemblyDistrict120General16[Part of Jefferson County 
Vote Results])</totalsRowFormula>
    </tableColumn>
    <tableColumn id="4" xr3:uid="{8CE315B4-2987-4A94-BA72-D3C571C16A57}" name="Oswego County _x000a_Vote Results" totalsRowFunction="custom" dataDxfId="647" totalsRowDxfId="646">
      <totalsRowFormula>SUM(MemberOfAssemblyAssemblyDistrict120General16[Oswego County 
Vote Results])</totalsRowFormula>
    </tableColumn>
    <tableColumn id="6" xr3:uid="{ED6B7685-0CFE-44EA-8B39-DBCB4D32EC35}" name="Total Votes by Party" totalsRowFunction="custom" dataDxfId="645" totalsRowDxfId="644">
      <calculatedColumnFormula>SUM(MemberOfAssemblyAssemblyDistrict120General16[[#This Row],[Part of Cayuga County 
Vote Results]:[Oswego County 
Vote Results]])</calculatedColumnFormula>
      <totalsRowFormula>SUM(MemberOfAssemblyAssemblyDistrict120General16[Total Votes by Party])</totalsRowFormula>
    </tableColumn>
    <tableColumn id="5" xr3:uid="{0CB98A6B-4729-4FDB-8F49-5950D9FF0165}" name="Total Votes by Candidate" dataDxfId="643" totalsRowDxfId="642"/>
  </tableColumns>
  <tableStyleInfo name="TableStyleMedium2" showFirstColumn="0" showLastColumn="0" showRowStripes="0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3CB5A3E-9417-4BE0-A233-B911CE8ADC34}" name="MemberOfAssemblyAssemblyDistrict123General" displayName="MemberOfAssemblyAssemblyDistrict123General" ref="A2:D8" totalsRowCount="1" headerRowDxfId="641" dataDxfId="639" totalsRowDxfId="637" headerRowBorderDxfId="640" tableBorderDxfId="638" totalsRowBorderDxfId="636">
  <autoFilter ref="A2:D7" xr:uid="{EB4A7198-1C28-40BC-B31B-03D2757DA304}">
    <filterColumn colId="0" hiddenButton="1"/>
    <filterColumn colId="1" hiddenButton="1"/>
    <filterColumn colId="2" hiddenButton="1"/>
    <filterColumn colId="3" hiddenButton="1"/>
  </autoFilter>
  <tableColumns count="4">
    <tableColumn id="1" xr3:uid="{B947AD5C-80C0-43C3-A144-4CF7D8946AFA}" name="Candidate Name (Party)" totalsRowLabel="Total Votes by County" dataDxfId="635" totalsRowDxfId="634"/>
    <tableColumn id="4" xr3:uid="{ADB3248D-D83E-404C-A57C-95EEBAE5F4AA}" name="Part of Broome County _x000a_Vote Results" totalsRowFunction="custom" dataDxfId="633" totalsRowDxfId="632">
      <totalsRowFormula>SUM(MemberOfAssemblyAssemblyDistrict123General[Part of Broome County 
Vote Results])</totalsRowFormula>
    </tableColumn>
    <tableColumn id="3" xr3:uid="{65614B4F-C6B3-4A8E-AC44-D4F2D65B6FFB}" name="Total Votes by Party" totalsRowFunction="custom" dataDxfId="631" totalsRowDxfId="630">
      <calculatedColumnFormula>MemberOfAssemblyAssemblyDistrict123General[[#This Row],[Part of Broome County 
Vote Results]]</calculatedColumnFormula>
      <totalsRowFormula>SUM(MemberOfAssemblyAssemblyDistrict123General[Total Votes by Party])</totalsRowFormula>
    </tableColumn>
    <tableColumn id="2" xr3:uid="{8F07D9F9-C8B9-49A3-B956-2BF0C279A2A1}" name="Total Votes by Candidate" dataDxfId="629" totalsRowDxfId="628"/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3E548EF2-6F4E-4C1F-8DF7-8875C28B5C42}" name="RepInCongressCongressionalDistrict9General" displayName="RepInCongressCongressionalDistrict9General" ref="A2:D9" totalsRowCount="1" headerRowDxfId="1815" dataDxfId="1813" totalsRowDxfId="1811" headerRowBorderDxfId="1814" tableBorderDxfId="1812" totalsRowBorderDxfId="1810">
  <autoFilter ref="A2:D8" xr:uid="{2ABB5165-DA54-458E-948F-F67912A9FB1C}">
    <filterColumn colId="0" hiddenButton="1"/>
    <filterColumn colId="1" hiddenButton="1"/>
    <filterColumn colId="2" hiddenButton="1"/>
    <filterColumn colId="3" hiddenButton="1"/>
  </autoFilter>
  <tableColumns count="4">
    <tableColumn id="1" xr3:uid="{317A3BC8-5EB4-436D-BF4F-5355D8107FDE}" name="Candidate Name (Party)" totalsRowLabel="Total Votes by County" dataDxfId="1809" totalsRowDxfId="1808"/>
    <tableColumn id="4" xr3:uid="{C3397143-9A9C-4608-B60F-5A5E30DCF097}" name="Part of Kings County _x000a_Vote Results" totalsRowFunction="custom" dataDxfId="1807" totalsRowDxfId="1806">
      <totalsRowFormula>SUM(RepInCongressCongressionalDistrict9General[Part of Kings County 
Vote Results])</totalsRowFormula>
    </tableColumn>
    <tableColumn id="3" xr3:uid="{D536BF16-D867-4AFF-9CF3-D0E6B60DF768}" name="Total Votes by Party" totalsRowFunction="custom" dataDxfId="1805" totalsRowDxfId="1804">
      <calculatedColumnFormula>RepInCongressCongressionalDistrict9General[[#This Row],[Part of Kings County 
Vote Results]]</calculatedColumnFormula>
      <totalsRowFormula>SUM(RepInCongressCongressionalDistrict9General[Total Votes by Party])</totalsRowFormula>
    </tableColumn>
    <tableColumn id="2" xr3:uid="{9AF0E363-91B7-48CE-976C-68D7B353A734}" name="Total Votes by Candidate" dataDxfId="1803" totalsRowDxfId="1802"/>
  </tableColumns>
  <tableStyleInfo name="TableStyleMedium2" showFirstColumn="0" showLastColumn="0" showRowStripes="0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67A07C7-B6E1-4575-9F0F-0E4CA42703BF}" name="MemberOfAssemblyAssemblyDistrict129General" displayName="MemberOfAssemblyAssemblyDistrict129General" ref="A2:D8" totalsRowCount="1" headerRowDxfId="627" dataDxfId="625" totalsRowDxfId="623" headerRowBorderDxfId="626" tableBorderDxfId="624" totalsRowBorderDxfId="622">
  <autoFilter ref="A2:D7" xr:uid="{F17DF096-FB6A-4785-B4E0-C29538779450}">
    <filterColumn colId="0" hiddenButton="1"/>
    <filterColumn colId="1" hiddenButton="1"/>
    <filterColumn colId="2" hiddenButton="1"/>
    <filterColumn colId="3" hiddenButton="1"/>
  </autoFilter>
  <tableColumns count="4">
    <tableColumn id="1" xr3:uid="{24BB28E8-9759-48CC-8C81-DE3256684545}" name="Candidate Name (Party)" totalsRowLabel="Total Votes by County" dataDxfId="621" totalsRowDxfId="620"/>
    <tableColumn id="4" xr3:uid="{F9D0300F-F2FC-442A-8C28-18EE655EC717}" name="Part of Onondaga County _x000a_Vote Results" totalsRowFunction="custom" dataDxfId="619" totalsRowDxfId="618">
      <totalsRowFormula>SUM(MemberOfAssemblyAssemblyDistrict129General[Part of Onondaga County 
Vote Results])</totalsRowFormula>
    </tableColumn>
    <tableColumn id="3" xr3:uid="{FE63EEDD-ECFA-4FEB-B83E-AF8F3A7A7839}" name="Total Votes by Party" totalsRowFunction="custom" dataDxfId="617" totalsRowDxfId="616">
      <calculatedColumnFormula>MemberOfAssemblyAssemblyDistrict129General[[#This Row],[Part of Onondaga County 
Vote Results]]</calculatedColumnFormula>
      <totalsRowFormula>SUM(MemberOfAssemblyAssemblyDistrict129General[Total Votes by Party])</totalsRowFormula>
    </tableColumn>
    <tableColumn id="2" xr3:uid="{1CACDCB4-3CC4-4A1C-A4CC-C18791812A1A}" name="Total Votes by Candidate" dataDxfId="615" totalsRowDxfId="614"/>
  </tableColumns>
  <tableStyleInfo name="TableStyleMedium2" showFirstColumn="0" showLastColumn="0" showRowStripes="0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C1901B1-4A64-4591-8457-886D56C28501}" name="MemberOfAssemblyAssemblyDistrict130General" displayName="MemberOfAssemblyAssemblyDistrict130General" ref="A2:E8" totalsRowCount="1" headerRowDxfId="613" dataDxfId="611" totalsRowDxfId="609" headerRowBorderDxfId="612" tableBorderDxfId="610" totalsRowBorderDxfId="608">
  <autoFilter ref="A2:E7" xr:uid="{366EF961-28AF-40FC-86B2-952659696D8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48022A3-8DE2-492E-9EF1-1F809D38203A}" name="Candidate Name (Party)" totalsRowLabel="Total Votes by County" dataDxfId="607" totalsRowDxfId="606"/>
    <tableColumn id="2" xr3:uid="{94DAF4E7-6E72-4C5B-8917-08A6D3A03E3B}" name="Part of Monroe County _x000a_Vote Results" totalsRowFunction="custom" dataDxfId="605" totalsRowDxfId="604">
      <totalsRowFormula>SUM(MemberOfAssemblyAssemblyDistrict130General[Part of Monroe County 
Vote Results])</totalsRowFormula>
    </tableColumn>
    <tableColumn id="4" xr3:uid="{D393B4E8-0D5A-4BA1-89C3-BFD94799107F}" name="Wayne County _x000a_Vote Results" totalsRowFunction="custom" dataDxfId="603" totalsRowDxfId="602">
      <totalsRowFormula>SUM(MemberOfAssemblyAssemblyDistrict130General[Wayne County 
Vote Results])</totalsRowFormula>
    </tableColumn>
    <tableColumn id="6" xr3:uid="{FCC08F69-57B2-4402-9BB1-31CDFF1DFB55}" name="Total Votes by Party" totalsRowFunction="custom" dataDxfId="601" totalsRowDxfId="600">
      <calculatedColumnFormula>SUM(MemberOfAssemblyAssemblyDistrict130General[[#This Row],[Part of Monroe County 
Vote Results]:[Wayne County 
Vote Results]])</calculatedColumnFormula>
      <totalsRowFormula>SUM(MemberOfAssemblyAssemblyDistrict130General[Total Votes by Party])</totalsRowFormula>
    </tableColumn>
    <tableColumn id="5" xr3:uid="{27BB4C3F-C0F0-429C-A8B0-EC21E23E2117}" name="Total Votes by Candidate" dataDxfId="599" totalsRowDxfId="598"/>
  </tableColumns>
  <tableStyleInfo name="TableStyleMedium2" showFirstColumn="0" showLastColumn="0" showRowStripes="0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4BE7BB8-AF90-4ADF-B095-17F5A4843B1C}" name="MemberOfAssemblyAssemblyDistrict130General19" displayName="MemberOfAssemblyAssemblyDistrict130General19" ref="A2:E9" totalsRowCount="1" headerRowDxfId="597" dataDxfId="595" totalsRowDxfId="593" headerRowBorderDxfId="596" tableBorderDxfId="594" totalsRowBorderDxfId="592">
  <autoFilter ref="A2:E8" xr:uid="{366EF961-28AF-40FC-86B2-952659696D8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9605868-3A77-44CA-B592-07F558EF7941}" name="Candidate Name (Party)" totalsRowLabel="Total Votes by County" dataDxfId="591" totalsRowDxfId="590"/>
    <tableColumn id="2" xr3:uid="{A55F82FB-2B38-4F6C-9272-06D08BA8B9E3}" name="Part of Monroe County _x000a_Vote Results" totalsRowFunction="custom" dataDxfId="589" totalsRowDxfId="588">
      <totalsRowFormula>SUM(MemberOfAssemblyAssemblyDistrict130General19[Part of Monroe County 
Vote Results])</totalsRowFormula>
    </tableColumn>
    <tableColumn id="4" xr3:uid="{9E294286-8A6F-4193-A5F4-EBC3ED527023}" name="Wayne County _x000a_Vote Results" totalsRowFunction="custom" dataDxfId="587" totalsRowDxfId="586">
      <totalsRowFormula>SUM(MemberOfAssemblyAssemblyDistrict130General19[Wayne County 
Vote Results])</totalsRowFormula>
    </tableColumn>
    <tableColumn id="6" xr3:uid="{D1806BD7-FD42-4F10-8F35-33A41338E901}" name="Total Votes by Party" totalsRowFunction="custom" dataDxfId="585" totalsRowDxfId="584">
      <calculatedColumnFormula>SUM(MemberOfAssemblyAssemblyDistrict130General19[[#This Row],[Part of Monroe County 
Vote Results]:[Wayne County 
Vote Results]])</calculatedColumnFormula>
      <totalsRowFormula>SUM(MemberOfAssemblyAssemblyDistrict130General19[Total Votes by Party])</totalsRowFormula>
    </tableColumn>
    <tableColumn id="5" xr3:uid="{0CDD7D6C-7C5C-4E19-9F59-B3E97739453F}" name="Total Votes by Candidate" dataDxfId="583" totalsRowDxfId="582"/>
  </tableColumns>
  <tableStyleInfo name="TableStyleMedium2" showFirstColumn="0" showLastColumn="0" showRowStripes="0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61523BD7-FD65-40B1-A33D-A59301125BDE}" name="MemberOfAssemblyAssemblyDistrict137General" displayName="MemberOfAssemblyAssemblyDistrict137General" ref="A2:D8" totalsRowCount="1" headerRowDxfId="581" dataDxfId="579" totalsRowDxfId="577" headerRowBorderDxfId="580" tableBorderDxfId="578" totalsRowBorderDxfId="576">
  <autoFilter ref="A2:D7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4D47E45E-6D69-4042-98F5-58EFE104CC75}" name="Candidate Name (Party)" totalsRowLabel="Total Votes by County" dataDxfId="575" totalsRowDxfId="574"/>
    <tableColumn id="4" xr3:uid="{E8D85E1E-81C3-423B-9AB3-5D3C7505A2DB}" name="Part of Monroe County _x000a_Vote Results" totalsRowFunction="custom" dataDxfId="573" totalsRowDxfId="572">
      <totalsRowFormula>SUM(MemberOfAssemblyAssemblyDistrict137General[Part of Monroe County 
Vote Results])</totalsRowFormula>
    </tableColumn>
    <tableColumn id="3" xr3:uid="{5B0A4A4D-1338-4C8B-9DFF-2164A6B4F9B8}" name="Total Votes by Party" totalsRowFunction="custom" dataDxfId="571" totalsRowDxfId="570">
      <calculatedColumnFormula>MemberOfAssemblyAssemblyDistrict137General[[#This Row],[Part of Monroe County 
Vote Results]]</calculatedColumnFormula>
      <totalsRowFormula>SUM(MemberOfAssemblyAssemblyDistrict137General[Total Votes by Party])</totalsRowFormula>
    </tableColumn>
    <tableColumn id="2" xr3:uid="{0E7327DC-52E1-4519-BA4F-314BE5D6AD5C}" name="Total Votes by Candidate" dataDxfId="569" totalsRowDxfId="568">
      <calculatedColumnFormula>SUM(MemberOfAssemblyAssemblyDistrict137General[[#This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0CA1E62-1481-47AE-B638-6A08FF9F31BF}" name="MemberOfAssemblyAssemblyDistrict149General" displayName="MemberOfAssemblyAssemblyDistrict149General" ref="A2:D9" totalsRowCount="1" headerRowDxfId="567" dataDxfId="565" totalsRowDxfId="563" headerRowBorderDxfId="566" tableBorderDxfId="564" totalsRowBorderDxfId="562">
  <autoFilter ref="A2:D8" xr:uid="{71A37BCA-A655-47C9-A6F3-9AB9E1E6762B}">
    <filterColumn colId="0" hiddenButton="1"/>
    <filterColumn colId="1" hiddenButton="1"/>
    <filterColumn colId="2" hiddenButton="1"/>
    <filterColumn colId="3" hiddenButton="1"/>
  </autoFilter>
  <tableColumns count="4">
    <tableColumn id="1" xr3:uid="{8463CE58-B79A-49A0-9EE6-76CBE392B8BF}" name="Candidate Name (Party)" totalsRowLabel="Total Votes by County" dataDxfId="561" totalsRowDxfId="560"/>
    <tableColumn id="4" xr3:uid="{E83258C1-D9B9-4838-8125-1623DEB4E0DD}" name="Part of Erie County _x000a_Vote Results" totalsRowFunction="custom" dataDxfId="559" totalsRowDxfId="558">
      <totalsRowFormula>SUM(MemberOfAssemblyAssemblyDistrict149General[Part of Erie County 
Vote Results])</totalsRowFormula>
    </tableColumn>
    <tableColumn id="3" xr3:uid="{7ED05A21-5741-4A5F-B56C-886B51370BD8}" name="Total Votes by Party" totalsRowFunction="custom" dataDxfId="557" totalsRowDxfId="556">
      <calculatedColumnFormula>MemberOfAssemblyAssemblyDistrict149General[[#This Row],[Part of Erie County 
Vote Results]]</calculatedColumnFormula>
      <totalsRowFormula>SUM(MemberOfAssemblyAssemblyDistrict149General[Total Votes by Party])</totalsRowFormula>
    </tableColumn>
    <tableColumn id="2" xr3:uid="{229FF2D4-B32F-47D4-A8EC-EB25215326AB}" name="Total Votes by Candidate" dataDxfId="555" totalsRowDxfId="554"/>
  </tableColumns>
  <tableStyleInfo name="TableStyleMedium2" showFirstColumn="0" showLastColumn="0" showRowStripes="0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89892FB6-F07C-4FB4-B900-BF6693326744}" name="MemberOfAssemblyAssemblyDistrict66General122" displayName="MemberOfAssemblyAssemblyDistrict66General122" ref="A2:D28" totalsRowCount="1" headerRowDxfId="553" dataDxfId="551" totalsRowDxfId="549" headerRowBorderDxfId="552" tableBorderDxfId="550" totalsRowBorderDxfId="548">
  <autoFilter ref="A2:D27" xr:uid="{DB588E57-B3EA-45ED-B396-65AD89BE7DBB}">
    <filterColumn colId="0" hiddenButton="1"/>
    <filterColumn colId="1" hiddenButton="1"/>
    <filterColumn colId="2" hiddenButton="1"/>
    <filterColumn colId="3" hiddenButton="1"/>
  </autoFilter>
  <tableColumns count="4">
    <tableColumn id="1" xr3:uid="{5FE9453C-FFB6-4ED1-9183-D4D61AD2A535}" name="Candidate Name (Party)" totalsRowLabel="Total Votes by County" dataDxfId="547" totalsRowDxfId="546"/>
    <tableColumn id="4" xr3:uid="{4535295B-9BE7-4F73-9BD0-EE008021108E}" name="Part of New York County _x000a_Vote Results" totalsRowFunction="custom" dataDxfId="545" totalsRowDxfId="544">
      <totalsRowFormula>SUM(MemberOfAssemblyAssemblyDistrict66General122[Part of New York County 
Vote Results])</totalsRowFormula>
    </tableColumn>
    <tableColumn id="3" xr3:uid="{CFFC8C70-DAA0-477E-8868-AA74961FBBBA}" name="Total Votes by Party" totalsRowFunction="custom" dataDxfId="543" totalsRowDxfId="542">
      <calculatedColumnFormula>MemberOfAssemblyAssemblyDistrict66General122[[#This Row],[Part of New York County 
Vote Results]]</calculatedColumnFormula>
      <totalsRowFormula>SUM(MemberOfAssemblyAssemblyDistrict66General122[Total Votes by Party])</totalsRowFormula>
    </tableColumn>
    <tableColumn id="2" xr3:uid="{75BB2C95-AB62-4132-A58E-9463E423A2DC}" name="Total Votes by Candidate" dataDxfId="541" totalsRowDxfId="540"/>
  </tableColumns>
  <tableStyleInfo name="TableStyleMedium2" showFirstColumn="0" showLastColumn="0" showRowStripes="0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CC820AC3-A31E-4AC6-B44B-635858D0420B}" name="MemberOfAssemblyAssemblyDistrict66General123" displayName="MemberOfAssemblyAssemblyDistrict66General123" ref="A2:D26" totalsRowCount="1" headerRowDxfId="539" dataDxfId="537" totalsRowDxfId="535" headerRowBorderDxfId="538" tableBorderDxfId="536" totalsRowBorderDxfId="534">
  <autoFilter ref="A2:D25" xr:uid="{DB588E57-B3EA-45ED-B396-65AD89BE7DBB}">
    <filterColumn colId="0" hiddenButton="1"/>
    <filterColumn colId="1" hiddenButton="1"/>
    <filterColumn colId="2" hiddenButton="1"/>
    <filterColumn colId="3" hiddenButton="1"/>
  </autoFilter>
  <tableColumns count="4">
    <tableColumn id="1" xr3:uid="{08A7C4D5-142E-46A3-AEB4-F0B874041A5C}" name="Candidate Name (Party)" totalsRowLabel="Total Votes by County" dataDxfId="533" totalsRowDxfId="532"/>
    <tableColumn id="4" xr3:uid="{025524B0-AC19-4B7F-97D4-93B00DC6F520}" name="Part of New York County _x000a_Vote Results" totalsRowFunction="custom" dataDxfId="531" totalsRowDxfId="530">
      <totalsRowFormula>SUM(MemberOfAssemblyAssemblyDistrict66General123[Part of New York County 
Vote Results])</totalsRowFormula>
    </tableColumn>
    <tableColumn id="3" xr3:uid="{F8D45479-1B6E-469B-B776-74391D800E42}" name="Total Votes by Party" totalsRowFunction="custom" dataDxfId="529" totalsRowDxfId="528">
      <calculatedColumnFormula>MemberOfAssemblyAssemblyDistrict66General123[[#This Row],[Part of New York County 
Vote Results]]</calculatedColumnFormula>
      <totalsRowFormula>SUM(MemberOfAssemblyAssemblyDistrict66General123[Total Votes by Party])</totalsRowFormula>
    </tableColumn>
    <tableColumn id="2" xr3:uid="{C994AD77-0051-4270-812C-1FF12022D693}" name="Total Votes by Candidate" dataDxfId="527" totalsRowDxfId="526"/>
  </tableColumns>
  <tableStyleInfo name="TableStyleMedium2" showFirstColumn="0" showLastColumn="0" showRowStripes="0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3929008E-977F-4622-B3BC-857BBD60ABA0}" name="MemberOfAssemblyAssemblyDistrict68General124" displayName="MemberOfAssemblyAssemblyDistrict68General124" ref="A2:D33" totalsRowCount="1" headerRowDxfId="525" dataDxfId="523" totalsRowDxfId="521" headerRowBorderDxfId="524" tableBorderDxfId="522" totalsRowBorderDxfId="520">
  <autoFilter ref="A2:D32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72CABAB3-0DBD-4B18-A448-8CD48F16D789}" name="Candidate Name (Party)" totalsRowLabel="Total Votes by County" dataDxfId="519" totalsRowDxfId="518"/>
    <tableColumn id="4" xr3:uid="{07DECE95-26A5-4ADD-95C0-EAF03DD42429}" name="Part of New York County _x000a_Vote Results" totalsRowFunction="custom" dataDxfId="517" totalsRowDxfId="516">
      <totalsRowFormula>SUM(MemberOfAssemblyAssemblyDistrict68General124[Part of New York County 
Vote Results])</totalsRowFormula>
    </tableColumn>
    <tableColumn id="3" xr3:uid="{91CFA322-7307-4618-9141-8EA776147D92}" name="Total Votes by Party" totalsRowFunction="custom" dataDxfId="515" totalsRowDxfId="514">
      <calculatedColumnFormula>MemberOfAssemblyAssemblyDistrict68General124[[#This Row],[Part of New York County 
Vote Results]]</calculatedColumnFormula>
      <totalsRowFormula>SUM(MemberOfAssemblyAssemblyDistrict68General124[Total Votes by Party])</totalsRowFormula>
    </tableColumn>
    <tableColumn id="2" xr3:uid="{94EA6B73-9EF2-4A44-B4AE-E030052E1004}" name="Total Votes by Candidate" dataDxfId="513" totalsRowDxfId="512"/>
  </tableColumns>
  <tableStyleInfo name="TableStyleMedium2" showFirstColumn="0" showLastColumn="0" showRowStripes="0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AF3CB872-5B7A-4783-8D3B-EC8F7593E4D7}" name="MemberOfAssemblyAssemblyDistrict68General125" displayName="MemberOfAssemblyAssemblyDistrict68General125" ref="A2:D31" totalsRowCount="1" headerRowDxfId="511" dataDxfId="509" totalsRowDxfId="507" headerRowBorderDxfId="510" tableBorderDxfId="508" totalsRowBorderDxfId="506">
  <autoFilter ref="A2:D30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04D277CC-BD4F-403C-8F48-34342A11776E}" name="Candidate Name (Party)" totalsRowLabel="Total Votes by County" dataDxfId="505" totalsRowDxfId="504"/>
    <tableColumn id="4" xr3:uid="{2FF33126-5036-409F-B0C9-322B6B9AA400}" name="Part of New York County _x000a_Vote Results" totalsRowFunction="custom" dataDxfId="503" totalsRowDxfId="502">
      <totalsRowFormula>SUM(MemberOfAssemblyAssemblyDistrict68General125[Part of New York County 
Vote Results])</totalsRowFormula>
    </tableColumn>
    <tableColumn id="3" xr3:uid="{DBF1E2EC-C121-4F19-B3DB-48DF2D37AA06}" name="Total Votes by Party" totalsRowFunction="custom" dataDxfId="501" totalsRowDxfId="500">
      <calculatedColumnFormula>MemberOfAssemblyAssemblyDistrict68General125[[#This Row],[Part of New York County 
Vote Results]]</calculatedColumnFormula>
      <totalsRowFormula>SUM(MemberOfAssemblyAssemblyDistrict68General125[Total Votes by Party])</totalsRowFormula>
    </tableColumn>
    <tableColumn id="2" xr3:uid="{05D2EAF4-A42C-40BC-92A8-6C44FE8275D1}" name="Total Votes by Candidate" dataDxfId="499" totalsRowDxfId="498"/>
  </tableColumns>
  <tableStyleInfo name="TableStyleMedium2" showFirstColumn="0" showLastColumn="0" showRowStripes="0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D9984B7D-2202-488C-B2EF-1FD1B46EFB83}" name="MemberOfAssemblyAssemblyDistrict71General127" displayName="MemberOfAssemblyAssemblyDistrict71General127" ref="A2:D29" totalsRowCount="1" headerRowDxfId="497" dataDxfId="495" totalsRowDxfId="493" headerRowBorderDxfId="496" tableBorderDxfId="494" totalsRowBorderDxfId="492">
  <autoFilter ref="A2:D28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0E48CB36-7B46-4FEF-B2BB-DED02484D5FE}" name="Candidate Name (Party)" totalsRowLabel="Total Votes by County" dataDxfId="491" totalsRowDxfId="490"/>
    <tableColumn id="4" xr3:uid="{A458461A-DB33-42C8-AF6D-AB443D5F5E5A}" name="Part of New York County _x000a_Vote Results" totalsRowFunction="custom" dataDxfId="489" totalsRowDxfId="488">
      <totalsRowFormula>SUM(MemberOfAssemblyAssemblyDistrict71General127[Part of New York County 
Vote Results])</totalsRowFormula>
    </tableColumn>
    <tableColumn id="3" xr3:uid="{6E8E3AE7-3D82-4883-913A-C39233870C0C}" name="Total Votes by Party" totalsRowFunction="custom" dataDxfId="487" totalsRowDxfId="486">
      <calculatedColumnFormula>MemberOfAssemblyAssemblyDistrict71General127[[#This Row],[Part of New York County 
Vote Results]]</calculatedColumnFormula>
      <totalsRowFormula>SUM(MemberOfAssemblyAssemblyDistrict71General127[Total Votes by Party])</totalsRowFormula>
    </tableColumn>
    <tableColumn id="2" xr3:uid="{E6D422FF-79D7-4FB6-836B-F42BB5E4DB38}" name="Total Votes by Candidate" dataDxfId="485" totalsRowDxfId="484">
      <calculatedColumnFormula>SUM(MemberOfAssemblyAssemblyDistrict71General127[[#This Row],[Total Votes by Party]],#REF!)</calculatedColumnFormula>
    </tableColumn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1F3C7547-BD21-4F37-BCE2-016D8C417135}" name="RepInCongressCongressionalDistrict10General" displayName="RepInCongressCongressionalDistrict10General" ref="A2:E8" totalsRowCount="1" headerRowDxfId="1801" dataDxfId="1799" totalsRowDxfId="1797" headerRowBorderDxfId="1800" tableBorderDxfId="1798" totalsRowBorderDxfId="1796">
  <autoFilter ref="A2:E7" xr:uid="{466D8A0E-FA77-4AB9-9F29-55E4B0D53A8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379EF55-C9B2-477F-8076-5CBE66814F5E}" name="Candidate Name (Party)" totalsRowLabel="Total Votes by County" dataDxfId="1795" totalsRowDxfId="1794"/>
    <tableColumn id="2" xr3:uid="{7F1B571C-747F-4C81-8843-C9263729AD77}" name="Part of Kings County _x000a_Vote Results" totalsRowFunction="custom" dataDxfId="1793" totalsRowDxfId="1792">
      <totalsRowFormula>SUM(RepInCongressCongressionalDistrict10General[Part of Kings County 
Vote Results])</totalsRowFormula>
    </tableColumn>
    <tableColumn id="4" xr3:uid="{2234E46E-F820-4AF1-9D25-531E46F15A29}" name="Part of New York County _x000a_Vote Results" totalsRowFunction="custom" dataDxfId="1791" totalsRowDxfId="1790">
      <totalsRowFormula>SUM(RepInCongressCongressionalDistrict10General[Part of New York County 
Vote Results])</totalsRowFormula>
    </tableColumn>
    <tableColumn id="3" xr3:uid="{B18CBC47-8EB0-46C0-A8BD-C0924074CA10}" name="Total Votes by Party" totalsRowFunction="custom" dataDxfId="1789" totalsRowDxfId="1788">
      <calculatedColumnFormula>SUM(RepInCongressCongressionalDistrict10General[[#This Row],[Part of Kings County 
Vote Results]:[Part of New York County 
Vote Results]])</calculatedColumnFormula>
      <totalsRowFormula>SUM(RepInCongressCongressionalDistrict10General[Total Votes by Party])</totalsRowFormula>
    </tableColumn>
    <tableColumn id="5" xr3:uid="{7B3852EC-F7CD-40A7-8B5B-F9A4BF3679D3}" name="Total Votes by Candidate" dataDxfId="1787" totalsRowDxfId="1786"/>
  </tableColumns>
  <tableStyleInfo name="TableStyleMedium2" showFirstColumn="0" showLastColumn="0" showRowStripes="0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3B555486-3D9F-4830-88B3-DCF06E8D252B}" name="MemberOfAssemblyAssemblyDistrict72General128" displayName="MemberOfAssemblyAssemblyDistrict72General128" ref="A2:D26" totalsRowCount="1" headerRowDxfId="483" dataDxfId="481" totalsRowDxfId="479" headerRowBorderDxfId="482" tableBorderDxfId="480" totalsRowBorderDxfId="478">
  <autoFilter ref="A2:D25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161B30B3-2A58-464D-9E40-4ABF5022EDFA}" name="Candidate Name (Party)" totalsRowLabel="Total Votes by County" dataDxfId="477" totalsRowDxfId="476"/>
    <tableColumn id="4" xr3:uid="{080A0EEE-524A-4FEF-A810-D3C57D1F2A2C}" name="Part of New York County _x000a_Vote Results" totalsRowFunction="custom" dataDxfId="475" totalsRowDxfId="474">
      <totalsRowFormula>SUM(MemberOfAssemblyAssemblyDistrict72General128[Part of New York County 
Vote Results])</totalsRowFormula>
    </tableColumn>
    <tableColumn id="3" xr3:uid="{6FA0DD79-DA15-4DB7-81EA-9F0F95CFB5C5}" name="Total Votes by Party" totalsRowFunction="custom" dataDxfId="473" totalsRowDxfId="472">
      <calculatedColumnFormula>MemberOfAssemblyAssemblyDistrict72General128[[#This Row],[Part of New York County 
Vote Results]]</calculatedColumnFormula>
      <totalsRowFormula>SUM(MemberOfAssemblyAssemblyDistrict72General128[Total Votes by Party])</totalsRowFormula>
    </tableColumn>
    <tableColumn id="2" xr3:uid="{8D542B65-AC2F-4496-84F6-DB77178B28F3}" name="Total Votes by Candidate" dataDxfId="471" totalsRowDxfId="470">
      <calculatedColumnFormula>SUM(MemberOfAssemblyAssemblyDistrict72General128[[#This Row],[Total Votes by Party]])</calculatedColumnFormula>
    </tableColumn>
  </tableColumns>
  <tableStyleInfo name="TableStyleMedium2" showFirstColumn="0" showLastColumn="0" showRowStripes="0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4103AFB4-008F-4990-86F2-EAF49803AE66}" name="MemberOfAssemblyAssemblyDistrict72General129" displayName="MemberOfAssemblyAssemblyDistrict72General129" ref="A2:D22" totalsRowCount="1" headerRowDxfId="469" dataDxfId="467" totalsRowDxfId="465" headerRowBorderDxfId="468" tableBorderDxfId="466" totalsRowBorderDxfId="464">
  <autoFilter ref="A2:D21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25807159-EC63-4C32-B981-93E7B17DAF2D}" name="Candidate Name (Party)" totalsRowLabel="Total Votes by County" dataDxfId="463" totalsRowDxfId="462"/>
    <tableColumn id="4" xr3:uid="{500706B4-869D-4BCF-8C2C-9A7B51AE96D1}" name="Part of New York County _x000a_Vote Results" totalsRowFunction="custom" dataDxfId="461" totalsRowDxfId="460">
      <totalsRowFormula>SUM(MemberOfAssemblyAssemblyDistrict72General129[Part of New York County 
Vote Results])</totalsRowFormula>
    </tableColumn>
    <tableColumn id="3" xr3:uid="{AC4CFB0A-C1DA-4CD9-99BE-78E842644595}" name="Total Votes by Party" totalsRowFunction="custom" dataDxfId="459" totalsRowDxfId="458">
      <calculatedColumnFormula>MemberOfAssemblyAssemblyDistrict72General129[[#This Row],[Part of New York County 
Vote Results]]</calculatedColumnFormula>
      <totalsRowFormula>SUM(MemberOfAssemblyAssemblyDistrict72General129[Total Votes by Party])</totalsRowFormula>
    </tableColumn>
    <tableColumn id="2" xr3:uid="{880E8370-8B6A-491A-9B75-AF170686188B}" name="Total Votes by Candidate" dataDxfId="457" totalsRowDxfId="456">
      <calculatedColumnFormula>SUM(MemberOfAssemblyAssemblyDistrict72General129[[#This Row],[Total Votes by Party]])</calculatedColumnFormula>
    </tableColumn>
  </tableColumns>
  <tableStyleInfo name="TableStyleMedium2" showFirstColumn="0" showLastColumn="0" showRowStripes="0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55CF2E76-F41A-414D-94A0-B8A68DE32858}" name="MemberOfAssemblyAssemblyDistrict54General118" displayName="MemberOfAssemblyAssemblyDistrict54General118" ref="A2:D13" totalsRowCount="1" headerRowDxfId="455" dataDxfId="453" totalsRowDxfId="451" headerRowBorderDxfId="454" tableBorderDxfId="452" totalsRowBorderDxfId="450">
  <autoFilter ref="A2:D12" xr:uid="{1CF8D885-C45F-4D89-A766-3A66B39900A8}">
    <filterColumn colId="0" hiddenButton="1"/>
    <filterColumn colId="1" hiddenButton="1"/>
    <filterColumn colId="2" hiddenButton="1"/>
    <filterColumn colId="3" hiddenButton="1"/>
  </autoFilter>
  <tableColumns count="4">
    <tableColumn id="1" xr3:uid="{4A8479DA-031F-4215-8A5C-28226516F636}" name="Candidate Name (Party)" totalsRowLabel="Total Votes by County" dataDxfId="449" totalsRowDxfId="448"/>
    <tableColumn id="4" xr3:uid="{BFD86E98-691B-4F7F-925F-2E1F4DEFDF2F}" name="Part of Kings County _x000a_Vote Results" totalsRowFunction="custom" dataDxfId="447" totalsRowDxfId="446">
      <totalsRowFormula>SUM(MemberOfAssemblyAssemblyDistrict54General118[Part of Kings County 
Vote Results])</totalsRowFormula>
    </tableColumn>
    <tableColumn id="3" xr3:uid="{F2C9EE81-8F8F-4F73-AFBD-592F4C6C295F}" name="Total Votes by Party" totalsRowFunction="custom" dataDxfId="445" totalsRowDxfId="444">
      <calculatedColumnFormula>MemberOfAssemblyAssemblyDistrict54General118[[#This Row],[Part of Kings County 
Vote Results]]</calculatedColumnFormula>
      <totalsRowFormula>SUM(MemberOfAssemblyAssemblyDistrict54General118[Total Votes by Party])</totalsRowFormula>
    </tableColumn>
    <tableColumn id="2" xr3:uid="{18B41331-2CEE-4CAA-BEB7-D24828FE067D}" name="Total Votes by Candidate" dataDxfId="443" totalsRowDxfId="442"/>
  </tableColumns>
  <tableStyleInfo name="TableStyleMedium2" showFirstColumn="0" showLastColumn="0" showRowStripes="0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45760D7F-467A-47B4-9897-5D890F57509B}" name="MemberOfAssemblyAssemblyDistrict57General119" displayName="MemberOfAssemblyAssemblyDistrict57General119" ref="A2:D26" totalsRowCount="1" headerRowDxfId="441" dataDxfId="439" totalsRowDxfId="437" headerRowBorderDxfId="440" tableBorderDxfId="438" totalsRowBorderDxfId="436">
  <autoFilter ref="A2:D25" xr:uid="{06885FD3-6BA0-4A8B-A771-AA4B6AD34E9B}">
    <filterColumn colId="0" hiddenButton="1"/>
    <filterColumn colId="1" hiddenButton="1"/>
    <filterColumn colId="2" hiddenButton="1"/>
    <filterColumn colId="3" hiddenButton="1"/>
  </autoFilter>
  <tableColumns count="4">
    <tableColumn id="1" xr3:uid="{2ECEF159-6B74-4778-BD88-6DCC82399C3F}" name="Candidate Name (Party)" totalsRowLabel="Total Votes by County" dataDxfId="435" totalsRowDxfId="434"/>
    <tableColumn id="4" xr3:uid="{57534089-1E12-4993-BF3D-0C33015C7034}" name="Part of Kings County _x000a_Vote Results" totalsRowFunction="custom" dataDxfId="433" totalsRowDxfId="432">
      <totalsRowFormula>SUM(MemberOfAssemblyAssemblyDistrict57General119[Part of Kings County 
Vote Results])</totalsRowFormula>
    </tableColumn>
    <tableColumn id="3" xr3:uid="{F2FA0909-D0B3-471B-9C34-3A9DA7528BAA}" name="Total Votes by Party" totalsRowFunction="custom" dataDxfId="431" totalsRowDxfId="430">
      <calculatedColumnFormula>MemberOfAssemblyAssemblyDistrict57General119[[#This Row],[Part of Kings County 
Vote Results]]</calculatedColumnFormula>
      <totalsRowFormula>SUM(MemberOfAssemblyAssemblyDistrict57General119[Total Votes by Party])</totalsRowFormula>
    </tableColumn>
    <tableColumn id="2" xr3:uid="{81D3266D-2AF8-4D32-9EB5-0394CF1211F9}" name="Total Votes by Candidate" dataDxfId="429" totalsRowDxfId="428"/>
  </tableColumns>
  <tableStyleInfo name="TableStyleMedium2" showFirstColumn="0" showLastColumn="0" showRowStripes="0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9B2BFABD-B1ED-4AAA-8F30-540E3E609D45}" name="MemberOfAssemblyAssemblyDistrict58General121" displayName="MemberOfAssemblyAssemblyDistrict58General121" ref="A2:D26" totalsRowCount="1" headerRowDxfId="427" dataDxfId="425" totalsRowDxfId="423" headerRowBorderDxfId="426" tableBorderDxfId="424" totalsRowBorderDxfId="422">
  <autoFilter ref="A2:D25" xr:uid="{62F76209-C641-4D99-AF0C-3E463FCF6991}">
    <filterColumn colId="0" hiddenButton="1"/>
    <filterColumn colId="1" hiddenButton="1"/>
    <filterColumn colId="2" hiddenButton="1"/>
    <filterColumn colId="3" hiddenButton="1"/>
  </autoFilter>
  <tableColumns count="4">
    <tableColumn id="1" xr3:uid="{1256BE40-55F5-418B-97E6-C3964361CF33}" name="Candidate Name (Party)" totalsRowLabel="Total Votes by County" dataDxfId="421" totalsRowDxfId="420"/>
    <tableColumn id="4" xr3:uid="{647127AB-8C77-4794-A062-C9AE329842E6}" name="Part of Kings County _x000a_Vote Results" totalsRowFunction="custom" dataDxfId="419" totalsRowDxfId="418">
      <totalsRowFormula>SUM(MemberOfAssemblyAssemblyDistrict58General121[Part of Kings County 
Vote Results])</totalsRowFormula>
    </tableColumn>
    <tableColumn id="3" xr3:uid="{0364CDEF-FD84-4B2E-90E9-4B63C2D5119F}" name="Total Votes by Party" totalsRowFunction="custom" dataDxfId="417" totalsRowDxfId="416">
      <calculatedColumnFormula>MemberOfAssemblyAssemblyDistrict58General121[[#This Row],[Part of Kings County 
Vote Results]]</calculatedColumnFormula>
      <totalsRowFormula>SUM(MemberOfAssemblyAssemblyDistrict58General121[Total Votes by Party])</totalsRowFormula>
    </tableColumn>
    <tableColumn id="2" xr3:uid="{149C6D34-7A40-45DA-B397-7AFC865DF65A}" name="Total Votes by Candidate" dataDxfId="415" totalsRowDxfId="414">
      <calculatedColumnFormula>SUM(MemberOfAssemblyAssemblyDistrict58General121[[#This Row],[Total Votes by Party]],#REF!)</calculatedColumnFormula>
    </tableColumn>
  </tableColumns>
  <tableStyleInfo name="TableStyleMedium2" showFirstColumn="0" showLastColumn="0" showRowStripes="0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AA84CE38-2F6C-4796-87A6-47B9A360498D}" name="MemberOfAssemblyAssemblyDistrict58General120" displayName="MemberOfAssemblyAssemblyDistrict58General120" ref="A2:D26" totalsRowCount="1" headerRowDxfId="413" dataDxfId="411" totalsRowDxfId="409" headerRowBorderDxfId="412" tableBorderDxfId="410" totalsRowBorderDxfId="408">
  <autoFilter ref="A2:D25" xr:uid="{62F76209-C641-4D99-AF0C-3E463FCF6991}">
    <filterColumn colId="0" hiddenButton="1"/>
    <filterColumn colId="1" hiddenButton="1"/>
    <filterColumn colId="2" hiddenButton="1"/>
    <filterColumn colId="3" hiddenButton="1"/>
  </autoFilter>
  <tableColumns count="4">
    <tableColumn id="1" xr3:uid="{643BB771-17F4-42B6-9DF7-AC3B30A7AB5C}" name="Candidate Name (Party)" totalsRowLabel="Total Votes by County" dataDxfId="407" totalsRowDxfId="406"/>
    <tableColumn id="4" xr3:uid="{116B1B91-9698-400E-A9DB-26717FE52AE1}" name="Part of Kings County _x000a_Vote Results" totalsRowFunction="custom" dataDxfId="405" totalsRowDxfId="404">
      <totalsRowFormula>SUM(MemberOfAssemblyAssemblyDistrict58General120[Part of Kings County 
Vote Results])</totalsRowFormula>
    </tableColumn>
    <tableColumn id="3" xr3:uid="{2C74D832-30E5-48ED-B21B-2E4048759BD2}" name="Total Votes by Party" totalsRowFunction="custom" dataDxfId="403" totalsRowDxfId="402">
      <calculatedColumnFormula>MemberOfAssemblyAssemblyDistrict58General120[[#This Row],[Part of Kings County 
Vote Results]]</calculatedColumnFormula>
      <totalsRowFormula>SUM(MemberOfAssemblyAssemblyDistrict58General120[Total Votes by Party])</totalsRowFormula>
    </tableColumn>
    <tableColumn id="2" xr3:uid="{4D50A233-E1BA-4451-A6D4-CC76A7E342CB}" name="Total Votes by Candidate" dataDxfId="401" totalsRowDxfId="400">
      <calculatedColumnFormula>SUM(MemberOfAssemblyAssemblyDistrict58General120[[#This Row],[Total Votes by Party]],#REF!)</calculatedColumnFormula>
    </tableColumn>
  </tableColumns>
  <tableStyleInfo name="TableStyleMedium2" showFirstColumn="0" showLastColumn="0" showRowStripes="0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96571C9D-B62B-41D8-A228-1913F7B51EDB}" name="MemberOfAssemblyAssemblyDistrict120General54" displayName="MemberOfAssemblyAssemblyDistrict120General54" ref="A2:E19" totalsRowCount="1" headerRowDxfId="399" dataDxfId="397" totalsRowDxfId="395" headerRowBorderDxfId="398" tableBorderDxfId="396" totalsRowBorderDxfId="394">
  <autoFilter ref="A2:E18" xr:uid="{E7CC8E6A-635A-4976-9E9C-8AB012ADC45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B8731AB-E7FA-41E2-9822-0B840A45DC96}" name="Candidate Name (Party)" totalsRowLabel="Total Votes by County" dataDxfId="393" totalsRowDxfId="392"/>
    <tableColumn id="3" xr3:uid="{D3BE5751-2760-4CBB-A530-F57D944FAB61}" name="Part of Jefferson County _x000a_Vote Results" totalsRowFunction="custom" dataDxfId="391" totalsRowDxfId="390">
      <totalsRowFormula>SUM(MemberOfAssemblyAssemblyDistrict120General54[Part of Jefferson County 
Vote Results])</totalsRowFormula>
    </tableColumn>
    <tableColumn id="4" xr3:uid="{06FE85E1-672F-4728-976C-0D351C38DC05}" name="Oswego County _x000a_Vote Results" totalsRowFunction="custom" dataDxfId="389" totalsRowDxfId="388">
      <totalsRowFormula>SUM(MemberOfAssemblyAssemblyDistrict120General54[Oswego County 
Vote Results])</totalsRowFormula>
    </tableColumn>
    <tableColumn id="6" xr3:uid="{E4F0C8D6-DEFA-4578-A095-53962EFE3B73}" name="Total Votes by Party" totalsRowFunction="custom" dataDxfId="387" totalsRowDxfId="386">
      <calculatedColumnFormula>SUM(B3,C3)</calculatedColumnFormula>
      <totalsRowFormula>SUM(MemberOfAssemblyAssemblyDistrict120General54[Total Votes by Party])</totalsRowFormula>
    </tableColumn>
    <tableColumn id="5" xr3:uid="{22E12678-99CC-42CB-8D6A-B0B09A4EDF80}" name="Total Votes by Candidate" dataDxfId="385" totalsRowDxfId="384"/>
  </tableColumns>
  <tableStyleInfo name="TableStyleMedium2" showFirstColumn="0" showLastColumn="0" showRowStripes="0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1619A1D8-3DA1-47B1-A10B-4627244638B3}" name="MemberOfAssemblyAssemblyDistrict120General100" displayName="MemberOfAssemblyAssemblyDistrict120General100" ref="A2:E18" totalsRowCount="1" headerRowDxfId="383" dataDxfId="381" totalsRowDxfId="379" headerRowBorderDxfId="382" tableBorderDxfId="380" totalsRowBorderDxfId="378">
  <autoFilter ref="A2:E17" xr:uid="{E7CC8E6A-635A-4976-9E9C-8AB012ADC45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ABB6A61-C619-48F1-8A61-F33ABBB61F47}" name="Candidate Name (Party)" totalsRowLabel="Total Votes by County" dataDxfId="377" totalsRowDxfId="376"/>
    <tableColumn id="3" xr3:uid="{FBF5A9C8-3214-4786-9088-4333982E9FA2}" name="Part of Jefferson County _x000a_Vote Results" totalsRowFunction="custom" dataDxfId="375" totalsRowDxfId="374">
      <totalsRowFormula>SUM(MemberOfAssemblyAssemblyDistrict120General100[Part of Jefferson County 
Vote Results])</totalsRowFormula>
    </tableColumn>
    <tableColumn id="4" xr3:uid="{615E6CA4-F931-4CA4-90EA-B06E40583D71}" name="Oswego County _x000a_Vote Results" totalsRowFunction="custom" dataDxfId="373" totalsRowDxfId="372">
      <totalsRowFormula>SUM(MemberOfAssemblyAssemblyDistrict120General100[Oswego County 
Vote Results])</totalsRowFormula>
    </tableColumn>
    <tableColumn id="6" xr3:uid="{F84ABA0F-2058-4BC2-A6E8-C697DDFED013}" name="Total Votes by Party" totalsRowFunction="custom" dataDxfId="371" totalsRowDxfId="370">
      <calculatedColumnFormula>SUM(B3,C3)</calculatedColumnFormula>
      <totalsRowFormula>SUM(MemberOfAssemblyAssemblyDistrict120General100[Total Votes by Party])</totalsRowFormula>
    </tableColumn>
    <tableColumn id="5" xr3:uid="{F5B26B5B-5F41-4116-9294-6B4A8071421C}" name="Total Votes by Candidate" dataDxfId="369" totalsRowDxfId="368"/>
  </tableColumns>
  <tableStyleInfo name="TableStyleMedium2" showFirstColumn="0" showLastColumn="0" showRowStripes="0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A385DCC8-4674-4CE3-B367-37035D760B25}" name="MemberOfAssemblyAssemblyDistrict137General111" displayName="MemberOfAssemblyAssemblyDistrict137General111" ref="A2:D15" totalsRowCount="1" headerRowDxfId="367" dataDxfId="365" totalsRowDxfId="363" headerRowBorderDxfId="366" tableBorderDxfId="364" totalsRowBorderDxfId="362">
  <autoFilter ref="A2:D14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93CE5445-0730-4CAE-ACBE-F0AD6F8B4E46}" name="Candidate Name (Party)" totalsRowLabel="Total Votes by County" dataDxfId="361" totalsRowDxfId="360"/>
    <tableColumn id="4" xr3:uid="{FFAC4F12-872D-4358-956C-844E1EF044D9}" name="Part of Monroe County _x000a_Vote Results" totalsRowFunction="custom" dataDxfId="359" totalsRowDxfId="358">
      <totalsRowFormula>SUM(MemberOfAssemblyAssemblyDistrict137General111[Part of Monroe County 
Vote Results])</totalsRowFormula>
    </tableColumn>
    <tableColumn id="3" xr3:uid="{64733C18-FE9B-4B4C-9803-3AAD180A61C4}" name="Total Votes by Party" totalsRowFunction="custom" dataDxfId="357" totalsRowDxfId="356">
      <calculatedColumnFormula>MemberOfAssemblyAssemblyDistrict137General111[[#This Row],[Part of Monroe County 
Vote Results]]</calculatedColumnFormula>
      <totalsRowFormula>SUM(MemberOfAssemblyAssemblyDistrict137General111[Total Votes by Party])</totalsRowFormula>
    </tableColumn>
    <tableColumn id="2" xr3:uid="{91A202BD-5D17-4BDE-90E8-7BC029E83047}" name="Total Votes by Candidate" dataDxfId="355" totalsRowDxfId="354">
      <calculatedColumnFormula>SUM(MemberOfAssemblyAssemblyDistrict137General111[[#This Row],[Total Votes by Party]],#REF!)</calculatedColumnFormula>
    </tableColumn>
  </tableColumns>
  <tableStyleInfo name="TableStyleMedium2" showFirstColumn="0" showLastColumn="0" showRowStripes="0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F275667D-E9D2-4C1A-A45C-3C3B4643BEC5}" name="MemberOfAssemblyAssemblyDistrict99General" displayName="MemberOfAssemblyAssemblyDistrict99General" ref="A2:E10" totalsRowCount="1" headerRowDxfId="353" dataDxfId="351" totalsRowDxfId="349" headerRowBorderDxfId="352" tableBorderDxfId="350" totalsRowBorderDxfId="348">
  <autoFilter ref="A2:E9" xr:uid="{7954D400-A973-4CA4-A173-A394218CD0D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98606E5-3544-41E8-AD69-A42ACD37073E}" name="Candidate Name (Party)" totalsRowLabel="Total Votes by County" dataDxfId="347" totalsRowDxfId="346"/>
    <tableColumn id="2" xr3:uid="{7ECB5D0F-8E2E-4C6A-AB2A-1036F80C189D}" name="Part of Orange County _x000a_Vote Results" totalsRowFunction="custom" dataDxfId="345" totalsRowDxfId="344">
      <totalsRowFormula>SUM(MemberOfAssemblyAssemblyDistrict99General[Part of Orange County 
Vote Results])</totalsRowFormula>
    </tableColumn>
    <tableColumn id="4" xr3:uid="{52E3832D-A4A3-4FB7-9321-8CB64C0316E7}" name="Part of Rockland County _x000a_Vote Results" totalsRowFunction="custom" dataDxfId="343" totalsRowDxfId="342">
      <totalsRowFormula>SUM(MemberOfAssemblyAssemblyDistrict99General[Part of Rockland County 
Vote Results])</totalsRowFormula>
    </tableColumn>
    <tableColumn id="3" xr3:uid="{BB9AB1CD-E024-46C7-B904-AD34CD533FE6}" name="Total Votes by Party" totalsRowFunction="custom" dataDxfId="341" totalsRowDxfId="340">
      <calculatedColumnFormula>SUM(MemberOfAssemblyAssemblyDistrict99General[[#This Row],[Part of Orange County 
Vote Results]:[Part of Rockland County 
Vote Results]])</calculatedColumnFormula>
      <totalsRowFormula>SUM(MemberOfAssemblyAssemblyDistrict99General[Total Votes by Party])</totalsRowFormula>
    </tableColumn>
    <tableColumn id="5" xr3:uid="{400631E5-BCE9-422E-95A1-50A1831A8E55}" name="Total Votes by Candidate" dataDxfId="339" totalsRowDxfId="338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3.xml"/><Relationship Id="rId1" Type="http://schemas.openxmlformats.org/officeDocument/2006/relationships/printerSettings" Target="../printerSettings/printerSettings1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zoomScaleNormal="100" zoomScaleSheetLayoutView="100" workbookViewId="0">
      <pane xSplit="1" ySplit="2" topLeftCell="B32" activePane="bottomRight" state="frozen"/>
      <selection activeCell="L11" sqref="L11"/>
      <selection pane="topRight" activeCell="L11" sqref="L11"/>
      <selection pane="bottomLeft" activeCell="L11" sqref="L11"/>
      <selection pane="bottomRight" activeCell="H33" sqref="H33"/>
    </sheetView>
  </sheetViews>
  <sheetFormatPr defaultRowHeight="12.75" x14ac:dyDescent="0.2"/>
  <cols>
    <col min="1" max="1" width="38.7109375" style="6" customWidth="1"/>
    <col min="2" max="7" width="21.5703125" style="6" customWidth="1"/>
    <col min="8" max="8" width="18.42578125" style="6" bestFit="1" customWidth="1"/>
    <col min="9" max="16384" width="9.140625" style="6"/>
  </cols>
  <sheetData>
    <row r="1" spans="1:8" s="2" customFormat="1" ht="37.5" customHeight="1" x14ac:dyDescent="0.2">
      <c r="A1" s="57" t="s">
        <v>142</v>
      </c>
      <c r="B1" s="57"/>
      <c r="C1" s="57"/>
      <c r="D1" s="57"/>
      <c r="E1" s="53"/>
      <c r="F1" s="53"/>
      <c r="G1" s="53"/>
    </row>
    <row r="2" spans="1:8" s="2" customFormat="1" ht="39" customHeight="1" x14ac:dyDescent="0.2">
      <c r="A2" s="3" t="s">
        <v>0</v>
      </c>
      <c r="B2" s="1" t="s">
        <v>855</v>
      </c>
      <c r="C2" s="1" t="s">
        <v>856</v>
      </c>
      <c r="D2" s="1" t="s">
        <v>857</v>
      </c>
      <c r="E2" s="1" t="s">
        <v>69</v>
      </c>
      <c r="F2" s="1" t="s">
        <v>70</v>
      </c>
      <c r="G2" s="1" t="s">
        <v>71</v>
      </c>
      <c r="H2" s="4" t="s">
        <v>1</v>
      </c>
    </row>
    <row r="3" spans="1:8" ht="14.25" customHeight="1" x14ac:dyDescent="0.2">
      <c r="A3" s="5" t="s">
        <v>2</v>
      </c>
      <c r="B3" s="9">
        <v>14860</v>
      </c>
      <c r="C3" s="9">
        <v>2118</v>
      </c>
      <c r="D3" s="9">
        <v>1389</v>
      </c>
      <c r="E3" s="9">
        <v>212</v>
      </c>
      <c r="F3" s="9">
        <v>54</v>
      </c>
      <c r="G3" s="9">
        <v>39</v>
      </c>
      <c r="H3" s="10">
        <f>SUM(B3:G3)</f>
        <v>18672</v>
      </c>
    </row>
    <row r="4" spans="1:8" ht="14.25" customHeight="1" x14ac:dyDescent="0.2">
      <c r="A4" s="5" t="s">
        <v>3</v>
      </c>
      <c r="B4" s="9">
        <v>813</v>
      </c>
      <c r="C4" s="9">
        <v>149</v>
      </c>
      <c r="D4" s="9">
        <v>129</v>
      </c>
      <c r="E4" s="9">
        <v>60</v>
      </c>
      <c r="F4" s="9">
        <v>0</v>
      </c>
      <c r="G4" s="9">
        <v>1</v>
      </c>
      <c r="H4" s="10">
        <f t="shared" ref="H4:H64" si="0">SUM(B4:G4)</f>
        <v>1152</v>
      </c>
    </row>
    <row r="5" spans="1:8" ht="14.25" customHeight="1" x14ac:dyDescent="0.2">
      <c r="A5" s="5" t="s">
        <v>4</v>
      </c>
      <c r="B5" s="9">
        <v>5029</v>
      </c>
      <c r="C5" s="9">
        <v>896</v>
      </c>
      <c r="D5" s="9">
        <v>627</v>
      </c>
      <c r="E5" s="9">
        <v>481</v>
      </c>
      <c r="F5" s="9">
        <v>30</v>
      </c>
      <c r="G5" s="9">
        <v>19</v>
      </c>
      <c r="H5" s="10">
        <f t="shared" si="0"/>
        <v>7082</v>
      </c>
    </row>
    <row r="6" spans="1:8" ht="14.25" customHeight="1" x14ac:dyDescent="0.2">
      <c r="A6" s="5" t="s">
        <v>5</v>
      </c>
      <c r="B6" s="9">
        <v>1081</v>
      </c>
      <c r="C6" s="9">
        <v>173</v>
      </c>
      <c r="D6" s="9">
        <v>122</v>
      </c>
      <c r="E6" s="9">
        <v>183</v>
      </c>
      <c r="F6" s="9">
        <v>8</v>
      </c>
      <c r="G6" s="9">
        <v>0</v>
      </c>
      <c r="H6" s="10">
        <f t="shared" si="0"/>
        <v>1567</v>
      </c>
    </row>
    <row r="7" spans="1:8" ht="14.25" customHeight="1" x14ac:dyDescent="0.2">
      <c r="A7" s="5" t="s">
        <v>6</v>
      </c>
      <c r="B7" s="9">
        <v>923</v>
      </c>
      <c r="C7" s="9">
        <v>156</v>
      </c>
      <c r="D7" s="9">
        <v>86</v>
      </c>
      <c r="E7" s="9">
        <v>13</v>
      </c>
      <c r="F7" s="9">
        <v>3</v>
      </c>
      <c r="G7" s="9">
        <v>2</v>
      </c>
      <c r="H7" s="10">
        <f t="shared" si="0"/>
        <v>1183</v>
      </c>
    </row>
    <row r="8" spans="1:8" ht="14.25" customHeight="1" x14ac:dyDescent="0.2">
      <c r="A8" s="5" t="s">
        <v>7</v>
      </c>
      <c r="B8" s="9">
        <v>2070</v>
      </c>
      <c r="C8" s="9">
        <v>377</v>
      </c>
      <c r="D8" s="9">
        <v>224</v>
      </c>
      <c r="E8" s="9">
        <v>3</v>
      </c>
      <c r="F8" s="9">
        <v>9</v>
      </c>
      <c r="G8" s="9">
        <v>269</v>
      </c>
      <c r="H8" s="10">
        <f t="shared" si="0"/>
        <v>2952</v>
      </c>
    </row>
    <row r="9" spans="1:8" ht="14.25" customHeight="1" x14ac:dyDescent="0.2">
      <c r="A9" s="5" t="s">
        <v>8</v>
      </c>
      <c r="B9" s="9">
        <v>1598</v>
      </c>
      <c r="C9" s="9">
        <v>332</v>
      </c>
      <c r="D9" s="9">
        <v>213</v>
      </c>
      <c r="E9" s="9">
        <v>107</v>
      </c>
      <c r="F9" s="9">
        <v>6</v>
      </c>
      <c r="G9" s="9">
        <v>7</v>
      </c>
      <c r="H9" s="10">
        <f t="shared" si="0"/>
        <v>2263</v>
      </c>
    </row>
    <row r="10" spans="1:8" ht="14.25" customHeight="1" x14ac:dyDescent="0.2">
      <c r="A10" s="5" t="s">
        <v>9</v>
      </c>
      <c r="B10" s="9">
        <v>442</v>
      </c>
      <c r="C10" s="9">
        <v>82</v>
      </c>
      <c r="D10" s="9">
        <v>58</v>
      </c>
      <c r="E10" s="9">
        <v>2</v>
      </c>
      <c r="F10" s="9">
        <v>3</v>
      </c>
      <c r="G10" s="9">
        <v>2</v>
      </c>
      <c r="H10" s="10">
        <f t="shared" si="0"/>
        <v>589</v>
      </c>
    </row>
    <row r="11" spans="1:8" ht="14.25" customHeight="1" x14ac:dyDescent="0.2">
      <c r="A11" s="5" t="s">
        <v>10</v>
      </c>
      <c r="B11" s="9">
        <v>2400</v>
      </c>
      <c r="C11" s="9">
        <v>436</v>
      </c>
      <c r="D11" s="9">
        <v>271</v>
      </c>
      <c r="E11" s="9">
        <v>254</v>
      </c>
      <c r="F11" s="9">
        <v>16</v>
      </c>
      <c r="G11" s="9">
        <v>5</v>
      </c>
      <c r="H11" s="10">
        <f t="shared" si="0"/>
        <v>3382</v>
      </c>
    </row>
    <row r="12" spans="1:8" ht="14.25" customHeight="1" x14ac:dyDescent="0.2">
      <c r="A12" s="5" t="s">
        <v>11</v>
      </c>
      <c r="B12" s="9">
        <v>3196</v>
      </c>
      <c r="C12" s="9">
        <v>636</v>
      </c>
      <c r="D12" s="9">
        <v>518</v>
      </c>
      <c r="E12" s="9">
        <v>234</v>
      </c>
      <c r="F12" s="9">
        <v>18</v>
      </c>
      <c r="G12" s="9">
        <v>5</v>
      </c>
      <c r="H12" s="10">
        <f t="shared" si="0"/>
        <v>4607</v>
      </c>
    </row>
    <row r="13" spans="1:8" ht="14.25" customHeight="1" x14ac:dyDescent="0.2">
      <c r="A13" s="5" t="s">
        <v>12</v>
      </c>
      <c r="B13" s="9">
        <v>720</v>
      </c>
      <c r="C13" s="9">
        <v>132</v>
      </c>
      <c r="D13" s="9">
        <v>83</v>
      </c>
      <c r="E13" s="9">
        <v>15</v>
      </c>
      <c r="F13" s="9">
        <v>3</v>
      </c>
      <c r="G13" s="9">
        <v>0</v>
      </c>
      <c r="H13" s="10">
        <f t="shared" si="0"/>
        <v>953</v>
      </c>
    </row>
    <row r="14" spans="1:8" ht="14.25" customHeight="1" x14ac:dyDescent="0.2">
      <c r="A14" s="5" t="s">
        <v>13</v>
      </c>
      <c r="B14" s="9">
        <v>1103</v>
      </c>
      <c r="C14" s="9">
        <v>223</v>
      </c>
      <c r="D14" s="9">
        <v>159</v>
      </c>
      <c r="E14" s="9">
        <v>78</v>
      </c>
      <c r="F14" s="9">
        <v>10</v>
      </c>
      <c r="G14" s="9">
        <v>3</v>
      </c>
      <c r="H14" s="10">
        <f t="shared" si="0"/>
        <v>1576</v>
      </c>
    </row>
    <row r="15" spans="1:8" ht="14.25" customHeight="1" x14ac:dyDescent="0.2">
      <c r="A15" s="5" t="s">
        <v>14</v>
      </c>
      <c r="B15" s="9">
        <v>9538</v>
      </c>
      <c r="C15" s="9">
        <v>2223</v>
      </c>
      <c r="D15" s="9">
        <v>1887</v>
      </c>
      <c r="E15" s="9">
        <v>580</v>
      </c>
      <c r="F15" s="9">
        <v>38</v>
      </c>
      <c r="G15" s="9">
        <v>6</v>
      </c>
      <c r="H15" s="10">
        <f t="shared" si="0"/>
        <v>14272</v>
      </c>
    </row>
    <row r="16" spans="1:8" ht="14.25" customHeight="1" x14ac:dyDescent="0.2">
      <c r="A16" s="5" t="s">
        <v>15</v>
      </c>
      <c r="B16" s="9">
        <v>27305</v>
      </c>
      <c r="C16" s="9">
        <v>4981</v>
      </c>
      <c r="D16" s="9">
        <v>3598</v>
      </c>
      <c r="E16" s="9">
        <v>1438</v>
      </c>
      <c r="F16" s="9">
        <v>113</v>
      </c>
      <c r="G16" s="9">
        <v>129</v>
      </c>
      <c r="H16" s="10">
        <f>SUM(B16:G16)</f>
        <v>37564</v>
      </c>
    </row>
    <row r="17" spans="1:8" ht="14.25" customHeight="1" x14ac:dyDescent="0.2">
      <c r="A17" s="5" t="s">
        <v>65</v>
      </c>
      <c r="B17" s="9">
        <v>1476</v>
      </c>
      <c r="C17" s="9">
        <v>234</v>
      </c>
      <c r="D17" s="9">
        <v>198</v>
      </c>
      <c r="E17" s="9">
        <v>216</v>
      </c>
      <c r="F17" s="9">
        <v>2</v>
      </c>
      <c r="G17" s="9">
        <v>8</v>
      </c>
      <c r="H17" s="10">
        <f t="shared" si="0"/>
        <v>2134</v>
      </c>
    </row>
    <row r="18" spans="1:8" ht="14.25" customHeight="1" x14ac:dyDescent="0.2">
      <c r="A18" s="5" t="s">
        <v>16</v>
      </c>
      <c r="B18" s="9">
        <v>1313</v>
      </c>
      <c r="C18" s="9">
        <v>191</v>
      </c>
      <c r="D18" s="9">
        <v>116</v>
      </c>
      <c r="E18" s="9">
        <v>188</v>
      </c>
      <c r="F18" s="9">
        <v>2</v>
      </c>
      <c r="G18" s="9">
        <v>6</v>
      </c>
      <c r="H18" s="10">
        <f t="shared" si="0"/>
        <v>1816</v>
      </c>
    </row>
    <row r="19" spans="1:8" ht="14.25" customHeight="1" x14ac:dyDescent="0.2">
      <c r="A19" s="5" t="s">
        <v>17</v>
      </c>
      <c r="B19" s="9">
        <v>973</v>
      </c>
      <c r="C19" s="9">
        <v>126</v>
      </c>
      <c r="D19" s="9">
        <v>89</v>
      </c>
      <c r="E19" s="9">
        <v>50</v>
      </c>
      <c r="F19" s="9">
        <v>3</v>
      </c>
      <c r="G19" s="9">
        <v>4</v>
      </c>
      <c r="H19" s="10">
        <f t="shared" si="0"/>
        <v>1245</v>
      </c>
    </row>
    <row r="20" spans="1:8" ht="14.25" customHeight="1" x14ac:dyDescent="0.2">
      <c r="A20" s="5" t="s">
        <v>18</v>
      </c>
      <c r="B20" s="9">
        <v>667</v>
      </c>
      <c r="C20" s="9">
        <v>119</v>
      </c>
      <c r="D20" s="9">
        <v>101</v>
      </c>
      <c r="E20" s="9">
        <v>28</v>
      </c>
      <c r="F20" s="9">
        <v>6</v>
      </c>
      <c r="G20" s="9">
        <v>2</v>
      </c>
      <c r="H20" s="10">
        <f t="shared" si="0"/>
        <v>923</v>
      </c>
    </row>
    <row r="21" spans="1:8" ht="14.25" customHeight="1" x14ac:dyDescent="0.2">
      <c r="A21" s="5" t="s">
        <v>19</v>
      </c>
      <c r="B21" s="9">
        <v>1135</v>
      </c>
      <c r="C21" s="9">
        <v>380</v>
      </c>
      <c r="D21" s="9">
        <v>246</v>
      </c>
      <c r="E21" s="9">
        <v>73</v>
      </c>
      <c r="F21" s="9">
        <v>7</v>
      </c>
      <c r="G21" s="9">
        <v>1</v>
      </c>
      <c r="H21" s="10">
        <f t="shared" si="0"/>
        <v>1842</v>
      </c>
    </row>
    <row r="22" spans="1:8" ht="14.25" customHeight="1" x14ac:dyDescent="0.2">
      <c r="A22" s="5" t="s">
        <v>20</v>
      </c>
      <c r="B22" s="9">
        <v>172</v>
      </c>
      <c r="C22" s="9">
        <v>31</v>
      </c>
      <c r="D22" s="9">
        <v>21</v>
      </c>
      <c r="E22" s="9">
        <v>23</v>
      </c>
      <c r="F22" s="9">
        <v>2</v>
      </c>
      <c r="G22" s="9">
        <v>0</v>
      </c>
      <c r="H22" s="10">
        <f t="shared" si="0"/>
        <v>249</v>
      </c>
    </row>
    <row r="23" spans="1:8" ht="14.25" customHeight="1" x14ac:dyDescent="0.2">
      <c r="A23" s="5" t="s">
        <v>21</v>
      </c>
      <c r="B23" s="9">
        <v>761</v>
      </c>
      <c r="C23" s="9">
        <v>190</v>
      </c>
      <c r="D23" s="9">
        <v>97</v>
      </c>
      <c r="E23" s="9">
        <v>37</v>
      </c>
      <c r="F23" s="9">
        <v>8</v>
      </c>
      <c r="G23" s="9">
        <v>5</v>
      </c>
      <c r="H23" s="10">
        <f t="shared" si="0"/>
        <v>1098</v>
      </c>
    </row>
    <row r="24" spans="1:8" ht="14.25" customHeight="1" x14ac:dyDescent="0.2">
      <c r="A24" s="5" t="s">
        <v>22</v>
      </c>
      <c r="B24" s="9">
        <v>1143</v>
      </c>
      <c r="C24" s="9">
        <v>232</v>
      </c>
      <c r="D24" s="9">
        <v>149</v>
      </c>
      <c r="E24" s="9">
        <v>105</v>
      </c>
      <c r="F24" s="9">
        <v>8</v>
      </c>
      <c r="G24" s="9">
        <v>3</v>
      </c>
      <c r="H24" s="10">
        <f t="shared" si="0"/>
        <v>1640</v>
      </c>
    </row>
    <row r="25" spans="1:8" ht="14.25" customHeight="1" x14ac:dyDescent="0.2">
      <c r="A25" s="5" t="s">
        <v>23</v>
      </c>
      <c r="B25" s="9">
        <v>357</v>
      </c>
      <c r="C25" s="9">
        <v>72</v>
      </c>
      <c r="D25" s="9">
        <v>35</v>
      </c>
      <c r="E25" s="9">
        <v>66</v>
      </c>
      <c r="F25" s="9">
        <v>4</v>
      </c>
      <c r="G25" s="9">
        <v>1</v>
      </c>
      <c r="H25" s="10">
        <f t="shared" si="0"/>
        <v>535</v>
      </c>
    </row>
    <row r="26" spans="1:8" ht="14.25" customHeight="1" x14ac:dyDescent="0.2">
      <c r="A26" s="5" t="s">
        <v>24</v>
      </c>
      <c r="B26" s="9">
        <v>1219</v>
      </c>
      <c r="C26" s="9">
        <v>179</v>
      </c>
      <c r="D26" s="9">
        <v>148</v>
      </c>
      <c r="E26" s="9">
        <v>36</v>
      </c>
      <c r="F26" s="9">
        <v>6</v>
      </c>
      <c r="G26" s="9">
        <v>3</v>
      </c>
      <c r="H26" s="10">
        <f t="shared" si="0"/>
        <v>1591</v>
      </c>
    </row>
    <row r="27" spans="1:8" ht="14.25" customHeight="1" x14ac:dyDescent="0.2">
      <c r="A27" s="5" t="s">
        <v>25</v>
      </c>
      <c r="B27" s="9">
        <v>947</v>
      </c>
      <c r="C27" s="9">
        <v>168</v>
      </c>
      <c r="D27" s="9">
        <v>105</v>
      </c>
      <c r="E27" s="9">
        <v>0</v>
      </c>
      <c r="F27" s="9">
        <v>4</v>
      </c>
      <c r="G27" s="9">
        <v>3</v>
      </c>
      <c r="H27" s="10">
        <f t="shared" si="0"/>
        <v>1227</v>
      </c>
    </row>
    <row r="28" spans="1:8" ht="14.25" customHeight="1" x14ac:dyDescent="0.2">
      <c r="A28" s="5" t="s">
        <v>26</v>
      </c>
      <c r="B28" s="9">
        <v>26272</v>
      </c>
      <c r="C28" s="9">
        <v>5833</v>
      </c>
      <c r="D28" s="9">
        <v>4241</v>
      </c>
      <c r="E28" s="9">
        <v>2114</v>
      </c>
      <c r="F28" s="9">
        <v>124</v>
      </c>
      <c r="G28" s="9">
        <v>94</v>
      </c>
      <c r="H28" s="10">
        <f t="shared" si="0"/>
        <v>38678</v>
      </c>
    </row>
    <row r="29" spans="1:8" ht="14.25" customHeight="1" x14ac:dyDescent="0.2">
      <c r="A29" s="5" t="s">
        <v>27</v>
      </c>
      <c r="B29" s="11">
        <v>847</v>
      </c>
      <c r="C29" s="11">
        <v>132</v>
      </c>
      <c r="D29" s="11">
        <v>75</v>
      </c>
      <c r="E29" s="11">
        <v>42</v>
      </c>
      <c r="F29" s="11">
        <v>22</v>
      </c>
      <c r="G29" s="11">
        <v>4</v>
      </c>
      <c r="H29" s="10">
        <f t="shared" si="0"/>
        <v>1122</v>
      </c>
    </row>
    <row r="30" spans="1:8" ht="14.25" customHeight="1" x14ac:dyDescent="0.2">
      <c r="A30" s="5" t="s">
        <v>28</v>
      </c>
      <c r="B30" s="9">
        <v>28360</v>
      </c>
      <c r="C30" s="9">
        <v>3368</v>
      </c>
      <c r="D30" s="9">
        <v>2492</v>
      </c>
      <c r="E30" s="9">
        <v>713</v>
      </c>
      <c r="F30" s="9">
        <v>480</v>
      </c>
      <c r="G30" s="9">
        <v>72</v>
      </c>
      <c r="H30" s="10">
        <f t="shared" si="0"/>
        <v>35485</v>
      </c>
    </row>
    <row r="31" spans="1:8" ht="14.25" customHeight="1" x14ac:dyDescent="0.2">
      <c r="A31" s="5" t="s">
        <v>29</v>
      </c>
      <c r="B31" s="9">
        <v>3118</v>
      </c>
      <c r="C31" s="9">
        <v>587</v>
      </c>
      <c r="D31" s="9">
        <v>352</v>
      </c>
      <c r="E31" s="9">
        <v>64</v>
      </c>
      <c r="F31" s="9">
        <v>13</v>
      </c>
      <c r="G31" s="9">
        <v>18</v>
      </c>
      <c r="H31" s="10">
        <f t="shared" si="0"/>
        <v>4152</v>
      </c>
    </row>
    <row r="32" spans="1:8" ht="14.25" customHeight="1" x14ac:dyDescent="0.2">
      <c r="A32" s="5" t="s">
        <v>30</v>
      </c>
      <c r="B32" s="9">
        <v>3674</v>
      </c>
      <c r="C32" s="9">
        <v>606</v>
      </c>
      <c r="D32" s="9">
        <v>465</v>
      </c>
      <c r="E32" s="9">
        <v>387</v>
      </c>
      <c r="F32" s="9">
        <v>44</v>
      </c>
      <c r="G32" s="9">
        <v>0</v>
      </c>
      <c r="H32" s="10">
        <f t="shared" si="0"/>
        <v>5176</v>
      </c>
    </row>
    <row r="33" spans="1:8" ht="14.25" customHeight="1" x14ac:dyDescent="0.2">
      <c r="A33" s="5" t="s">
        <v>31</v>
      </c>
      <c r="B33" s="9">
        <v>11434</v>
      </c>
      <c r="C33" s="9">
        <v>2298</v>
      </c>
      <c r="D33" s="9">
        <v>2065</v>
      </c>
      <c r="E33" s="9">
        <v>478</v>
      </c>
      <c r="F33" s="9">
        <v>111</v>
      </c>
      <c r="G33" s="9">
        <v>33</v>
      </c>
      <c r="H33" s="10">
        <f t="shared" si="0"/>
        <v>16419</v>
      </c>
    </row>
    <row r="34" spans="1:8" ht="14.25" customHeight="1" x14ac:dyDescent="0.2">
      <c r="A34" s="5" t="s">
        <v>32</v>
      </c>
      <c r="B34" s="9">
        <v>3266</v>
      </c>
      <c r="C34" s="9">
        <v>616</v>
      </c>
      <c r="D34" s="9">
        <v>568</v>
      </c>
      <c r="E34" s="9">
        <v>132</v>
      </c>
      <c r="F34" s="9">
        <v>12</v>
      </c>
      <c r="G34" s="9">
        <v>4</v>
      </c>
      <c r="H34" s="10">
        <f t="shared" si="0"/>
        <v>4598</v>
      </c>
    </row>
    <row r="35" spans="1:8" ht="14.25" customHeight="1" x14ac:dyDescent="0.2">
      <c r="A35" s="5" t="s">
        <v>33</v>
      </c>
      <c r="B35" s="9">
        <v>4468</v>
      </c>
      <c r="C35" s="9">
        <v>911</v>
      </c>
      <c r="D35" s="9">
        <v>724</v>
      </c>
      <c r="E35" s="9">
        <v>130</v>
      </c>
      <c r="F35" s="9">
        <v>23</v>
      </c>
      <c r="G35" s="9">
        <v>23</v>
      </c>
      <c r="H35" s="10">
        <f t="shared" si="0"/>
        <v>6279</v>
      </c>
    </row>
    <row r="36" spans="1:8" ht="14.25" customHeight="1" x14ac:dyDescent="0.2">
      <c r="A36" s="5" t="s">
        <v>34</v>
      </c>
      <c r="B36" s="9">
        <v>295</v>
      </c>
      <c r="C36" s="9">
        <v>81</v>
      </c>
      <c r="D36" s="9">
        <v>44</v>
      </c>
      <c r="E36" s="9">
        <v>22</v>
      </c>
      <c r="F36" s="9">
        <v>4</v>
      </c>
      <c r="G36" s="9">
        <v>1</v>
      </c>
      <c r="H36" s="10">
        <f t="shared" si="0"/>
        <v>447</v>
      </c>
    </row>
    <row r="37" spans="1:8" ht="14.25" customHeight="1" x14ac:dyDescent="0.2">
      <c r="A37" s="5" t="s">
        <v>35</v>
      </c>
      <c r="B37" s="9">
        <v>1649</v>
      </c>
      <c r="C37" s="9">
        <v>247</v>
      </c>
      <c r="D37" s="9">
        <v>157</v>
      </c>
      <c r="E37" s="9">
        <v>91</v>
      </c>
      <c r="F37" s="9">
        <v>7</v>
      </c>
      <c r="G37" s="9">
        <v>3</v>
      </c>
      <c r="H37" s="10">
        <f t="shared" si="0"/>
        <v>2154</v>
      </c>
    </row>
    <row r="38" spans="1:8" ht="14.25" customHeight="1" x14ac:dyDescent="0.2">
      <c r="A38" s="5" t="s">
        <v>36</v>
      </c>
      <c r="B38" s="9">
        <v>1235</v>
      </c>
      <c r="C38" s="9">
        <v>270</v>
      </c>
      <c r="D38" s="9">
        <v>195</v>
      </c>
      <c r="E38" s="9">
        <v>16</v>
      </c>
      <c r="F38" s="9">
        <v>24</v>
      </c>
      <c r="G38" s="9">
        <v>0</v>
      </c>
      <c r="H38" s="10">
        <f t="shared" si="0"/>
        <v>1740</v>
      </c>
    </row>
    <row r="39" spans="1:8" ht="14.25" customHeight="1" x14ac:dyDescent="0.2">
      <c r="A39" s="5" t="s">
        <v>37</v>
      </c>
      <c r="B39" s="9">
        <v>3254</v>
      </c>
      <c r="C39" s="9">
        <v>804</v>
      </c>
      <c r="D39" s="9">
        <v>628</v>
      </c>
      <c r="E39" s="9">
        <v>306</v>
      </c>
      <c r="F39" s="9">
        <v>8</v>
      </c>
      <c r="G39" s="9">
        <v>11</v>
      </c>
      <c r="H39" s="10">
        <f t="shared" si="0"/>
        <v>5011</v>
      </c>
    </row>
    <row r="40" spans="1:8" ht="14.25" customHeight="1" x14ac:dyDescent="0.2">
      <c r="A40" s="5" t="s">
        <v>38</v>
      </c>
      <c r="B40" s="9">
        <v>2525</v>
      </c>
      <c r="C40" s="9">
        <v>513</v>
      </c>
      <c r="D40" s="9">
        <v>304</v>
      </c>
      <c r="E40" s="9">
        <v>4</v>
      </c>
      <c r="F40" s="9">
        <v>21</v>
      </c>
      <c r="G40" s="9">
        <v>7</v>
      </c>
      <c r="H40" s="10">
        <f t="shared" si="0"/>
        <v>3374</v>
      </c>
    </row>
    <row r="41" spans="1:8" ht="14.25" customHeight="1" x14ac:dyDescent="0.2">
      <c r="A41" s="5" t="s">
        <v>39</v>
      </c>
      <c r="B41" s="9">
        <v>12436</v>
      </c>
      <c r="C41" s="9">
        <v>1676</v>
      </c>
      <c r="D41" s="9">
        <v>1565</v>
      </c>
      <c r="E41" s="9">
        <v>1785</v>
      </c>
      <c r="F41" s="9">
        <v>77</v>
      </c>
      <c r="G41" s="9">
        <v>37</v>
      </c>
      <c r="H41" s="10">
        <f t="shared" si="0"/>
        <v>17576</v>
      </c>
    </row>
    <row r="42" spans="1:8" ht="14.25" customHeight="1" x14ac:dyDescent="0.2">
      <c r="A42" s="5" t="s">
        <v>40</v>
      </c>
      <c r="B42" s="9">
        <v>2537</v>
      </c>
      <c r="C42" s="9">
        <v>378</v>
      </c>
      <c r="D42" s="9">
        <v>285</v>
      </c>
      <c r="E42" s="9">
        <v>330</v>
      </c>
      <c r="F42" s="9">
        <v>0</v>
      </c>
      <c r="G42" s="9">
        <v>10</v>
      </c>
      <c r="H42" s="10">
        <f t="shared" si="0"/>
        <v>3540</v>
      </c>
    </row>
    <row r="43" spans="1:8" ht="14.25" customHeight="1" x14ac:dyDescent="0.2">
      <c r="A43" s="5" t="s">
        <v>41</v>
      </c>
      <c r="B43" s="9">
        <v>6208</v>
      </c>
      <c r="C43" s="9">
        <v>1249</v>
      </c>
      <c r="D43" s="9">
        <v>1010</v>
      </c>
      <c r="E43" s="9">
        <v>366</v>
      </c>
      <c r="F43" s="9">
        <v>44</v>
      </c>
      <c r="G43" s="9">
        <v>20</v>
      </c>
      <c r="H43" s="10">
        <f t="shared" si="0"/>
        <v>8897</v>
      </c>
    </row>
    <row r="44" spans="1:8" ht="14.25" customHeight="1" x14ac:dyDescent="0.2">
      <c r="A44" s="5" t="s">
        <v>42</v>
      </c>
      <c r="B44" s="9">
        <v>4356</v>
      </c>
      <c r="C44" s="9">
        <v>769</v>
      </c>
      <c r="D44" s="9">
        <v>653</v>
      </c>
      <c r="E44" s="9">
        <v>39</v>
      </c>
      <c r="F44" s="9">
        <v>290</v>
      </c>
      <c r="G44" s="9">
        <v>8</v>
      </c>
      <c r="H44" s="10">
        <f t="shared" si="0"/>
        <v>6115</v>
      </c>
    </row>
    <row r="45" spans="1:8" ht="14.25" customHeight="1" x14ac:dyDescent="0.2">
      <c r="A45" s="5" t="s">
        <v>43</v>
      </c>
      <c r="B45" s="9">
        <v>855</v>
      </c>
      <c r="C45" s="9">
        <v>157</v>
      </c>
      <c r="D45" s="9">
        <v>113</v>
      </c>
      <c r="E45" s="9">
        <v>28</v>
      </c>
      <c r="F45" s="9">
        <v>1</v>
      </c>
      <c r="G45" s="9">
        <v>3</v>
      </c>
      <c r="H45" s="10">
        <f t="shared" si="0"/>
        <v>1157</v>
      </c>
    </row>
    <row r="46" spans="1:8" ht="14.25" customHeight="1" x14ac:dyDescent="0.2">
      <c r="A46" s="5" t="s">
        <v>44</v>
      </c>
      <c r="B46" s="9">
        <v>400</v>
      </c>
      <c r="C46" s="9">
        <v>89</v>
      </c>
      <c r="D46" s="9">
        <v>47</v>
      </c>
      <c r="E46" s="9">
        <v>18</v>
      </c>
      <c r="F46" s="9">
        <v>3</v>
      </c>
      <c r="G46" s="9">
        <v>3</v>
      </c>
      <c r="H46" s="10">
        <f t="shared" si="0"/>
        <v>560</v>
      </c>
    </row>
    <row r="47" spans="1:8" ht="14.25" customHeight="1" x14ac:dyDescent="0.2">
      <c r="A47" s="5" t="s">
        <v>45</v>
      </c>
      <c r="B47" s="9">
        <v>690</v>
      </c>
      <c r="C47" s="9">
        <v>108</v>
      </c>
      <c r="D47" s="9">
        <v>66</v>
      </c>
      <c r="E47" s="9">
        <v>13</v>
      </c>
      <c r="F47" s="9">
        <v>2</v>
      </c>
      <c r="G47" s="9">
        <v>1</v>
      </c>
      <c r="H47" s="10">
        <f t="shared" si="0"/>
        <v>880</v>
      </c>
    </row>
    <row r="48" spans="1:8" ht="14.25" customHeight="1" x14ac:dyDescent="0.2">
      <c r="A48" s="5" t="s">
        <v>46</v>
      </c>
      <c r="B48" s="9">
        <v>1488</v>
      </c>
      <c r="C48" s="9">
        <v>333</v>
      </c>
      <c r="D48" s="9">
        <v>215</v>
      </c>
      <c r="E48" s="9">
        <v>91</v>
      </c>
      <c r="F48" s="9">
        <v>5</v>
      </c>
      <c r="G48" s="9">
        <v>4</v>
      </c>
      <c r="H48" s="10">
        <f t="shared" si="0"/>
        <v>2136</v>
      </c>
    </row>
    <row r="49" spans="1:8" ht="14.25" customHeight="1" x14ac:dyDescent="0.2">
      <c r="A49" s="5" t="s">
        <v>47</v>
      </c>
      <c r="B49" s="9">
        <v>22137</v>
      </c>
      <c r="C49" s="9">
        <v>4207</v>
      </c>
      <c r="D49" s="9">
        <v>2870</v>
      </c>
      <c r="E49" s="9">
        <v>1079</v>
      </c>
      <c r="F49" s="9">
        <v>66</v>
      </c>
      <c r="G49" s="9">
        <v>42</v>
      </c>
      <c r="H49" s="10">
        <f t="shared" si="0"/>
        <v>30401</v>
      </c>
    </row>
    <row r="50" spans="1:8" ht="14.25" customHeight="1" x14ac:dyDescent="0.2">
      <c r="A50" s="5" t="s">
        <v>48</v>
      </c>
      <c r="B50" s="9">
        <v>968</v>
      </c>
      <c r="C50" s="9">
        <v>222</v>
      </c>
      <c r="D50" s="9">
        <v>134</v>
      </c>
      <c r="E50" s="9">
        <v>7</v>
      </c>
      <c r="F50" s="9">
        <v>7</v>
      </c>
      <c r="G50" s="9">
        <v>5</v>
      </c>
      <c r="H50" s="10">
        <f t="shared" si="0"/>
        <v>1343</v>
      </c>
    </row>
    <row r="51" spans="1:8" ht="14.25" customHeight="1" x14ac:dyDescent="0.2">
      <c r="A51" s="5" t="s">
        <v>49</v>
      </c>
      <c r="B51" s="9">
        <v>1044</v>
      </c>
      <c r="C51" s="9">
        <v>177</v>
      </c>
      <c r="D51" s="9">
        <v>113</v>
      </c>
      <c r="E51" s="9">
        <v>75</v>
      </c>
      <c r="F51" s="9">
        <v>14</v>
      </c>
      <c r="G51" s="9">
        <v>0</v>
      </c>
      <c r="H51" s="10">
        <f t="shared" si="0"/>
        <v>1423</v>
      </c>
    </row>
    <row r="52" spans="1:8" ht="14.25" customHeight="1" x14ac:dyDescent="0.2">
      <c r="A52" s="5" t="s">
        <v>50</v>
      </c>
      <c r="B52" s="9">
        <v>2047</v>
      </c>
      <c r="C52" s="9">
        <v>926</v>
      </c>
      <c r="D52" s="9">
        <v>531</v>
      </c>
      <c r="E52" s="9">
        <v>32</v>
      </c>
      <c r="F52" s="9">
        <v>8</v>
      </c>
      <c r="G52" s="9">
        <v>4</v>
      </c>
      <c r="H52" s="10">
        <f t="shared" si="0"/>
        <v>3548</v>
      </c>
    </row>
    <row r="53" spans="1:8" ht="14.25" customHeight="1" x14ac:dyDescent="0.2">
      <c r="A53" s="5" t="s">
        <v>51</v>
      </c>
      <c r="B53" s="9">
        <v>5085</v>
      </c>
      <c r="C53" s="9">
        <v>1527</v>
      </c>
      <c r="D53" s="9">
        <v>1014</v>
      </c>
      <c r="E53" s="9">
        <v>239</v>
      </c>
      <c r="F53" s="9">
        <v>5</v>
      </c>
      <c r="G53" s="9">
        <v>7</v>
      </c>
      <c r="H53" s="10">
        <f t="shared" si="0"/>
        <v>7877</v>
      </c>
    </row>
    <row r="54" spans="1:8" ht="14.25" customHeight="1" x14ac:dyDescent="0.2">
      <c r="A54" s="5" t="s">
        <v>52</v>
      </c>
      <c r="B54" s="9">
        <v>2094</v>
      </c>
      <c r="C54" s="9">
        <v>372</v>
      </c>
      <c r="D54" s="9">
        <v>272</v>
      </c>
      <c r="E54" s="9">
        <v>305</v>
      </c>
      <c r="F54" s="9">
        <v>9</v>
      </c>
      <c r="G54" s="9">
        <v>6</v>
      </c>
      <c r="H54" s="10">
        <f t="shared" si="0"/>
        <v>3058</v>
      </c>
    </row>
    <row r="55" spans="1:8" ht="14.25" customHeight="1" x14ac:dyDescent="0.2">
      <c r="A55" s="5" t="s">
        <v>53</v>
      </c>
      <c r="B55" s="9">
        <v>1434</v>
      </c>
      <c r="C55" s="9">
        <v>210</v>
      </c>
      <c r="D55" s="9">
        <v>174</v>
      </c>
      <c r="E55" s="9">
        <v>76</v>
      </c>
      <c r="F55" s="9">
        <v>14</v>
      </c>
      <c r="G55" s="9">
        <v>2</v>
      </c>
      <c r="H55" s="10">
        <f t="shared" si="0"/>
        <v>1910</v>
      </c>
    </row>
    <row r="56" spans="1:8" ht="14.25" customHeight="1" x14ac:dyDescent="0.2">
      <c r="A56" s="5" t="s">
        <v>54</v>
      </c>
      <c r="B56" s="9">
        <v>1557</v>
      </c>
      <c r="C56" s="9">
        <v>253</v>
      </c>
      <c r="D56" s="9">
        <v>243</v>
      </c>
      <c r="E56" s="9">
        <v>53</v>
      </c>
      <c r="F56" s="9">
        <v>10</v>
      </c>
      <c r="G56" s="9">
        <v>0</v>
      </c>
      <c r="H56" s="10">
        <f t="shared" si="0"/>
        <v>2116</v>
      </c>
    </row>
    <row r="57" spans="1:8" ht="14.25" customHeight="1" x14ac:dyDescent="0.2">
      <c r="A57" s="5" t="s">
        <v>55</v>
      </c>
      <c r="B57" s="9">
        <v>34503</v>
      </c>
      <c r="C57" s="9">
        <v>6277</v>
      </c>
      <c r="D57" s="9">
        <v>4706</v>
      </c>
      <c r="E57" s="9">
        <v>5657</v>
      </c>
      <c r="F57" s="9">
        <v>177</v>
      </c>
      <c r="G57" s="9">
        <v>48</v>
      </c>
      <c r="H57" s="10">
        <f>SUM(B57:G57)</f>
        <v>51368</v>
      </c>
    </row>
    <row r="58" spans="1:8" ht="14.25" customHeight="1" x14ac:dyDescent="0.2">
      <c r="A58" s="5" t="s">
        <v>56</v>
      </c>
      <c r="B58" s="9">
        <v>345</v>
      </c>
      <c r="C58" s="9">
        <v>69</v>
      </c>
      <c r="D58" s="9">
        <v>41</v>
      </c>
      <c r="E58" s="9">
        <v>26</v>
      </c>
      <c r="F58" s="9">
        <v>0</v>
      </c>
      <c r="G58" s="9">
        <v>0</v>
      </c>
      <c r="H58" s="10">
        <f t="shared" si="0"/>
        <v>481</v>
      </c>
    </row>
    <row r="59" spans="1:8" ht="14.25" customHeight="1" x14ac:dyDescent="0.2">
      <c r="A59" s="5" t="s">
        <v>57</v>
      </c>
      <c r="B59" s="9">
        <v>470</v>
      </c>
      <c r="C59" s="9">
        <v>104</v>
      </c>
      <c r="D59" s="9">
        <v>55</v>
      </c>
      <c r="E59" s="9">
        <v>13</v>
      </c>
      <c r="F59" s="9">
        <v>3</v>
      </c>
      <c r="G59" s="9">
        <v>0</v>
      </c>
      <c r="H59" s="10">
        <f t="shared" si="0"/>
        <v>645</v>
      </c>
    </row>
    <row r="60" spans="1:8" ht="14.25" customHeight="1" x14ac:dyDescent="0.2">
      <c r="A60" s="5" t="s">
        <v>58</v>
      </c>
      <c r="B60" s="9">
        <v>40786</v>
      </c>
      <c r="C60" s="12">
        <v>9798</v>
      </c>
      <c r="D60" s="9">
        <v>7426</v>
      </c>
      <c r="E60" s="9">
        <v>5416</v>
      </c>
      <c r="F60" s="9"/>
      <c r="G60" s="9">
        <v>386</v>
      </c>
      <c r="H60" s="10">
        <f t="shared" si="0"/>
        <v>63812</v>
      </c>
    </row>
    <row r="61" spans="1:8" ht="14.25" customHeight="1" x14ac:dyDescent="0.2">
      <c r="A61" s="5" t="s">
        <v>59</v>
      </c>
      <c r="B61" s="9">
        <v>91943</v>
      </c>
      <c r="C61" s="9">
        <v>56238</v>
      </c>
      <c r="D61" s="9">
        <v>33112</v>
      </c>
      <c r="E61" s="9">
        <v>13482</v>
      </c>
      <c r="F61" s="9"/>
      <c r="G61" s="9">
        <v>1140</v>
      </c>
      <c r="H61" s="10">
        <f t="shared" si="0"/>
        <v>195915</v>
      </c>
    </row>
    <row r="62" spans="1:8" ht="14.25" customHeight="1" x14ac:dyDescent="0.2">
      <c r="A62" s="5" t="s">
        <v>60</v>
      </c>
      <c r="B62" s="9">
        <v>117603</v>
      </c>
      <c r="C62" s="9">
        <v>42350</v>
      </c>
      <c r="D62" s="9">
        <v>27784</v>
      </c>
      <c r="E62" s="9">
        <v>19407</v>
      </c>
      <c r="F62" s="9"/>
      <c r="G62" s="9">
        <v>1050</v>
      </c>
      <c r="H62" s="10">
        <f t="shared" si="0"/>
        <v>208194</v>
      </c>
    </row>
    <row r="63" spans="1:8" ht="14.25" customHeight="1" x14ac:dyDescent="0.2">
      <c r="A63" s="5" t="s">
        <v>61</v>
      </c>
      <c r="B63" s="12">
        <v>64834</v>
      </c>
      <c r="C63" s="12">
        <v>24620</v>
      </c>
      <c r="D63" s="12">
        <v>20257</v>
      </c>
      <c r="E63" s="12">
        <v>6311</v>
      </c>
      <c r="F63" s="12"/>
      <c r="G63" s="12">
        <v>481</v>
      </c>
      <c r="H63" s="10">
        <f t="shared" si="0"/>
        <v>116503</v>
      </c>
    </row>
    <row r="64" spans="1:8" ht="14.25" customHeight="1" x14ac:dyDescent="0.2">
      <c r="A64" s="5" t="s">
        <v>62</v>
      </c>
      <c r="B64" s="9">
        <v>7842</v>
      </c>
      <c r="C64" s="9">
        <v>1610</v>
      </c>
      <c r="D64" s="9">
        <v>1532</v>
      </c>
      <c r="E64" s="9">
        <v>300</v>
      </c>
      <c r="F64" s="9"/>
      <c r="G64" s="9">
        <v>71</v>
      </c>
      <c r="H64" s="10">
        <f t="shared" si="0"/>
        <v>11355</v>
      </c>
    </row>
    <row r="65" spans="1:8" ht="14.25" customHeight="1" x14ac:dyDescent="0.2">
      <c r="A65" s="7" t="s">
        <v>63</v>
      </c>
      <c r="B65" s="13">
        <f>SUM(B3:B64)</f>
        <v>595300</v>
      </c>
      <c r="C65" s="13">
        <f t="shared" ref="C65:D65" si="1">SUM(C3:C64)</f>
        <v>184821</v>
      </c>
      <c r="D65" s="13">
        <f t="shared" si="1"/>
        <v>127197</v>
      </c>
      <c r="E65" s="13">
        <f t="shared" ref="E65:G65" si="2">SUM(E3:E64)</f>
        <v>64129</v>
      </c>
      <c r="F65" s="13">
        <f t="shared" si="2"/>
        <v>1991</v>
      </c>
      <c r="G65" s="13">
        <f t="shared" si="2"/>
        <v>4121</v>
      </c>
      <c r="H65" s="14">
        <f>SUM(H3:H64)</f>
        <v>977559</v>
      </c>
    </row>
    <row r="66" spans="1:8" ht="14.25" customHeight="1" x14ac:dyDescent="0.2">
      <c r="A66" s="8" t="s">
        <v>64</v>
      </c>
      <c r="B66" s="15">
        <f>SUM(B65)</f>
        <v>595300</v>
      </c>
      <c r="C66" s="56">
        <f t="shared" ref="C66:D66" si="3">SUM(C65)</f>
        <v>184821</v>
      </c>
      <c r="D66" s="56">
        <f t="shared" si="3"/>
        <v>127197</v>
      </c>
      <c r="E66" s="56">
        <f t="shared" ref="E66:G66" si="4">SUM(E65)</f>
        <v>64129</v>
      </c>
      <c r="F66" s="56">
        <f t="shared" si="4"/>
        <v>1991</v>
      </c>
      <c r="G66" s="56">
        <f t="shared" si="4"/>
        <v>4121</v>
      </c>
      <c r="H66" s="16"/>
    </row>
  </sheetData>
  <mergeCells count="1">
    <mergeCell ref="A1:D1"/>
  </mergeCells>
  <phoneticPr fontId="1" type="noConversion"/>
  <pageMargins left="0.25" right="0.25" top="0.25" bottom="0.25" header="0.25" footer="0.25"/>
  <pageSetup paperSize="119" scale="79" fitToWidth="0" orientation="landscape" r:id="rId1"/>
  <headerFooter alignWithMargins="0">
    <oddFooter xml:space="preserve">&amp;RPage &amp;P of &amp;N   </oddFooter>
  </headerFooter>
  <colBreaks count="2" manualBreakCount="2">
    <brk id="8" max="65" man="1"/>
    <brk id="16" max="65" man="1"/>
  </colBreaks>
  <ignoredErrors>
    <ignoredError sqref="H3:H65" calculatedColumn="1"/>
  </ignoredError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1950-7E46-4166-BC7A-F34068A80053}">
  <sheetPr>
    <pageSetUpPr fitToPage="1"/>
  </sheetPr>
  <dimension ref="A1:E8"/>
  <sheetViews>
    <sheetView workbookViewId="0">
      <selection activeCell="E3" sqref="E3"/>
    </sheetView>
  </sheetViews>
  <sheetFormatPr defaultRowHeight="12.75" x14ac:dyDescent="0.2"/>
  <cols>
    <col min="1" max="1" width="25.5703125" customWidth="1"/>
    <col min="2" max="3" width="20.5703125" customWidth="1"/>
    <col min="4" max="4" width="21" customWidth="1"/>
    <col min="5" max="5" width="20.5703125" style="18" customWidth="1"/>
    <col min="6" max="6" width="20.5703125" customWidth="1"/>
    <col min="7" max="8" width="23.5703125" customWidth="1"/>
  </cols>
  <sheetData>
    <row r="1" spans="1:5" ht="24.95" customHeight="1" x14ac:dyDescent="0.2">
      <c r="A1" s="17" t="s">
        <v>241</v>
      </c>
    </row>
    <row r="2" spans="1:5" ht="28.5" customHeight="1" x14ac:dyDescent="0.2">
      <c r="A2" s="19" t="s">
        <v>66</v>
      </c>
      <c r="B2" s="20" t="s">
        <v>215</v>
      </c>
      <c r="C2" s="20" t="s">
        <v>217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239</v>
      </c>
      <c r="B3" s="31">
        <v>2248</v>
      </c>
      <c r="C3" s="24">
        <v>4061</v>
      </c>
      <c r="D3" s="25">
        <f>SUM(RepInCongressCongressionalDistrict11General[[#This Row],[Richmond County 
Vote Results]:[Part of Kings County 
Vote Results]])</f>
        <v>6309</v>
      </c>
      <c r="E3" s="54">
        <f>SUM(RepInCongressCongressionalDistrict11General[[#This Row],[Total Votes by Party]])</f>
        <v>6309</v>
      </c>
    </row>
    <row r="4" spans="1:5" s="27" customFormat="1" ht="14.25" customHeight="1" x14ac:dyDescent="0.2">
      <c r="A4" s="23" t="s">
        <v>240</v>
      </c>
      <c r="B4" s="31">
        <v>3916</v>
      </c>
      <c r="C4" s="24">
        <v>6539</v>
      </c>
      <c r="D4" s="25">
        <f>SUM(RepInCongressCongressionalDistrict11General[[#This Row],[Richmond County 
Vote Results]:[Part of Kings County 
Vote Results]])</f>
        <v>10455</v>
      </c>
      <c r="E4" s="26">
        <f>SUM(RepInCongressCongressionalDistrict11General[[#This Row],[Total Votes by Party]])</f>
        <v>10455</v>
      </c>
    </row>
    <row r="5" spans="1:5" s="27" customFormat="1" ht="14.25" customHeight="1" x14ac:dyDescent="0.2">
      <c r="A5" s="29" t="s">
        <v>69</v>
      </c>
      <c r="B5" s="31">
        <v>328</v>
      </c>
      <c r="C5" s="24">
        <v>613</v>
      </c>
      <c r="D5" s="25">
        <f>SUM(RepInCongressCongressionalDistrict11General[[#This Row],[Richmond County 
Vote Results]:[Part of Kings County 
Vote Results]])</f>
        <v>941</v>
      </c>
      <c r="E5" s="28"/>
    </row>
    <row r="6" spans="1:5" s="27" customFormat="1" ht="14.25" customHeight="1" x14ac:dyDescent="0.2">
      <c r="A6" s="29" t="s">
        <v>70</v>
      </c>
      <c r="B6" s="31"/>
      <c r="C6" s="24"/>
      <c r="D6" s="25">
        <f>SUM(RepInCongressCongressionalDistrict11General[[#This Row],[Richmond County 
Vote Results]:[Part of Kings County 
Vote Results]])</f>
        <v>0</v>
      </c>
      <c r="E6" s="28"/>
    </row>
    <row r="7" spans="1:5" s="27" customFormat="1" ht="14.25" customHeight="1" x14ac:dyDescent="0.2">
      <c r="A7" s="29" t="s">
        <v>71</v>
      </c>
      <c r="B7" s="31">
        <v>80</v>
      </c>
      <c r="C7" s="24">
        <v>170</v>
      </c>
      <c r="D7" s="25">
        <f>SUM(RepInCongressCongressionalDistrict11General[[#This Row],[Richmond County 
Vote Results]:[Part of Kings County 
Vote Results]])</f>
        <v>250</v>
      </c>
      <c r="E7" s="28"/>
    </row>
    <row r="8" spans="1:5" s="27" customFormat="1" ht="14.25" customHeight="1" x14ac:dyDescent="0.2">
      <c r="A8" s="30" t="s">
        <v>1</v>
      </c>
      <c r="B8" s="24">
        <f>SUM(RepInCongressCongressionalDistrict11General[Part of Kings County 
Vote Results])</f>
        <v>6572</v>
      </c>
      <c r="C8" s="24">
        <f>SUM(RepInCongressCongressionalDistrict11General[Richmond County 
Vote Results])</f>
        <v>11383</v>
      </c>
      <c r="D8" s="25">
        <f>SUM(RepInCongressCongressionalDistrict11General[Total Votes by Party])</f>
        <v>17955</v>
      </c>
      <c r="E8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9576-C1AE-4BEE-89E1-4E866925BAA5}">
  <sheetPr>
    <pageSetUpPr fitToPage="1"/>
  </sheetPr>
  <dimension ref="A1:F22"/>
  <sheetViews>
    <sheetView zoomScaleNormal="100" workbookViewId="0">
      <selection activeCell="D22" sqref="D22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6" ht="36.75" customHeight="1" x14ac:dyDescent="0.2">
      <c r="A1" s="59" t="s">
        <v>838</v>
      </c>
      <c r="B1" s="59"/>
      <c r="C1" s="59"/>
      <c r="D1" s="59"/>
      <c r="E1" s="59"/>
      <c r="F1" s="59"/>
    </row>
    <row r="2" spans="1:6" ht="28.5" customHeight="1" x14ac:dyDescent="0.2">
      <c r="A2" s="19" t="s">
        <v>66</v>
      </c>
      <c r="B2" s="20" t="s">
        <v>120</v>
      </c>
      <c r="C2" s="20" t="s">
        <v>136</v>
      </c>
      <c r="D2" s="21" t="s">
        <v>63</v>
      </c>
      <c r="E2" s="22" t="s">
        <v>64</v>
      </c>
    </row>
    <row r="3" spans="1:6" s="27" customFormat="1" ht="14.25" customHeight="1" x14ac:dyDescent="0.2">
      <c r="A3" s="23" t="s">
        <v>839</v>
      </c>
      <c r="B3" s="24">
        <v>42</v>
      </c>
      <c r="C3" s="24">
        <v>1</v>
      </c>
      <c r="D3" s="25">
        <f>SUM(MemberOfAssemblyAssemblyDistrict99General113[[#This Row],[Part of Orange County 
Vote Results]:[Part of Rockland County 
Vote Results]])</f>
        <v>43</v>
      </c>
      <c r="E3" s="54">
        <f>SUM(MemberOfAssemblyAssemblyDistrict99General113[[#This Row],[Total Votes by Party]])</f>
        <v>43</v>
      </c>
    </row>
    <row r="4" spans="1:6" s="27" customFormat="1" ht="14.25" customHeight="1" x14ac:dyDescent="0.2">
      <c r="A4" s="23" t="s">
        <v>840</v>
      </c>
      <c r="B4" s="24">
        <v>43</v>
      </c>
      <c r="C4" s="24">
        <v>1</v>
      </c>
      <c r="D4" s="25">
        <f>SUM(MemberOfAssemblyAssemblyDistrict99General113[[#This Row],[Part of Orange County 
Vote Results]:[Part of Rockland County 
Vote Results]])</f>
        <v>44</v>
      </c>
      <c r="E4" s="54">
        <f>SUM(MemberOfAssemblyAssemblyDistrict99General113[[#This Row],[Total Votes by Party]])</f>
        <v>44</v>
      </c>
    </row>
    <row r="5" spans="1:6" s="27" customFormat="1" ht="14.25" customHeight="1" x14ac:dyDescent="0.2">
      <c r="A5" s="23" t="s">
        <v>859</v>
      </c>
      <c r="B5" s="24">
        <v>431</v>
      </c>
      <c r="C5" s="24">
        <v>0</v>
      </c>
      <c r="D5" s="25">
        <f>SUM(MemberOfAssemblyAssemblyDistrict99General113[[#This Row],[Part of Orange County 
Vote Results]:[Part of Rockland County 
Vote Results]])</f>
        <v>431</v>
      </c>
      <c r="E5" s="26">
        <f>SUM(MemberOfAssemblyAssemblyDistrict99General113[[#This Row],[Total Votes by Party]])</f>
        <v>431</v>
      </c>
    </row>
    <row r="6" spans="1:6" s="27" customFormat="1" ht="14.25" customHeight="1" x14ac:dyDescent="0.2">
      <c r="A6" s="23" t="s">
        <v>841</v>
      </c>
      <c r="B6" s="24">
        <v>432</v>
      </c>
      <c r="C6" s="24">
        <v>0</v>
      </c>
      <c r="D6" s="25">
        <f>SUM(MemberOfAssemblyAssemblyDistrict99General113[[#This Row],[Part of Orange County 
Vote Results]:[Part of Rockland County 
Vote Results]])</f>
        <v>432</v>
      </c>
      <c r="E6" s="26">
        <f>SUM(MemberOfAssemblyAssemblyDistrict99General113[[#This Row],[Total Votes by Party]])</f>
        <v>432</v>
      </c>
    </row>
    <row r="7" spans="1:6" s="27" customFormat="1" ht="14.25" customHeight="1" x14ac:dyDescent="0.2">
      <c r="A7" s="29" t="s">
        <v>69</v>
      </c>
      <c r="B7" s="24">
        <v>40</v>
      </c>
      <c r="C7" s="24">
        <v>2</v>
      </c>
      <c r="D7" s="25">
        <f>SUM(MemberOfAssemblyAssemblyDistrict99General113[[#This Row],[Part of Orange County 
Vote Results]:[Part of Rockland County 
Vote Results]])</f>
        <v>42</v>
      </c>
      <c r="E7" s="28"/>
    </row>
    <row r="8" spans="1:6" s="27" customFormat="1" ht="14.25" customHeight="1" x14ac:dyDescent="0.2">
      <c r="A8" s="29" t="s">
        <v>70</v>
      </c>
      <c r="B8" s="24">
        <v>6</v>
      </c>
      <c r="C8" s="24">
        <v>2</v>
      </c>
      <c r="D8" s="25">
        <f>SUM(MemberOfAssemblyAssemblyDistrict99General113[[#This Row],[Part of Orange County 
Vote Results]:[Part of Rockland County 
Vote Results]])</f>
        <v>8</v>
      </c>
      <c r="E8" s="28"/>
    </row>
    <row r="9" spans="1:6" s="27" customFormat="1" ht="14.25" customHeight="1" x14ac:dyDescent="0.2">
      <c r="A9" s="29" t="s">
        <v>71</v>
      </c>
      <c r="B9" s="24">
        <v>0</v>
      </c>
      <c r="C9" s="24">
        <v>0</v>
      </c>
      <c r="D9" s="25">
        <f>SUM(MemberOfAssemblyAssemblyDistrict99General113[[#This Row],[Part of Orange County 
Vote Results]:[Part of Rockland County 
Vote Results]])</f>
        <v>0</v>
      </c>
      <c r="E9" s="28"/>
    </row>
    <row r="10" spans="1:6" s="27" customFormat="1" ht="14.25" customHeight="1" x14ac:dyDescent="0.2">
      <c r="A10" s="30" t="s">
        <v>1</v>
      </c>
      <c r="B10" s="24">
        <f>SUM(MemberOfAssemblyAssemblyDistrict99General113[Part of Orange County 
Vote Results])</f>
        <v>994</v>
      </c>
      <c r="C10" s="24">
        <f>SUM(MemberOfAssemblyAssemblyDistrict99General113[Part of Rockland County 
Vote Results])</f>
        <v>6</v>
      </c>
      <c r="D10" s="25">
        <f>SUM(MemberOfAssemblyAssemblyDistrict99General113[Total Votes by Party])</f>
        <v>1000</v>
      </c>
      <c r="E10" s="28"/>
    </row>
    <row r="11" spans="1:6" s="27" customFormat="1" ht="14.25" customHeight="1" x14ac:dyDescent="0.2">
      <c r="E11" s="37"/>
    </row>
    <row r="12" spans="1:6" s="27" customFormat="1" ht="14.25" customHeight="1" x14ac:dyDescent="0.2">
      <c r="E12" s="37"/>
    </row>
    <row r="13" spans="1:6" s="27" customFormat="1" ht="14.25" customHeight="1" x14ac:dyDescent="0.2">
      <c r="E13" s="37"/>
    </row>
    <row r="14" spans="1:6" s="27" customFormat="1" ht="14.25" customHeight="1" x14ac:dyDescent="0.2">
      <c r="E14" s="37"/>
    </row>
    <row r="15" spans="1:6" s="27" customFormat="1" ht="14.25" customHeight="1" x14ac:dyDescent="0.2">
      <c r="E15" s="37"/>
    </row>
    <row r="16" spans="1:6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  <row r="22" spans="5:5" s="27" customFormat="1" ht="14.25" customHeight="1" x14ac:dyDescent="0.2">
      <c r="E22" s="37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57C4-FC80-43FE-9D11-4D32FA157CF7}">
  <sheetPr>
    <pageSetUpPr fitToPage="1"/>
  </sheetPr>
  <dimension ref="A1:E33"/>
  <sheetViews>
    <sheetView workbookViewId="0">
      <selection activeCell="H5" sqref="H5:H1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7.5" customHeight="1" x14ac:dyDescent="0.2">
      <c r="A1" s="59" t="s">
        <v>464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268</v>
      </c>
      <c r="B3" s="31">
        <v>1943</v>
      </c>
      <c r="C3" s="25">
        <f>MemberOfAssemblyAssemblyDistrict24General3[[#This Row],[Part of Queens County 
Vote Results]]</f>
        <v>1943</v>
      </c>
      <c r="D3" s="26">
        <f>MemberOfAssemblyAssemblyDistrict24General3[[#This Row],[Total Votes by Party]]</f>
        <v>1943</v>
      </c>
    </row>
    <row r="4" spans="1:5" s="27" customFormat="1" ht="14.25" customHeight="1" x14ac:dyDescent="0.2">
      <c r="A4" s="23" t="s">
        <v>465</v>
      </c>
      <c r="B4" s="31">
        <v>1551</v>
      </c>
      <c r="C4" s="25">
        <f>MemberOfAssemblyAssemblyDistrict24General3[[#This Row],[Part of Queens County 
Vote Results]]</f>
        <v>1551</v>
      </c>
      <c r="D4" s="54">
        <f>MemberOfAssemblyAssemblyDistrict24General3[[#This Row],[Total Votes by Party]]</f>
        <v>1551</v>
      </c>
    </row>
    <row r="5" spans="1:5" s="27" customFormat="1" ht="14.25" customHeight="1" x14ac:dyDescent="0.2">
      <c r="A5" s="23" t="s">
        <v>466</v>
      </c>
      <c r="B5" s="31">
        <v>2509</v>
      </c>
      <c r="C5" s="25">
        <f>MemberOfAssemblyAssemblyDistrict24General3[[#This Row],[Part of Queens County 
Vote Results]]</f>
        <v>2509</v>
      </c>
      <c r="D5" s="26">
        <f>MemberOfAssemblyAssemblyDistrict24General3[[#This Row],[Total Votes by Party]]</f>
        <v>2509</v>
      </c>
    </row>
    <row r="6" spans="1:5" s="27" customFormat="1" ht="14.25" customHeight="1" x14ac:dyDescent="0.2">
      <c r="A6" s="23" t="s">
        <v>467</v>
      </c>
      <c r="B6" s="31">
        <v>2363</v>
      </c>
      <c r="C6" s="25">
        <f>MemberOfAssemblyAssemblyDistrict24General3[[#This Row],[Part of Queens County 
Vote Results]]</f>
        <v>2363</v>
      </c>
      <c r="D6" s="26">
        <f>MemberOfAssemblyAssemblyDistrict24General3[[#This Row],[Total Votes by Party]]</f>
        <v>2363</v>
      </c>
    </row>
    <row r="7" spans="1:5" s="27" customFormat="1" ht="14.25" customHeight="1" x14ac:dyDescent="0.2">
      <c r="A7" s="23" t="s">
        <v>468</v>
      </c>
      <c r="B7" s="31">
        <v>2771</v>
      </c>
      <c r="C7" s="25">
        <f>MemberOfAssemblyAssemblyDistrict24General3[[#This Row],[Part of Queens County 
Vote Results]]</f>
        <v>2771</v>
      </c>
      <c r="D7" s="26">
        <f>MemberOfAssemblyAssemblyDistrict24General3[[#This Row],[Total Votes by Party]]</f>
        <v>2771</v>
      </c>
    </row>
    <row r="8" spans="1:5" s="27" customFormat="1" ht="14.25" customHeight="1" x14ac:dyDescent="0.2">
      <c r="A8" s="23" t="s">
        <v>469</v>
      </c>
      <c r="B8" s="31">
        <v>2090</v>
      </c>
      <c r="C8" s="25">
        <f>MemberOfAssemblyAssemblyDistrict24General3[[#This Row],[Part of Queens County 
Vote Results]]</f>
        <v>2090</v>
      </c>
      <c r="D8" s="26">
        <f>MemberOfAssemblyAssemblyDistrict24General3[[#This Row],[Total Votes by Party]]</f>
        <v>2090</v>
      </c>
    </row>
    <row r="9" spans="1:5" s="27" customFormat="1" ht="14.25" customHeight="1" x14ac:dyDescent="0.2">
      <c r="A9" s="23" t="s">
        <v>470</v>
      </c>
      <c r="B9" s="31">
        <v>1678</v>
      </c>
      <c r="C9" s="25">
        <f>MemberOfAssemblyAssemblyDistrict24General3[[#This Row],[Part of Queens County 
Vote Results]]</f>
        <v>1678</v>
      </c>
      <c r="D9" s="54">
        <f>MemberOfAssemblyAssemblyDistrict24General3[[#This Row],[Total Votes by Party]]</f>
        <v>1678</v>
      </c>
    </row>
    <row r="10" spans="1:5" s="27" customFormat="1" ht="14.25" customHeight="1" x14ac:dyDescent="0.2">
      <c r="A10" s="23" t="s">
        <v>471</v>
      </c>
      <c r="B10" s="31">
        <v>2138</v>
      </c>
      <c r="C10" s="25">
        <f>MemberOfAssemblyAssemblyDistrict24General3[[#This Row],[Part of Queens County 
Vote Results]]</f>
        <v>2138</v>
      </c>
      <c r="D10" s="26">
        <f>MemberOfAssemblyAssemblyDistrict24General3[[#This Row],[Total Votes by Party]]</f>
        <v>2138</v>
      </c>
    </row>
    <row r="11" spans="1:5" s="27" customFormat="1" ht="14.25" customHeight="1" x14ac:dyDescent="0.2">
      <c r="A11" s="23" t="s">
        <v>472</v>
      </c>
      <c r="B11" s="31">
        <v>2462</v>
      </c>
      <c r="C11" s="25">
        <f>MemberOfAssemblyAssemblyDistrict24General3[[#This Row],[Part of Queens County 
Vote Results]]</f>
        <v>2462</v>
      </c>
      <c r="D11" s="26">
        <f>MemberOfAssemblyAssemblyDistrict24General3[[#This Row],[Total Votes by Party]]</f>
        <v>2462</v>
      </c>
    </row>
    <row r="12" spans="1:5" s="27" customFormat="1" ht="14.25" customHeight="1" x14ac:dyDescent="0.2">
      <c r="A12" s="29" t="s">
        <v>69</v>
      </c>
      <c r="B12" s="24">
        <v>10539</v>
      </c>
      <c r="C12" s="25">
        <f>MemberOfAssemblyAssemblyDistrict24General3[[#This Row],[Part of Queens County 
Vote Results]]</f>
        <v>10539</v>
      </c>
      <c r="D12" s="28"/>
    </row>
    <row r="13" spans="1:5" s="27" customFormat="1" ht="14.25" customHeight="1" x14ac:dyDescent="0.2">
      <c r="A13" s="29" t="s">
        <v>70</v>
      </c>
      <c r="B13" s="24"/>
      <c r="C13" s="25">
        <f>MemberOfAssemblyAssemblyDistrict24General3[[#This Row],[Part of Queens County 
Vote Results]]</f>
        <v>0</v>
      </c>
      <c r="D13" s="28"/>
    </row>
    <row r="14" spans="1:5" s="27" customFormat="1" ht="14.25" customHeight="1" x14ac:dyDescent="0.2">
      <c r="A14" s="29" t="s">
        <v>71</v>
      </c>
      <c r="B14" s="24">
        <v>154</v>
      </c>
      <c r="C14" s="25">
        <f>MemberOfAssemblyAssemblyDistrict24General3[[#This Row],[Part of Queens County 
Vote Results]]</f>
        <v>154</v>
      </c>
      <c r="D14" s="28"/>
    </row>
    <row r="15" spans="1:5" s="27" customFormat="1" ht="14.25" customHeight="1" x14ac:dyDescent="0.2">
      <c r="A15" s="30" t="s">
        <v>1</v>
      </c>
      <c r="B15" s="24">
        <f>SUM(MemberOfAssemblyAssemblyDistrict24General3[Part of Queens County 
Vote Results])</f>
        <v>30198</v>
      </c>
      <c r="C15" s="25">
        <f>SUM(MemberOfAssemblyAssemblyDistrict24General3[Total Votes by Party])</f>
        <v>30198</v>
      </c>
      <c r="D15" s="28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  <row r="30" spans="4:4" s="27" customFormat="1" ht="14.25" customHeight="1" x14ac:dyDescent="0.2">
      <c r="D30" s="37"/>
    </row>
    <row r="31" spans="4:4" s="27" customFormat="1" ht="14.25" customHeight="1" x14ac:dyDescent="0.2">
      <c r="D31" s="37"/>
    </row>
    <row r="32" spans="4:4" s="27" customFormat="1" ht="14.25" customHeight="1" x14ac:dyDescent="0.2">
      <c r="D32" s="37"/>
    </row>
    <row r="33" spans="4:4" s="27" customFormat="1" ht="14.25" customHeight="1" x14ac:dyDescent="0.2">
      <c r="D33" s="37"/>
    </row>
  </sheetData>
  <sortState xmlns:xlrd2="http://schemas.microsoft.com/office/spreadsheetml/2017/richdata2" ref="H5:H13">
    <sortCondition descending="1" ref="H5:H13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B358-B8E2-4809-9915-A67552B08753}">
  <sheetPr>
    <pageSetUpPr fitToPage="1"/>
  </sheetPr>
  <dimension ref="A1:H38"/>
  <sheetViews>
    <sheetView workbookViewId="0">
      <selection activeCell="H4" sqref="H4:H18"/>
    </sheetView>
  </sheetViews>
  <sheetFormatPr defaultRowHeight="12.75" x14ac:dyDescent="0.2"/>
  <cols>
    <col min="1" max="1" width="27.42578125" customWidth="1"/>
    <col min="2" max="3" width="20.5703125" customWidth="1"/>
    <col min="4" max="4" width="20.5703125" style="18" customWidth="1"/>
    <col min="5" max="6" width="23.5703125" customWidth="1"/>
  </cols>
  <sheetData>
    <row r="1" spans="1:8" ht="36" customHeight="1" x14ac:dyDescent="0.2">
      <c r="A1" s="59" t="s">
        <v>473</v>
      </c>
      <c r="B1" s="59"/>
      <c r="C1" s="59"/>
      <c r="D1" s="59"/>
      <c r="E1" s="59"/>
    </row>
    <row r="2" spans="1:8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474</v>
      </c>
      <c r="B3" s="31">
        <v>4505</v>
      </c>
      <c r="C3" s="25">
        <f>MemberOfAssemblyAssemblyDistrict28General114[[#This Row],[Part of Queens County 
Vote Results]]</f>
        <v>4505</v>
      </c>
      <c r="D3" s="26">
        <f>SUM(MemberOfAssemblyAssemblyDistrict28General114[[#This Row],[Total Votes by Party]])</f>
        <v>4505</v>
      </c>
    </row>
    <row r="4" spans="1:8" s="27" customFormat="1" ht="14.25" customHeight="1" x14ac:dyDescent="0.2">
      <c r="A4" s="23" t="s">
        <v>475</v>
      </c>
      <c r="B4" s="31">
        <v>2912</v>
      </c>
      <c r="C4" s="25">
        <f>MemberOfAssemblyAssemblyDistrict28General114[[#This Row],[Part of Queens County 
Vote Results]]</f>
        <v>2912</v>
      </c>
      <c r="D4" s="26">
        <f>SUM(MemberOfAssemblyAssemblyDistrict28General114[[#This Row],[Total Votes by Party]])</f>
        <v>2912</v>
      </c>
      <c r="H4" s="55"/>
    </row>
    <row r="5" spans="1:8" s="27" customFormat="1" ht="14.25" customHeight="1" x14ac:dyDescent="0.2">
      <c r="A5" s="23" t="s">
        <v>476</v>
      </c>
      <c r="B5" s="31">
        <v>2712</v>
      </c>
      <c r="C5" s="25">
        <f>MemberOfAssemblyAssemblyDistrict28General114[[#This Row],[Part of Queens County 
Vote Results]]</f>
        <v>2712</v>
      </c>
      <c r="D5" s="54">
        <f>SUM(MemberOfAssemblyAssemblyDistrict28General114[[#This Row],[Total Votes by Party]])</f>
        <v>2712</v>
      </c>
      <c r="H5" s="55"/>
    </row>
    <row r="6" spans="1:8" s="27" customFormat="1" ht="14.25" customHeight="1" x14ac:dyDescent="0.2">
      <c r="A6" s="23" t="s">
        <v>477</v>
      </c>
      <c r="B6" s="31">
        <v>3643</v>
      </c>
      <c r="C6" s="25">
        <f>MemberOfAssemblyAssemblyDistrict28General114[[#This Row],[Part of Queens County 
Vote Results]]</f>
        <v>3643</v>
      </c>
      <c r="D6" s="26">
        <f>SUM(MemberOfAssemblyAssemblyDistrict28General114[[#This Row],[Total Votes by Party]])</f>
        <v>3643</v>
      </c>
      <c r="H6" s="55"/>
    </row>
    <row r="7" spans="1:8" s="27" customFormat="1" ht="14.25" customHeight="1" x14ac:dyDescent="0.2">
      <c r="A7" s="23" t="s">
        <v>871</v>
      </c>
      <c r="B7" s="31">
        <v>2353</v>
      </c>
      <c r="C7" s="25">
        <f>MemberOfAssemblyAssemblyDistrict28General114[[#This Row],[Part of Queens County 
Vote Results]]</f>
        <v>2353</v>
      </c>
      <c r="D7" s="54">
        <f>SUM(MemberOfAssemblyAssemblyDistrict28General114[[#This Row],[Total Votes by Party]])</f>
        <v>2353</v>
      </c>
      <c r="H7" s="55"/>
    </row>
    <row r="8" spans="1:8" s="27" customFormat="1" ht="14.25" customHeight="1" x14ac:dyDescent="0.2">
      <c r="A8" s="23" t="s">
        <v>478</v>
      </c>
      <c r="B8" s="31">
        <v>3538</v>
      </c>
      <c r="C8" s="25">
        <f>MemberOfAssemblyAssemblyDistrict28General114[[#This Row],[Part of Queens County 
Vote Results]]</f>
        <v>3538</v>
      </c>
      <c r="D8" s="26">
        <f>SUM(MemberOfAssemblyAssemblyDistrict28General114[[#This Row],[Total Votes by Party]])</f>
        <v>3538</v>
      </c>
      <c r="H8" s="55"/>
    </row>
    <row r="9" spans="1:8" s="27" customFormat="1" ht="14.25" customHeight="1" x14ac:dyDescent="0.2">
      <c r="A9" s="23" t="s">
        <v>291</v>
      </c>
      <c r="B9" s="31">
        <v>1907</v>
      </c>
      <c r="C9" s="25">
        <f>MemberOfAssemblyAssemblyDistrict28General114[[#This Row],[Part of Queens County 
Vote Results]]</f>
        <v>1907</v>
      </c>
      <c r="D9" s="54">
        <f>SUM(MemberOfAssemblyAssemblyDistrict28General114[[#This Row],[Total Votes by Party]])</f>
        <v>1907</v>
      </c>
      <c r="H9" s="55"/>
    </row>
    <row r="10" spans="1:8" s="27" customFormat="1" ht="14.25" customHeight="1" x14ac:dyDescent="0.2">
      <c r="A10" s="23" t="s">
        <v>479</v>
      </c>
      <c r="B10" s="31">
        <v>3958</v>
      </c>
      <c r="C10" s="25">
        <f>MemberOfAssemblyAssemblyDistrict28General114[[#This Row],[Part of Queens County 
Vote Results]]</f>
        <v>3958</v>
      </c>
      <c r="D10" s="26">
        <f>SUM(MemberOfAssemblyAssemblyDistrict28General114[[#This Row],[Total Votes by Party]])</f>
        <v>3958</v>
      </c>
      <c r="H10" s="55"/>
    </row>
    <row r="11" spans="1:8" s="27" customFormat="1" ht="14.25" customHeight="1" x14ac:dyDescent="0.2">
      <c r="A11" s="23" t="s">
        <v>480</v>
      </c>
      <c r="B11" s="31">
        <v>3864</v>
      </c>
      <c r="C11" s="25">
        <f>MemberOfAssemblyAssemblyDistrict28General114[[#This Row],[Part of Queens County 
Vote Results]]</f>
        <v>3864</v>
      </c>
      <c r="D11" s="26">
        <f>SUM(MemberOfAssemblyAssemblyDistrict28General114[[#This Row],[Total Votes by Party]])</f>
        <v>3864</v>
      </c>
      <c r="H11" s="55"/>
    </row>
    <row r="12" spans="1:8" s="27" customFormat="1" ht="14.25" customHeight="1" x14ac:dyDescent="0.2">
      <c r="A12" s="23" t="s">
        <v>481</v>
      </c>
      <c r="B12" s="31">
        <v>2554</v>
      </c>
      <c r="C12" s="25">
        <f>MemberOfAssemblyAssemblyDistrict28General114[[#This Row],[Part of Queens County 
Vote Results]]</f>
        <v>2554</v>
      </c>
      <c r="D12" s="54">
        <f>SUM(MemberOfAssemblyAssemblyDistrict28General114[[#This Row],[Total Votes by Party]])</f>
        <v>2554</v>
      </c>
    </row>
    <row r="13" spans="1:8" s="27" customFormat="1" ht="14.25" customHeight="1" x14ac:dyDescent="0.2">
      <c r="A13" s="23" t="s">
        <v>482</v>
      </c>
      <c r="B13" s="31">
        <v>1939</v>
      </c>
      <c r="C13" s="25">
        <f>MemberOfAssemblyAssemblyDistrict28General114[[#This Row],[Part of Queens County 
Vote Results]]</f>
        <v>1939</v>
      </c>
      <c r="D13" s="54">
        <f>SUM(MemberOfAssemblyAssemblyDistrict28General114[[#This Row],[Total Votes by Party]])</f>
        <v>1939</v>
      </c>
    </row>
    <row r="14" spans="1:8" s="27" customFormat="1" ht="14.25" customHeight="1" x14ac:dyDescent="0.2">
      <c r="A14" s="23" t="s">
        <v>483</v>
      </c>
      <c r="B14" s="31">
        <v>1757</v>
      </c>
      <c r="C14" s="25">
        <f>MemberOfAssemblyAssemblyDistrict28General114[[#This Row],[Part of Queens County 
Vote Results]]</f>
        <v>1757</v>
      </c>
      <c r="D14" s="54">
        <f>SUM(MemberOfAssemblyAssemblyDistrict28General114[[#This Row],[Total Votes by Party]])</f>
        <v>1757</v>
      </c>
    </row>
    <row r="15" spans="1:8" s="27" customFormat="1" ht="14.25" customHeight="1" x14ac:dyDescent="0.2">
      <c r="A15" s="23" t="s">
        <v>872</v>
      </c>
      <c r="B15" s="31">
        <v>3773</v>
      </c>
      <c r="C15" s="25">
        <f>MemberOfAssemblyAssemblyDistrict28General114[[#This Row],[Part of Queens County 
Vote Results]]</f>
        <v>3773</v>
      </c>
      <c r="D15" s="26">
        <f>SUM(MemberOfAssemblyAssemblyDistrict28General114[[#This Row],[Total Votes by Party]])</f>
        <v>3773</v>
      </c>
    </row>
    <row r="16" spans="1:8" s="27" customFormat="1" ht="14.25" customHeight="1" x14ac:dyDescent="0.2">
      <c r="A16" s="23" t="s">
        <v>484</v>
      </c>
      <c r="B16" s="31">
        <v>2884</v>
      </c>
      <c r="C16" s="25">
        <f>MemberOfAssemblyAssemblyDistrict28General114[[#This Row],[Part of Queens County 
Vote Results]]</f>
        <v>2884</v>
      </c>
      <c r="D16" s="54">
        <f>SUM(MemberOfAssemblyAssemblyDistrict28General114[[#This Row],[Total Votes by Party]])</f>
        <v>2884</v>
      </c>
    </row>
    <row r="17" spans="1:4" s="27" customFormat="1" ht="14.25" customHeight="1" x14ac:dyDescent="0.2">
      <c r="A17" s="23" t="s">
        <v>485</v>
      </c>
      <c r="B17" s="31">
        <v>3358</v>
      </c>
      <c r="C17" s="25">
        <f>MemberOfAssemblyAssemblyDistrict28General114[[#This Row],[Part of Queens County 
Vote Results]]</f>
        <v>3358</v>
      </c>
      <c r="D17" s="26">
        <f>SUM(MemberOfAssemblyAssemblyDistrict28General114[[#This Row],[Total Votes by Party]])</f>
        <v>3358</v>
      </c>
    </row>
    <row r="18" spans="1:4" s="27" customFormat="1" ht="14.25" customHeight="1" x14ac:dyDescent="0.2">
      <c r="A18" s="29" t="s">
        <v>69</v>
      </c>
      <c r="B18" s="24">
        <v>22858</v>
      </c>
      <c r="C18" s="25">
        <f>MemberOfAssemblyAssemblyDistrict28General114[[#This Row],[Part of Queens County 
Vote Results]]</f>
        <v>22858</v>
      </c>
      <c r="D18" s="28"/>
    </row>
    <row r="19" spans="1:4" s="27" customFormat="1" ht="14.25" customHeight="1" x14ac:dyDescent="0.2">
      <c r="A19" s="29" t="s">
        <v>70</v>
      </c>
      <c r="B19" s="24"/>
      <c r="C19" s="25">
        <f>MemberOfAssemblyAssemblyDistrict28General114[[#This Row],[Part of Queens County 
Vote Results]]</f>
        <v>0</v>
      </c>
      <c r="D19" s="28"/>
    </row>
    <row r="20" spans="1:4" s="27" customFormat="1" ht="14.25" customHeight="1" x14ac:dyDescent="0.2">
      <c r="A20" s="29" t="s">
        <v>71</v>
      </c>
      <c r="B20" s="24">
        <v>269</v>
      </c>
      <c r="C20" s="25">
        <f>MemberOfAssemblyAssemblyDistrict28General114[[#This Row],[Part of Queens County 
Vote Results]]</f>
        <v>269</v>
      </c>
      <c r="D20" s="28"/>
    </row>
    <row r="21" spans="1:4" s="27" customFormat="1" ht="14.25" customHeight="1" x14ac:dyDescent="0.2">
      <c r="A21" s="30" t="s">
        <v>1</v>
      </c>
      <c r="B21" s="24">
        <f>SUM(MemberOfAssemblyAssemblyDistrict28General114[Part of Queens County 
Vote Results])</f>
        <v>68784</v>
      </c>
      <c r="C21" s="25">
        <f>SUM(MemberOfAssemblyAssemblyDistrict28General114[Total Votes by Party])</f>
        <v>68784</v>
      </c>
      <c r="D21" s="28"/>
    </row>
    <row r="22" spans="1:4" s="27" customFormat="1" ht="14.25" customHeight="1" x14ac:dyDescent="0.2">
      <c r="D22" s="37"/>
    </row>
    <row r="23" spans="1:4" s="27" customFormat="1" ht="14.25" customHeight="1" x14ac:dyDescent="0.2">
      <c r="D23" s="37"/>
    </row>
    <row r="24" spans="1:4" s="27" customFormat="1" ht="14.25" customHeight="1" x14ac:dyDescent="0.2">
      <c r="D24" s="37"/>
    </row>
    <row r="25" spans="1:4" s="27" customFormat="1" ht="14.25" customHeight="1" x14ac:dyDescent="0.2">
      <c r="D25" s="37"/>
    </row>
    <row r="26" spans="1:4" s="27" customFormat="1" ht="14.25" customHeight="1" x14ac:dyDescent="0.2">
      <c r="D26" s="37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</sheetData>
  <sortState xmlns:xlrd2="http://schemas.microsoft.com/office/spreadsheetml/2017/richdata2" ref="H4:H18">
    <sortCondition descending="1" ref="H4:H1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30CE-373B-4462-AF57-738AD291CA9E}">
  <sheetPr>
    <pageSetUpPr fitToPage="1"/>
  </sheetPr>
  <dimension ref="A1:H41"/>
  <sheetViews>
    <sheetView workbookViewId="0">
      <selection activeCell="H4" sqref="H4:H20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6.75" customHeight="1" x14ac:dyDescent="0.2">
      <c r="A1" s="59" t="s">
        <v>486</v>
      </c>
      <c r="B1" s="59"/>
      <c r="C1" s="59"/>
      <c r="D1" s="59"/>
      <c r="E1" s="59"/>
    </row>
    <row r="2" spans="1:8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503</v>
      </c>
      <c r="B3" s="31">
        <v>4532</v>
      </c>
      <c r="C3" s="25">
        <f>MemberOfAssemblyAssemblyDistrict33General116[[#This Row],[Part of Queens County 
Vote Results]]</f>
        <v>4532</v>
      </c>
      <c r="D3" s="26">
        <f>SUM(MemberOfAssemblyAssemblyDistrict33General116[[#This Row],[Total Votes by Party]])</f>
        <v>4532</v>
      </c>
    </row>
    <row r="4" spans="1:8" s="27" customFormat="1" ht="14.25" customHeight="1" x14ac:dyDescent="0.2">
      <c r="A4" s="23" t="s">
        <v>502</v>
      </c>
      <c r="B4" s="31">
        <v>3253</v>
      </c>
      <c r="C4" s="25">
        <f>MemberOfAssemblyAssemblyDistrict33General116[[#This Row],[Part of Queens County 
Vote Results]]</f>
        <v>3253</v>
      </c>
      <c r="D4" s="26">
        <f>SUM(MemberOfAssemblyAssemblyDistrict33General116[[#This Row],[Total Votes by Party]])</f>
        <v>3253</v>
      </c>
      <c r="H4" s="55"/>
    </row>
    <row r="5" spans="1:8" s="27" customFormat="1" ht="14.25" customHeight="1" x14ac:dyDescent="0.2">
      <c r="A5" s="23" t="s">
        <v>501</v>
      </c>
      <c r="B5" s="31">
        <v>3008</v>
      </c>
      <c r="C5" s="25">
        <f>MemberOfAssemblyAssemblyDistrict33General116[[#This Row],[Part of Queens County 
Vote Results]]</f>
        <v>3008</v>
      </c>
      <c r="D5" s="26">
        <f>SUM(MemberOfAssemblyAssemblyDistrict33General116[[#This Row],[Total Votes by Party]])</f>
        <v>3008</v>
      </c>
      <c r="H5" s="55"/>
    </row>
    <row r="6" spans="1:8" s="27" customFormat="1" ht="14.25" customHeight="1" x14ac:dyDescent="0.2">
      <c r="A6" s="23" t="s">
        <v>500</v>
      </c>
      <c r="B6" s="31">
        <v>3506</v>
      </c>
      <c r="C6" s="25">
        <f>MemberOfAssemblyAssemblyDistrict33General116[[#This Row],[Part of Queens County 
Vote Results]]</f>
        <v>3506</v>
      </c>
      <c r="D6" s="26">
        <f>SUM(MemberOfAssemblyAssemblyDistrict33General116[[#This Row],[Total Votes by Party]])</f>
        <v>3506</v>
      </c>
      <c r="H6" s="55"/>
    </row>
    <row r="7" spans="1:8" s="27" customFormat="1" ht="14.25" customHeight="1" x14ac:dyDescent="0.2">
      <c r="A7" s="23" t="s">
        <v>499</v>
      </c>
      <c r="B7" s="31">
        <v>2644</v>
      </c>
      <c r="C7" s="25">
        <f>MemberOfAssemblyAssemblyDistrict33General116[[#This Row],[Part of Queens County 
Vote Results]]</f>
        <v>2644</v>
      </c>
      <c r="D7" s="26">
        <f>SUM(MemberOfAssemblyAssemblyDistrict33General116[[#This Row],[Total Votes by Party]])</f>
        <v>2644</v>
      </c>
      <c r="H7" s="55"/>
    </row>
    <row r="8" spans="1:8" s="27" customFormat="1" ht="14.25" customHeight="1" x14ac:dyDescent="0.2">
      <c r="A8" s="23" t="s">
        <v>498</v>
      </c>
      <c r="B8" s="31">
        <v>2817</v>
      </c>
      <c r="C8" s="25">
        <f>MemberOfAssemblyAssemblyDistrict33General116[[#This Row],[Part of Queens County 
Vote Results]]</f>
        <v>2817</v>
      </c>
      <c r="D8" s="26">
        <f>SUM(MemberOfAssemblyAssemblyDistrict33General116[[#This Row],[Total Votes by Party]])</f>
        <v>2817</v>
      </c>
      <c r="H8" s="55"/>
    </row>
    <row r="9" spans="1:8" s="27" customFormat="1" ht="14.25" customHeight="1" x14ac:dyDescent="0.2">
      <c r="A9" s="23" t="s">
        <v>497</v>
      </c>
      <c r="B9" s="31">
        <v>2819</v>
      </c>
      <c r="C9" s="25">
        <f>MemberOfAssemblyAssemblyDistrict33General116[[#This Row],[Part of Queens County 
Vote Results]]</f>
        <v>2819</v>
      </c>
      <c r="D9" s="26">
        <f>SUM(MemberOfAssemblyAssemblyDistrict33General116[[#This Row],[Total Votes by Party]])</f>
        <v>2819</v>
      </c>
      <c r="H9" s="55"/>
    </row>
    <row r="10" spans="1:8" s="27" customFormat="1" ht="14.25" customHeight="1" x14ac:dyDescent="0.2">
      <c r="A10" s="23" t="s">
        <v>496</v>
      </c>
      <c r="B10" s="31">
        <v>2395</v>
      </c>
      <c r="C10" s="25">
        <f>MemberOfAssemblyAssemblyDistrict33General116[[#This Row],[Part of Queens County 
Vote Results]]</f>
        <v>2395</v>
      </c>
      <c r="D10" s="26">
        <f>SUM(MemberOfAssemblyAssemblyDistrict33General116[[#This Row],[Total Votes by Party]])</f>
        <v>2395</v>
      </c>
      <c r="H10" s="55"/>
    </row>
    <row r="11" spans="1:8" s="27" customFormat="1" ht="14.25" customHeight="1" x14ac:dyDescent="0.2">
      <c r="A11" s="23" t="s">
        <v>495</v>
      </c>
      <c r="B11" s="31">
        <v>2795</v>
      </c>
      <c r="C11" s="25">
        <f>MemberOfAssemblyAssemblyDistrict33General116[[#This Row],[Part of Queens County 
Vote Results]]</f>
        <v>2795</v>
      </c>
      <c r="D11" s="26">
        <f>SUM(MemberOfAssemblyAssemblyDistrict33General116[[#This Row],[Total Votes by Party]])</f>
        <v>2795</v>
      </c>
      <c r="H11" s="55"/>
    </row>
    <row r="12" spans="1:8" s="27" customFormat="1" ht="14.25" customHeight="1" x14ac:dyDescent="0.2">
      <c r="A12" s="23" t="s">
        <v>494</v>
      </c>
      <c r="B12" s="31">
        <v>2948</v>
      </c>
      <c r="C12" s="25">
        <f>MemberOfAssemblyAssemblyDistrict33General116[[#This Row],[Part of Queens County 
Vote Results]]</f>
        <v>2948</v>
      </c>
      <c r="D12" s="26">
        <f>SUM(MemberOfAssemblyAssemblyDistrict33General116[[#This Row],[Total Votes by Party]])</f>
        <v>2948</v>
      </c>
      <c r="H12" s="55"/>
    </row>
    <row r="13" spans="1:8" s="27" customFormat="1" ht="14.25" customHeight="1" x14ac:dyDescent="0.2">
      <c r="A13" s="23" t="s">
        <v>493</v>
      </c>
      <c r="B13" s="31">
        <v>2347</v>
      </c>
      <c r="C13" s="25">
        <f>MemberOfAssemblyAssemblyDistrict33General116[[#This Row],[Part of Queens County 
Vote Results]]</f>
        <v>2347</v>
      </c>
      <c r="D13" s="26">
        <f>SUM(MemberOfAssemblyAssemblyDistrict33General116[[#This Row],[Total Votes by Party]])</f>
        <v>2347</v>
      </c>
      <c r="H13" s="55"/>
    </row>
    <row r="14" spans="1:8" s="27" customFormat="1" ht="14.25" customHeight="1" x14ac:dyDescent="0.2">
      <c r="A14" s="23" t="s">
        <v>492</v>
      </c>
      <c r="B14" s="31">
        <v>1707</v>
      </c>
      <c r="C14" s="25">
        <f>MemberOfAssemblyAssemblyDistrict33General116[[#This Row],[Part of Queens County 
Vote Results]]</f>
        <v>1707</v>
      </c>
      <c r="D14" s="54">
        <f>SUM(MemberOfAssemblyAssemblyDistrict33General116[[#This Row],[Total Votes by Party]])</f>
        <v>1707</v>
      </c>
      <c r="H14" s="55"/>
    </row>
    <row r="15" spans="1:8" s="27" customFormat="1" ht="14.25" customHeight="1" x14ac:dyDescent="0.2">
      <c r="A15" s="23" t="s">
        <v>491</v>
      </c>
      <c r="B15" s="31">
        <v>599</v>
      </c>
      <c r="C15" s="25">
        <f>MemberOfAssemblyAssemblyDistrict33General116[[#This Row],[Part of Queens County 
Vote Results]]</f>
        <v>599</v>
      </c>
      <c r="D15" s="54">
        <f>SUM(MemberOfAssemblyAssemblyDistrict33General116[[#This Row],[Total Votes by Party]])</f>
        <v>599</v>
      </c>
    </row>
    <row r="16" spans="1:8" s="27" customFormat="1" ht="14.25" customHeight="1" x14ac:dyDescent="0.2">
      <c r="A16" s="23" t="s">
        <v>490</v>
      </c>
      <c r="B16" s="31">
        <v>1236</v>
      </c>
      <c r="C16" s="25">
        <f>MemberOfAssemblyAssemblyDistrict33General116[[#This Row],[Part of Queens County 
Vote Results]]</f>
        <v>1236</v>
      </c>
      <c r="D16" s="54">
        <f>SUM(MemberOfAssemblyAssemblyDistrict33General116[[#This Row],[Total Votes by Party]])</f>
        <v>1236</v>
      </c>
    </row>
    <row r="17" spans="1:4" s="27" customFormat="1" ht="14.25" customHeight="1" x14ac:dyDescent="0.2">
      <c r="A17" s="23" t="s">
        <v>489</v>
      </c>
      <c r="B17" s="31">
        <v>980</v>
      </c>
      <c r="C17" s="25">
        <f>MemberOfAssemblyAssemblyDistrict33General116[[#This Row],[Part of Queens County 
Vote Results]]</f>
        <v>980</v>
      </c>
      <c r="D17" s="54">
        <f>SUM(MemberOfAssemblyAssemblyDistrict33General116[[#This Row],[Total Votes by Party]])</f>
        <v>980</v>
      </c>
    </row>
    <row r="18" spans="1:4" s="27" customFormat="1" ht="14.25" customHeight="1" x14ac:dyDescent="0.2">
      <c r="A18" s="23" t="s">
        <v>488</v>
      </c>
      <c r="B18" s="31">
        <v>1936</v>
      </c>
      <c r="C18" s="25">
        <f>MemberOfAssemblyAssemblyDistrict33General116[[#This Row],[Part of Queens County 
Vote Results]]</f>
        <v>1936</v>
      </c>
      <c r="D18" s="54">
        <f>SUM(MemberOfAssemblyAssemblyDistrict33General116[[#This Row],[Total Votes by Party]])</f>
        <v>1936</v>
      </c>
    </row>
    <row r="19" spans="1:4" s="27" customFormat="1" ht="14.25" customHeight="1" x14ac:dyDescent="0.2">
      <c r="A19" s="23" t="s">
        <v>487</v>
      </c>
      <c r="B19" s="31">
        <v>1085</v>
      </c>
      <c r="C19" s="25">
        <f>MemberOfAssemblyAssemblyDistrict33General116[[#This Row],[Part of Queens County 
Vote Results]]</f>
        <v>1085</v>
      </c>
      <c r="D19" s="54">
        <f>SUM(MemberOfAssemblyAssemblyDistrict33General116[[#This Row],[Total Votes by Party]])</f>
        <v>1085</v>
      </c>
    </row>
    <row r="20" spans="1:4" s="27" customFormat="1" ht="14.25" customHeight="1" x14ac:dyDescent="0.2">
      <c r="A20" s="29" t="s">
        <v>69</v>
      </c>
      <c r="B20" s="24">
        <v>18506</v>
      </c>
      <c r="C20" s="25">
        <f>MemberOfAssemblyAssemblyDistrict33General116[[#This Row],[Part of Queens County 
Vote Results]]</f>
        <v>18506</v>
      </c>
      <c r="D20" s="28"/>
    </row>
    <row r="21" spans="1:4" s="27" customFormat="1" ht="14.25" customHeight="1" x14ac:dyDescent="0.2">
      <c r="A21" s="29" t="s">
        <v>70</v>
      </c>
      <c r="B21" s="24"/>
      <c r="C21" s="25">
        <f>MemberOfAssemblyAssemblyDistrict33General116[[#This Row],[Part of Queens County 
Vote Results]]</f>
        <v>0</v>
      </c>
      <c r="D21" s="28"/>
    </row>
    <row r="22" spans="1:4" s="27" customFormat="1" ht="14.25" customHeight="1" x14ac:dyDescent="0.2">
      <c r="A22" s="29" t="s">
        <v>71</v>
      </c>
      <c r="B22" s="24">
        <v>166</v>
      </c>
      <c r="C22" s="25">
        <f>MemberOfAssemblyAssemblyDistrict33General116[[#This Row],[Part of Queens County 
Vote Results]]</f>
        <v>166</v>
      </c>
      <c r="D22" s="28"/>
    </row>
    <row r="23" spans="1:4" s="27" customFormat="1" ht="14.25" customHeight="1" x14ac:dyDescent="0.2">
      <c r="A23" s="30" t="s">
        <v>1</v>
      </c>
      <c r="B23" s="24">
        <f>SUM(MemberOfAssemblyAssemblyDistrict33General116[Part of Queens County 
Vote Results])</f>
        <v>59279</v>
      </c>
      <c r="C23" s="25">
        <f>SUM(MemberOfAssemblyAssemblyDistrict33General116[Total Votes by Party])</f>
        <v>59279</v>
      </c>
      <c r="D23" s="28"/>
    </row>
    <row r="24" spans="1:4" s="27" customFormat="1" ht="14.25" customHeight="1" x14ac:dyDescent="0.2">
      <c r="D24" s="37"/>
    </row>
    <row r="25" spans="1:4" s="27" customFormat="1" ht="14.25" customHeight="1" x14ac:dyDescent="0.2">
      <c r="D25" s="37"/>
    </row>
    <row r="26" spans="1:4" s="27" customFormat="1" ht="14.25" customHeight="1" x14ac:dyDescent="0.2">
      <c r="D26" s="37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</sheetData>
  <sortState xmlns:xlrd2="http://schemas.microsoft.com/office/spreadsheetml/2017/richdata2" ref="H4:H20">
    <sortCondition descending="1" ref="H4:H20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9DF6-EB0C-479A-8C51-C6E6BC82B7BB}">
  <sheetPr>
    <pageSetUpPr fitToPage="1"/>
  </sheetPr>
  <dimension ref="A1:H40"/>
  <sheetViews>
    <sheetView workbookViewId="0">
      <selection activeCell="H6" sqref="H6:H2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6" customHeight="1" x14ac:dyDescent="0.2">
      <c r="A1" s="59" t="s">
        <v>744</v>
      </c>
      <c r="B1" s="59"/>
      <c r="C1" s="59"/>
      <c r="D1" s="59"/>
      <c r="E1" s="59"/>
    </row>
    <row r="2" spans="1:8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377</v>
      </c>
      <c r="B3" s="24">
        <v>5300</v>
      </c>
      <c r="C3" s="25">
        <f>MemberOfAssemblyAssemblyDistrict81General130[[#This Row],[Part of Bronx County 
Vote Results]]</f>
        <v>5300</v>
      </c>
      <c r="D3" s="26">
        <f>SUM(MemberOfAssemblyAssemblyDistrict81General130[[#This Row],[Total Votes by Party]])</f>
        <v>5300</v>
      </c>
    </row>
    <row r="4" spans="1:8" s="27" customFormat="1" ht="14.25" customHeight="1" x14ac:dyDescent="0.2">
      <c r="A4" s="23" t="s">
        <v>661</v>
      </c>
      <c r="B4" s="24">
        <v>2965</v>
      </c>
      <c r="C4" s="25">
        <f>MemberOfAssemblyAssemblyDistrict81General130[[#This Row],[Part of Bronx County 
Vote Results]]</f>
        <v>2965</v>
      </c>
      <c r="D4" s="54">
        <f>SUM(MemberOfAssemblyAssemblyDistrict81General130[[#This Row],[Total Votes by Party]])</f>
        <v>2965</v>
      </c>
    </row>
    <row r="5" spans="1:8" s="27" customFormat="1" ht="14.25" customHeight="1" x14ac:dyDescent="0.2">
      <c r="A5" s="23" t="s">
        <v>660</v>
      </c>
      <c r="B5" s="24">
        <v>4018</v>
      </c>
      <c r="C5" s="25">
        <f>MemberOfAssemblyAssemblyDistrict81General130[[#This Row],[Part of Bronx County 
Vote Results]]</f>
        <v>4018</v>
      </c>
      <c r="D5" s="54">
        <f>SUM(MemberOfAssemblyAssemblyDistrict81General130[[#This Row],[Total Votes by Party]])</f>
        <v>4018</v>
      </c>
    </row>
    <row r="6" spans="1:8" s="27" customFormat="1" ht="14.25" customHeight="1" x14ac:dyDescent="0.2">
      <c r="A6" s="23" t="s">
        <v>659</v>
      </c>
      <c r="B6" s="24">
        <v>2611</v>
      </c>
      <c r="C6" s="25">
        <f>MemberOfAssemblyAssemblyDistrict81General130[[#This Row],[Part of Bronx County 
Vote Results]]</f>
        <v>2611</v>
      </c>
      <c r="D6" s="54">
        <f>SUM(MemberOfAssemblyAssemblyDistrict81General130[[#This Row],[Total Votes by Party]])</f>
        <v>2611</v>
      </c>
      <c r="H6" s="55"/>
    </row>
    <row r="7" spans="1:8" s="27" customFormat="1" ht="14.25" customHeight="1" x14ac:dyDescent="0.2">
      <c r="A7" s="23" t="s">
        <v>658</v>
      </c>
      <c r="B7" s="24">
        <v>4290</v>
      </c>
      <c r="C7" s="25">
        <f>MemberOfAssemblyAssemblyDistrict81General130[[#This Row],[Part of Bronx County 
Vote Results]]</f>
        <v>4290</v>
      </c>
      <c r="D7" s="26">
        <f>SUM(MemberOfAssemblyAssemblyDistrict81General130[[#This Row],[Total Votes by Party]])</f>
        <v>4290</v>
      </c>
      <c r="H7" s="55"/>
    </row>
    <row r="8" spans="1:8" s="27" customFormat="1" ht="14.25" customHeight="1" x14ac:dyDescent="0.2">
      <c r="A8" s="23" t="s">
        <v>657</v>
      </c>
      <c r="B8" s="24">
        <v>3357</v>
      </c>
      <c r="C8" s="25">
        <f>MemberOfAssemblyAssemblyDistrict81General130[[#This Row],[Part of Bronx County 
Vote Results]]</f>
        <v>3357</v>
      </c>
      <c r="D8" s="54">
        <f>SUM(MemberOfAssemblyAssemblyDistrict81General130[[#This Row],[Total Votes by Party]])</f>
        <v>3357</v>
      </c>
      <c r="H8" s="55"/>
    </row>
    <row r="9" spans="1:8" s="27" customFormat="1" ht="14.25" customHeight="1" x14ac:dyDescent="0.2">
      <c r="A9" s="23" t="s">
        <v>656</v>
      </c>
      <c r="B9" s="24">
        <v>2699</v>
      </c>
      <c r="C9" s="25">
        <f>MemberOfAssemblyAssemblyDistrict81General130[[#This Row],[Part of Bronx County 
Vote Results]]</f>
        <v>2699</v>
      </c>
      <c r="D9" s="54">
        <f>SUM(MemberOfAssemblyAssemblyDistrict81General130[[#This Row],[Total Votes by Party]])</f>
        <v>2699</v>
      </c>
      <c r="H9" s="55"/>
    </row>
    <row r="10" spans="1:8" s="27" customFormat="1" ht="14.25" customHeight="1" x14ac:dyDescent="0.2">
      <c r="A10" s="23" t="s">
        <v>655</v>
      </c>
      <c r="B10" s="24">
        <v>3530</v>
      </c>
      <c r="C10" s="25">
        <f>MemberOfAssemblyAssemblyDistrict81General130[[#This Row],[Part of Bronx County 
Vote Results]]</f>
        <v>3530</v>
      </c>
      <c r="D10" s="54">
        <f>SUM(MemberOfAssemblyAssemblyDistrict81General130[[#This Row],[Total Votes by Party]])</f>
        <v>3530</v>
      </c>
      <c r="H10" s="55"/>
    </row>
    <row r="11" spans="1:8" s="27" customFormat="1" ht="14.25" customHeight="1" x14ac:dyDescent="0.2">
      <c r="A11" s="23" t="s">
        <v>654</v>
      </c>
      <c r="B11" s="24">
        <v>3319</v>
      </c>
      <c r="C11" s="25">
        <f>MemberOfAssemblyAssemblyDistrict81General130[[#This Row],[Part of Bronx County 
Vote Results]]</f>
        <v>3319</v>
      </c>
      <c r="D11" s="54">
        <f>SUM(MemberOfAssemblyAssemblyDistrict81General130[[#This Row],[Total Votes by Party]])</f>
        <v>3319</v>
      </c>
      <c r="H11" s="55"/>
    </row>
    <row r="12" spans="1:8" s="27" customFormat="1" ht="14.25" customHeight="1" x14ac:dyDescent="0.2">
      <c r="A12" s="23" t="s">
        <v>653</v>
      </c>
      <c r="B12" s="24">
        <v>7264</v>
      </c>
      <c r="C12" s="25">
        <f>MemberOfAssemblyAssemblyDistrict81General130[[#This Row],[Part of Bronx County 
Vote Results]]</f>
        <v>7264</v>
      </c>
      <c r="D12" s="26">
        <f>SUM(MemberOfAssemblyAssemblyDistrict81General130[[#This Row],[Total Votes by Party]])</f>
        <v>7264</v>
      </c>
      <c r="H12" s="55"/>
    </row>
    <row r="13" spans="1:8" s="27" customFormat="1" ht="14.25" customHeight="1" x14ac:dyDescent="0.2">
      <c r="A13" s="23" t="s">
        <v>652</v>
      </c>
      <c r="B13" s="24">
        <v>5091</v>
      </c>
      <c r="C13" s="25">
        <f>MemberOfAssemblyAssemblyDistrict81General130[[#This Row],[Part of Bronx County 
Vote Results]]</f>
        <v>5091</v>
      </c>
      <c r="D13" s="26">
        <f>SUM(MemberOfAssemblyAssemblyDistrict81General130[[#This Row],[Total Votes by Party]])</f>
        <v>5091</v>
      </c>
      <c r="H13" s="55"/>
    </row>
    <row r="14" spans="1:8" s="27" customFormat="1" ht="14.25" customHeight="1" x14ac:dyDescent="0.2">
      <c r="A14" s="23" t="s">
        <v>651</v>
      </c>
      <c r="B14" s="24">
        <v>4484</v>
      </c>
      <c r="C14" s="25">
        <f>MemberOfAssemblyAssemblyDistrict81General130[[#This Row],[Part of Bronx County 
Vote Results]]</f>
        <v>4484</v>
      </c>
      <c r="D14" s="26">
        <f>SUM(MemberOfAssemblyAssemblyDistrict81General130[[#This Row],[Total Votes by Party]])</f>
        <v>4484</v>
      </c>
      <c r="H14" s="55"/>
    </row>
    <row r="15" spans="1:8" s="27" customFormat="1" ht="14.25" customHeight="1" x14ac:dyDescent="0.2">
      <c r="A15" s="23" t="s">
        <v>650</v>
      </c>
      <c r="B15" s="24">
        <v>4186</v>
      </c>
      <c r="C15" s="25">
        <f>MemberOfAssemblyAssemblyDistrict81General130[[#This Row],[Part of Bronx County 
Vote Results]]</f>
        <v>4186</v>
      </c>
      <c r="D15" s="54">
        <f>SUM(MemberOfAssemblyAssemblyDistrict81General130[[#This Row],[Total Votes by Party]])</f>
        <v>4186</v>
      </c>
    </row>
    <row r="16" spans="1:8" s="27" customFormat="1" ht="14.25" customHeight="1" x14ac:dyDescent="0.2">
      <c r="A16" s="23" t="s">
        <v>649</v>
      </c>
      <c r="B16" s="24">
        <v>4003</v>
      </c>
      <c r="C16" s="25">
        <f>MemberOfAssemblyAssemblyDistrict81General130[[#This Row],[Part of Bronx County 
Vote Results]]</f>
        <v>4003</v>
      </c>
      <c r="D16" s="54">
        <f>SUM(MemberOfAssemblyAssemblyDistrict81General130[[#This Row],[Total Votes by Party]])</f>
        <v>4003</v>
      </c>
    </row>
    <row r="17" spans="1:4" s="27" customFormat="1" ht="14.25" customHeight="1" x14ac:dyDescent="0.2">
      <c r="A17" s="23" t="s">
        <v>648</v>
      </c>
      <c r="B17" s="24">
        <v>4390</v>
      </c>
      <c r="C17" s="25">
        <f>MemberOfAssemblyAssemblyDistrict81General130[[#This Row],[Part of Bronx County 
Vote Results]]</f>
        <v>4390</v>
      </c>
      <c r="D17" s="26">
        <f>SUM(MemberOfAssemblyAssemblyDistrict81General130[[#This Row],[Total Votes by Party]])</f>
        <v>4390</v>
      </c>
    </row>
    <row r="18" spans="1:4" s="27" customFormat="1" ht="14.25" customHeight="1" x14ac:dyDescent="0.2">
      <c r="A18" s="23" t="s">
        <v>647</v>
      </c>
      <c r="B18" s="24">
        <v>4617</v>
      </c>
      <c r="C18" s="25">
        <f>MemberOfAssemblyAssemblyDistrict81General130[[#This Row],[Part of Bronx County 
Vote Results]]</f>
        <v>4617</v>
      </c>
      <c r="D18" s="26">
        <f>SUM(MemberOfAssemblyAssemblyDistrict81General130[[#This Row],[Total Votes by Party]])</f>
        <v>4617</v>
      </c>
    </row>
    <row r="19" spans="1:4" s="27" customFormat="1" ht="14.25" customHeight="1" x14ac:dyDescent="0.2">
      <c r="A19" s="23" t="s">
        <v>646</v>
      </c>
      <c r="B19" s="24">
        <v>4607</v>
      </c>
      <c r="C19" s="25">
        <f>MemberOfAssemblyAssemblyDistrict81General130[[#This Row],[Part of Bronx County 
Vote Results]]</f>
        <v>4607</v>
      </c>
      <c r="D19" s="26">
        <f>SUM(MemberOfAssemblyAssemblyDistrict81General130[[#This Row],[Total Votes by Party]])</f>
        <v>4607</v>
      </c>
    </row>
    <row r="20" spans="1:4" s="27" customFormat="1" ht="14.25" customHeight="1" x14ac:dyDescent="0.2">
      <c r="A20" s="23" t="s">
        <v>645</v>
      </c>
      <c r="B20" s="24">
        <v>4391</v>
      </c>
      <c r="C20" s="25">
        <f>MemberOfAssemblyAssemblyDistrict81General130[[#This Row],[Part of Bronx County 
Vote Results]]</f>
        <v>4391</v>
      </c>
      <c r="D20" s="26">
        <f>SUM(MemberOfAssemblyAssemblyDistrict81General130[[#This Row],[Total Votes by Party]])</f>
        <v>4391</v>
      </c>
    </row>
    <row r="21" spans="1:4" s="27" customFormat="1" ht="14.25" customHeight="1" x14ac:dyDescent="0.2">
      <c r="A21" s="29" t="s">
        <v>69</v>
      </c>
      <c r="B21" s="24">
        <v>36605</v>
      </c>
      <c r="C21" s="25">
        <f>MemberOfAssemblyAssemblyDistrict81General130[[#This Row],[Part of Bronx County 
Vote Results]]</f>
        <v>36605</v>
      </c>
      <c r="D21" s="28"/>
    </row>
    <row r="22" spans="1:4" s="27" customFormat="1" ht="14.25" customHeight="1" x14ac:dyDescent="0.2">
      <c r="A22" s="29" t="s">
        <v>70</v>
      </c>
      <c r="B22" s="24"/>
      <c r="C22" s="25">
        <f>MemberOfAssemblyAssemblyDistrict81General130[[#This Row],[Part of Bronx County 
Vote Results]]</f>
        <v>0</v>
      </c>
      <c r="D22" s="28"/>
    </row>
    <row r="23" spans="1:4" s="27" customFormat="1" ht="14.25" customHeight="1" x14ac:dyDescent="0.2">
      <c r="A23" s="29" t="s">
        <v>71</v>
      </c>
      <c r="B23" s="24">
        <v>161</v>
      </c>
      <c r="C23" s="25">
        <f>MemberOfAssemblyAssemblyDistrict81General130[[#This Row],[Part of Bronx County 
Vote Results]]</f>
        <v>161</v>
      </c>
      <c r="D23" s="28"/>
    </row>
    <row r="24" spans="1:4" s="27" customFormat="1" ht="14.25" customHeight="1" x14ac:dyDescent="0.2">
      <c r="A24" s="30" t="s">
        <v>1</v>
      </c>
      <c r="B24" s="24">
        <f>SUM(MemberOfAssemblyAssemblyDistrict81General130[Part of Bronx County 
Vote Results])</f>
        <v>111888</v>
      </c>
      <c r="C24" s="25">
        <f>SUM(MemberOfAssemblyAssemblyDistrict81General130[Total Votes by Party])</f>
        <v>111888</v>
      </c>
      <c r="D24" s="28"/>
    </row>
    <row r="25" spans="1:4" s="27" customFormat="1" ht="14.25" customHeight="1" x14ac:dyDescent="0.2">
      <c r="D25" s="37"/>
    </row>
    <row r="26" spans="1:4" s="27" customFormat="1" ht="14.25" customHeight="1" x14ac:dyDescent="0.2">
      <c r="D26" s="37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</sheetData>
  <sortState xmlns:xlrd2="http://schemas.microsoft.com/office/spreadsheetml/2017/richdata2" ref="H6:H23">
    <sortCondition descending="1" ref="H6:H23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4884-4F01-4AFD-9010-BF5821A9058C}">
  <sheetPr>
    <pageSetUpPr fitToPage="1"/>
  </sheetPr>
  <dimension ref="A1:I40"/>
  <sheetViews>
    <sheetView workbookViewId="0">
      <selection activeCell="I5" sqref="I5:I22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9" ht="36" customHeight="1" x14ac:dyDescent="0.2">
      <c r="A1" s="59" t="s">
        <v>743</v>
      </c>
      <c r="B1" s="59"/>
      <c r="C1" s="59"/>
      <c r="D1" s="59"/>
      <c r="E1" s="59"/>
      <c r="F1" s="59"/>
    </row>
    <row r="2" spans="1:9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9" s="27" customFormat="1" ht="14.25" customHeight="1" x14ac:dyDescent="0.2">
      <c r="A3" s="23" t="s">
        <v>762</v>
      </c>
      <c r="B3" s="24">
        <v>5351</v>
      </c>
      <c r="C3" s="25">
        <f>MemberOfAssemblyAssemblyDistrict81General130131[[#This Row],[Part of Bronx County 
Vote Results]]</f>
        <v>5351</v>
      </c>
      <c r="D3" s="26">
        <f>SUM(MemberOfAssemblyAssemblyDistrict81General130131[[#This Row],[Total Votes by Party]])</f>
        <v>5351</v>
      </c>
    </row>
    <row r="4" spans="1:9" s="27" customFormat="1" ht="14.25" customHeight="1" x14ac:dyDescent="0.2">
      <c r="A4" s="23" t="s">
        <v>761</v>
      </c>
      <c r="B4" s="24">
        <v>3397</v>
      </c>
      <c r="C4" s="25">
        <f>MemberOfAssemblyAssemblyDistrict81General130131[[#This Row],[Part of Bronx County 
Vote Results]]</f>
        <v>3397</v>
      </c>
      <c r="D4" s="54">
        <f>SUM(MemberOfAssemblyAssemblyDistrict81General130131[[#This Row],[Total Votes by Party]])</f>
        <v>3397</v>
      </c>
    </row>
    <row r="5" spans="1:9" s="27" customFormat="1" ht="14.25" customHeight="1" x14ac:dyDescent="0.2">
      <c r="A5" s="23" t="s">
        <v>760</v>
      </c>
      <c r="B5" s="24">
        <v>3634</v>
      </c>
      <c r="C5" s="25">
        <f>MemberOfAssemblyAssemblyDistrict81General130131[[#This Row],[Part of Bronx County 
Vote Results]]</f>
        <v>3634</v>
      </c>
      <c r="D5" s="26">
        <f>SUM(MemberOfAssemblyAssemblyDistrict81General130131[[#This Row],[Total Votes by Party]])</f>
        <v>3634</v>
      </c>
      <c r="I5" s="55"/>
    </row>
    <row r="6" spans="1:9" s="27" customFormat="1" ht="14.25" customHeight="1" x14ac:dyDescent="0.2">
      <c r="A6" s="23" t="s">
        <v>759</v>
      </c>
      <c r="B6" s="24">
        <v>3344</v>
      </c>
      <c r="C6" s="25">
        <f>MemberOfAssemblyAssemblyDistrict81General130131[[#This Row],[Part of Bronx County 
Vote Results]]</f>
        <v>3344</v>
      </c>
      <c r="D6" s="54">
        <f>SUM(MemberOfAssemblyAssemblyDistrict81General130131[[#This Row],[Total Votes by Party]])</f>
        <v>3344</v>
      </c>
      <c r="I6" s="55"/>
    </row>
    <row r="7" spans="1:9" s="27" customFormat="1" ht="14.25" customHeight="1" x14ac:dyDescent="0.2">
      <c r="A7" s="23" t="s">
        <v>758</v>
      </c>
      <c r="B7" s="24">
        <v>3146</v>
      </c>
      <c r="C7" s="25">
        <f>MemberOfAssemblyAssemblyDistrict81General130131[[#This Row],[Part of Bronx County 
Vote Results]]</f>
        <v>3146</v>
      </c>
      <c r="D7" s="54">
        <f>SUM(MemberOfAssemblyAssemblyDistrict81General130131[[#This Row],[Total Votes by Party]])</f>
        <v>3146</v>
      </c>
      <c r="I7" s="55"/>
    </row>
    <row r="8" spans="1:9" s="27" customFormat="1" ht="14.25" customHeight="1" x14ac:dyDescent="0.2">
      <c r="A8" s="23" t="s">
        <v>757</v>
      </c>
      <c r="B8" s="24">
        <v>3186</v>
      </c>
      <c r="C8" s="25">
        <f>MemberOfAssemblyAssemblyDistrict81General130131[[#This Row],[Part of Bronx County 
Vote Results]]</f>
        <v>3186</v>
      </c>
      <c r="D8" s="54">
        <f>SUM(MemberOfAssemblyAssemblyDistrict81General130131[[#This Row],[Total Votes by Party]])</f>
        <v>3186</v>
      </c>
      <c r="I8" s="55"/>
    </row>
    <row r="9" spans="1:9" s="27" customFormat="1" ht="14.25" customHeight="1" x14ac:dyDescent="0.2">
      <c r="A9" s="23" t="s">
        <v>756</v>
      </c>
      <c r="B9" s="24">
        <v>2647</v>
      </c>
      <c r="C9" s="25">
        <f>MemberOfAssemblyAssemblyDistrict81General130131[[#This Row],[Part of Bronx County 
Vote Results]]</f>
        <v>2647</v>
      </c>
      <c r="D9" s="54">
        <f>SUM(MemberOfAssemblyAssemblyDistrict81General130131[[#This Row],[Total Votes by Party]])</f>
        <v>2647</v>
      </c>
      <c r="I9" s="55"/>
    </row>
    <row r="10" spans="1:9" s="27" customFormat="1" ht="14.25" customHeight="1" x14ac:dyDescent="0.2">
      <c r="A10" s="23" t="s">
        <v>755</v>
      </c>
      <c r="B10" s="24">
        <v>3764</v>
      </c>
      <c r="C10" s="25">
        <f>MemberOfAssemblyAssemblyDistrict81General130131[[#This Row],[Part of Bronx County 
Vote Results]]</f>
        <v>3764</v>
      </c>
      <c r="D10" s="26">
        <f>SUM(MemberOfAssemblyAssemblyDistrict81General130131[[#This Row],[Total Votes by Party]])</f>
        <v>3764</v>
      </c>
      <c r="I10" s="55"/>
    </row>
    <row r="11" spans="1:9" s="27" customFormat="1" ht="14.25" customHeight="1" x14ac:dyDescent="0.2">
      <c r="A11" s="23" t="s">
        <v>754</v>
      </c>
      <c r="B11" s="24">
        <v>2993</v>
      </c>
      <c r="C11" s="25">
        <f>MemberOfAssemblyAssemblyDistrict81General130131[[#This Row],[Part of Bronx County 
Vote Results]]</f>
        <v>2993</v>
      </c>
      <c r="D11" s="54">
        <f>SUM(MemberOfAssemblyAssemblyDistrict81General130131[[#This Row],[Total Votes by Party]])</f>
        <v>2993</v>
      </c>
      <c r="I11" s="55"/>
    </row>
    <row r="12" spans="1:9" s="27" customFormat="1" ht="14.25" customHeight="1" x14ac:dyDescent="0.2">
      <c r="A12" s="23" t="s">
        <v>753</v>
      </c>
      <c r="B12" s="24">
        <v>4105</v>
      </c>
      <c r="C12" s="25">
        <f>MemberOfAssemblyAssemblyDistrict81General130131[[#This Row],[Part of Bronx County 
Vote Results]]</f>
        <v>4105</v>
      </c>
      <c r="D12" s="26">
        <f>SUM(MemberOfAssemblyAssemblyDistrict81General130131[[#This Row],[Total Votes by Party]])</f>
        <v>4105</v>
      </c>
      <c r="I12" s="55"/>
    </row>
    <row r="13" spans="1:9" s="27" customFormat="1" ht="14.25" customHeight="1" x14ac:dyDescent="0.2">
      <c r="A13" s="23" t="s">
        <v>752</v>
      </c>
      <c r="B13" s="24">
        <v>3492</v>
      </c>
      <c r="C13" s="25">
        <f>MemberOfAssemblyAssemblyDistrict81General130131[[#This Row],[Part of Bronx County 
Vote Results]]</f>
        <v>3492</v>
      </c>
      <c r="D13" s="54">
        <f>SUM(MemberOfAssemblyAssemblyDistrict81General130131[[#This Row],[Total Votes by Party]])</f>
        <v>3492</v>
      </c>
      <c r="I13" s="55"/>
    </row>
    <row r="14" spans="1:9" s="27" customFormat="1" ht="14.25" customHeight="1" x14ac:dyDescent="0.2">
      <c r="A14" s="23" t="s">
        <v>751</v>
      </c>
      <c r="B14" s="24">
        <v>3951</v>
      </c>
      <c r="C14" s="25">
        <f>MemberOfAssemblyAssemblyDistrict81General130131[[#This Row],[Part of Bronx County 
Vote Results]]</f>
        <v>3951</v>
      </c>
      <c r="D14" s="26">
        <f>SUM(MemberOfAssemblyAssemblyDistrict81General130131[[#This Row],[Total Votes by Party]])</f>
        <v>3951</v>
      </c>
    </row>
    <row r="15" spans="1:9" s="27" customFormat="1" ht="14.25" customHeight="1" x14ac:dyDescent="0.2">
      <c r="A15" s="23" t="s">
        <v>750</v>
      </c>
      <c r="B15" s="24">
        <v>3548</v>
      </c>
      <c r="C15" s="25">
        <f>MemberOfAssemblyAssemblyDistrict81General130131[[#This Row],[Part of Bronx County 
Vote Results]]</f>
        <v>3548</v>
      </c>
      <c r="D15" s="26">
        <f>SUM(MemberOfAssemblyAssemblyDistrict81General130131[[#This Row],[Total Votes by Party]])</f>
        <v>3548</v>
      </c>
    </row>
    <row r="16" spans="1:9" s="27" customFormat="1" ht="14.25" customHeight="1" x14ac:dyDescent="0.2">
      <c r="A16" s="23" t="s">
        <v>749</v>
      </c>
      <c r="B16" s="24">
        <v>3740</v>
      </c>
      <c r="C16" s="25">
        <f>MemberOfAssemblyAssemblyDistrict81General130131[[#This Row],[Part of Bronx County 
Vote Results]]</f>
        <v>3740</v>
      </c>
      <c r="D16" s="26">
        <f>SUM(MemberOfAssemblyAssemblyDistrict81General130131[[#This Row],[Total Votes by Party]])</f>
        <v>3740</v>
      </c>
    </row>
    <row r="17" spans="1:4" s="27" customFormat="1" ht="14.25" customHeight="1" x14ac:dyDescent="0.2">
      <c r="A17" s="23" t="s">
        <v>748</v>
      </c>
      <c r="B17" s="24">
        <v>3855</v>
      </c>
      <c r="C17" s="25">
        <f>MemberOfAssemblyAssemblyDistrict81General130131[[#This Row],[Part of Bronx County 
Vote Results]]</f>
        <v>3855</v>
      </c>
      <c r="D17" s="26">
        <f>SUM(MemberOfAssemblyAssemblyDistrict81General130131[[#This Row],[Total Votes by Party]])</f>
        <v>3855</v>
      </c>
    </row>
    <row r="18" spans="1:4" s="27" customFormat="1" ht="14.25" customHeight="1" x14ac:dyDescent="0.2">
      <c r="A18" s="23" t="s">
        <v>747</v>
      </c>
      <c r="B18" s="24">
        <v>3441</v>
      </c>
      <c r="C18" s="25">
        <f>MemberOfAssemblyAssemblyDistrict81General130131[[#This Row],[Part of Bronx County 
Vote Results]]</f>
        <v>3441</v>
      </c>
      <c r="D18" s="54">
        <f>SUM(MemberOfAssemblyAssemblyDistrict81General130131[[#This Row],[Total Votes by Party]])</f>
        <v>3441</v>
      </c>
    </row>
    <row r="19" spans="1:4" s="27" customFormat="1" ht="14.25" customHeight="1" x14ac:dyDescent="0.2">
      <c r="A19" s="23" t="s">
        <v>746</v>
      </c>
      <c r="B19" s="24">
        <v>3766</v>
      </c>
      <c r="C19" s="25">
        <f>MemberOfAssemblyAssemblyDistrict81General130131[[#This Row],[Part of Bronx County 
Vote Results]]</f>
        <v>3766</v>
      </c>
      <c r="D19" s="26">
        <f>SUM(MemberOfAssemblyAssemblyDistrict81General130131[[#This Row],[Total Votes by Party]])</f>
        <v>3766</v>
      </c>
    </row>
    <row r="20" spans="1:4" s="27" customFormat="1" ht="14.25" customHeight="1" x14ac:dyDescent="0.2">
      <c r="A20" s="23" t="s">
        <v>745</v>
      </c>
      <c r="B20" s="24">
        <v>3348</v>
      </c>
      <c r="C20" s="25">
        <f>MemberOfAssemblyAssemblyDistrict81General130131[[#This Row],[Part of Bronx County 
Vote Results]]</f>
        <v>3348</v>
      </c>
      <c r="D20" s="54">
        <f>SUM(MemberOfAssemblyAssemblyDistrict81General130131[[#This Row],[Total Votes by Party]])</f>
        <v>3348</v>
      </c>
    </row>
    <row r="21" spans="1:4" s="27" customFormat="1" ht="14.25" customHeight="1" x14ac:dyDescent="0.2">
      <c r="A21" s="29" t="s">
        <v>69</v>
      </c>
      <c r="B21" s="24">
        <v>46720</v>
      </c>
      <c r="C21" s="25">
        <f>MemberOfAssemblyAssemblyDistrict81General130131[[#This Row],[Part of Bronx County 
Vote Results]]</f>
        <v>46720</v>
      </c>
      <c r="D21" s="28"/>
    </row>
    <row r="22" spans="1:4" s="27" customFormat="1" ht="14.25" customHeight="1" x14ac:dyDescent="0.2">
      <c r="A22" s="29" t="s">
        <v>70</v>
      </c>
      <c r="B22" s="24">
        <v>387</v>
      </c>
      <c r="C22" s="25">
        <f>MemberOfAssemblyAssemblyDistrict81General130131[[#This Row],[Part of Bronx County 
Vote Results]]</f>
        <v>387</v>
      </c>
      <c r="D22" s="28"/>
    </row>
    <row r="23" spans="1:4" s="27" customFormat="1" ht="14.25" customHeight="1" x14ac:dyDescent="0.2">
      <c r="A23" s="29" t="s">
        <v>71</v>
      </c>
      <c r="B23" s="24">
        <v>82</v>
      </c>
      <c r="C23" s="25">
        <f>MemberOfAssemblyAssemblyDistrict81General130131[[#This Row],[Part of Bronx County 
Vote Results]]</f>
        <v>82</v>
      </c>
      <c r="D23" s="28"/>
    </row>
    <row r="24" spans="1:4" s="27" customFormat="1" ht="14.25" customHeight="1" x14ac:dyDescent="0.2">
      <c r="A24" s="30" t="s">
        <v>1</v>
      </c>
      <c r="B24" s="24">
        <f>SUM(MemberOfAssemblyAssemblyDistrict81General130131[Part of Bronx County 
Vote Results])</f>
        <v>111897</v>
      </c>
      <c r="C24" s="25">
        <f>SUM(MemberOfAssemblyAssemblyDistrict81General130131[Total Votes by Party])</f>
        <v>111897</v>
      </c>
      <c r="D24" s="28"/>
    </row>
    <row r="25" spans="1:4" s="27" customFormat="1" ht="14.25" customHeight="1" x14ac:dyDescent="0.2">
      <c r="D25" s="37"/>
    </row>
    <row r="26" spans="1:4" s="27" customFormat="1" ht="14.25" customHeight="1" x14ac:dyDescent="0.2">
      <c r="D26" s="37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</sheetData>
  <sortState xmlns:xlrd2="http://schemas.microsoft.com/office/spreadsheetml/2017/richdata2" ref="I5:I22">
    <sortCondition descending="1" ref="I5:I22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21C6-5D24-4E2F-BF55-7BE9CC03E744}">
  <sheetPr>
    <pageSetUpPr fitToPage="1"/>
  </sheetPr>
  <dimension ref="A1:E28"/>
  <sheetViews>
    <sheetView workbookViewId="0">
      <selection activeCell="D5" sqref="D5:D6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50.25" customHeight="1" x14ac:dyDescent="0.2">
      <c r="A1" s="57" t="s">
        <v>880</v>
      </c>
      <c r="B1" s="57"/>
      <c r="C1" s="57"/>
      <c r="D1" s="57"/>
      <c r="E1" s="57"/>
    </row>
    <row r="2" spans="1:5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881</v>
      </c>
      <c r="B3" s="31">
        <v>1671</v>
      </c>
      <c r="C3" s="25">
        <f>MemberOfAssemblyAssemblyDistrict24General[[#This Row],[Part of Queens County 
Vote Results]]</f>
        <v>1671</v>
      </c>
      <c r="D3" s="26">
        <f>MemberOfAssemblyAssemblyDistrict24General[[#This Row],[Total Votes by Party]]</f>
        <v>1671</v>
      </c>
    </row>
    <row r="4" spans="1:5" s="27" customFormat="1" ht="14.25" customHeight="1" x14ac:dyDescent="0.2">
      <c r="A4" s="23" t="s">
        <v>392</v>
      </c>
      <c r="B4" s="31">
        <v>2163</v>
      </c>
      <c r="C4" s="25">
        <f>MemberOfAssemblyAssemblyDistrict24General[[#This Row],[Part of Queens County 
Vote Results]]</f>
        <v>2163</v>
      </c>
      <c r="D4" s="26">
        <f>MemberOfAssemblyAssemblyDistrict24General[[#This Row],[Total Votes by Party]]</f>
        <v>2163</v>
      </c>
    </row>
    <row r="5" spans="1:5" s="27" customFormat="1" ht="14.25" customHeight="1" x14ac:dyDescent="0.2">
      <c r="A5" s="23" t="s">
        <v>393</v>
      </c>
      <c r="B5" s="31">
        <v>1509</v>
      </c>
      <c r="C5" s="25">
        <f>MemberOfAssemblyAssemblyDistrict24General[[#This Row],[Part of Queens County 
Vote Results]]</f>
        <v>1509</v>
      </c>
      <c r="D5" s="54">
        <f>MemberOfAssemblyAssemblyDistrict24General[[#This Row],[Total Votes by Party]]</f>
        <v>1509</v>
      </c>
    </row>
    <row r="6" spans="1:5" s="27" customFormat="1" ht="14.25" customHeight="1" x14ac:dyDescent="0.2">
      <c r="A6" s="23" t="s">
        <v>394</v>
      </c>
      <c r="B6" s="31">
        <v>1203</v>
      </c>
      <c r="C6" s="25">
        <f>MemberOfAssemblyAssemblyDistrict24General[[#This Row],[Part of Queens County 
Vote Results]]</f>
        <v>1203</v>
      </c>
      <c r="D6" s="54">
        <f>MemberOfAssemblyAssemblyDistrict24General[[#This Row],[Total Votes by Party]]</f>
        <v>1203</v>
      </c>
    </row>
    <row r="7" spans="1:5" s="27" customFormat="1" ht="14.25" customHeight="1" x14ac:dyDescent="0.2">
      <c r="A7" s="29" t="s">
        <v>69</v>
      </c>
      <c r="B7" s="24">
        <v>2039</v>
      </c>
      <c r="C7" s="25">
        <f>MemberOfAssemblyAssemblyDistrict24General[[#This Row],[Part of Queens County 
Vote Results]]</f>
        <v>2039</v>
      </c>
      <c r="D7" s="28"/>
    </row>
    <row r="8" spans="1:5" s="27" customFormat="1" ht="14.25" customHeight="1" x14ac:dyDescent="0.2">
      <c r="A8" s="29" t="s">
        <v>70</v>
      </c>
      <c r="B8" s="24"/>
      <c r="C8" s="25">
        <f>MemberOfAssemblyAssemblyDistrict24General[[#This Row],[Part of Queens County 
Vote Results]]</f>
        <v>0</v>
      </c>
      <c r="D8" s="28"/>
    </row>
    <row r="9" spans="1:5" s="27" customFormat="1" ht="14.25" customHeight="1" x14ac:dyDescent="0.2">
      <c r="A9" s="29" t="s">
        <v>71</v>
      </c>
      <c r="B9" s="24">
        <v>43</v>
      </c>
      <c r="C9" s="25">
        <f>MemberOfAssemblyAssemblyDistrict24General[[#This Row],[Part of Queens County 
Vote Results]]</f>
        <v>43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SUM(MemberOfAssemblyAssemblyDistrict24General[Part of Queens County 
Vote Results])</f>
        <v>8628</v>
      </c>
      <c r="C10" s="25">
        <f>SUM(MemberOfAssemblyAssemblyDistrict24General[Total Votes by Party])</f>
        <v>8628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5C8F-1538-42A5-9C05-A30E90FE093E}">
  <sheetPr>
    <pageSetUpPr fitToPage="1"/>
  </sheetPr>
  <dimension ref="A1:E24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41.25" customHeight="1" x14ac:dyDescent="0.2">
      <c r="A1" s="59" t="s">
        <v>395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396</v>
      </c>
      <c r="B3" s="31">
        <v>3091</v>
      </c>
      <c r="C3" s="25">
        <f>MemberOfAssemblyAssemblyDistrict34General95[[#This Row],[Part of Queens County 
Vote Results]]</f>
        <v>3091</v>
      </c>
      <c r="D3" s="54">
        <f>SUM(MemberOfAssemblyAssemblyDistrict34General95[[#This Row],[Total Votes by Party]])</f>
        <v>3091</v>
      </c>
    </row>
    <row r="4" spans="1:5" s="27" customFormat="1" ht="14.25" customHeight="1" x14ac:dyDescent="0.2">
      <c r="A4" s="23" t="s">
        <v>397</v>
      </c>
      <c r="B4" s="31">
        <v>4760</v>
      </c>
      <c r="C4" s="25">
        <f>MemberOfAssemblyAssemblyDistrict34General95[[#This Row],[Part of Queens County 
Vote Results]]</f>
        <v>4760</v>
      </c>
      <c r="D4" s="26">
        <f>SUM(MemberOfAssemblyAssemblyDistrict34General95[[#This Row],[Total Votes by Party]])</f>
        <v>4760</v>
      </c>
    </row>
    <row r="5" spans="1:5" s="27" customFormat="1" ht="14.25" customHeight="1" x14ac:dyDescent="0.2">
      <c r="A5" s="23" t="s">
        <v>398</v>
      </c>
      <c r="B5" s="31">
        <v>3117</v>
      </c>
      <c r="C5" s="25">
        <f>MemberOfAssemblyAssemblyDistrict34General95[[#This Row],[Part of Queens County 
Vote Results]]</f>
        <v>3117</v>
      </c>
      <c r="D5" s="26">
        <f>SUM(MemberOfAssemblyAssemblyDistrict34General95[[#This Row],[Total Votes by Party]])</f>
        <v>3117</v>
      </c>
    </row>
    <row r="6" spans="1:5" s="27" customFormat="1" ht="14.25" customHeight="1" x14ac:dyDescent="0.2">
      <c r="A6" s="29" t="s">
        <v>69</v>
      </c>
      <c r="B6" s="24">
        <v>5341</v>
      </c>
      <c r="C6" s="25">
        <f>MemberOfAssemblyAssemblyDistrict34General95[[#This Row],[Part of Queens County 
Vote Results]]</f>
        <v>5341</v>
      </c>
      <c r="D6" s="28"/>
    </row>
    <row r="7" spans="1:5" s="27" customFormat="1" ht="14.25" customHeight="1" x14ac:dyDescent="0.2">
      <c r="A7" s="29" t="s">
        <v>70</v>
      </c>
      <c r="B7" s="24"/>
      <c r="C7" s="25">
        <f>MemberOfAssemblyAssemblyDistrict34General95[[#This Row],[Part of Queens County 
Vote Results]]</f>
        <v>0</v>
      </c>
      <c r="D7" s="28"/>
    </row>
    <row r="8" spans="1:5" s="27" customFormat="1" ht="14.25" customHeight="1" x14ac:dyDescent="0.2">
      <c r="A8" s="29" t="s">
        <v>71</v>
      </c>
      <c r="B8" s="24">
        <v>103</v>
      </c>
      <c r="C8" s="25">
        <f>MemberOfAssemblyAssemblyDistrict34General95[[#This Row],[Part of Queens County 
Vote Results]]</f>
        <v>103</v>
      </c>
      <c r="D8" s="28"/>
    </row>
    <row r="9" spans="1:5" s="27" customFormat="1" ht="14.25" customHeight="1" x14ac:dyDescent="0.2">
      <c r="A9" s="30" t="s">
        <v>1</v>
      </c>
      <c r="B9" s="24">
        <f>SUM(MemberOfAssemblyAssemblyDistrict34General95[Part of Queens County 
Vote Results])</f>
        <v>16412</v>
      </c>
      <c r="C9" s="25">
        <f>SUM(MemberOfAssemblyAssemblyDistrict34General95[Total Votes by Party])</f>
        <v>16412</v>
      </c>
      <c r="D9" s="28"/>
    </row>
    <row r="10" spans="1:5" s="27" customFormat="1" ht="14.25" customHeight="1" x14ac:dyDescent="0.2">
      <c r="D10" s="37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5" calculatedColumn="1"/>
  </ignoredErrors>
  <tableParts count="1">
    <tablePart r:id="rId2"/>
  </tablePart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3D0D-6BE9-44CE-9636-6E207EB35699}">
  <sheetPr>
    <pageSetUpPr fitToPage="1"/>
  </sheetPr>
  <dimension ref="A1:E24"/>
  <sheetViews>
    <sheetView workbookViewId="0">
      <selection activeCell="D5" sqref="D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7.5" customHeight="1" x14ac:dyDescent="0.2">
      <c r="A1" s="59" t="s">
        <v>399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5" s="27" customFormat="1" ht="14.25" customHeight="1" x14ac:dyDescent="0.2">
      <c r="A3" s="39" t="s">
        <v>400</v>
      </c>
      <c r="B3" s="31">
        <v>2487</v>
      </c>
      <c r="C3" s="25">
        <f>MemberOfAssemblyAssemblyDistrict35General[[#This Row],[Part of Queens County 
Vote Results]]</f>
        <v>2487</v>
      </c>
      <c r="D3" s="26">
        <f>SUM(MemberOfAssemblyAssemblyDistrict35General[[#This Row],[Total Votes by Party]])</f>
        <v>2487</v>
      </c>
    </row>
    <row r="4" spans="1:5" s="27" customFormat="1" ht="14.25" customHeight="1" x14ac:dyDescent="0.2">
      <c r="A4" s="39" t="s">
        <v>401</v>
      </c>
      <c r="B4" s="31">
        <v>1541</v>
      </c>
      <c r="C4" s="25">
        <f>MemberOfAssemblyAssemblyDistrict35General[[#This Row],[Part of Queens County 
Vote Results]]</f>
        <v>1541</v>
      </c>
      <c r="D4" s="26">
        <f>SUM(MemberOfAssemblyAssemblyDistrict35General[[#This Row],[Total Votes by Party]])</f>
        <v>1541</v>
      </c>
    </row>
    <row r="5" spans="1:5" s="27" customFormat="1" ht="14.25" customHeight="1" x14ac:dyDescent="0.2">
      <c r="A5" s="39" t="s">
        <v>402</v>
      </c>
      <c r="B5" s="31">
        <v>1947</v>
      </c>
      <c r="C5" s="25">
        <f>MemberOfAssemblyAssemblyDistrict35General[[#This Row],[Part of Queens County 
Vote Results]]</f>
        <v>1947</v>
      </c>
      <c r="D5" s="54">
        <f>SUM(MemberOfAssemblyAssemblyDistrict35General[[#This Row],[Total Votes by Party]])</f>
        <v>1947</v>
      </c>
    </row>
    <row r="6" spans="1:5" s="27" customFormat="1" ht="14.25" customHeight="1" x14ac:dyDescent="0.2">
      <c r="A6" s="29" t="s">
        <v>69</v>
      </c>
      <c r="B6" s="24">
        <v>3044</v>
      </c>
      <c r="C6" s="25">
        <f>MemberOfAssemblyAssemblyDistrict35General[[#This Row],[Part of Queens County 
Vote Results]]</f>
        <v>3044</v>
      </c>
      <c r="D6" s="28"/>
    </row>
    <row r="7" spans="1:5" s="27" customFormat="1" ht="14.25" customHeight="1" x14ac:dyDescent="0.2">
      <c r="A7" s="29" t="s">
        <v>70</v>
      </c>
      <c r="B7" s="24"/>
      <c r="C7" s="25">
        <f>MemberOfAssemblyAssemblyDistrict35General[[#This Row],[Part of Queens County 
Vote Results]]</f>
        <v>0</v>
      </c>
      <c r="D7" s="28"/>
    </row>
    <row r="8" spans="1:5" s="27" customFormat="1" ht="14.25" customHeight="1" x14ac:dyDescent="0.2">
      <c r="A8" s="29" t="s">
        <v>71</v>
      </c>
      <c r="B8" s="24">
        <v>55</v>
      </c>
      <c r="C8" s="25">
        <f>MemberOfAssemblyAssemblyDistrict35General[[#This Row],[Part of Queens County 
Vote Results]]</f>
        <v>55</v>
      </c>
      <c r="D8" s="28"/>
    </row>
    <row r="9" spans="1:5" s="27" customFormat="1" ht="14.25" customHeight="1" x14ac:dyDescent="0.2">
      <c r="A9" s="30" t="s">
        <v>1</v>
      </c>
      <c r="B9" s="24">
        <f>SUM(MemberOfAssemblyAssemblyDistrict35General[Part of Queens County 
Vote Results])</f>
        <v>9074</v>
      </c>
      <c r="C9" s="25">
        <f>SUM(MemberOfAssemblyAssemblyDistrict35General[Total Votes by Party])</f>
        <v>9074</v>
      </c>
      <c r="D9" s="28"/>
    </row>
    <row r="10" spans="1:5" s="27" customFormat="1" ht="14.25" customHeight="1" x14ac:dyDescent="0.2">
      <c r="D10" s="37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8793-482A-4F1C-9DDB-49F951114EF4}">
  <sheetPr>
    <pageSetUpPr fitToPage="1"/>
  </sheetPr>
  <dimension ref="A1:E28"/>
  <sheetViews>
    <sheetView workbookViewId="0">
      <selection activeCell="D6" sqref="D6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7.5" customHeight="1" x14ac:dyDescent="0.2">
      <c r="A1" s="59" t="s">
        <v>867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403</v>
      </c>
      <c r="B3" s="31">
        <v>1539</v>
      </c>
      <c r="C3" s="25">
        <f>MemberOfAssemblyAssemblyDistrict39General97[[#This Row],[Part of Queens County 
Vote Results]]</f>
        <v>1539</v>
      </c>
      <c r="D3" s="26">
        <f>SUM(MemberOfAssemblyAssemblyDistrict39General97[[#This Row],[Total Votes by Party]])</f>
        <v>1539</v>
      </c>
    </row>
    <row r="4" spans="1:5" s="27" customFormat="1" ht="14.25" customHeight="1" x14ac:dyDescent="0.2">
      <c r="A4" s="23" t="s">
        <v>404</v>
      </c>
      <c r="B4" s="31">
        <v>3094</v>
      </c>
      <c r="C4" s="25">
        <f>MemberOfAssemblyAssemblyDistrict39General97[[#This Row],[Part of Queens County 
Vote Results]]</f>
        <v>3094</v>
      </c>
      <c r="D4" s="26">
        <f>SUM(MemberOfAssemblyAssemblyDistrict39General97[[#This Row],[Total Votes by Party]])</f>
        <v>3094</v>
      </c>
    </row>
    <row r="5" spans="1:5" s="27" customFormat="1" ht="14.25" customHeight="1" x14ac:dyDescent="0.2">
      <c r="A5" s="23" t="s">
        <v>405</v>
      </c>
      <c r="B5" s="31">
        <v>1537</v>
      </c>
      <c r="C5" s="25">
        <f>MemberOfAssemblyAssemblyDistrict39General97[[#This Row],[Part of Queens County 
Vote Results]]</f>
        <v>1537</v>
      </c>
      <c r="D5" s="54">
        <f>SUM(MemberOfAssemblyAssemblyDistrict39General97[[#This Row],[Total Votes by Party]])</f>
        <v>1537</v>
      </c>
    </row>
    <row r="6" spans="1:5" s="27" customFormat="1" ht="14.25" customHeight="1" x14ac:dyDescent="0.2">
      <c r="A6" s="23" t="s">
        <v>406</v>
      </c>
      <c r="B6" s="31">
        <v>2633</v>
      </c>
      <c r="C6" s="25">
        <f>MemberOfAssemblyAssemblyDistrict39General97[[#This Row],[Part of Queens County 
Vote Results]]</f>
        <v>2633</v>
      </c>
      <c r="D6" s="54">
        <f>SUM(MemberOfAssemblyAssemblyDistrict39General97[[#This Row],[Total Votes by Party]])</f>
        <v>2633</v>
      </c>
    </row>
    <row r="7" spans="1:5" s="27" customFormat="1" ht="14.25" customHeight="1" x14ac:dyDescent="0.2">
      <c r="A7" s="29" t="s">
        <v>69</v>
      </c>
      <c r="B7" s="24">
        <v>3973</v>
      </c>
      <c r="C7" s="25">
        <f>MemberOfAssemblyAssemblyDistrict39General97[[#This Row],[Part of Queens County 
Vote Results]]</f>
        <v>3973</v>
      </c>
      <c r="D7" s="28"/>
    </row>
    <row r="8" spans="1:5" s="27" customFormat="1" ht="14.25" customHeight="1" x14ac:dyDescent="0.2">
      <c r="A8" s="29" t="s">
        <v>70</v>
      </c>
      <c r="B8" s="24"/>
      <c r="C8" s="25">
        <f>MemberOfAssemblyAssemblyDistrict39General97[[#This Row],[Part of Queens County 
Vote Results]]</f>
        <v>0</v>
      </c>
      <c r="D8" s="28"/>
    </row>
    <row r="9" spans="1:5" s="27" customFormat="1" ht="14.25" customHeight="1" x14ac:dyDescent="0.2">
      <c r="A9" s="29" t="s">
        <v>71</v>
      </c>
      <c r="B9" s="24">
        <v>106</v>
      </c>
      <c r="C9" s="25">
        <f>MemberOfAssemblyAssemblyDistrict39General97[[#This Row],[Part of Queens County 
Vote Results]]</f>
        <v>106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SUM(MemberOfAssemblyAssemblyDistrict39General97[Part of Queens County 
Vote Results])</f>
        <v>12882</v>
      </c>
      <c r="C10" s="25">
        <f>SUM(MemberOfAssemblyAssemblyDistrict39General97[Total Votes by Party])</f>
        <v>12882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7777-6B3F-408D-BEAB-9C1B406DF430}">
  <sheetPr>
    <pageSetUpPr fitToPage="1"/>
  </sheetPr>
  <dimension ref="A1:D14"/>
  <sheetViews>
    <sheetView zoomScaleNormal="100" zoomScaleSheetLayoutView="110" workbookViewId="0">
      <selection activeCell="D9" sqref="D9:D10"/>
    </sheetView>
  </sheetViews>
  <sheetFormatPr defaultRowHeight="12.75" x14ac:dyDescent="0.2"/>
  <cols>
    <col min="1" max="1" width="26.8554687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224</v>
      </c>
    </row>
    <row r="2" spans="1:4" ht="28.5" customHeight="1" x14ac:dyDescent="0.2">
      <c r="A2" s="19" t="s">
        <v>66</v>
      </c>
      <c r="B2" s="20" t="s">
        <v>218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242</v>
      </c>
      <c r="B3" s="24">
        <v>7819</v>
      </c>
      <c r="C3" s="25">
        <f>SUM(RepInCongressCongressionalDistrict12General[[#This Row],[Part of New York County Vote Results]])</f>
        <v>7819</v>
      </c>
      <c r="D3" s="54">
        <f>SUM(RepInCongressCongressionalDistrict12General[[#This Row],[Total Votes by Party]])</f>
        <v>7819</v>
      </c>
    </row>
    <row r="4" spans="1:4" s="27" customFormat="1" ht="14.25" customHeight="1" x14ac:dyDescent="0.2">
      <c r="A4" s="23" t="s">
        <v>243</v>
      </c>
      <c r="B4" s="24">
        <v>330</v>
      </c>
      <c r="C4" s="25">
        <f>SUM(RepInCongressCongressionalDistrict12General[[#This Row],[Part of New York County Vote Results]])</f>
        <v>330</v>
      </c>
      <c r="D4" s="54">
        <f>SUM(RepInCongressCongressionalDistrict12General[[#This Row],[Total Votes by Party]])</f>
        <v>330</v>
      </c>
    </row>
    <row r="5" spans="1:4" s="27" customFormat="1" ht="14.25" customHeight="1" x14ac:dyDescent="0.2">
      <c r="A5" s="29" t="s">
        <v>244</v>
      </c>
      <c r="B5" s="24">
        <v>214</v>
      </c>
      <c r="C5" s="41">
        <f>SUM(RepInCongressCongressionalDistrict12General[[#This Row],[Part of New York County Vote Results]])</f>
        <v>214</v>
      </c>
      <c r="D5" s="54">
        <f>SUM(RepInCongressCongressionalDistrict12General[[#This Row],[Total Votes by Party]])</f>
        <v>214</v>
      </c>
    </row>
    <row r="6" spans="1:4" s="27" customFormat="1" ht="14.25" customHeight="1" x14ac:dyDescent="0.2">
      <c r="A6" s="29" t="s">
        <v>245</v>
      </c>
      <c r="B6" s="24">
        <v>6588</v>
      </c>
      <c r="C6" s="41">
        <f>SUM(RepInCongressCongressionalDistrict12General[[#This Row],[Part of New York County Vote Results]])</f>
        <v>6588</v>
      </c>
      <c r="D6" s="54">
        <f>SUM(RepInCongressCongressionalDistrict12General[[#This Row],[Total Votes by Party]])</f>
        <v>6588</v>
      </c>
    </row>
    <row r="7" spans="1:4" s="27" customFormat="1" ht="14.25" customHeight="1" x14ac:dyDescent="0.2">
      <c r="A7" s="29" t="s">
        <v>246</v>
      </c>
      <c r="B7" s="24">
        <v>1477</v>
      </c>
      <c r="C7" s="41">
        <f>SUM(RepInCongressCongressionalDistrict12General[[#This Row],[Part of New York County Vote Results]])</f>
        <v>1477</v>
      </c>
      <c r="D7" s="54">
        <f>SUM(RepInCongressCongressionalDistrict12General[[#This Row],[Total Votes by Party]])</f>
        <v>1477</v>
      </c>
    </row>
    <row r="8" spans="1:4" s="27" customFormat="1" ht="14.25" customHeight="1" x14ac:dyDescent="0.2">
      <c r="A8" s="29" t="s">
        <v>247</v>
      </c>
      <c r="B8" s="24">
        <v>41940</v>
      </c>
      <c r="C8" s="41">
        <f>SUM(RepInCongressCongressionalDistrict12General[[#This Row],[Part of New York County Vote Results]])</f>
        <v>41940</v>
      </c>
      <c r="D8" s="26">
        <f>SUM(RepInCongressCongressionalDistrict12General[[#This Row],[Total Votes by Party]])</f>
        <v>41940</v>
      </c>
    </row>
    <row r="9" spans="1:4" s="27" customFormat="1" ht="14.25" customHeight="1" x14ac:dyDescent="0.2">
      <c r="A9" s="23" t="s">
        <v>248</v>
      </c>
      <c r="B9" s="24">
        <v>37637</v>
      </c>
      <c r="C9" s="25">
        <f>SUM(RepInCongressCongressionalDistrict12General[[#This Row],[Part of New York County Vote Results]])</f>
        <v>37637</v>
      </c>
      <c r="D9" s="54">
        <f>SUM(RepInCongressCongressionalDistrict12General[[#This Row],[Total Votes by Party]])</f>
        <v>37637</v>
      </c>
    </row>
    <row r="10" spans="1:4" s="27" customFormat="1" ht="14.25" customHeight="1" x14ac:dyDescent="0.2">
      <c r="A10" s="23" t="s">
        <v>249</v>
      </c>
      <c r="B10" s="24">
        <v>11719</v>
      </c>
      <c r="C10" s="25">
        <f>SUM(RepInCongressCongressionalDistrict12General[[#This Row],[Part of New York County Vote Results]])</f>
        <v>11719</v>
      </c>
      <c r="D10" s="54">
        <f>SUM(RepInCongressCongressionalDistrict12General[[#This Row],[Total Votes by Party]])</f>
        <v>11719</v>
      </c>
    </row>
    <row r="11" spans="1:4" s="27" customFormat="1" ht="14.25" customHeight="1" x14ac:dyDescent="0.2">
      <c r="A11" s="29" t="s">
        <v>69</v>
      </c>
      <c r="B11" s="24">
        <v>439</v>
      </c>
      <c r="C11" s="25">
        <f>SUM(RepInCongressCongressionalDistrict12General[[#This Row],[Part of New York County Vote Results]])</f>
        <v>439</v>
      </c>
      <c r="D11" s="28"/>
    </row>
    <row r="12" spans="1:4" s="27" customFormat="1" ht="14.25" customHeight="1" x14ac:dyDescent="0.2">
      <c r="A12" s="29" t="s">
        <v>70</v>
      </c>
      <c r="B12" s="24"/>
      <c r="C12" s="25">
        <f>SUM(RepInCongressCongressionalDistrict12General[[#This Row],[Part of New York County Vote Results]])</f>
        <v>0</v>
      </c>
      <c r="D12" s="28"/>
    </row>
    <row r="13" spans="1:4" s="27" customFormat="1" ht="14.25" customHeight="1" x14ac:dyDescent="0.2">
      <c r="A13" s="29" t="s">
        <v>71</v>
      </c>
      <c r="B13" s="24">
        <v>166</v>
      </c>
      <c r="C13" s="25">
        <f>SUM(RepInCongressCongressionalDistrict12General[[#This Row],[Part of New York County Vote Results]])</f>
        <v>166</v>
      </c>
      <c r="D13" s="28"/>
    </row>
    <row r="14" spans="1:4" s="27" customFormat="1" ht="14.25" customHeight="1" x14ac:dyDescent="0.2">
      <c r="A14" s="30" t="s">
        <v>1</v>
      </c>
      <c r="B14" s="24">
        <f>SUM(RepInCongressCongressionalDistrict12General[Part of New York County Vote Results])</f>
        <v>108329</v>
      </c>
      <c r="C14" s="25">
        <f>SUM(RepInCongressCongressionalDistrict12General[Total Votes by Party])</f>
        <v>108329</v>
      </c>
      <c r="D14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F8F9-A2B4-49AE-A3F5-A78D7B350045}">
  <sheetPr>
    <pageSetUpPr fitToPage="1"/>
  </sheetPr>
  <dimension ref="A1:E27"/>
  <sheetViews>
    <sheetView workbookViewId="0">
      <selection activeCell="D18" sqref="D18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9" customHeight="1" x14ac:dyDescent="0.2">
      <c r="A1" s="59" t="s">
        <v>407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408</v>
      </c>
      <c r="B3" s="31">
        <v>4420</v>
      </c>
      <c r="C3" s="25">
        <f>MemberOfAssemblyAssemblyDistrict43General98[[#This Row],[Part of Kings County 
Vote Results]]</f>
        <v>4420</v>
      </c>
      <c r="D3" s="54">
        <f>SUM(MemberOfAssemblyAssemblyDistrict43General98[[#This Row],[Total Votes by Party]])</f>
        <v>4420</v>
      </c>
    </row>
    <row r="4" spans="1:5" s="27" customFormat="1" ht="14.25" customHeight="1" x14ac:dyDescent="0.2">
      <c r="A4" s="23" t="s">
        <v>409</v>
      </c>
      <c r="B4" s="31">
        <v>4623</v>
      </c>
      <c r="C4" s="48">
        <f>MemberOfAssemblyAssemblyDistrict43General98[[#This Row],[Part of Kings County 
Vote Results]]</f>
        <v>4623</v>
      </c>
      <c r="D4" s="54">
        <f>SUM(MemberOfAssemblyAssemblyDistrict43General98[[#This Row],[Total Votes by Party]])</f>
        <v>4623</v>
      </c>
    </row>
    <row r="5" spans="1:5" s="27" customFormat="1" ht="14.25" customHeight="1" x14ac:dyDescent="0.2">
      <c r="A5" s="23" t="s">
        <v>410</v>
      </c>
      <c r="B5" s="31">
        <v>7473</v>
      </c>
      <c r="C5" s="48">
        <f>MemberOfAssemblyAssemblyDistrict43General98[[#This Row],[Part of Kings County 
Vote Results]]</f>
        <v>7473</v>
      </c>
      <c r="D5" s="26">
        <f>SUM(MemberOfAssemblyAssemblyDistrict43General98[[#This Row],[Total Votes by Party]])</f>
        <v>7473</v>
      </c>
    </row>
    <row r="6" spans="1:5" s="27" customFormat="1" ht="14.25" customHeight="1" x14ac:dyDescent="0.2">
      <c r="A6" s="23" t="s">
        <v>411</v>
      </c>
      <c r="B6" s="31">
        <v>6015</v>
      </c>
      <c r="C6" s="25">
        <f>MemberOfAssemblyAssemblyDistrict43General98[[#This Row],[Part of Kings County 
Vote Results]]</f>
        <v>6015</v>
      </c>
      <c r="D6" s="26">
        <f>SUM(MemberOfAssemblyAssemblyDistrict43General98[[#This Row],[Total Votes by Party]])</f>
        <v>6015</v>
      </c>
    </row>
    <row r="7" spans="1:5" s="27" customFormat="1" ht="14.25" customHeight="1" x14ac:dyDescent="0.2">
      <c r="A7" s="29" t="s">
        <v>69</v>
      </c>
      <c r="B7" s="31">
        <v>3343</v>
      </c>
      <c r="C7" s="25">
        <f>MemberOfAssemblyAssemblyDistrict43General98[[#This Row],[Part of Kings County 
Vote Results]]</f>
        <v>3343</v>
      </c>
      <c r="D7" s="28"/>
    </row>
    <row r="8" spans="1:5" s="27" customFormat="1" ht="14.25" customHeight="1" x14ac:dyDescent="0.2">
      <c r="A8" s="29" t="s">
        <v>70</v>
      </c>
      <c r="B8" s="31"/>
      <c r="C8" s="25">
        <f>MemberOfAssemblyAssemblyDistrict43General98[[#This Row],[Part of Kings County 
Vote Results]]</f>
        <v>0</v>
      </c>
      <c r="D8" s="28"/>
    </row>
    <row r="9" spans="1:5" s="27" customFormat="1" ht="14.25" customHeight="1" x14ac:dyDescent="0.2">
      <c r="A9" s="29" t="s">
        <v>71</v>
      </c>
      <c r="B9" s="31">
        <v>70</v>
      </c>
      <c r="C9" s="25">
        <f>MemberOfAssemblyAssemblyDistrict43General98[[#This Row],[Part of Kings County 
Vote Results]]</f>
        <v>70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SUM(MemberOfAssemblyAssemblyDistrict43General98[Part of Kings County 
Vote Results])</f>
        <v>25944</v>
      </c>
      <c r="C10" s="25">
        <f>SUM(MemberOfAssemblyAssemblyDistrict43General98[Total Votes by Party])</f>
        <v>25944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6051-1A76-4878-81EA-817D543F5702}">
  <sheetPr>
    <pageSetUpPr fitToPage="1"/>
  </sheetPr>
  <dimension ref="A1:E26"/>
  <sheetViews>
    <sheetView workbookViewId="0">
      <selection activeCell="D5" sqref="D5:D6"/>
    </sheetView>
  </sheetViews>
  <sheetFormatPr defaultRowHeight="12.75" x14ac:dyDescent="0.2"/>
  <cols>
    <col min="1" max="1" width="29" customWidth="1"/>
    <col min="2" max="3" width="20.5703125" customWidth="1"/>
    <col min="4" max="4" width="20.5703125" style="18" customWidth="1"/>
    <col min="5" max="6" width="23.5703125" customWidth="1"/>
  </cols>
  <sheetData>
    <row r="1" spans="1:5" ht="34.5" customHeight="1" x14ac:dyDescent="0.2">
      <c r="A1" s="59" t="s">
        <v>412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413</v>
      </c>
      <c r="B3" s="31">
        <v>2250</v>
      </c>
      <c r="C3" s="25">
        <f>MemberOfAssemblyAssemblyDistrict54General99[[#This Row],[Part of Kings County 
Vote Results]]</f>
        <v>2250</v>
      </c>
      <c r="D3" s="26">
        <f>MemberOfAssemblyAssemblyDistrict54General99[[#This Row],[Total Votes by Party]]</f>
        <v>2250</v>
      </c>
    </row>
    <row r="4" spans="1:5" s="27" customFormat="1" ht="14.25" customHeight="1" x14ac:dyDescent="0.2">
      <c r="A4" s="23" t="s">
        <v>414</v>
      </c>
      <c r="B4" s="31">
        <v>4975</v>
      </c>
      <c r="C4" s="25">
        <f>MemberOfAssemblyAssemblyDistrict54General99[[#This Row],[Part of Kings County 
Vote Results]]</f>
        <v>4975</v>
      </c>
      <c r="D4" s="26">
        <f>MemberOfAssemblyAssemblyDistrict54General99[[#This Row],[Total Votes by Party]]</f>
        <v>4975</v>
      </c>
    </row>
    <row r="5" spans="1:5" s="27" customFormat="1" ht="14.25" customHeight="1" x14ac:dyDescent="0.2">
      <c r="A5" s="23" t="s">
        <v>415</v>
      </c>
      <c r="B5" s="31">
        <v>2090</v>
      </c>
      <c r="C5" s="48">
        <f>MemberOfAssemblyAssemblyDistrict54General99[[#This Row],[Part of Kings County 
Vote Results]]</f>
        <v>2090</v>
      </c>
      <c r="D5" s="54">
        <f>MemberOfAssemblyAssemblyDistrict54General99[[#This Row],[Total Votes by Party]]</f>
        <v>2090</v>
      </c>
    </row>
    <row r="6" spans="1:5" s="27" customFormat="1" ht="14.25" customHeight="1" x14ac:dyDescent="0.2">
      <c r="A6" s="23" t="s">
        <v>416</v>
      </c>
      <c r="B6" s="31">
        <v>1424</v>
      </c>
      <c r="C6" s="25">
        <f>MemberOfAssemblyAssemblyDistrict54General99[[#This Row],[Part of Kings County 
Vote Results]]</f>
        <v>1424</v>
      </c>
      <c r="D6" s="54">
        <f>MemberOfAssemblyAssemblyDistrict54General99[[#This Row],[Total Votes by Party]]</f>
        <v>1424</v>
      </c>
    </row>
    <row r="7" spans="1:5" s="27" customFormat="1" ht="14.25" customHeight="1" x14ac:dyDescent="0.2">
      <c r="A7" s="29" t="s">
        <v>69</v>
      </c>
      <c r="B7" s="31">
        <v>3141</v>
      </c>
      <c r="C7" s="25">
        <f>MemberOfAssemblyAssemblyDistrict54General99[[#This Row],[Part of Kings County 
Vote Results]]</f>
        <v>3141</v>
      </c>
      <c r="D7" s="28"/>
    </row>
    <row r="8" spans="1:5" s="27" customFormat="1" ht="14.25" customHeight="1" x14ac:dyDescent="0.2">
      <c r="A8" s="29" t="s">
        <v>70</v>
      </c>
      <c r="B8" s="31"/>
      <c r="C8" s="25">
        <f>MemberOfAssemblyAssemblyDistrict54General99[[#This Row],[Part of Kings County 
Vote Results]]</f>
        <v>0</v>
      </c>
      <c r="D8" s="28"/>
    </row>
    <row r="9" spans="1:5" s="27" customFormat="1" ht="14.25" customHeight="1" x14ac:dyDescent="0.2">
      <c r="A9" s="29" t="s">
        <v>71</v>
      </c>
      <c r="B9" s="31">
        <v>50</v>
      </c>
      <c r="C9" s="25">
        <f>MemberOfAssemblyAssemblyDistrict54General99[[#This Row],[Part of Kings County 
Vote Results]]</f>
        <v>50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SUM(MemberOfAssemblyAssemblyDistrict54General99[Part of Kings County 
Vote Results])</f>
        <v>13930</v>
      </c>
      <c r="C10" s="25">
        <f>SUM(MemberOfAssemblyAssemblyDistrict54General99[Total Votes by Party])</f>
        <v>13930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D5D4-121C-4FAF-943A-C3AB96A341B8}">
  <sheetPr>
    <pageSetUpPr fitToPage="1"/>
  </sheetPr>
  <dimension ref="A1:E28"/>
  <sheetViews>
    <sheetView workbookViewId="0">
      <selection activeCell="F18" sqref="F18"/>
    </sheetView>
  </sheetViews>
  <sheetFormatPr defaultRowHeight="12.75" x14ac:dyDescent="0.2"/>
  <cols>
    <col min="1" max="1" width="30.140625" customWidth="1"/>
    <col min="2" max="3" width="20.5703125" customWidth="1"/>
    <col min="4" max="4" width="20.5703125" style="18" customWidth="1"/>
    <col min="5" max="6" width="23.5703125" customWidth="1"/>
  </cols>
  <sheetData>
    <row r="1" spans="1:5" ht="51.75" customHeight="1" x14ac:dyDescent="0.2">
      <c r="A1" s="59" t="s">
        <v>417</v>
      </c>
      <c r="B1" s="58"/>
      <c r="C1" s="58"/>
      <c r="D1" s="58"/>
      <c r="E1" s="58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874</v>
      </c>
      <c r="B3" s="31">
        <v>7614</v>
      </c>
      <c r="C3" s="25">
        <f>MemberOfAssemblyAssemblyDistrict56General101[[#This Row],[Part of Kings County 
Vote Results]]</f>
        <v>7614</v>
      </c>
      <c r="D3" s="54">
        <f>SUM(MemberOfAssemblyAssemblyDistrict56General101[[#This Row],[Total Votes by Party]])</f>
        <v>7614</v>
      </c>
    </row>
    <row r="4" spans="1:5" s="27" customFormat="1" ht="14.25" customHeight="1" x14ac:dyDescent="0.2">
      <c r="A4" s="23" t="s">
        <v>418</v>
      </c>
      <c r="B4" s="31">
        <v>4425</v>
      </c>
      <c r="C4" s="48">
        <f>MemberOfAssemblyAssemblyDistrict56General101[[#This Row],[Part of Kings County 
Vote Results]]</f>
        <v>4425</v>
      </c>
      <c r="D4" s="54">
        <f>SUM(MemberOfAssemblyAssemblyDistrict56General101[[#This Row],[Total Votes by Party]])</f>
        <v>4425</v>
      </c>
    </row>
    <row r="5" spans="1:5" s="27" customFormat="1" ht="14.25" customHeight="1" x14ac:dyDescent="0.2">
      <c r="A5" s="23" t="s">
        <v>419</v>
      </c>
      <c r="B5" s="31">
        <v>7937</v>
      </c>
      <c r="C5" s="48">
        <f>MemberOfAssemblyAssemblyDistrict56General101[[#This Row],[Part of Kings County 
Vote Results]]</f>
        <v>7937</v>
      </c>
      <c r="D5" s="26">
        <f>SUM(MemberOfAssemblyAssemblyDistrict56General101[[#This Row],[Total Votes by Party]])</f>
        <v>7937</v>
      </c>
    </row>
    <row r="6" spans="1:5" s="27" customFormat="1" ht="14.25" customHeight="1" x14ac:dyDescent="0.2">
      <c r="A6" s="23" t="s">
        <v>420</v>
      </c>
      <c r="B6" s="31">
        <v>6457</v>
      </c>
      <c r="C6" s="48">
        <f>MemberOfAssemblyAssemblyDistrict56General101[[#This Row],[Part of Kings County 
Vote Results]]</f>
        <v>6457</v>
      </c>
      <c r="D6" s="26">
        <f>SUM(MemberOfAssemblyAssemblyDistrict56General101[[#This Row],[Total Votes by Party]])</f>
        <v>6457</v>
      </c>
    </row>
    <row r="7" spans="1:5" s="27" customFormat="1" ht="14.25" customHeight="1" x14ac:dyDescent="0.2">
      <c r="A7" s="29" t="s">
        <v>69</v>
      </c>
      <c r="B7" s="31">
        <v>4952</v>
      </c>
      <c r="C7" s="25">
        <f>MemberOfAssemblyAssemblyDistrict56General101[[#This Row],[Part of Kings County 
Vote Results]]</f>
        <v>4952</v>
      </c>
      <c r="D7" s="28"/>
    </row>
    <row r="8" spans="1:5" s="27" customFormat="1" ht="14.25" customHeight="1" x14ac:dyDescent="0.2">
      <c r="A8" s="29" t="s">
        <v>70</v>
      </c>
      <c r="B8" s="31"/>
      <c r="C8" s="25">
        <f>MemberOfAssemblyAssemblyDistrict56General101[[#This Row],[Part of Kings County 
Vote Results]]</f>
        <v>0</v>
      </c>
      <c r="D8" s="28"/>
    </row>
    <row r="9" spans="1:5" s="27" customFormat="1" ht="14.25" customHeight="1" x14ac:dyDescent="0.2">
      <c r="A9" s="29" t="s">
        <v>71</v>
      </c>
      <c r="B9" s="31">
        <v>95</v>
      </c>
      <c r="C9" s="25">
        <f>MemberOfAssemblyAssemblyDistrict56General101[[#This Row],[Part of Kings County 
Vote Results]]</f>
        <v>95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SUM(MemberOfAssemblyAssemblyDistrict56General101[Part of Kings County 
Vote Results])</f>
        <v>31480</v>
      </c>
      <c r="C10" s="25">
        <f>SUM(MemberOfAssemblyAssemblyDistrict56General101[Total Votes by Party])</f>
        <v>31480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8943-1DF5-4A4A-ABC6-F17A1B382C7C}">
  <sheetPr>
    <pageSetUpPr fitToPage="1"/>
  </sheetPr>
  <dimension ref="A1:E27"/>
  <sheetViews>
    <sheetView workbookViewId="0">
      <selection activeCell="E15" sqref="E1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9.75" customHeight="1" x14ac:dyDescent="0.2">
      <c r="A1" s="59" t="s">
        <v>421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422</v>
      </c>
      <c r="B3" s="31">
        <v>11782</v>
      </c>
      <c r="C3" s="25">
        <f>MemberOfAssemblyAssemblyDistrict57General102[[#This Row],[Part of Kings County 
Vote Results]]</f>
        <v>11782</v>
      </c>
      <c r="D3" s="26">
        <f>SUM(MemberOfAssemblyAssemblyDistrict57General102[[#This Row],[Total Votes by Party]])</f>
        <v>11782</v>
      </c>
    </row>
    <row r="4" spans="1:5" s="27" customFormat="1" ht="14.25" customHeight="1" x14ac:dyDescent="0.2">
      <c r="A4" s="23" t="s">
        <v>423</v>
      </c>
      <c r="B4" s="31">
        <v>7756</v>
      </c>
      <c r="C4" s="25">
        <f>MemberOfAssemblyAssemblyDistrict57General102[[#This Row],[Part of Kings County 
Vote Results]]</f>
        <v>7756</v>
      </c>
      <c r="D4" s="26">
        <f>SUM(MemberOfAssemblyAssemblyDistrict57General102[[#This Row],[Total Votes by Party]])</f>
        <v>7756</v>
      </c>
    </row>
    <row r="5" spans="1:5" s="27" customFormat="1" ht="14.25" customHeight="1" x14ac:dyDescent="0.2">
      <c r="A5" s="23" t="s">
        <v>424</v>
      </c>
      <c r="B5" s="31">
        <v>4486</v>
      </c>
      <c r="C5" s="25">
        <f>MemberOfAssemblyAssemblyDistrict57General102[[#This Row],[Part of Kings County 
Vote Results]]</f>
        <v>4486</v>
      </c>
      <c r="D5" s="54">
        <f>SUM(MemberOfAssemblyAssemblyDistrict57General102[[#This Row],[Total Votes by Party]])</f>
        <v>4486</v>
      </c>
    </row>
    <row r="6" spans="1:5" s="27" customFormat="1" ht="14.25" customHeight="1" x14ac:dyDescent="0.2">
      <c r="A6" s="23" t="s">
        <v>425</v>
      </c>
      <c r="B6" s="31">
        <v>2675</v>
      </c>
      <c r="C6" s="25">
        <f>MemberOfAssemblyAssemblyDistrict57General102[[#This Row],[Part of Kings County 
Vote Results]]</f>
        <v>2675</v>
      </c>
      <c r="D6" s="54">
        <f>SUM(MemberOfAssemblyAssemblyDistrict57General102[[#This Row],[Total Votes by Party]])</f>
        <v>2675</v>
      </c>
    </row>
    <row r="7" spans="1:5" s="27" customFormat="1" ht="14.25" customHeight="1" x14ac:dyDescent="0.2">
      <c r="A7" s="29" t="s">
        <v>69</v>
      </c>
      <c r="B7" s="31">
        <v>9579</v>
      </c>
      <c r="C7" s="25">
        <f>MemberOfAssemblyAssemblyDistrict57General102[[#This Row],[Part of Kings County 
Vote Results]]</f>
        <v>9579</v>
      </c>
      <c r="D7" s="28"/>
    </row>
    <row r="8" spans="1:5" s="27" customFormat="1" ht="14.25" customHeight="1" x14ac:dyDescent="0.2">
      <c r="A8" s="29" t="s">
        <v>70</v>
      </c>
      <c r="B8" s="31"/>
      <c r="C8" s="25">
        <f>MemberOfAssemblyAssemblyDistrict57General102[[#This Row],[Part of Kings County 
Vote Results]]</f>
        <v>0</v>
      </c>
      <c r="D8" s="28"/>
    </row>
    <row r="9" spans="1:5" s="27" customFormat="1" ht="14.25" customHeight="1" x14ac:dyDescent="0.2">
      <c r="A9" s="29" t="s">
        <v>71</v>
      </c>
      <c r="B9" s="31">
        <v>198</v>
      </c>
      <c r="C9" s="25">
        <f>MemberOfAssemblyAssemblyDistrict57General102[[#This Row],[Part of Kings County 
Vote Results]]</f>
        <v>198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SUM(MemberOfAssemblyAssemblyDistrict57General102[Part of Kings County 
Vote Results])</f>
        <v>36476</v>
      </c>
      <c r="C10" s="25">
        <f>SUM(MemberOfAssemblyAssemblyDistrict57General102[Total Votes by Party])</f>
        <v>36476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BC56-6C2F-4407-92C1-90CAC7EAC3B8}">
  <sheetPr>
    <pageSetUpPr fitToPage="1"/>
  </sheetPr>
  <dimension ref="A1:E26"/>
  <sheetViews>
    <sheetView workbookViewId="0">
      <selection activeCell="D3" sqref="D3"/>
    </sheetView>
  </sheetViews>
  <sheetFormatPr defaultRowHeight="12.75" x14ac:dyDescent="0.2"/>
  <cols>
    <col min="1" max="1" width="33.28515625" customWidth="1"/>
    <col min="2" max="3" width="20.5703125" customWidth="1"/>
    <col min="4" max="4" width="20.5703125" style="18" customWidth="1"/>
    <col min="5" max="6" width="23.5703125" customWidth="1"/>
  </cols>
  <sheetData>
    <row r="1" spans="1:5" ht="43.5" customHeight="1" x14ac:dyDescent="0.2">
      <c r="A1" s="59" t="s">
        <v>426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427</v>
      </c>
      <c r="B3" s="31">
        <v>3081</v>
      </c>
      <c r="C3" s="25">
        <f>MemberOfAssemblyAssemblyDistrict58General[[#This Row],[Part of Kings County 
Vote Results]]</f>
        <v>3081</v>
      </c>
      <c r="D3" s="54">
        <f>SUM(MemberOfAssemblyAssemblyDistrict58General[[#This Row],[Total Votes by Party]])</f>
        <v>3081</v>
      </c>
    </row>
    <row r="4" spans="1:5" s="27" customFormat="1" ht="14.25" customHeight="1" x14ac:dyDescent="0.2">
      <c r="A4" s="23" t="s">
        <v>429</v>
      </c>
      <c r="B4" s="31">
        <v>4712</v>
      </c>
      <c r="C4" s="48">
        <f>MemberOfAssemblyAssemblyDistrict58General[[#This Row],[Part of Kings County 
Vote Results]]</f>
        <v>4712</v>
      </c>
      <c r="D4" s="26">
        <f>SUM(MemberOfAssemblyAssemblyDistrict58General[[#This Row],[Total Votes by Party]])</f>
        <v>4712</v>
      </c>
    </row>
    <row r="5" spans="1:5" s="27" customFormat="1" ht="14.25" customHeight="1" x14ac:dyDescent="0.2">
      <c r="A5" s="23" t="s">
        <v>428</v>
      </c>
      <c r="B5" s="31">
        <v>3513</v>
      </c>
      <c r="C5" s="25">
        <f>MemberOfAssemblyAssemblyDistrict58General[[#This Row],[Part of Kings County 
Vote Results]]</f>
        <v>3513</v>
      </c>
      <c r="D5" s="26">
        <f>SUM(MemberOfAssemblyAssemblyDistrict58General[[#This Row],[Total Votes by Party]])</f>
        <v>3513</v>
      </c>
    </row>
    <row r="6" spans="1:5" s="27" customFormat="1" ht="14.25" customHeight="1" x14ac:dyDescent="0.2">
      <c r="A6" s="29" t="s">
        <v>69</v>
      </c>
      <c r="B6" s="31">
        <v>2211</v>
      </c>
      <c r="C6" s="25">
        <f>MemberOfAssemblyAssemblyDistrict58General[[#This Row],[Part of Kings County 
Vote Results]]</f>
        <v>2211</v>
      </c>
      <c r="D6" s="28"/>
    </row>
    <row r="7" spans="1:5" s="27" customFormat="1" ht="14.25" customHeight="1" x14ac:dyDescent="0.2">
      <c r="A7" s="29" t="s">
        <v>70</v>
      </c>
      <c r="B7" s="31"/>
      <c r="C7" s="25">
        <f>MemberOfAssemblyAssemblyDistrict58General[[#This Row],[Part of Kings County 
Vote Results]]</f>
        <v>0</v>
      </c>
      <c r="D7" s="28"/>
    </row>
    <row r="8" spans="1:5" s="27" customFormat="1" ht="14.25" customHeight="1" x14ac:dyDescent="0.2">
      <c r="A8" s="29" t="s">
        <v>71</v>
      </c>
      <c r="B8" s="31">
        <v>35</v>
      </c>
      <c r="C8" s="25">
        <f>MemberOfAssemblyAssemblyDistrict58General[[#This Row],[Part of Kings County 
Vote Results]]</f>
        <v>35</v>
      </c>
      <c r="D8" s="28"/>
    </row>
    <row r="9" spans="1:5" s="27" customFormat="1" ht="14.25" customHeight="1" x14ac:dyDescent="0.2">
      <c r="A9" s="30" t="s">
        <v>1</v>
      </c>
      <c r="B9" s="24">
        <f>SUM(MemberOfAssemblyAssemblyDistrict58General[Part of Kings County 
Vote Results])</f>
        <v>13552</v>
      </c>
      <c r="C9" s="25">
        <f>SUM(MemberOfAssemblyAssemblyDistrict58General[Total Votes by Party])</f>
        <v>13552</v>
      </c>
      <c r="D9" s="28"/>
    </row>
    <row r="10" spans="1:5" s="27" customFormat="1" ht="14.25" customHeight="1" x14ac:dyDescent="0.2">
      <c r="D10" s="37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5" calculatedColumn="1"/>
  </ignoredErrors>
  <tableParts count="1">
    <tablePart r:id="rId2"/>
  </tablePart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76426-1CE5-4284-9953-BF73D94DFA56}">
  <sheetPr>
    <pageSetUpPr fitToPage="1"/>
  </sheetPr>
  <dimension ref="A1:E27"/>
  <sheetViews>
    <sheetView workbookViewId="0">
      <selection activeCell="D5" sqref="D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48.75" customHeight="1" x14ac:dyDescent="0.2">
      <c r="A1" s="59" t="s">
        <v>430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431</v>
      </c>
      <c r="B3" s="31">
        <v>5375</v>
      </c>
      <c r="C3" s="25">
        <f>MemberOfAssemblyAssemblyDistrict59General104[[#This Row],[Part of Kings County 
Vote Results]]</f>
        <v>5375</v>
      </c>
      <c r="D3" s="26">
        <f>SUM(MemberOfAssemblyAssemblyDistrict59General104[[#This Row],[Total Votes by Party]])</f>
        <v>5375</v>
      </c>
    </row>
    <row r="4" spans="1:5" s="27" customFormat="1" ht="14.25" customHeight="1" x14ac:dyDescent="0.2">
      <c r="A4" s="23" t="s">
        <v>432</v>
      </c>
      <c r="B4" s="31">
        <v>3210</v>
      </c>
      <c r="C4" s="48">
        <f>MemberOfAssemblyAssemblyDistrict59General104[[#This Row],[Part of Kings County 
Vote Results]]</f>
        <v>3210</v>
      </c>
      <c r="D4" s="26">
        <f>SUM(MemberOfAssemblyAssemblyDistrict59General104[[#This Row],[Total Votes by Party]])</f>
        <v>3210</v>
      </c>
    </row>
    <row r="5" spans="1:5" s="27" customFormat="1" ht="14.25" customHeight="1" x14ac:dyDescent="0.2">
      <c r="A5" s="23" t="s">
        <v>433</v>
      </c>
      <c r="B5" s="31">
        <v>1618</v>
      </c>
      <c r="C5" s="48">
        <f>MemberOfAssemblyAssemblyDistrict59General104[[#This Row],[Part of Kings County 
Vote Results]]</f>
        <v>1618</v>
      </c>
      <c r="D5" s="54">
        <f>SUM(MemberOfAssemblyAssemblyDistrict59General104[[#This Row],[Total Votes by Party]])</f>
        <v>1618</v>
      </c>
    </row>
    <row r="6" spans="1:5" s="27" customFormat="1" ht="14.25" customHeight="1" x14ac:dyDescent="0.2">
      <c r="A6" s="29" t="s">
        <v>69</v>
      </c>
      <c r="B6" s="31">
        <v>3010</v>
      </c>
      <c r="C6" s="25">
        <f>MemberOfAssemblyAssemblyDistrict59General104[[#This Row],[Part of Kings County 
Vote Results]]</f>
        <v>3010</v>
      </c>
      <c r="D6" s="28"/>
    </row>
    <row r="7" spans="1:5" s="27" customFormat="1" ht="14.25" customHeight="1" x14ac:dyDescent="0.2">
      <c r="A7" s="29" t="s">
        <v>70</v>
      </c>
      <c r="B7" s="31"/>
      <c r="C7" s="25">
        <f>MemberOfAssemblyAssemblyDistrict59General104[[#This Row],[Part of Kings County 
Vote Results]]</f>
        <v>0</v>
      </c>
      <c r="D7" s="28"/>
    </row>
    <row r="8" spans="1:5" s="27" customFormat="1" ht="14.25" customHeight="1" x14ac:dyDescent="0.2">
      <c r="A8" s="29" t="s">
        <v>71</v>
      </c>
      <c r="B8" s="31">
        <v>93</v>
      </c>
      <c r="C8" s="25">
        <f>MemberOfAssemblyAssemblyDistrict59General104[[#This Row],[Part of Kings County 
Vote Results]]</f>
        <v>93</v>
      </c>
      <c r="D8" s="28"/>
    </row>
    <row r="9" spans="1:5" s="27" customFormat="1" ht="14.25" customHeight="1" x14ac:dyDescent="0.2">
      <c r="A9" s="30" t="s">
        <v>1</v>
      </c>
      <c r="B9" s="24">
        <f>SUM(MemberOfAssemblyAssemblyDistrict59General104[Part of Kings County 
Vote Results])</f>
        <v>13306</v>
      </c>
      <c r="C9" s="25">
        <f>SUM(MemberOfAssemblyAssemblyDistrict59General104[Total Votes by Party])</f>
        <v>13306</v>
      </c>
      <c r="D9" s="28"/>
    </row>
    <row r="10" spans="1:5" s="27" customFormat="1" ht="14.25" customHeight="1" x14ac:dyDescent="0.2">
      <c r="D10" s="37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ABDF-3809-43B2-B20A-AD1BDF30C2FA}">
  <sheetPr>
    <pageSetUpPr fitToPage="1"/>
  </sheetPr>
  <dimension ref="A1:E26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9" customHeight="1" x14ac:dyDescent="0.2">
      <c r="A1" s="59" t="s">
        <v>434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435</v>
      </c>
      <c r="B3" s="24">
        <v>7013</v>
      </c>
      <c r="C3" s="25">
        <f>MemberOfAssemblyAssemblyDistrict65General105[[#This Row],[Part of New York County 
Vote Results]]</f>
        <v>7013</v>
      </c>
      <c r="D3" s="26">
        <f>SUM(MemberOfAssemblyAssemblyDistrict65General105[[#This Row],[Total Votes by Party]])</f>
        <v>7013</v>
      </c>
    </row>
    <row r="4" spans="1:5" s="27" customFormat="1" ht="14.25" customHeight="1" x14ac:dyDescent="0.2">
      <c r="A4" s="23" t="s">
        <v>436</v>
      </c>
      <c r="B4" s="24">
        <v>5115</v>
      </c>
      <c r="C4" s="25">
        <f>MemberOfAssemblyAssemblyDistrict65General105[[#This Row],[Part of New York County 
Vote Results]]</f>
        <v>5115</v>
      </c>
      <c r="D4" s="54">
        <f>SUM(MemberOfAssemblyAssemblyDistrict65General105[[#This Row],[Total Votes by Party]])</f>
        <v>5115</v>
      </c>
    </row>
    <row r="5" spans="1:5" s="27" customFormat="1" ht="14.25" customHeight="1" x14ac:dyDescent="0.2">
      <c r="A5" s="23" t="s">
        <v>437</v>
      </c>
      <c r="B5" s="24">
        <v>2620</v>
      </c>
      <c r="C5" s="25">
        <f>MemberOfAssemblyAssemblyDistrict65General105[[#This Row],[Part of New York County 
Vote Results]]</f>
        <v>2620</v>
      </c>
      <c r="D5" s="26">
        <f>SUM(MemberOfAssemblyAssemblyDistrict65General105[[#This Row],[Total Votes by Party]])</f>
        <v>2620</v>
      </c>
    </row>
    <row r="6" spans="1:5" s="27" customFormat="1" ht="14.25" customHeight="1" x14ac:dyDescent="0.2">
      <c r="A6" s="29" t="s">
        <v>69</v>
      </c>
      <c r="B6" s="24">
        <v>10424</v>
      </c>
      <c r="C6" s="25">
        <f>MemberOfAssemblyAssemblyDistrict65General105[[#This Row],[Part of New York County 
Vote Results]]</f>
        <v>10424</v>
      </c>
      <c r="D6" s="28"/>
    </row>
    <row r="7" spans="1:5" s="27" customFormat="1" ht="14.25" customHeight="1" x14ac:dyDescent="0.2">
      <c r="A7" s="29" t="s">
        <v>70</v>
      </c>
      <c r="B7" s="24"/>
      <c r="C7" s="25">
        <f>MemberOfAssemblyAssemblyDistrict65General105[[#This Row],[Part of New York County 
Vote Results]]</f>
        <v>0</v>
      </c>
      <c r="D7" s="28"/>
    </row>
    <row r="8" spans="1:5" s="27" customFormat="1" ht="14.25" customHeight="1" x14ac:dyDescent="0.2">
      <c r="A8" s="29" t="s">
        <v>71</v>
      </c>
      <c r="B8" s="24">
        <v>188</v>
      </c>
      <c r="C8" s="25">
        <f>MemberOfAssemblyAssemblyDistrict65General105[[#This Row],[Part of New York County 
Vote Results]]</f>
        <v>188</v>
      </c>
      <c r="D8" s="28"/>
    </row>
    <row r="9" spans="1:5" s="27" customFormat="1" ht="14.25" customHeight="1" x14ac:dyDescent="0.2">
      <c r="A9" s="30" t="s">
        <v>1</v>
      </c>
      <c r="B9" s="24">
        <f>SUM(MemberOfAssemblyAssemblyDistrict65General105[Part of New York County 
Vote Results])</f>
        <v>25360</v>
      </c>
      <c r="C9" s="25">
        <f>SUM(MemberOfAssemblyAssemblyDistrict65General105[Total Votes by Party])</f>
        <v>25360</v>
      </c>
      <c r="D9" s="28"/>
    </row>
    <row r="10" spans="1:5" s="27" customFormat="1" ht="14.25" customHeight="1" x14ac:dyDescent="0.2">
      <c r="D10" s="37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5" calculatedColumn="1"/>
  </ignoredErrors>
  <tableParts count="1">
    <tablePart r:id="rId2"/>
  </tablePart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402D-B2B0-4191-8B4B-1E0AA38A0DE9}">
  <sheetPr>
    <pageSetUpPr fitToPage="1"/>
  </sheetPr>
  <dimension ref="A1:E30"/>
  <sheetViews>
    <sheetView workbookViewId="0">
      <selection activeCell="E9" sqref="E9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7.5" customHeight="1" x14ac:dyDescent="0.2">
      <c r="A1" s="59" t="s">
        <v>438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439</v>
      </c>
      <c r="B3" s="24">
        <v>2827</v>
      </c>
      <c r="C3" s="25">
        <f>MemberOfAssemblyAssemblyDistrict68General106[[#This Row],[Part of New York County 
Vote Results]]</f>
        <v>2827</v>
      </c>
      <c r="D3" s="54">
        <f>SUM(MemberOfAssemblyAssemblyDistrict68General106[[#This Row],[Total Votes by Party]])</f>
        <v>2827</v>
      </c>
    </row>
    <row r="4" spans="1:5" s="27" customFormat="1" ht="14.25" customHeight="1" x14ac:dyDescent="0.2">
      <c r="A4" s="23" t="s">
        <v>440</v>
      </c>
      <c r="B4" s="24">
        <v>3630</v>
      </c>
      <c r="C4" s="25">
        <f>MemberOfAssemblyAssemblyDistrict68General106[[#This Row],[Part of New York County 
Vote Results]]</f>
        <v>3630</v>
      </c>
      <c r="D4" s="26">
        <f>SUM(MemberOfAssemblyAssemblyDistrict68General106[[#This Row],[Total Votes by Party]])</f>
        <v>3630</v>
      </c>
    </row>
    <row r="5" spans="1:5" s="27" customFormat="1" ht="14.25" customHeight="1" x14ac:dyDescent="0.2">
      <c r="A5" s="23" t="s">
        <v>441</v>
      </c>
      <c r="B5" s="24">
        <v>1761</v>
      </c>
      <c r="C5" s="25">
        <f>MemberOfAssemblyAssemblyDistrict68General106[[#This Row],[Part of New York County 
Vote Results]]</f>
        <v>1761</v>
      </c>
      <c r="D5" s="54">
        <f>SUM(MemberOfAssemblyAssemblyDistrict68General106[[#This Row],[Total Votes by Party]])</f>
        <v>1761</v>
      </c>
    </row>
    <row r="6" spans="1:5" s="27" customFormat="1" ht="14.25" customHeight="1" x14ac:dyDescent="0.2">
      <c r="A6" s="23" t="s">
        <v>442</v>
      </c>
      <c r="B6" s="24">
        <v>1537</v>
      </c>
      <c r="C6" s="25">
        <f>MemberOfAssemblyAssemblyDistrict68General106[[#This Row],[Part of New York County 
Vote Results]]</f>
        <v>1537</v>
      </c>
      <c r="D6" s="54">
        <f>SUM(MemberOfAssemblyAssemblyDistrict68General106[[#This Row],[Total Votes by Party]])</f>
        <v>1537</v>
      </c>
    </row>
    <row r="7" spans="1:5" s="27" customFormat="1" ht="14.25" customHeight="1" x14ac:dyDescent="0.2">
      <c r="A7" s="23" t="s">
        <v>443</v>
      </c>
      <c r="B7" s="24">
        <v>965</v>
      </c>
      <c r="C7" s="25">
        <f>MemberOfAssemblyAssemblyDistrict68General106[[#This Row],[Part of New York County 
Vote Results]]</f>
        <v>965</v>
      </c>
      <c r="D7" s="54">
        <f>SUM(MemberOfAssemblyAssemblyDistrict68General106[[#This Row],[Total Votes by Party]])</f>
        <v>965</v>
      </c>
    </row>
    <row r="8" spans="1:5" s="27" customFormat="1" ht="14.25" customHeight="1" x14ac:dyDescent="0.2">
      <c r="A8" s="23" t="s">
        <v>444</v>
      </c>
      <c r="B8" s="24">
        <v>3184</v>
      </c>
      <c r="C8" s="25">
        <f>MemberOfAssemblyAssemblyDistrict68General106[[#This Row],[Part of New York County 
Vote Results]]</f>
        <v>3184</v>
      </c>
      <c r="D8" s="26">
        <f>SUM(MemberOfAssemblyAssemblyDistrict68General106[[#This Row],[Total Votes by Party]])</f>
        <v>3184</v>
      </c>
    </row>
    <row r="9" spans="1:5" s="27" customFormat="1" ht="14.25" customHeight="1" x14ac:dyDescent="0.2">
      <c r="A9" s="23" t="s">
        <v>445</v>
      </c>
      <c r="B9" s="24">
        <v>1403</v>
      </c>
      <c r="C9" s="25">
        <f>MemberOfAssemblyAssemblyDistrict68General106[[#This Row],[Part of New York County 
Vote Results]]</f>
        <v>1403</v>
      </c>
      <c r="D9" s="54">
        <f>SUM(MemberOfAssemblyAssemblyDistrict68General106[[#This Row],[Total Votes by Party]])</f>
        <v>1403</v>
      </c>
    </row>
    <row r="10" spans="1:5" s="27" customFormat="1" ht="14.25" customHeight="1" x14ac:dyDescent="0.2">
      <c r="A10" s="29" t="s">
        <v>69</v>
      </c>
      <c r="B10" s="24">
        <v>8413</v>
      </c>
      <c r="C10" s="25">
        <f>MemberOfAssemblyAssemblyDistrict68General106[[#This Row],[Part of New York County 
Vote Results]]</f>
        <v>8413</v>
      </c>
      <c r="D10" s="28"/>
    </row>
    <row r="11" spans="1:5" s="27" customFormat="1" ht="14.25" customHeight="1" x14ac:dyDescent="0.2">
      <c r="A11" s="29" t="s">
        <v>70</v>
      </c>
      <c r="B11" s="24"/>
      <c r="C11" s="25">
        <f>MemberOfAssemblyAssemblyDistrict68General106[[#This Row],[Part of New York County 
Vote Results]]</f>
        <v>0</v>
      </c>
      <c r="D11" s="28"/>
    </row>
    <row r="12" spans="1:5" s="27" customFormat="1" ht="14.25" customHeight="1" x14ac:dyDescent="0.2">
      <c r="A12" s="29" t="s">
        <v>71</v>
      </c>
      <c r="B12" s="24">
        <v>140</v>
      </c>
      <c r="C12" s="25">
        <f>MemberOfAssemblyAssemblyDistrict68General106[[#This Row],[Part of New York County 
Vote Results]]</f>
        <v>140</v>
      </c>
      <c r="D12" s="28"/>
    </row>
    <row r="13" spans="1:5" s="27" customFormat="1" ht="14.25" customHeight="1" x14ac:dyDescent="0.2">
      <c r="A13" s="30" t="s">
        <v>1</v>
      </c>
      <c r="B13" s="24">
        <f>SUM(MemberOfAssemblyAssemblyDistrict68General106[Part of New York County 
Vote Results])</f>
        <v>23860</v>
      </c>
      <c r="C13" s="25">
        <f>SUM(MemberOfAssemblyAssemblyDistrict68General106[Total Votes by Party])</f>
        <v>23860</v>
      </c>
      <c r="D13" s="28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  <row r="30" spans="4:4" s="27" customFormat="1" ht="14.25" customHeight="1" x14ac:dyDescent="0.2">
      <c r="D30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08A4-B917-466F-8B9F-2B75DAFE194B}">
  <sheetPr>
    <pageSetUpPr fitToPage="1"/>
  </sheetPr>
  <dimension ref="A1:E26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50.25" customHeight="1" x14ac:dyDescent="0.2">
      <c r="A1" s="59" t="s">
        <v>452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449</v>
      </c>
      <c r="B3" s="24">
        <v>7070</v>
      </c>
      <c r="C3" s="25">
        <f>MemberOfAssemblyAssemblyDistrict71General107[[#This Row],[Part of New York County 
Vote Results]]</f>
        <v>7070</v>
      </c>
      <c r="D3" s="54">
        <f>(MemberOfAssemblyAssemblyDistrict71General107[[#This Row],[Total Votes by Party]])</f>
        <v>7070</v>
      </c>
    </row>
    <row r="4" spans="1:5" s="27" customFormat="1" ht="14.25" customHeight="1" x14ac:dyDescent="0.2">
      <c r="A4" s="23" t="s">
        <v>450</v>
      </c>
      <c r="B4" s="24">
        <v>9827</v>
      </c>
      <c r="C4" s="25">
        <f>MemberOfAssemblyAssemblyDistrict71General107[[#This Row],[Part of New York County 
Vote Results]]</f>
        <v>9827</v>
      </c>
      <c r="D4" s="26">
        <f>(MemberOfAssemblyAssemblyDistrict71General107[[#This Row],[Total Votes by Party]])</f>
        <v>9827</v>
      </c>
    </row>
    <row r="5" spans="1:5" s="27" customFormat="1" ht="14.25" customHeight="1" x14ac:dyDescent="0.2">
      <c r="A5" s="23" t="s">
        <v>451</v>
      </c>
      <c r="B5" s="24">
        <v>5909</v>
      </c>
      <c r="C5" s="25">
        <f>MemberOfAssemblyAssemblyDistrict71General107[[#This Row],[Part of New York County 
Vote Results]]</f>
        <v>5909</v>
      </c>
      <c r="D5" s="26">
        <f>(MemberOfAssemblyAssemblyDistrict71General107[[#This Row],[Total Votes by Party]])</f>
        <v>5909</v>
      </c>
    </row>
    <row r="6" spans="1:5" s="27" customFormat="1" ht="14.25" customHeight="1" x14ac:dyDescent="0.2">
      <c r="A6" s="29" t="s">
        <v>69</v>
      </c>
      <c r="B6" s="24">
        <v>13038</v>
      </c>
      <c r="C6" s="25">
        <f>MemberOfAssemblyAssemblyDistrict71General107[[#This Row],[Part of New York County 
Vote Results]]</f>
        <v>13038</v>
      </c>
      <c r="D6" s="28"/>
    </row>
    <row r="7" spans="1:5" s="27" customFormat="1" ht="14.25" customHeight="1" x14ac:dyDescent="0.2">
      <c r="A7" s="29" t="s">
        <v>70</v>
      </c>
      <c r="B7" s="24"/>
      <c r="C7" s="25">
        <f>MemberOfAssemblyAssemblyDistrict71General107[[#This Row],[Part of New York County 
Vote Results]]</f>
        <v>0</v>
      </c>
      <c r="D7" s="28"/>
    </row>
    <row r="8" spans="1:5" s="27" customFormat="1" ht="14.25" customHeight="1" x14ac:dyDescent="0.2">
      <c r="A8" s="29" t="s">
        <v>71</v>
      </c>
      <c r="B8" s="24">
        <v>204</v>
      </c>
      <c r="C8" s="25">
        <f>MemberOfAssemblyAssemblyDistrict71General107[[#This Row],[Part of New York County 
Vote Results]]</f>
        <v>204</v>
      </c>
      <c r="D8" s="28"/>
    </row>
    <row r="9" spans="1:5" s="27" customFormat="1" ht="14.25" customHeight="1" x14ac:dyDescent="0.2">
      <c r="A9" s="30" t="s">
        <v>1</v>
      </c>
      <c r="B9" s="24">
        <f>SUM(MemberOfAssemblyAssemblyDistrict71General107[Part of New York County 
Vote Results])</f>
        <v>36048</v>
      </c>
      <c r="C9" s="25">
        <f>SUM(MemberOfAssemblyAssemblyDistrict71General107[Total Votes by Party])</f>
        <v>36048</v>
      </c>
      <c r="D9" s="28"/>
    </row>
    <row r="10" spans="1:5" s="27" customFormat="1" ht="14.25" customHeight="1" x14ac:dyDescent="0.2">
      <c r="D10" s="37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5" calculatedColumn="1"/>
  </ignoredErrors>
  <tableParts count="1">
    <tablePart r:id="rId2"/>
  </tablePart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9F71-5C31-4532-BE10-FA9398647492}">
  <sheetPr>
    <pageSetUpPr fitToPage="1"/>
  </sheetPr>
  <dimension ref="A1:E29"/>
  <sheetViews>
    <sheetView workbookViewId="0">
      <selection activeCell="D5" sqref="D5"/>
    </sheetView>
  </sheetViews>
  <sheetFormatPr defaultRowHeight="12.75" x14ac:dyDescent="0.2"/>
  <cols>
    <col min="1" max="1" width="31" customWidth="1"/>
    <col min="2" max="3" width="20.5703125" customWidth="1"/>
    <col min="4" max="4" width="20.5703125" style="18" customWidth="1"/>
    <col min="5" max="6" width="23.5703125" customWidth="1"/>
  </cols>
  <sheetData>
    <row r="1" spans="1:5" ht="38.25" customHeight="1" x14ac:dyDescent="0.2">
      <c r="A1" s="59" t="s">
        <v>453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454</v>
      </c>
      <c r="B3" s="24">
        <v>3155</v>
      </c>
      <c r="C3" s="25">
        <f>MemberOfAssemblyAssemblyDistrict72General108[[#This Row],[Part of New York County 
Vote Results]]</f>
        <v>3155</v>
      </c>
      <c r="D3" s="26">
        <f>SUM(MemberOfAssemblyAssemblyDistrict72General108[[#This Row],[Total Votes by Party]])</f>
        <v>3155</v>
      </c>
    </row>
    <row r="4" spans="1:5" s="27" customFormat="1" ht="14.25" customHeight="1" x14ac:dyDescent="0.2">
      <c r="A4" s="23" t="s">
        <v>455</v>
      </c>
      <c r="B4" s="24">
        <v>5131</v>
      </c>
      <c r="C4" s="25">
        <f>MemberOfAssemblyAssemblyDistrict72General108[[#This Row],[Part of New York County 
Vote Results]]</f>
        <v>5131</v>
      </c>
      <c r="D4" s="26">
        <f>SUM(MemberOfAssemblyAssemblyDistrict72General108[[#This Row],[Total Votes by Party]])</f>
        <v>5131</v>
      </c>
    </row>
    <row r="5" spans="1:5" s="27" customFormat="1" ht="14.25" customHeight="1" x14ac:dyDescent="0.2">
      <c r="A5" s="23" t="s">
        <v>456</v>
      </c>
      <c r="B5" s="24">
        <v>4225</v>
      </c>
      <c r="C5" s="25">
        <f>MemberOfAssemblyAssemblyDistrict72General108[[#This Row],[Part of New York County 
Vote Results]]</f>
        <v>4225</v>
      </c>
      <c r="D5" s="54">
        <f>SUM(MemberOfAssemblyAssemblyDistrict72General108[[#This Row],[Total Votes by Party]])</f>
        <v>4225</v>
      </c>
    </row>
    <row r="6" spans="1:5" s="27" customFormat="1" ht="14.25" customHeight="1" x14ac:dyDescent="0.2">
      <c r="A6" s="23" t="s">
        <v>457</v>
      </c>
      <c r="B6" s="24">
        <v>1469</v>
      </c>
      <c r="C6" s="25">
        <f>MemberOfAssemblyAssemblyDistrict72General108[[#This Row],[Part of New York County 
Vote Results]]</f>
        <v>1469</v>
      </c>
      <c r="D6" s="54">
        <f>SUM(MemberOfAssemblyAssemblyDistrict72General108[[#This Row],[Total Votes by Party]])</f>
        <v>1469</v>
      </c>
    </row>
    <row r="7" spans="1:5" s="27" customFormat="1" ht="14.25" customHeight="1" x14ac:dyDescent="0.2">
      <c r="A7" s="23" t="s">
        <v>458</v>
      </c>
      <c r="B7" s="24">
        <v>2181</v>
      </c>
      <c r="C7" s="25">
        <f>MemberOfAssemblyAssemblyDistrict72General108[[#This Row],[Part of New York County 
Vote Results]]</f>
        <v>2181</v>
      </c>
      <c r="D7" s="54">
        <f>SUM(MemberOfAssemblyAssemblyDistrict72General108[[#This Row],[Total Votes by Party]])</f>
        <v>2181</v>
      </c>
    </row>
    <row r="8" spans="1:5" s="27" customFormat="1" ht="14.25" customHeight="1" x14ac:dyDescent="0.2">
      <c r="A8" s="29" t="s">
        <v>69</v>
      </c>
      <c r="B8" s="24">
        <v>10933</v>
      </c>
      <c r="C8" s="25">
        <f>MemberOfAssemblyAssemblyDistrict72General108[[#This Row],[Part of New York County 
Vote Results]]</f>
        <v>10933</v>
      </c>
      <c r="D8" s="28"/>
    </row>
    <row r="9" spans="1:5" s="27" customFormat="1" ht="14.25" customHeight="1" x14ac:dyDescent="0.2">
      <c r="A9" s="29" t="s">
        <v>70</v>
      </c>
      <c r="B9" s="24"/>
      <c r="C9" s="25">
        <f>MemberOfAssemblyAssemblyDistrict72General108[[#This Row],[Part of New York County 
Vote Results]]</f>
        <v>0</v>
      </c>
      <c r="D9" s="28"/>
    </row>
    <row r="10" spans="1:5" s="27" customFormat="1" ht="14.25" customHeight="1" x14ac:dyDescent="0.2">
      <c r="A10" s="29" t="s">
        <v>71</v>
      </c>
      <c r="B10" s="24">
        <v>126</v>
      </c>
      <c r="C10" s="25">
        <f>MemberOfAssemblyAssemblyDistrict72General108[[#This Row],[Part of New York County 
Vote Results]]</f>
        <v>126</v>
      </c>
      <c r="D10" s="28"/>
    </row>
    <row r="11" spans="1:5" s="27" customFormat="1" ht="14.25" customHeight="1" x14ac:dyDescent="0.2">
      <c r="A11" s="30" t="s">
        <v>1</v>
      </c>
      <c r="B11" s="24">
        <f>SUM(MemberOfAssemblyAssemblyDistrict72General108[Part of New York County 
Vote Results])</f>
        <v>27220</v>
      </c>
      <c r="C11" s="25">
        <f>SUM(MemberOfAssemblyAssemblyDistrict72General108[Total Votes by Party])</f>
        <v>27220</v>
      </c>
      <c r="D11" s="28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5350-F255-4D4C-9CE8-2F024E3E5183}">
  <sheetPr>
    <pageSetUpPr fitToPage="1"/>
  </sheetPr>
  <dimension ref="A1:E10"/>
  <sheetViews>
    <sheetView workbookViewId="0">
      <selection activeCell="D21" sqref="D21"/>
    </sheetView>
  </sheetViews>
  <sheetFormatPr defaultRowHeight="12.75" x14ac:dyDescent="0.2"/>
  <cols>
    <col min="1" max="1" width="26.710937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225</v>
      </c>
    </row>
    <row r="2" spans="1:5" ht="28.5" customHeight="1" x14ac:dyDescent="0.2">
      <c r="A2" s="19" t="s">
        <v>66</v>
      </c>
      <c r="B2" s="20" t="s">
        <v>219</v>
      </c>
      <c r="C2" s="20" t="s">
        <v>216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864</v>
      </c>
      <c r="B3" s="24">
        <v>436</v>
      </c>
      <c r="C3" s="31">
        <v>2195</v>
      </c>
      <c r="D3" s="25">
        <f>SUM(RepInCongressCongressionalDistrict13General[[#This Row],[Part of Bronx County 
Vote Results]:[Part of New York County 
Vote Results]])</f>
        <v>2631</v>
      </c>
      <c r="E3" s="54">
        <f>SUM(RepInCongressCongressionalDistrict13General[[#This Row],[Total Votes by Party]])</f>
        <v>2631</v>
      </c>
    </row>
    <row r="4" spans="1:5" s="27" customFormat="1" ht="14.25" customHeight="1" x14ac:dyDescent="0.2">
      <c r="A4" s="23" t="s">
        <v>250</v>
      </c>
      <c r="B4" s="24">
        <v>101</v>
      </c>
      <c r="C4" s="31">
        <v>522</v>
      </c>
      <c r="D4" s="25">
        <f>SUM(RepInCongressCongressionalDistrict13General[[#This Row],[Part of Bronx County 
Vote Results]:[Part of New York County 
Vote Results]])</f>
        <v>623</v>
      </c>
      <c r="E4" s="54">
        <f>SUM(RepInCongressCongressionalDistrict13General[[#This Row],[Total Votes by Party]])</f>
        <v>623</v>
      </c>
    </row>
    <row r="5" spans="1:5" s="27" customFormat="1" ht="14.25" customHeight="1" x14ac:dyDescent="0.2">
      <c r="A5" s="23" t="s">
        <v>251</v>
      </c>
      <c r="B5" s="24">
        <v>2879</v>
      </c>
      <c r="C5" s="31">
        <v>33413</v>
      </c>
      <c r="D5" s="25">
        <f>SUM(RepInCongressCongressionalDistrict13General[[#This Row],[Part of Bronx County 
Vote Results]:[Part of New York County 
Vote Results]])</f>
        <v>36292</v>
      </c>
      <c r="E5" s="26">
        <f>SUM(RepInCongressCongressionalDistrict13General[[#This Row],[Total Votes by Party]])</f>
        <v>36292</v>
      </c>
    </row>
    <row r="6" spans="1:5" s="27" customFormat="1" ht="14.25" customHeight="1" x14ac:dyDescent="0.2">
      <c r="A6" s="23" t="s">
        <v>252</v>
      </c>
      <c r="B6" s="24">
        <v>5290</v>
      </c>
      <c r="C6" s="31">
        <v>28265</v>
      </c>
      <c r="D6" s="25">
        <f>SUM(RepInCongressCongressionalDistrict13General[[#This Row],[Part of Bronx County 
Vote Results]:[Part of New York County 
Vote Results]])</f>
        <v>33555</v>
      </c>
      <c r="E6" s="54">
        <f>SUM(RepInCongressCongressionalDistrict13General[[#This Row],[Total Votes by Party]])</f>
        <v>33555</v>
      </c>
    </row>
    <row r="7" spans="1:5" s="27" customFormat="1" ht="14.25" customHeight="1" x14ac:dyDescent="0.2">
      <c r="A7" s="29" t="s">
        <v>69</v>
      </c>
      <c r="B7" s="24">
        <v>134</v>
      </c>
      <c r="C7" s="31">
        <v>1076</v>
      </c>
      <c r="D7" s="25">
        <f>SUM(RepInCongressCongressionalDistrict13General[[#This Row],[Part of Bronx County 
Vote Results]:[Part of New York County 
Vote Results]])</f>
        <v>1210</v>
      </c>
      <c r="E7" s="28"/>
    </row>
    <row r="8" spans="1:5" s="27" customFormat="1" ht="14.25" customHeight="1" x14ac:dyDescent="0.2">
      <c r="A8" s="29" t="s">
        <v>70</v>
      </c>
      <c r="B8" s="24"/>
      <c r="C8" s="31"/>
      <c r="D8" s="25">
        <f>SUM(RepInCongressCongressionalDistrict13General[[#This Row],[Part of Bronx County 
Vote Results]:[Part of New York County 
Vote Results]])</f>
        <v>0</v>
      </c>
      <c r="E8" s="28"/>
    </row>
    <row r="9" spans="1:5" s="27" customFormat="1" ht="14.25" customHeight="1" x14ac:dyDescent="0.2">
      <c r="A9" s="29" t="s">
        <v>71</v>
      </c>
      <c r="B9" s="24">
        <v>53</v>
      </c>
      <c r="C9" s="31">
        <v>235</v>
      </c>
      <c r="D9" s="25">
        <f>SUM(RepInCongressCongressionalDistrict13General[[#This Row],[Part of Bronx County 
Vote Results]:[Part of New York County 
Vote Results]])</f>
        <v>288</v>
      </c>
      <c r="E9" s="28"/>
    </row>
    <row r="10" spans="1:5" s="27" customFormat="1" ht="14.25" customHeight="1" x14ac:dyDescent="0.2">
      <c r="A10" s="30" t="s">
        <v>1</v>
      </c>
      <c r="B10" s="24">
        <f>SUM(RepInCongressCongressionalDistrict13General[Part of Bronx County 
Vote Results])</f>
        <v>8893</v>
      </c>
      <c r="C10" s="24">
        <f>SUM(RepInCongressCongressionalDistrict13General[Part of New York County 
Vote Results])</f>
        <v>65706</v>
      </c>
      <c r="D10" s="25">
        <f>SUM(RepInCongressCongressionalDistrict13General[Total Votes by Party])</f>
        <v>74599</v>
      </c>
      <c r="E10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A9B5-611F-4C89-8367-1FD99A44E6F1}">
  <sheetPr>
    <pageSetUpPr fitToPage="1"/>
  </sheetPr>
  <dimension ref="A1:E26"/>
  <sheetViews>
    <sheetView workbookViewId="0">
      <selection activeCell="D6" sqref="D6"/>
    </sheetView>
  </sheetViews>
  <sheetFormatPr defaultRowHeight="12.75" x14ac:dyDescent="0.2"/>
  <cols>
    <col min="1" max="1" width="28.7109375" customWidth="1"/>
    <col min="2" max="3" width="20.5703125" customWidth="1"/>
    <col min="4" max="4" width="20.5703125" style="18" customWidth="1"/>
    <col min="5" max="6" width="23.5703125" customWidth="1"/>
  </cols>
  <sheetData>
    <row r="1" spans="1:5" ht="37.5" customHeight="1" x14ac:dyDescent="0.2">
      <c r="A1" s="59" t="s">
        <v>459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460</v>
      </c>
      <c r="B3" s="24">
        <v>5789</v>
      </c>
      <c r="C3" s="25">
        <f>MemberOfAssemblyAssemblyDistrict81General109[[#This Row],[Part of Bronx County 
Vote Results]]</f>
        <v>5789</v>
      </c>
      <c r="D3" s="26">
        <f>SUM(MemberOfAssemblyAssemblyDistrict81General109[[#This Row],[Total Votes by Party]])</f>
        <v>5789</v>
      </c>
    </row>
    <row r="4" spans="1:5" s="27" customFormat="1" ht="14.25" customHeight="1" x14ac:dyDescent="0.2">
      <c r="A4" s="23" t="s">
        <v>461</v>
      </c>
      <c r="B4" s="24">
        <v>6183</v>
      </c>
      <c r="C4" s="25">
        <f>MemberOfAssemblyAssemblyDistrict81General109[[#This Row],[Part of Bronx County 
Vote Results]]</f>
        <v>6183</v>
      </c>
      <c r="D4" s="26">
        <f>SUM(MemberOfAssemblyAssemblyDistrict81General109[[#This Row],[Total Votes by Party]])</f>
        <v>6183</v>
      </c>
    </row>
    <row r="5" spans="1:5" s="27" customFormat="1" ht="14.25" customHeight="1" x14ac:dyDescent="0.2">
      <c r="A5" s="23" t="s">
        <v>462</v>
      </c>
      <c r="B5" s="24">
        <v>2709</v>
      </c>
      <c r="C5" s="25">
        <f>MemberOfAssemblyAssemblyDistrict81General109[[#This Row],[Part of Bronx County 
Vote Results]]</f>
        <v>2709</v>
      </c>
      <c r="D5" s="54">
        <f>SUM(MemberOfAssemblyAssemblyDistrict81General109[[#This Row],[Total Votes by Party]])</f>
        <v>2709</v>
      </c>
    </row>
    <row r="6" spans="1:5" s="27" customFormat="1" ht="14.25" customHeight="1" x14ac:dyDescent="0.2">
      <c r="A6" s="23" t="s">
        <v>463</v>
      </c>
      <c r="B6" s="24">
        <v>4717</v>
      </c>
      <c r="C6" s="25">
        <f>MemberOfAssemblyAssemblyDistrict81General109[[#This Row],[Part of Bronx County 
Vote Results]]</f>
        <v>4717</v>
      </c>
      <c r="D6" s="54">
        <f>SUM(MemberOfAssemblyAssemblyDistrict81General109[[#This Row],[Total Votes by Party]])</f>
        <v>4717</v>
      </c>
    </row>
    <row r="7" spans="1:5" s="27" customFormat="1" ht="14.25" customHeight="1" x14ac:dyDescent="0.2">
      <c r="A7" s="29" t="s">
        <v>69</v>
      </c>
      <c r="B7" s="24">
        <v>5383</v>
      </c>
      <c r="C7" s="25">
        <f>MemberOfAssemblyAssemblyDistrict81General109[[#This Row],[Part of Bronx County 
Vote Results]]</f>
        <v>5383</v>
      </c>
      <c r="D7" s="28"/>
    </row>
    <row r="8" spans="1:5" s="27" customFormat="1" ht="14.25" customHeight="1" x14ac:dyDescent="0.2">
      <c r="A8" s="29" t="s">
        <v>70</v>
      </c>
      <c r="B8" s="24"/>
      <c r="C8" s="25">
        <f>MemberOfAssemblyAssemblyDistrict81General109[[#This Row],[Part of Bronx County 
Vote Results]]</f>
        <v>0</v>
      </c>
      <c r="D8" s="28"/>
    </row>
    <row r="9" spans="1:5" s="27" customFormat="1" ht="14.25" customHeight="1" x14ac:dyDescent="0.2">
      <c r="A9" s="29" t="s">
        <v>71</v>
      </c>
      <c r="B9" s="24">
        <v>83</v>
      </c>
      <c r="C9" s="25">
        <f>MemberOfAssemblyAssemblyDistrict81General109[[#This Row],[Part of Bronx County 
Vote Results]]</f>
        <v>83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SUM(MemberOfAssemblyAssemblyDistrict81General109[Part of Bronx County 
Vote Results])</f>
        <v>24864</v>
      </c>
      <c r="C10" s="25">
        <f>SUM(MemberOfAssemblyAssemblyDistrict81General109[Total Votes by Party])</f>
        <v>24864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9812-E411-408F-92FF-561012E24DF6}">
  <sheetPr>
    <pageSetUpPr fitToPage="1"/>
  </sheetPr>
  <dimension ref="A1:E25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44.25" customHeight="1" x14ac:dyDescent="0.2">
      <c r="A1" s="59" t="s">
        <v>844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112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845</v>
      </c>
      <c r="B3" s="24">
        <v>712</v>
      </c>
      <c r="C3" s="25">
        <f>SUM(MemberOfAssemblyAssemblyDistrict120General[[#This Row],[Oswego County 
Vote Results]])</f>
        <v>712</v>
      </c>
      <c r="D3" s="26">
        <f>SUM(MemberOfAssemblyAssemblyDistrict120General[[#This Row],[Total Votes by Party]])</f>
        <v>712</v>
      </c>
    </row>
    <row r="4" spans="1:5" s="27" customFormat="1" ht="14.25" customHeight="1" x14ac:dyDescent="0.2">
      <c r="A4" s="23" t="s">
        <v>846</v>
      </c>
      <c r="B4" s="24">
        <v>592</v>
      </c>
      <c r="C4" s="25">
        <f>SUM(MemberOfAssemblyAssemblyDistrict120General[[#This Row],[Oswego County 
Vote Results]])</f>
        <v>592</v>
      </c>
      <c r="D4" s="54">
        <f>SUM(MemberOfAssemblyAssemblyDistrict120General[[#This Row],[Total Votes by Party]])</f>
        <v>592</v>
      </c>
    </row>
    <row r="5" spans="1:5" s="27" customFormat="1" ht="14.25" customHeight="1" x14ac:dyDescent="0.2">
      <c r="A5" s="23" t="s">
        <v>847</v>
      </c>
      <c r="B5" s="24">
        <v>1251</v>
      </c>
      <c r="C5" s="25">
        <f>SUM(MemberOfAssemblyAssemblyDistrict120General[[#This Row],[Oswego County 
Vote Results]])</f>
        <v>1251</v>
      </c>
      <c r="D5" s="26">
        <f>SUM(MemberOfAssemblyAssemblyDistrict120General[[#This Row],[Total Votes by Party]])</f>
        <v>1251</v>
      </c>
    </row>
    <row r="6" spans="1:5" s="27" customFormat="1" ht="14.25" customHeight="1" x14ac:dyDescent="0.2">
      <c r="A6" s="23" t="s">
        <v>848</v>
      </c>
      <c r="B6" s="24">
        <v>1022</v>
      </c>
      <c r="C6" s="25">
        <f>SUM(MemberOfAssemblyAssemblyDistrict120General[[#This Row],[Oswego County 
Vote Results]])</f>
        <v>1022</v>
      </c>
      <c r="D6" s="54">
        <f>SUM(MemberOfAssemblyAssemblyDistrict120General[[#This Row],[Total Votes by Party]])</f>
        <v>1022</v>
      </c>
    </row>
    <row r="7" spans="1:5" s="27" customFormat="1" ht="14.25" customHeight="1" x14ac:dyDescent="0.2">
      <c r="A7" s="29" t="s">
        <v>69</v>
      </c>
      <c r="B7" s="24">
        <v>716</v>
      </c>
      <c r="C7" s="25">
        <f>SUM(MemberOfAssemblyAssemblyDistrict120General[[#This Row],[Oswego County 
Vote Results]])</f>
        <v>716</v>
      </c>
      <c r="D7" s="28"/>
    </row>
    <row r="8" spans="1:5" s="27" customFormat="1" ht="14.25" customHeight="1" x14ac:dyDescent="0.2">
      <c r="A8" s="29" t="s">
        <v>70</v>
      </c>
      <c r="B8" s="24">
        <v>8</v>
      </c>
      <c r="C8" s="25">
        <f>SUM(MemberOfAssemblyAssemblyDistrict120General[[#This Row],[Oswego County 
Vote Results]])</f>
        <v>8</v>
      </c>
      <c r="D8" s="28"/>
    </row>
    <row r="9" spans="1:5" s="27" customFormat="1" ht="14.25" customHeight="1" x14ac:dyDescent="0.2">
      <c r="A9" s="29" t="s">
        <v>71</v>
      </c>
      <c r="B9" s="24">
        <v>7</v>
      </c>
      <c r="C9" s="25">
        <f>SUM(MemberOfAssemblyAssemblyDistrict120General[[#This Row],[Oswego County 
Vote Results]])</f>
        <v>7</v>
      </c>
      <c r="D9" s="28"/>
    </row>
    <row r="10" spans="1:5" s="27" customFormat="1" ht="14.25" customHeight="1" x14ac:dyDescent="0.2">
      <c r="A10" s="30" t="s">
        <v>1</v>
      </c>
      <c r="B10" s="24">
        <f>SUM(MemberOfAssemblyAssemblyDistrict120General[Oswego County 
Vote Results])</f>
        <v>4308</v>
      </c>
      <c r="C10" s="25">
        <f>SUM(MemberOfAssemblyAssemblyDistrict120General[Total Votes by Party])</f>
        <v>4308</v>
      </c>
      <c r="D10" s="28"/>
    </row>
    <row r="11" spans="1:5" s="27" customFormat="1" ht="14.25" customHeight="1" x14ac:dyDescent="0.2">
      <c r="D11" s="37"/>
    </row>
    <row r="12" spans="1:5" s="27" customFormat="1" ht="14.25" customHeight="1" x14ac:dyDescent="0.2">
      <c r="D12" s="37"/>
    </row>
    <row r="13" spans="1:5" s="27" customFormat="1" ht="14.25" customHeight="1" x14ac:dyDescent="0.2">
      <c r="D13" s="37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mergeCells count="1">
    <mergeCell ref="A1:E1"/>
  </mergeCells>
  <phoneticPr fontId="9" type="noConversion"/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C3" calculatedColumn="1"/>
  </ignoredErrors>
  <tableParts count="1">
    <tablePart r:id="rId2"/>
  </tablePart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1A2-8AA0-40E3-AC35-D459DB3AC144}">
  <sheetPr>
    <pageSetUpPr fitToPage="1"/>
  </sheetPr>
  <dimension ref="A1:D25"/>
  <sheetViews>
    <sheetView workbookViewId="0">
      <selection activeCell="D3" sqref="D3"/>
    </sheetView>
  </sheetViews>
  <sheetFormatPr defaultRowHeight="12.75" x14ac:dyDescent="0.2"/>
  <cols>
    <col min="1" max="1" width="30.8554687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820</v>
      </c>
    </row>
    <row r="2" spans="1:4" ht="28.5" customHeight="1" x14ac:dyDescent="0.2">
      <c r="A2" s="19" t="s">
        <v>66</v>
      </c>
      <c r="B2" s="20" t="s">
        <v>126</v>
      </c>
      <c r="C2" s="21" t="s">
        <v>63</v>
      </c>
      <c r="D2" s="22" t="s">
        <v>64</v>
      </c>
    </row>
    <row r="3" spans="1:4" s="27" customFormat="1" ht="14.25" customHeight="1" x14ac:dyDescent="0.2">
      <c r="A3" s="39" t="s">
        <v>821</v>
      </c>
      <c r="B3" s="24">
        <v>2051</v>
      </c>
      <c r="C3" s="25">
        <f>MemberOfAssemblyAssemblyDistrict137General40[[#This Row],[Part of Monroe County 
Vote Results]]</f>
        <v>2051</v>
      </c>
      <c r="D3" s="54">
        <f>SUM(MemberOfAssemblyAssemblyDistrict137General40[[#This Row],[Total Votes by Party]])</f>
        <v>2051</v>
      </c>
    </row>
    <row r="4" spans="1:4" s="27" customFormat="1" ht="14.25" customHeight="1" x14ac:dyDescent="0.2">
      <c r="A4" s="23" t="s">
        <v>822</v>
      </c>
      <c r="B4" s="24">
        <v>3306</v>
      </c>
      <c r="C4" s="25">
        <f>MemberOfAssemblyAssemblyDistrict137General40[[#This Row],[Part of Monroe County 
Vote Results]]</f>
        <v>3306</v>
      </c>
      <c r="D4" s="26">
        <f>SUM(MemberOfAssemblyAssemblyDistrict137General40[[#This Row],[Total Votes by Party]])</f>
        <v>3306</v>
      </c>
    </row>
    <row r="5" spans="1:4" s="27" customFormat="1" ht="14.25" customHeight="1" x14ac:dyDescent="0.2">
      <c r="A5" s="29" t="s">
        <v>69</v>
      </c>
      <c r="B5" s="24">
        <v>739</v>
      </c>
      <c r="C5" s="25">
        <f>MemberOfAssemblyAssemblyDistrict137General40[[#This Row],[Part of Monroe County 
Vote Results]]</f>
        <v>739</v>
      </c>
      <c r="D5" s="28"/>
    </row>
    <row r="6" spans="1:4" s="27" customFormat="1" ht="14.25" customHeight="1" x14ac:dyDescent="0.2">
      <c r="A6" s="29" t="s">
        <v>70</v>
      </c>
      <c r="B6" s="24">
        <v>13</v>
      </c>
      <c r="C6" s="25">
        <f>MemberOfAssemblyAssemblyDistrict137General40[[#This Row],[Part of Monroe County 
Vote Results]]</f>
        <v>13</v>
      </c>
      <c r="D6" s="28"/>
    </row>
    <row r="7" spans="1:4" s="27" customFormat="1" ht="14.25" customHeight="1" x14ac:dyDescent="0.2">
      <c r="A7" s="29" t="s">
        <v>71</v>
      </c>
      <c r="B7" s="24">
        <v>10</v>
      </c>
      <c r="C7" s="25">
        <f>MemberOfAssemblyAssemblyDistrict137General40[[#This Row],[Part of Monroe County 
Vote Results]]</f>
        <v>10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SUM(MemberOfAssemblyAssemblyDistrict137General40[Part of Monroe County 
Vote Results])</f>
        <v>6119</v>
      </c>
      <c r="C8" s="25">
        <f>SUM(MemberOfAssemblyAssemblyDistrict137General40[Total Votes by Party])</f>
        <v>6119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3ECA-5DF9-4EBF-B654-0CA89EC2A44E}">
  <sheetPr>
    <pageSetUpPr fitToPage="1"/>
  </sheetPr>
  <dimension ref="A1:D25"/>
  <sheetViews>
    <sheetView workbookViewId="0">
      <selection activeCell="D3" sqref="D3"/>
    </sheetView>
  </sheetViews>
  <sheetFormatPr defaultRowHeight="12.75" x14ac:dyDescent="0.2"/>
  <cols>
    <col min="1" max="1" width="26.285156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820</v>
      </c>
    </row>
    <row r="2" spans="1:4" ht="28.5" customHeight="1" x14ac:dyDescent="0.2">
      <c r="A2" s="19" t="s">
        <v>66</v>
      </c>
      <c r="B2" s="20" t="s">
        <v>126</v>
      </c>
      <c r="C2" s="21" t="s">
        <v>63</v>
      </c>
      <c r="D2" s="22" t="s">
        <v>64</v>
      </c>
    </row>
    <row r="3" spans="1:4" s="27" customFormat="1" ht="14.25" customHeight="1" x14ac:dyDescent="0.2">
      <c r="A3" s="39" t="s">
        <v>879</v>
      </c>
      <c r="B3" s="24">
        <v>834</v>
      </c>
      <c r="C3" s="25">
        <f>MemberOfAssemblyAssemblyDistrict137General4026[[#This Row],[Part of Monroe County 
Vote Results]]</f>
        <v>834</v>
      </c>
      <c r="D3" s="54">
        <f>SUM(MemberOfAssemblyAssemblyDistrict137General4026[[#This Row],[Total Votes by Party]])</f>
        <v>834</v>
      </c>
    </row>
    <row r="4" spans="1:4" s="27" customFormat="1" ht="14.25" customHeight="1" x14ac:dyDescent="0.2">
      <c r="A4" s="23" t="s">
        <v>823</v>
      </c>
      <c r="B4" s="24">
        <v>4793</v>
      </c>
      <c r="C4" s="25">
        <f>MemberOfAssemblyAssemblyDistrict137General4026[[#This Row],[Part of Monroe County 
Vote Results]]</f>
        <v>4793</v>
      </c>
      <c r="D4" s="26">
        <f>SUM(MemberOfAssemblyAssemblyDistrict137General4026[[#This Row],[Total Votes by Party]])</f>
        <v>4793</v>
      </c>
    </row>
    <row r="5" spans="1:4" s="27" customFormat="1" ht="14.25" customHeight="1" x14ac:dyDescent="0.2">
      <c r="A5" s="29" t="s">
        <v>69</v>
      </c>
      <c r="B5" s="24">
        <v>472</v>
      </c>
      <c r="C5" s="25">
        <f>MemberOfAssemblyAssemblyDistrict137General4026[[#This Row],[Part of Monroe County 
Vote Results]]</f>
        <v>472</v>
      </c>
      <c r="D5" s="28"/>
    </row>
    <row r="6" spans="1:4" s="27" customFormat="1" ht="14.25" customHeight="1" x14ac:dyDescent="0.2">
      <c r="A6" s="29" t="s">
        <v>70</v>
      </c>
      <c r="B6" s="24">
        <v>15</v>
      </c>
      <c r="C6" s="25">
        <f>MemberOfAssemblyAssemblyDistrict137General4026[[#This Row],[Part of Monroe County 
Vote Results]]</f>
        <v>15</v>
      </c>
      <c r="D6" s="28"/>
    </row>
    <row r="7" spans="1:4" s="27" customFormat="1" ht="14.25" customHeight="1" x14ac:dyDescent="0.2">
      <c r="A7" s="29" t="s">
        <v>71</v>
      </c>
      <c r="B7" s="24">
        <v>5</v>
      </c>
      <c r="C7" s="25">
        <f>MemberOfAssemblyAssemblyDistrict137General4026[[#This Row],[Part of Monroe County 
Vote Results]]</f>
        <v>5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SUM(MemberOfAssemblyAssemblyDistrict137General4026[Part of Monroe County 
Vote Results])</f>
        <v>6119</v>
      </c>
      <c r="C8" s="25">
        <f>SUM(MemberOfAssemblyAssemblyDistrict137General4026[Total Votes by Party])</f>
        <v>6119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F238-12E4-48E9-AEFC-203273975E53}">
  <sheetPr>
    <pageSetUpPr fitToPage="1"/>
  </sheetPr>
  <dimension ref="A1:E9"/>
  <sheetViews>
    <sheetView workbookViewId="0">
      <selection activeCell="E4" sqref="E4:E5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226</v>
      </c>
    </row>
    <row r="2" spans="1:5" ht="28.5" customHeight="1" x14ac:dyDescent="0.2">
      <c r="A2" s="19" t="s">
        <v>66</v>
      </c>
      <c r="B2" s="20" t="s">
        <v>219</v>
      </c>
      <c r="C2" s="20" t="s">
        <v>72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253</v>
      </c>
      <c r="B3" s="31">
        <v>11980</v>
      </c>
      <c r="C3" s="31">
        <v>19222</v>
      </c>
      <c r="D3" s="25">
        <f>SUM(RepInCongressCongressionalDistrict14General[[#This Row],[Part of Bronx County 
Vote Results]:[Part of Queens County 
Vote Results]])</f>
        <v>31202</v>
      </c>
      <c r="E3" s="26">
        <f>SUM(RepInCongressCongressionalDistrict14General[[#This Row],[Total Votes by Party]])</f>
        <v>31202</v>
      </c>
    </row>
    <row r="4" spans="1:5" s="27" customFormat="1" ht="14.25" customHeight="1" x14ac:dyDescent="0.2">
      <c r="A4" s="23" t="s">
        <v>254</v>
      </c>
      <c r="B4" s="31">
        <v>1394</v>
      </c>
      <c r="C4" s="31">
        <v>1035</v>
      </c>
      <c r="D4" s="25">
        <f>SUM(RepInCongressCongressionalDistrict14General[[#This Row],[Part of Bronx County 
Vote Results]:[Part of Queens County 
Vote Results]])</f>
        <v>2429</v>
      </c>
      <c r="E4" s="54">
        <f>SUM(RepInCongressCongressionalDistrict14General[[#This Row],[Total Votes by Party]])</f>
        <v>2429</v>
      </c>
    </row>
    <row r="5" spans="1:5" s="27" customFormat="1" ht="14.25" customHeight="1" x14ac:dyDescent="0.2">
      <c r="A5" s="23" t="s">
        <v>255</v>
      </c>
      <c r="B5" s="31">
        <v>994</v>
      </c>
      <c r="C5" s="31">
        <v>1142</v>
      </c>
      <c r="D5" s="25">
        <f>SUM(RepInCongressCongressionalDistrict14General[[#This Row],[Part of Bronx County 
Vote Results]:[Part of Queens County 
Vote Results]])</f>
        <v>2136</v>
      </c>
      <c r="E5" s="54">
        <f>SUM(RepInCongressCongressionalDistrict14General[[#This Row],[Total Votes by Party]])</f>
        <v>2136</v>
      </c>
    </row>
    <row r="6" spans="1:5" s="27" customFormat="1" ht="14.25" customHeight="1" x14ac:dyDescent="0.2">
      <c r="A6" s="29" t="s">
        <v>69</v>
      </c>
      <c r="B6" s="31">
        <v>412</v>
      </c>
      <c r="C6" s="31">
        <v>532</v>
      </c>
      <c r="D6" s="25">
        <f>SUM(RepInCongressCongressionalDistrict14General[[#This Row],[Part of Bronx County 
Vote Results]:[Part of Queens County 
Vote Results]])</f>
        <v>944</v>
      </c>
      <c r="E6" s="28"/>
    </row>
    <row r="7" spans="1:5" s="27" customFormat="1" ht="14.25" customHeight="1" x14ac:dyDescent="0.2">
      <c r="A7" s="29" t="s">
        <v>70</v>
      </c>
      <c r="B7" s="31"/>
      <c r="C7" s="31"/>
      <c r="D7" s="25">
        <f>SUM(RepInCongressCongressionalDistrict14General[[#This Row],[Part of Bronx County 
Vote Results]:[Part of Queens County 
Vote Results]])</f>
        <v>0</v>
      </c>
      <c r="E7" s="28"/>
    </row>
    <row r="8" spans="1:5" s="27" customFormat="1" ht="14.25" customHeight="1" x14ac:dyDescent="0.2">
      <c r="A8" s="29" t="s">
        <v>71</v>
      </c>
      <c r="B8" s="31">
        <v>70</v>
      </c>
      <c r="C8" s="31">
        <v>77</v>
      </c>
      <c r="D8" s="25">
        <f>SUM(RepInCongressCongressionalDistrict14General[[#This Row],[Part of Bronx County 
Vote Results]:[Part of Queens County 
Vote Results]])</f>
        <v>147</v>
      </c>
      <c r="E8" s="28"/>
    </row>
    <row r="9" spans="1:5" s="27" customFormat="1" ht="14.25" customHeight="1" x14ac:dyDescent="0.2">
      <c r="A9" s="30" t="s">
        <v>1</v>
      </c>
      <c r="B9" s="24">
        <f>SUM(RepInCongressCongressionalDistrict14General[Part of Bronx County 
Vote Results])</f>
        <v>14850</v>
      </c>
      <c r="C9" s="24">
        <f>SUM(RepInCongressCongressionalDistrict14General[Part of Queens County 
Vote Results])</f>
        <v>22008</v>
      </c>
      <c r="D9" s="25">
        <f>SUM(RepInCongressCongressionalDistrict14General[Total Votes by Party])</f>
        <v>36858</v>
      </c>
      <c r="E9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7E6A-E9E3-4BC1-9B9C-725C753ACFE6}">
  <sheetPr>
    <pageSetUpPr fitToPage="1"/>
  </sheetPr>
  <dimension ref="A1:D9"/>
  <sheetViews>
    <sheetView workbookViewId="0">
      <selection activeCell="D4" sqref="D4:D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227</v>
      </c>
    </row>
    <row r="2" spans="1:4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256</v>
      </c>
      <c r="B3" s="24">
        <v>24598</v>
      </c>
      <c r="C3" s="25">
        <f>RepInCongressCongressionalDistrict15General[[#This Row],[Part of Bronx County 
Vote Results]]</f>
        <v>24598</v>
      </c>
      <c r="D3" s="26">
        <f>SUM(RepInCongressCongressionalDistrict15General[[#This Row],[Total Votes by Party]])</f>
        <v>24598</v>
      </c>
    </row>
    <row r="4" spans="1:4" s="27" customFormat="1" ht="14.25" customHeight="1" x14ac:dyDescent="0.2">
      <c r="A4" s="23" t="s">
        <v>257</v>
      </c>
      <c r="B4" s="24">
        <v>1939</v>
      </c>
      <c r="C4" s="25">
        <f>RepInCongressCongressionalDistrict15General[[#This Row],[Part of Bronx County 
Vote Results]]</f>
        <v>1939</v>
      </c>
      <c r="D4" s="54">
        <f>SUM(RepInCongressCongressionalDistrict15General[[#This Row],[Total Votes by Party]],C5)</f>
        <v>9413</v>
      </c>
    </row>
    <row r="5" spans="1:4" s="27" customFormat="1" ht="14.25" customHeight="1" x14ac:dyDescent="0.2">
      <c r="A5" s="23" t="s">
        <v>258</v>
      </c>
      <c r="B5" s="24">
        <v>7474</v>
      </c>
      <c r="C5" s="25">
        <f>RepInCongressCongressionalDistrict15General[[#This Row],[Part of Bronx County 
Vote Results]]</f>
        <v>7474</v>
      </c>
      <c r="D5" s="54">
        <f>SUM(RepInCongressCongressionalDistrict15General[[#This Row],[Total Votes by Party]],C6)</f>
        <v>8087</v>
      </c>
    </row>
    <row r="6" spans="1:4" s="27" customFormat="1" ht="14.25" customHeight="1" x14ac:dyDescent="0.2">
      <c r="A6" s="29" t="s">
        <v>69</v>
      </c>
      <c r="B6" s="24">
        <v>613</v>
      </c>
      <c r="C6" s="25">
        <f>RepInCongressCongressionalDistrict15General[[#This Row],[Part of Bronx County 
Vote Results]]</f>
        <v>613</v>
      </c>
      <c r="D6" s="28"/>
    </row>
    <row r="7" spans="1:4" s="27" customFormat="1" ht="14.25" customHeight="1" x14ac:dyDescent="0.2">
      <c r="A7" s="29" t="s">
        <v>70</v>
      </c>
      <c r="B7" s="24"/>
      <c r="C7" s="25">
        <f>RepInCongressCongressionalDistrict15General[[#This Row],[Part of Bronx County 
Vote Results]]</f>
        <v>0</v>
      </c>
      <c r="D7" s="28"/>
    </row>
    <row r="8" spans="1:4" s="27" customFormat="1" ht="14.25" customHeight="1" x14ac:dyDescent="0.2">
      <c r="A8" s="29" t="s">
        <v>71</v>
      </c>
      <c r="B8" s="24">
        <v>229</v>
      </c>
      <c r="C8" s="25">
        <f>RepInCongressCongressionalDistrict15General[[#This Row],[Part of Bronx County 
Vote Results]]</f>
        <v>229</v>
      </c>
      <c r="D8" s="28"/>
    </row>
    <row r="9" spans="1:4" s="27" customFormat="1" ht="14.25" customHeight="1" x14ac:dyDescent="0.2">
      <c r="A9" s="30" t="s">
        <v>1</v>
      </c>
      <c r="B9" s="24">
        <f>SUM(RepInCongressCongressionalDistrict15General[Part of Bronx County 
Vote Results])</f>
        <v>34853</v>
      </c>
      <c r="C9" s="25">
        <f>SUM(RepInCongressCongressionalDistrict15General[Total Votes by Party])</f>
        <v>34853</v>
      </c>
      <c r="D9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1B66-5864-48DC-B388-317700785F25}">
  <sheetPr>
    <pageSetUpPr fitToPage="1"/>
  </sheetPr>
  <dimension ref="A1:G11"/>
  <sheetViews>
    <sheetView workbookViewId="0">
      <selection activeCell="E3" sqref="E3"/>
    </sheetView>
  </sheetViews>
  <sheetFormatPr defaultRowHeight="12.75" x14ac:dyDescent="0.2"/>
  <cols>
    <col min="1" max="1" width="29.7109375" customWidth="1"/>
    <col min="2" max="6" width="23.140625" customWidth="1"/>
    <col min="7" max="7" width="23.140625" style="18" customWidth="1"/>
    <col min="8" max="9" width="20.5703125" customWidth="1"/>
    <col min="10" max="11" width="23.5703125" customWidth="1"/>
  </cols>
  <sheetData>
    <row r="1" spans="1:7" ht="24.75" customHeight="1" x14ac:dyDescent="0.2">
      <c r="A1" s="17" t="s">
        <v>143</v>
      </c>
    </row>
    <row r="2" spans="1:7" ht="33" customHeight="1" x14ac:dyDescent="0.2">
      <c r="A2" s="19" t="s">
        <v>66</v>
      </c>
      <c r="B2" s="20" t="s">
        <v>73</v>
      </c>
      <c r="C2" s="20" t="s">
        <v>74</v>
      </c>
      <c r="D2" s="20" t="s">
        <v>75</v>
      </c>
      <c r="E2" s="20" t="s">
        <v>76</v>
      </c>
      <c r="F2" s="21" t="s">
        <v>63</v>
      </c>
      <c r="G2" s="22" t="s">
        <v>64</v>
      </c>
    </row>
    <row r="3" spans="1:7" s="27" customFormat="1" ht="14.25" customHeight="1" x14ac:dyDescent="0.2">
      <c r="A3" s="23" t="s">
        <v>144</v>
      </c>
      <c r="B3" s="24">
        <v>228</v>
      </c>
      <c r="C3" s="24">
        <v>924</v>
      </c>
      <c r="D3" s="24">
        <v>2240</v>
      </c>
      <c r="E3" s="24">
        <v>3802</v>
      </c>
      <c r="F3" s="25">
        <f>SUM(B3:E3)</f>
        <v>7194</v>
      </c>
      <c r="G3" s="54">
        <f>SUM(RepInCongressCongressionalDistrict17General[[#This Row],[Total Votes by Party]])</f>
        <v>7194</v>
      </c>
    </row>
    <row r="4" spans="1:7" s="27" customFormat="1" ht="14.25" customHeight="1" x14ac:dyDescent="0.2">
      <c r="A4" s="23" t="s">
        <v>849</v>
      </c>
      <c r="B4" s="24">
        <v>747</v>
      </c>
      <c r="C4" s="24">
        <v>2858</v>
      </c>
      <c r="D4" s="24">
        <v>7339</v>
      </c>
      <c r="E4" s="24">
        <v>12319</v>
      </c>
      <c r="F4" s="25">
        <f t="shared" ref="F4:F10" si="0">SUM(B4:E4)</f>
        <v>23263</v>
      </c>
      <c r="G4" s="26">
        <f>SUM(RepInCongressCongressionalDistrict17General[[#This Row],[Total Votes by Party]])</f>
        <v>23263</v>
      </c>
    </row>
    <row r="5" spans="1:7" s="27" customFormat="1" ht="14.25" customHeight="1" x14ac:dyDescent="0.2">
      <c r="A5" s="23" t="s">
        <v>145</v>
      </c>
      <c r="B5" s="24">
        <v>363</v>
      </c>
      <c r="C5" s="24">
        <v>1074</v>
      </c>
      <c r="D5" s="24">
        <v>6949</v>
      </c>
      <c r="E5" s="24">
        <v>6552</v>
      </c>
      <c r="F5" s="25">
        <f t="shared" si="0"/>
        <v>14938</v>
      </c>
      <c r="G5" s="54">
        <f>SUM(RepInCongressCongressionalDistrict17General[[#This Row],[Total Votes by Party]])</f>
        <v>14938</v>
      </c>
    </row>
    <row r="6" spans="1:7" s="27" customFormat="1" ht="14.25" customHeight="1" x14ac:dyDescent="0.2">
      <c r="A6" s="23" t="s">
        <v>146</v>
      </c>
      <c r="B6" s="24">
        <v>33</v>
      </c>
      <c r="C6" s="24">
        <v>63</v>
      </c>
      <c r="D6" s="24">
        <v>419</v>
      </c>
      <c r="E6" s="24">
        <v>243</v>
      </c>
      <c r="F6" s="25">
        <f t="shared" si="0"/>
        <v>758</v>
      </c>
      <c r="G6" s="54">
        <f>SUM(RepInCongressCongressionalDistrict17General[[#This Row],[Total Votes by Party]])</f>
        <v>758</v>
      </c>
    </row>
    <row r="7" spans="1:7" s="27" customFormat="1" ht="14.25" customHeight="1" x14ac:dyDescent="0.2">
      <c r="A7" s="29" t="s">
        <v>147</v>
      </c>
      <c r="B7" s="24">
        <v>38</v>
      </c>
      <c r="C7" s="24">
        <v>68</v>
      </c>
      <c r="D7" s="24">
        <v>192</v>
      </c>
      <c r="E7" s="24">
        <v>458</v>
      </c>
      <c r="F7" s="25">
        <f t="shared" si="0"/>
        <v>756</v>
      </c>
      <c r="G7" s="54">
        <f>SUM(RepInCongressCongressionalDistrict17General[[#This Row],[Total Votes by Party]])</f>
        <v>756</v>
      </c>
    </row>
    <row r="8" spans="1:7" s="27" customFormat="1" ht="14.25" customHeight="1" x14ac:dyDescent="0.2">
      <c r="A8" s="29" t="s">
        <v>69</v>
      </c>
      <c r="B8" s="24">
        <v>8</v>
      </c>
      <c r="C8" s="24">
        <v>26</v>
      </c>
      <c r="D8" s="24">
        <v>313</v>
      </c>
      <c r="E8" s="24">
        <v>148</v>
      </c>
      <c r="F8" s="25">
        <f t="shared" si="0"/>
        <v>495</v>
      </c>
      <c r="G8" s="28"/>
    </row>
    <row r="9" spans="1:7" s="27" customFormat="1" ht="14.25" customHeight="1" x14ac:dyDescent="0.2">
      <c r="A9" s="29" t="s">
        <v>70</v>
      </c>
      <c r="B9" s="24">
        <v>1</v>
      </c>
      <c r="C9" s="24">
        <v>10</v>
      </c>
      <c r="D9" s="24">
        <v>88</v>
      </c>
      <c r="E9" s="24">
        <v>51</v>
      </c>
      <c r="F9" s="25">
        <f t="shared" si="0"/>
        <v>150</v>
      </c>
      <c r="G9" s="28"/>
    </row>
    <row r="10" spans="1:7" s="27" customFormat="1" ht="14.25" customHeight="1" x14ac:dyDescent="0.2">
      <c r="A10" s="29" t="s">
        <v>71</v>
      </c>
      <c r="B10" s="24">
        <v>0</v>
      </c>
      <c r="C10" s="24">
        <v>1</v>
      </c>
      <c r="D10" s="24">
        <v>36</v>
      </c>
      <c r="E10" s="24">
        <v>7</v>
      </c>
      <c r="F10" s="25">
        <f t="shared" si="0"/>
        <v>44</v>
      </c>
      <c r="G10" s="28"/>
    </row>
    <row r="11" spans="1:7" s="27" customFormat="1" ht="14.25" customHeight="1" x14ac:dyDescent="0.2">
      <c r="A11" s="30" t="s">
        <v>1</v>
      </c>
      <c r="B11" s="24">
        <f>SUM(RepInCongressCongressionalDistrict17General[Part of Dutchess County
Vote Results])</f>
        <v>1418</v>
      </c>
      <c r="C11" s="24">
        <f>SUM(RepInCongressCongressionalDistrict17General[Putnam County
Vote Results])</f>
        <v>5024</v>
      </c>
      <c r="D11" s="24">
        <f>SUM(RepInCongressCongressionalDistrict17General[Rockland County 
Vote Results])</f>
        <v>17576</v>
      </c>
      <c r="E11" s="24">
        <f>SUM(RepInCongressCongressionalDistrict17General[Part of Westchester County 
Vote Results])</f>
        <v>23580</v>
      </c>
      <c r="F11" s="25">
        <f>SUM(RepInCongressCongressionalDistrict17General[Total Votes by Party])</f>
        <v>47598</v>
      </c>
      <c r="G11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F3:F10" calculatedColumn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7837-1FC4-4352-847F-842FC9BC463E}">
  <sheetPr>
    <pageSetUpPr fitToPage="1"/>
  </sheetPr>
  <dimension ref="A1:N9"/>
  <sheetViews>
    <sheetView zoomScaleNormal="100" zoomScaleSheetLayoutView="90" workbookViewId="0">
      <pane xSplit="1" topLeftCell="E1" activePane="topRight" state="frozen"/>
      <selection activeCell="L11" sqref="L11"/>
      <selection pane="topRight" activeCell="G18" sqref="G18"/>
    </sheetView>
  </sheetViews>
  <sheetFormatPr defaultRowHeight="12.75" x14ac:dyDescent="0.2"/>
  <cols>
    <col min="1" max="1" width="25.7109375" customWidth="1"/>
    <col min="2" max="13" width="21.7109375" customWidth="1"/>
    <col min="14" max="14" width="21.7109375" style="18" customWidth="1"/>
    <col min="15" max="15" width="18.7109375" customWidth="1"/>
    <col min="16" max="20" width="15.7109375" customWidth="1"/>
    <col min="21" max="22" width="23.5703125" customWidth="1"/>
  </cols>
  <sheetData>
    <row r="1" spans="1:14" ht="24.95" customHeight="1" x14ac:dyDescent="0.2">
      <c r="A1" s="17" t="s">
        <v>148</v>
      </c>
    </row>
    <row r="2" spans="1:14" ht="28.5" customHeight="1" x14ac:dyDescent="0.2">
      <c r="A2" s="33" t="s">
        <v>66</v>
      </c>
      <c r="B2" s="20" t="s">
        <v>77</v>
      </c>
      <c r="C2" s="20" t="s">
        <v>78</v>
      </c>
      <c r="D2" s="20" t="s">
        <v>79</v>
      </c>
      <c r="E2" s="20" t="s">
        <v>80</v>
      </c>
      <c r="F2" s="20" t="s">
        <v>81</v>
      </c>
      <c r="G2" s="20" t="s">
        <v>82</v>
      </c>
      <c r="H2" s="20" t="s">
        <v>83</v>
      </c>
      <c r="I2" s="20" t="s">
        <v>84</v>
      </c>
      <c r="J2" s="20" t="s">
        <v>85</v>
      </c>
      <c r="K2" s="20" t="s">
        <v>86</v>
      </c>
      <c r="L2" s="20" t="s">
        <v>87</v>
      </c>
      <c r="M2" s="34" t="s">
        <v>63</v>
      </c>
      <c r="N2" s="35" t="s">
        <v>64</v>
      </c>
    </row>
    <row r="3" spans="1:14" s="27" customFormat="1" ht="14.25" customHeight="1" x14ac:dyDescent="0.2">
      <c r="A3" s="23" t="s">
        <v>150</v>
      </c>
      <c r="B3" s="24">
        <v>2878</v>
      </c>
      <c r="C3" s="24">
        <v>1217</v>
      </c>
      <c r="D3" s="24">
        <v>720</v>
      </c>
      <c r="E3" s="36">
        <v>177</v>
      </c>
      <c r="F3" s="24">
        <v>1803</v>
      </c>
      <c r="G3" s="24">
        <v>1120</v>
      </c>
      <c r="H3" s="24">
        <v>2311</v>
      </c>
      <c r="I3" s="24">
        <v>713</v>
      </c>
      <c r="J3" s="24">
        <v>1699</v>
      </c>
      <c r="K3" s="24">
        <v>399</v>
      </c>
      <c r="L3" s="24">
        <v>761</v>
      </c>
      <c r="M3" s="25">
        <f>SUM(B3:L3)</f>
        <v>13798</v>
      </c>
      <c r="N3" s="26">
        <f>SUM(RepInCongressCongressionalDistrict19General[[#This Row],[Total Votes by Party]])</f>
        <v>13798</v>
      </c>
    </row>
    <row r="4" spans="1:14" s="27" customFormat="1" ht="14.25" customHeight="1" x14ac:dyDescent="0.2">
      <c r="A4" s="23" t="s">
        <v>149</v>
      </c>
      <c r="B4" s="24">
        <v>1108</v>
      </c>
      <c r="C4" s="24">
        <v>323</v>
      </c>
      <c r="D4" s="24">
        <v>228</v>
      </c>
      <c r="E4" s="36">
        <v>36</v>
      </c>
      <c r="F4" s="24">
        <v>253</v>
      </c>
      <c r="G4" s="24">
        <v>318</v>
      </c>
      <c r="H4" s="24">
        <v>606</v>
      </c>
      <c r="I4" s="24">
        <v>377</v>
      </c>
      <c r="J4" s="24">
        <v>311</v>
      </c>
      <c r="K4" s="24">
        <v>184</v>
      </c>
      <c r="L4" s="24">
        <v>201</v>
      </c>
      <c r="M4" s="25">
        <f>SUM(B4:L4)</f>
        <v>3945</v>
      </c>
      <c r="N4" s="54">
        <f>SUM(RepInCongressCongressionalDistrict19General[[#This Row],[Total Votes by Party]])</f>
        <v>3945</v>
      </c>
    </row>
    <row r="5" spans="1:14" s="27" customFormat="1" ht="14.25" customHeight="1" x14ac:dyDescent="0.2">
      <c r="A5" s="29" t="s">
        <v>69</v>
      </c>
      <c r="B5" s="24">
        <v>117</v>
      </c>
      <c r="C5" s="24">
        <v>68</v>
      </c>
      <c r="D5" s="24">
        <v>8</v>
      </c>
      <c r="E5" s="36">
        <v>2</v>
      </c>
      <c r="F5" s="24">
        <v>23</v>
      </c>
      <c r="G5" s="24">
        <v>3</v>
      </c>
      <c r="H5" s="24">
        <v>82</v>
      </c>
      <c r="I5" s="24">
        <v>9</v>
      </c>
      <c r="J5" s="24">
        <v>365</v>
      </c>
      <c r="K5" s="24">
        <v>2</v>
      </c>
      <c r="L5" s="24">
        <v>55</v>
      </c>
      <c r="M5" s="25">
        <f>SUM(B5:L5)</f>
        <v>734</v>
      </c>
      <c r="N5" s="28"/>
    </row>
    <row r="6" spans="1:14" s="27" customFormat="1" ht="14.25" customHeight="1" x14ac:dyDescent="0.2">
      <c r="A6" s="29" t="s">
        <v>70</v>
      </c>
      <c r="B6" s="24">
        <v>24</v>
      </c>
      <c r="C6" s="24">
        <v>8</v>
      </c>
      <c r="D6" s="24">
        <v>9</v>
      </c>
      <c r="E6" s="36">
        <v>0</v>
      </c>
      <c r="F6" s="24">
        <v>94</v>
      </c>
      <c r="G6" s="24">
        <v>11</v>
      </c>
      <c r="H6" s="24">
        <v>7</v>
      </c>
      <c r="I6" s="24">
        <v>8</v>
      </c>
      <c r="J6" s="24">
        <v>6</v>
      </c>
      <c r="K6" s="24">
        <v>4</v>
      </c>
      <c r="L6" s="24">
        <v>1</v>
      </c>
      <c r="M6" s="25">
        <f>SUM(B6:L6)</f>
        <v>172</v>
      </c>
      <c r="N6" s="28"/>
    </row>
    <row r="7" spans="1:14" s="27" customFormat="1" ht="14.25" customHeight="1" x14ac:dyDescent="0.2">
      <c r="A7" s="29" t="s">
        <v>71</v>
      </c>
      <c r="B7" s="24">
        <v>38</v>
      </c>
      <c r="C7" s="24">
        <v>6</v>
      </c>
      <c r="D7" s="24">
        <v>4</v>
      </c>
      <c r="E7" s="36">
        <v>0</v>
      </c>
      <c r="F7" s="24">
        <v>4</v>
      </c>
      <c r="G7" s="24">
        <v>1</v>
      </c>
      <c r="H7" s="24">
        <v>3</v>
      </c>
      <c r="I7" s="24">
        <v>16</v>
      </c>
      <c r="J7" s="24">
        <v>5</v>
      </c>
      <c r="K7" s="24">
        <v>8</v>
      </c>
      <c r="L7" s="24">
        <v>1</v>
      </c>
      <c r="M7" s="25">
        <f>SUM(B7:L7)</f>
        <v>86</v>
      </c>
      <c r="N7" s="28"/>
    </row>
    <row r="8" spans="1:14" s="27" customFormat="1" ht="14.25" customHeight="1" x14ac:dyDescent="0.2">
      <c r="A8" s="30" t="s">
        <v>1</v>
      </c>
      <c r="B8" s="24">
        <f>SUM(RepInCongressCongressionalDistrict19General[Broome County 
Vote Results])</f>
        <v>4165</v>
      </c>
      <c r="C8" s="24">
        <f>SUM(RepInCongressCongressionalDistrict19General[Chenango County 
Vote Results])</f>
        <v>1622</v>
      </c>
      <c r="D8" s="24">
        <f>SUM(RepInCongressCongressionalDistrict19General[Columbia County 
Vote Results])</f>
        <v>969</v>
      </c>
      <c r="E8" s="36">
        <f>SUM(RepInCongressCongressionalDistrict19General[Part of Cortland County 
Vote Results])</f>
        <v>215</v>
      </c>
      <c r="F8" s="24">
        <f>SUM(RepInCongressCongressionalDistrict19General[Delaware County 
Vote Results])</f>
        <v>2177</v>
      </c>
      <c r="G8" s="24">
        <f>SUM(RepInCongressCongressionalDistrict19General[Greene County 
Vote Results])</f>
        <v>1453</v>
      </c>
      <c r="H8" s="24">
        <f>SUM(RepInCongressCongressionalDistrict19General[Otsego County 
Vote Results])</f>
        <v>3009</v>
      </c>
      <c r="I8" s="24">
        <f>SUM(RepInCongressCongressionalDistrict19General[Part of Rensselaer County 
Vote Results])</f>
        <v>1123</v>
      </c>
      <c r="J8" s="24">
        <f>SUM(RepInCongressCongressionalDistrict19General[Sullivan County 
Vote Results])</f>
        <v>2386</v>
      </c>
      <c r="K8" s="24">
        <f>SUM(RepInCongressCongressionalDistrict19General[Tompkins County 
Vote Results])</f>
        <v>597</v>
      </c>
      <c r="L8" s="24">
        <f>SUM(RepInCongressCongressionalDistrict19General[Part of Ulster County 
Vote Results])</f>
        <v>1019</v>
      </c>
      <c r="M8" s="25">
        <f>SUM(RepInCongressCongressionalDistrict19General[Total Votes by Party])</f>
        <v>18735</v>
      </c>
      <c r="N8" s="28"/>
    </row>
    <row r="9" spans="1:14" s="27" customFormat="1" ht="14.25" customHeight="1" x14ac:dyDescent="0.2">
      <c r="N9" s="37"/>
    </row>
  </sheetData>
  <pageMargins left="0.25" right="0.25" top="0.25" bottom="0.25" header="0.25" footer="0.25"/>
  <pageSetup paperSize="5" scale="76" fitToHeight="0" orientation="landscape" r:id="rId1"/>
  <headerFooter alignWithMargins="0">
    <oddFooter>&amp;RPage &amp;P of &amp;N</oddFooter>
  </headerFooter>
  <ignoredErrors>
    <ignoredError sqref="M3:M4" calculatedColumn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B79C-05FE-48A1-A84A-045A023E2D2F}">
  <sheetPr>
    <pageSetUpPr fitToPage="1"/>
  </sheetPr>
  <dimension ref="A1:R8"/>
  <sheetViews>
    <sheetView zoomScaleNormal="100" zoomScaleSheetLayoutView="90" workbookViewId="0">
      <pane xSplit="1" ySplit="2" topLeftCell="I3" activePane="bottomRight" state="frozen"/>
      <selection activeCell="L11" sqref="L11"/>
      <selection pane="topRight" activeCell="L11" sqref="L11"/>
      <selection pane="bottomLeft" activeCell="L11" sqref="L11"/>
      <selection pane="bottomRight" activeCell="M5" sqref="M5"/>
    </sheetView>
  </sheetViews>
  <sheetFormatPr defaultRowHeight="12.75" x14ac:dyDescent="0.2"/>
  <cols>
    <col min="1" max="1" width="25.7109375" customWidth="1"/>
    <col min="2" max="17" width="22.7109375" customWidth="1"/>
    <col min="18" max="18" width="22.7109375" style="18" customWidth="1"/>
    <col min="19" max="19" width="12.7109375" customWidth="1"/>
    <col min="20" max="21" width="23.5703125" customWidth="1"/>
  </cols>
  <sheetData>
    <row r="1" spans="1:18" ht="24.95" customHeight="1" x14ac:dyDescent="0.2">
      <c r="A1" s="17" t="s">
        <v>151</v>
      </c>
    </row>
    <row r="2" spans="1:18" s="38" customFormat="1" ht="28.5" customHeight="1" x14ac:dyDescent="0.2">
      <c r="A2" s="33" t="s">
        <v>66</v>
      </c>
      <c r="B2" s="20" t="s">
        <v>154</v>
      </c>
      <c r="C2" s="20" t="s">
        <v>155</v>
      </c>
      <c r="D2" s="20" t="s">
        <v>156</v>
      </c>
      <c r="E2" s="20" t="s">
        <v>157</v>
      </c>
      <c r="F2" s="20" t="s">
        <v>158</v>
      </c>
      <c r="G2" s="20" t="s">
        <v>88</v>
      </c>
      <c r="H2" s="20" t="s">
        <v>89</v>
      </c>
      <c r="I2" s="20" t="s">
        <v>90</v>
      </c>
      <c r="J2" s="20" t="s">
        <v>91</v>
      </c>
      <c r="K2" s="20" t="s">
        <v>92</v>
      </c>
      <c r="L2" s="20" t="s">
        <v>93</v>
      </c>
      <c r="M2" s="20" t="s">
        <v>94</v>
      </c>
      <c r="N2" s="20" t="s">
        <v>95</v>
      </c>
      <c r="O2" s="20" t="s">
        <v>96</v>
      </c>
      <c r="P2" s="20" t="s">
        <v>97</v>
      </c>
      <c r="Q2" s="34" t="s">
        <v>63</v>
      </c>
      <c r="R2" s="35" t="s">
        <v>64</v>
      </c>
    </row>
    <row r="3" spans="1:18" s="27" customFormat="1" ht="14.25" customHeight="1" x14ac:dyDescent="0.2">
      <c r="A3" s="23" t="s">
        <v>152</v>
      </c>
      <c r="B3" s="24">
        <v>1454</v>
      </c>
      <c r="C3" s="24">
        <v>940</v>
      </c>
      <c r="D3" s="24">
        <v>767</v>
      </c>
      <c r="E3" s="24">
        <v>366</v>
      </c>
      <c r="F3" s="24">
        <v>62</v>
      </c>
      <c r="G3" s="24">
        <v>419</v>
      </c>
      <c r="H3" s="24">
        <v>83</v>
      </c>
      <c r="I3" s="24">
        <v>105</v>
      </c>
      <c r="J3" s="24">
        <v>165</v>
      </c>
      <c r="K3" s="24">
        <v>656</v>
      </c>
      <c r="L3" s="24">
        <v>717</v>
      </c>
      <c r="M3" s="24">
        <v>852</v>
      </c>
      <c r="N3" s="24">
        <v>376</v>
      </c>
      <c r="O3" s="24">
        <v>969</v>
      </c>
      <c r="P3" s="24">
        <v>448</v>
      </c>
      <c r="Q3" s="25">
        <f>SUM(RepInCongressCongressionalDistrict21General[[#This Row],[Clinton County 
Vote Results]:[Washington County 
Vote Results]])</f>
        <v>8379</v>
      </c>
      <c r="R3" s="54">
        <f>SUM(RepInCongressCongressionalDistrict21General[[#This Row],[Total Votes by Party]])</f>
        <v>8379</v>
      </c>
    </row>
    <row r="4" spans="1:18" s="27" customFormat="1" ht="14.25" customHeight="1" x14ac:dyDescent="0.2">
      <c r="A4" s="23" t="s">
        <v>153</v>
      </c>
      <c r="B4" s="24">
        <v>1830</v>
      </c>
      <c r="C4" s="24">
        <v>1148</v>
      </c>
      <c r="D4" s="24">
        <v>984</v>
      </c>
      <c r="E4" s="24">
        <v>828</v>
      </c>
      <c r="F4" s="24">
        <v>181</v>
      </c>
      <c r="G4" s="24">
        <v>638</v>
      </c>
      <c r="H4" s="24">
        <v>139</v>
      </c>
      <c r="I4" s="24">
        <v>393</v>
      </c>
      <c r="J4" s="24">
        <v>331</v>
      </c>
      <c r="K4" s="24">
        <v>1169</v>
      </c>
      <c r="L4" s="24">
        <v>1137</v>
      </c>
      <c r="M4" s="24">
        <v>2581</v>
      </c>
      <c r="N4" s="24">
        <v>728</v>
      </c>
      <c r="O4" s="24">
        <v>1938</v>
      </c>
      <c r="P4" s="24">
        <v>1420</v>
      </c>
      <c r="Q4" s="25">
        <f>SUM(RepInCongressCongressionalDistrict21General[[#This Row],[Clinton County 
Vote Results]:[Washington County 
Vote Results]])</f>
        <v>15445</v>
      </c>
      <c r="R4" s="26">
        <f>SUM(RepInCongressCongressionalDistrict21General[[#This Row],[Total Votes by Party]])</f>
        <v>15445</v>
      </c>
    </row>
    <row r="5" spans="1:18" s="27" customFormat="1" ht="14.25" customHeight="1" x14ac:dyDescent="0.2">
      <c r="A5" s="29" t="s">
        <v>69</v>
      </c>
      <c r="B5" s="24">
        <v>81</v>
      </c>
      <c r="C5" s="24">
        <v>40</v>
      </c>
      <c r="D5" s="24">
        <v>66</v>
      </c>
      <c r="E5" s="24">
        <v>40</v>
      </c>
      <c r="F5" s="24">
        <v>5</v>
      </c>
      <c r="G5" s="24">
        <v>39</v>
      </c>
      <c r="H5" s="24">
        <v>12</v>
      </c>
      <c r="I5" s="24">
        <v>34</v>
      </c>
      <c r="J5" s="24">
        <v>45</v>
      </c>
      <c r="K5" s="24">
        <v>146</v>
      </c>
      <c r="L5" s="24">
        <v>70</v>
      </c>
      <c r="M5" s="24">
        <v>90</v>
      </c>
      <c r="N5" s="24">
        <v>44</v>
      </c>
      <c r="O5" s="24">
        <v>131</v>
      </c>
      <c r="P5" s="24">
        <v>36</v>
      </c>
      <c r="Q5" s="25">
        <f>SUM(RepInCongressCongressionalDistrict21General[[#This Row],[Clinton County 
Vote Results]:[Washington County 
Vote Results]])</f>
        <v>879</v>
      </c>
      <c r="R5" s="28"/>
    </row>
    <row r="6" spans="1:18" s="27" customFormat="1" ht="14.25" customHeight="1" x14ac:dyDescent="0.2">
      <c r="A6" s="29" t="s">
        <v>70</v>
      </c>
      <c r="B6" s="24">
        <v>7</v>
      </c>
      <c r="C6" s="24">
        <v>1</v>
      </c>
      <c r="D6" s="24">
        <v>1</v>
      </c>
      <c r="E6" s="24">
        <v>2</v>
      </c>
      <c r="F6" s="24">
        <v>1</v>
      </c>
      <c r="G6" s="24">
        <v>1</v>
      </c>
      <c r="H6" s="24">
        <v>0</v>
      </c>
      <c r="I6" s="24">
        <v>2</v>
      </c>
      <c r="J6" s="24">
        <v>7</v>
      </c>
      <c r="K6" s="24">
        <v>5</v>
      </c>
      <c r="L6" s="24">
        <v>7</v>
      </c>
      <c r="M6" s="24">
        <v>0</v>
      </c>
      <c r="N6" s="24">
        <v>1</v>
      </c>
      <c r="O6" s="24">
        <v>6</v>
      </c>
      <c r="P6" s="24">
        <v>4</v>
      </c>
      <c r="Q6" s="25">
        <f>SUM(RepInCongressCongressionalDistrict21General[[#This Row],[Clinton County 
Vote Results]:[Washington County 
Vote Results]])</f>
        <v>45</v>
      </c>
      <c r="R6" s="28"/>
    </row>
    <row r="7" spans="1:18" s="27" customFormat="1" ht="14.25" customHeight="1" x14ac:dyDescent="0.2">
      <c r="A7" s="29" t="s">
        <v>71</v>
      </c>
      <c r="B7" s="24">
        <v>17</v>
      </c>
      <c r="C7" s="24">
        <v>5</v>
      </c>
      <c r="D7" s="24">
        <v>8</v>
      </c>
      <c r="E7" s="24">
        <v>9</v>
      </c>
      <c r="F7" s="24">
        <v>0</v>
      </c>
      <c r="G7" s="24">
        <v>4</v>
      </c>
      <c r="H7" s="24">
        <v>1</v>
      </c>
      <c r="I7" s="24">
        <v>1</v>
      </c>
      <c r="J7" s="24">
        <v>7</v>
      </c>
      <c r="K7" s="24">
        <v>1</v>
      </c>
      <c r="L7" s="24">
        <v>10</v>
      </c>
      <c r="M7" s="24">
        <v>17</v>
      </c>
      <c r="N7" s="24">
        <v>8</v>
      </c>
      <c r="O7" s="24">
        <v>14</v>
      </c>
      <c r="P7" s="24">
        <v>9</v>
      </c>
      <c r="Q7" s="25">
        <f>SUM(RepInCongressCongressionalDistrict21General[[#This Row],[Clinton County 
Vote Results]:[Washington County 
Vote Results]])</f>
        <v>111</v>
      </c>
      <c r="R7" s="28"/>
    </row>
    <row r="8" spans="1:18" s="27" customFormat="1" ht="14.25" customHeight="1" x14ac:dyDescent="0.2">
      <c r="A8" s="30" t="s">
        <v>1</v>
      </c>
      <c r="B8" s="24">
        <f>SUM(RepInCongressCongressionalDistrict21General[Clinton County 
Vote Results])</f>
        <v>3389</v>
      </c>
      <c r="C8" s="24">
        <f>SUM(RepInCongressCongressionalDistrict21General[Essex County 
Vote Results])</f>
        <v>2134</v>
      </c>
      <c r="D8" s="24">
        <f>SUM(RepInCongressCongressionalDistrict21General[Franklin County
 Vote Results])</f>
        <v>1826</v>
      </c>
      <c r="E8" s="24">
        <f>SUBTOTAL(109,E3:E7)</f>
        <v>1245</v>
      </c>
      <c r="F8" s="24">
        <f>SUM(RepInCongressCongressionalDistrict21General[Hamilton County
 Vote Results])</f>
        <v>249</v>
      </c>
      <c r="G8" s="24">
        <f>SUM(RepInCongressCongressionalDistrict21General[Herkimer County  
Vote Results])</f>
        <v>1101</v>
      </c>
      <c r="H8" s="24">
        <f>SUM(RepInCongressCongressionalDistrict21General[Part of Jefferson County 
Vote Results])</f>
        <v>235</v>
      </c>
      <c r="I8" s="24">
        <f>SUM(RepInCongressCongressionalDistrict21General[Lewis County 
Vote Results])</f>
        <v>535</v>
      </c>
      <c r="J8" s="24">
        <f>SUM(RepInCongressCongressionalDistrict21General[Part of Montgomery County 
Vote Results])</f>
        <v>555</v>
      </c>
      <c r="K8" s="24">
        <f>SUM(RepInCongressCongressionalDistrict21General[Part of Oneida County 
Vote Results])</f>
        <v>1977</v>
      </c>
      <c r="L8" s="24">
        <f>SUM(RepInCongressCongressionalDistrict21General[Part of Saratoga County 
Vote Results])</f>
        <v>1941</v>
      </c>
      <c r="M8" s="24">
        <f>SUM(RepInCongressCongressionalDistrict21General[St. Lawrence County 
Vote Results])</f>
        <v>3540</v>
      </c>
      <c r="N8" s="24">
        <f>SUM(RepInCongressCongressionalDistrict21General[Schoharie County 
Vote Results])</f>
        <v>1157</v>
      </c>
      <c r="O8" s="24">
        <f>SUM(RepInCongressCongressionalDistrict21General[Warren County 
Vote Results])</f>
        <v>3058</v>
      </c>
      <c r="P8" s="24">
        <f>SUM(RepInCongressCongressionalDistrict21General[Washington County 
Vote Results])</f>
        <v>1917</v>
      </c>
      <c r="Q8" s="25">
        <f>SUM(RepInCongressCongressionalDistrict21General[Total Votes by Party])</f>
        <v>24859</v>
      </c>
      <c r="R8" s="28"/>
    </row>
  </sheetData>
  <pageMargins left="0.25" right="0.25" top="0.25" bottom="0.25" header="0.25" footer="0.25"/>
  <pageSetup paperSize="5" scale="8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E8D9-4A77-4257-B869-4745B828DAAC}">
  <sheetPr>
    <pageSetUpPr fitToPage="1"/>
  </sheetPr>
  <dimension ref="A1:R8"/>
  <sheetViews>
    <sheetView zoomScaleNormal="100" zoomScaleSheetLayoutView="90" workbookViewId="0">
      <pane xSplit="1" topLeftCell="I1" activePane="topRight" state="frozen"/>
      <selection activeCell="L11" sqref="L11"/>
      <selection pane="topRight" activeCell="R3" sqref="R3"/>
    </sheetView>
  </sheetViews>
  <sheetFormatPr defaultRowHeight="12.75" x14ac:dyDescent="0.2"/>
  <cols>
    <col min="1" max="1" width="25.7109375" customWidth="1"/>
    <col min="2" max="17" width="22.7109375" customWidth="1"/>
    <col min="18" max="18" width="22.7109375" style="18" customWidth="1"/>
    <col min="19" max="19" width="12.7109375" customWidth="1"/>
    <col min="20" max="21" width="23.5703125" customWidth="1"/>
  </cols>
  <sheetData>
    <row r="1" spans="1:18" ht="24.95" customHeight="1" x14ac:dyDescent="0.2">
      <c r="A1" s="17" t="s">
        <v>159</v>
      </c>
    </row>
    <row r="2" spans="1:18" s="38" customFormat="1" ht="28.5" customHeight="1" x14ac:dyDescent="0.2">
      <c r="A2" s="33" t="s">
        <v>66</v>
      </c>
      <c r="B2" s="20" t="s">
        <v>160</v>
      </c>
      <c r="C2" s="20" t="s">
        <v>161</v>
      </c>
      <c r="D2" s="20" t="s">
        <v>156</v>
      </c>
      <c r="E2" s="20" t="s">
        <v>157</v>
      </c>
      <c r="F2" s="20" t="s">
        <v>158</v>
      </c>
      <c r="G2" s="20" t="s">
        <v>88</v>
      </c>
      <c r="H2" s="20" t="s">
        <v>89</v>
      </c>
      <c r="I2" s="20" t="s">
        <v>90</v>
      </c>
      <c r="J2" s="20" t="s">
        <v>91</v>
      </c>
      <c r="K2" s="20" t="s">
        <v>92</v>
      </c>
      <c r="L2" s="20" t="s">
        <v>93</v>
      </c>
      <c r="M2" s="20" t="s">
        <v>94</v>
      </c>
      <c r="N2" s="20" t="s">
        <v>95</v>
      </c>
      <c r="O2" s="20" t="s">
        <v>96</v>
      </c>
      <c r="P2" s="20" t="s">
        <v>97</v>
      </c>
      <c r="Q2" s="34" t="s">
        <v>63</v>
      </c>
      <c r="R2" s="35" t="s">
        <v>64</v>
      </c>
    </row>
    <row r="3" spans="1:18" s="27" customFormat="1" ht="14.25" customHeight="1" x14ac:dyDescent="0.2">
      <c r="A3" s="23" t="s">
        <v>162</v>
      </c>
      <c r="B3" s="24">
        <v>1249</v>
      </c>
      <c r="C3" s="24">
        <v>977</v>
      </c>
      <c r="D3" s="24">
        <v>612</v>
      </c>
      <c r="E3" s="24">
        <v>2683</v>
      </c>
      <c r="F3" s="24">
        <v>540</v>
      </c>
      <c r="G3" s="24">
        <v>2096</v>
      </c>
      <c r="H3" s="24">
        <v>233</v>
      </c>
      <c r="I3" s="24">
        <v>618</v>
      </c>
      <c r="J3" s="24">
        <v>647</v>
      </c>
      <c r="K3" s="24">
        <v>1972</v>
      </c>
      <c r="L3" s="24">
        <v>1202</v>
      </c>
      <c r="M3" s="24">
        <v>1993</v>
      </c>
      <c r="N3" s="24">
        <v>616</v>
      </c>
      <c r="O3" s="24">
        <v>1754</v>
      </c>
      <c r="P3" s="24">
        <v>1026</v>
      </c>
      <c r="Q3" s="25">
        <f>SUM(RepInCongressCongressionalDistrict21General9[[#This Row],[Clinton County
 Vote Results]:[Washington County 
Vote Results]])</f>
        <v>18218</v>
      </c>
      <c r="R3" s="54">
        <f>SUM(RepInCongressCongressionalDistrict21General9[[#This Row],[Total Votes by Party]])</f>
        <v>18218</v>
      </c>
    </row>
    <row r="4" spans="1:18" s="27" customFormat="1" ht="14.25" customHeight="1" x14ac:dyDescent="0.2">
      <c r="A4" s="23" t="s">
        <v>163</v>
      </c>
      <c r="B4" s="24">
        <v>1805</v>
      </c>
      <c r="C4" s="24">
        <v>1523</v>
      </c>
      <c r="D4" s="24">
        <v>1139</v>
      </c>
      <c r="E4" s="24">
        <v>2710</v>
      </c>
      <c r="F4" s="24">
        <v>341</v>
      </c>
      <c r="G4" s="24">
        <v>1972</v>
      </c>
      <c r="H4" s="24">
        <v>363</v>
      </c>
      <c r="I4" s="24">
        <v>1332</v>
      </c>
      <c r="J4" s="24">
        <v>1099</v>
      </c>
      <c r="K4" s="24">
        <v>3015</v>
      </c>
      <c r="L4" s="24">
        <v>2342</v>
      </c>
      <c r="M4" s="24">
        <v>2619</v>
      </c>
      <c r="N4" s="24">
        <v>1479</v>
      </c>
      <c r="O4" s="24">
        <v>2738</v>
      </c>
      <c r="P4" s="24">
        <v>2301</v>
      </c>
      <c r="Q4" s="25">
        <f>SUM(RepInCongressCongressionalDistrict21General9[[#This Row],[Clinton County
 Vote Results]:[Washington County 
Vote Results]])</f>
        <v>26778</v>
      </c>
      <c r="R4" s="26">
        <f>SUM(RepInCongressCongressionalDistrict21General9[[#This Row],[Total Votes by Party]])</f>
        <v>26778</v>
      </c>
    </row>
    <row r="5" spans="1:18" s="27" customFormat="1" ht="14.25" customHeight="1" x14ac:dyDescent="0.2">
      <c r="A5" s="29" t="s">
        <v>69</v>
      </c>
      <c r="B5" s="24">
        <v>3</v>
      </c>
      <c r="C5" s="24">
        <v>46</v>
      </c>
      <c r="D5" s="24">
        <v>8</v>
      </c>
      <c r="E5" s="24">
        <v>78</v>
      </c>
      <c r="F5" s="24">
        <v>20</v>
      </c>
      <c r="G5" s="24">
        <v>72</v>
      </c>
      <c r="H5" s="24">
        <v>1</v>
      </c>
      <c r="I5" s="24">
        <v>13</v>
      </c>
      <c r="J5" s="24">
        <v>26</v>
      </c>
      <c r="K5" s="24">
        <v>85</v>
      </c>
      <c r="L5" s="24">
        <v>22</v>
      </c>
      <c r="M5" s="24">
        <v>40</v>
      </c>
      <c r="N5" s="24">
        <v>49</v>
      </c>
      <c r="O5" s="24">
        <v>6</v>
      </c>
      <c r="P5" s="24">
        <v>23</v>
      </c>
      <c r="Q5" s="25">
        <f>SUM(RepInCongressCongressionalDistrict21General9[[#This Row],[Clinton County
 Vote Results]:[Washington County 
Vote Results]])</f>
        <v>492</v>
      </c>
      <c r="R5" s="28"/>
    </row>
    <row r="6" spans="1:18" s="27" customFormat="1" ht="14.25" customHeight="1" x14ac:dyDescent="0.2">
      <c r="A6" s="29" t="s">
        <v>70</v>
      </c>
      <c r="B6" s="24">
        <v>6</v>
      </c>
      <c r="C6" s="24">
        <v>4</v>
      </c>
      <c r="D6" s="24">
        <v>3</v>
      </c>
      <c r="E6" s="24">
        <v>4</v>
      </c>
      <c r="F6" s="24">
        <v>3</v>
      </c>
      <c r="G6" s="24">
        <v>4</v>
      </c>
      <c r="H6" s="24">
        <v>2</v>
      </c>
      <c r="I6" s="24">
        <v>2</v>
      </c>
      <c r="J6" s="24">
        <v>2</v>
      </c>
      <c r="K6" s="24">
        <v>4</v>
      </c>
      <c r="L6" s="24">
        <v>3</v>
      </c>
      <c r="M6" s="24">
        <v>0</v>
      </c>
      <c r="N6" s="24">
        <v>1</v>
      </c>
      <c r="O6" s="24">
        <v>7</v>
      </c>
      <c r="P6" s="24">
        <v>11</v>
      </c>
      <c r="Q6" s="25">
        <f>SUM(RepInCongressCongressionalDistrict21General9[[#This Row],[Clinton County
 Vote Results]:[Washington County 
Vote Results]])</f>
        <v>56</v>
      </c>
      <c r="R6" s="28"/>
    </row>
    <row r="7" spans="1:18" s="27" customFormat="1" ht="14.25" customHeight="1" x14ac:dyDescent="0.2">
      <c r="A7" s="29" t="s">
        <v>71</v>
      </c>
      <c r="B7" s="24">
        <v>11</v>
      </c>
      <c r="C7" s="24">
        <v>20</v>
      </c>
      <c r="D7" s="24">
        <v>9</v>
      </c>
      <c r="E7" s="24">
        <v>23</v>
      </c>
      <c r="F7" s="24">
        <v>0</v>
      </c>
      <c r="G7" s="24">
        <v>7</v>
      </c>
      <c r="H7" s="24">
        <v>4</v>
      </c>
      <c r="I7" s="24">
        <v>8</v>
      </c>
      <c r="J7" s="24">
        <v>10</v>
      </c>
      <c r="K7" s="24">
        <v>17</v>
      </c>
      <c r="L7" s="24">
        <v>27</v>
      </c>
      <c r="M7" s="24">
        <v>31</v>
      </c>
      <c r="N7" s="24">
        <v>6</v>
      </c>
      <c r="O7" s="24">
        <v>30</v>
      </c>
      <c r="P7" s="24">
        <v>15</v>
      </c>
      <c r="Q7" s="25">
        <f>SUM(RepInCongressCongressionalDistrict21General9[[#This Row],[Clinton County
 Vote Results]:[Washington County 
Vote Results]])</f>
        <v>218</v>
      </c>
      <c r="R7" s="28"/>
    </row>
    <row r="8" spans="1:18" s="27" customFormat="1" ht="14.25" customHeight="1" x14ac:dyDescent="0.2">
      <c r="A8" s="30" t="s">
        <v>1</v>
      </c>
      <c r="B8" s="24">
        <f>SUM(RepInCongressCongressionalDistrict21General9[Clinton County
 Vote Results])</f>
        <v>3074</v>
      </c>
      <c r="C8" s="24">
        <f>SUM(RepInCongressCongressionalDistrict21General9[Essex County
 Vote Results])</f>
        <v>2570</v>
      </c>
      <c r="D8" s="24">
        <f>SUM(RepInCongressCongressionalDistrict21General9[Franklin County
 Vote Results])</f>
        <v>1771</v>
      </c>
      <c r="E8" s="24">
        <f>SUBTOTAL(109,E3:E7)</f>
        <v>5498</v>
      </c>
      <c r="F8" s="24">
        <f>SUM(RepInCongressCongressionalDistrict21General9[Hamilton County
 Vote Results])</f>
        <v>904</v>
      </c>
      <c r="G8" s="24">
        <f>SUM(RepInCongressCongressionalDistrict21General9[Herkimer County  
Vote Results])</f>
        <v>4151</v>
      </c>
      <c r="H8" s="24">
        <f>SUM(RepInCongressCongressionalDistrict21General9[Part of Jefferson County 
Vote Results])</f>
        <v>603</v>
      </c>
      <c r="I8" s="24">
        <f>SUM(RepInCongressCongressionalDistrict21General9[Lewis County 
Vote Results])</f>
        <v>1973</v>
      </c>
      <c r="J8" s="24">
        <f>SUM(RepInCongressCongressionalDistrict21General9[Part of Montgomery County 
Vote Results])</f>
        <v>1784</v>
      </c>
      <c r="K8" s="24">
        <f>SUM(RepInCongressCongressionalDistrict21General9[Part of Oneida County 
Vote Results])</f>
        <v>5093</v>
      </c>
      <c r="L8" s="24">
        <f>SUM(RepInCongressCongressionalDistrict21General9[Part of Saratoga County 
Vote Results])</f>
        <v>3596</v>
      </c>
      <c r="M8" s="24">
        <f>SUM(RepInCongressCongressionalDistrict21General9[St. Lawrence County 
Vote Results])</f>
        <v>4683</v>
      </c>
      <c r="N8" s="24">
        <f>SUM(RepInCongressCongressionalDistrict21General9[Schoharie County 
Vote Results])</f>
        <v>2151</v>
      </c>
      <c r="O8" s="24">
        <f>SUM(RepInCongressCongressionalDistrict21General9[Warren County 
Vote Results])</f>
        <v>4535</v>
      </c>
      <c r="P8" s="24">
        <f>SUM(RepInCongressCongressionalDistrict21General9[Washington County 
Vote Results])</f>
        <v>3376</v>
      </c>
      <c r="Q8" s="25">
        <f>SUM(RepInCongressCongressionalDistrict21General9[Total Votes by Party])</f>
        <v>45762</v>
      </c>
      <c r="R8" s="28"/>
    </row>
  </sheetData>
  <pageMargins left="0.25" right="0.25" top="0.25" bottom="0.25" header="0.25" footer="0.25"/>
  <pageSetup paperSize="5" scale="8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26BF-B7E6-47C8-AB29-2DDE1124D8E7}">
  <sheetPr>
    <pageSetUpPr fitToPage="1"/>
  </sheetPr>
  <dimension ref="A1:L8"/>
  <sheetViews>
    <sheetView zoomScaleNormal="100" zoomScaleSheetLayoutView="90" workbookViewId="0">
      <pane xSplit="1" topLeftCell="B1" activePane="topRight" state="frozen"/>
      <selection activeCell="L11" sqref="L11"/>
      <selection pane="topRight" activeCell="I4" sqref="I4"/>
    </sheetView>
  </sheetViews>
  <sheetFormatPr defaultRowHeight="12.75" x14ac:dyDescent="0.2"/>
  <cols>
    <col min="1" max="1" width="25.5703125" customWidth="1"/>
    <col min="2" max="11" width="20.7109375" customWidth="1"/>
    <col min="12" max="12" width="20.7109375" style="18" customWidth="1"/>
    <col min="13" max="13" width="13.7109375" customWidth="1"/>
    <col min="14" max="15" width="23.5703125" customWidth="1"/>
  </cols>
  <sheetData>
    <row r="1" spans="1:12" ht="24.95" customHeight="1" x14ac:dyDescent="0.2">
      <c r="A1" s="17" t="s">
        <v>164</v>
      </c>
    </row>
    <row r="2" spans="1:12" s="38" customFormat="1" ht="28.5" customHeight="1" x14ac:dyDescent="0.2">
      <c r="A2" s="33" t="s">
        <v>66</v>
      </c>
      <c r="B2" s="20" t="s">
        <v>98</v>
      </c>
      <c r="C2" s="20" t="s">
        <v>99</v>
      </c>
      <c r="D2" s="20" t="s">
        <v>100</v>
      </c>
      <c r="E2" s="20" t="s">
        <v>101</v>
      </c>
      <c r="F2" s="20" t="s">
        <v>102</v>
      </c>
      <c r="G2" s="20" t="s">
        <v>103</v>
      </c>
      <c r="H2" s="20" t="s">
        <v>104</v>
      </c>
      <c r="I2" s="20" t="s">
        <v>105</v>
      </c>
      <c r="J2" s="20" t="s">
        <v>106</v>
      </c>
      <c r="K2" s="34" t="s">
        <v>63</v>
      </c>
      <c r="L2" s="35" t="s">
        <v>64</v>
      </c>
    </row>
    <row r="3" spans="1:12" s="27" customFormat="1" x14ac:dyDescent="0.2">
      <c r="A3" s="23" t="s">
        <v>165</v>
      </c>
      <c r="B3" s="24">
        <v>997</v>
      </c>
      <c r="C3" s="24">
        <v>1223</v>
      </c>
      <c r="D3" s="24">
        <v>2241</v>
      </c>
      <c r="E3" s="24">
        <v>1639</v>
      </c>
      <c r="F3" s="24">
        <v>4851</v>
      </c>
      <c r="G3" s="24">
        <v>217</v>
      </c>
      <c r="H3" s="24">
        <v>155</v>
      </c>
      <c r="I3" s="24">
        <v>1574</v>
      </c>
      <c r="J3" s="24">
        <v>1175</v>
      </c>
      <c r="K3" s="25">
        <f>SUM(B3,C3,D3,E3,F3,G3,H3,I3,J3)</f>
        <v>14072</v>
      </c>
      <c r="L3" s="26">
        <f>SUM(RepInCongressCongressionalDistrict23General[[#This Row],[Total Votes by Party]])</f>
        <v>14072</v>
      </c>
    </row>
    <row r="4" spans="1:12" s="27" customFormat="1" x14ac:dyDescent="0.2">
      <c r="A4" s="23" t="s">
        <v>166</v>
      </c>
      <c r="B4" s="24">
        <v>132</v>
      </c>
      <c r="C4" s="24">
        <v>287</v>
      </c>
      <c r="D4" s="24">
        <v>504</v>
      </c>
      <c r="E4" s="24">
        <v>503</v>
      </c>
      <c r="F4" s="24">
        <v>3375</v>
      </c>
      <c r="G4" s="24">
        <v>172</v>
      </c>
      <c r="H4" s="24">
        <v>56</v>
      </c>
      <c r="I4" s="24">
        <v>331</v>
      </c>
      <c r="J4" s="24">
        <v>203</v>
      </c>
      <c r="K4" s="25">
        <f t="shared" ref="K4:K7" si="0">SUM(B4,C4,D4,E4,F4,G4,H4,I4,J4)</f>
        <v>5563</v>
      </c>
      <c r="L4" s="54">
        <f>SUM(RepInCongressCongressionalDistrict23General[[#This Row],[Total Votes by Party]])</f>
        <v>5563</v>
      </c>
    </row>
    <row r="5" spans="1:12" s="27" customFormat="1" x14ac:dyDescent="0.2">
      <c r="A5" s="29" t="s">
        <v>69</v>
      </c>
      <c r="B5" s="24">
        <v>23</v>
      </c>
      <c r="C5" s="24">
        <v>54</v>
      </c>
      <c r="D5" s="24">
        <v>2</v>
      </c>
      <c r="E5" s="24">
        <v>121</v>
      </c>
      <c r="F5" s="24">
        <v>469</v>
      </c>
      <c r="G5" s="24">
        <v>30</v>
      </c>
      <c r="H5" s="24">
        <v>9</v>
      </c>
      <c r="I5" s="24">
        <v>33</v>
      </c>
      <c r="J5" s="24">
        <v>38</v>
      </c>
      <c r="K5" s="25">
        <f t="shared" si="0"/>
        <v>779</v>
      </c>
      <c r="L5" s="28"/>
    </row>
    <row r="6" spans="1:12" s="27" customFormat="1" x14ac:dyDescent="0.2">
      <c r="A6" s="29" t="s">
        <v>70</v>
      </c>
      <c r="B6" s="24">
        <v>0</v>
      </c>
      <c r="C6" s="24">
        <v>6</v>
      </c>
      <c r="D6" s="24">
        <v>4</v>
      </c>
      <c r="E6" s="24">
        <v>1</v>
      </c>
      <c r="F6" s="24">
        <v>22</v>
      </c>
      <c r="G6" s="24">
        <v>0</v>
      </c>
      <c r="H6" s="24">
        <v>2</v>
      </c>
      <c r="I6" s="24">
        <v>4</v>
      </c>
      <c r="J6" s="24">
        <v>7</v>
      </c>
      <c r="K6" s="25">
        <f t="shared" si="0"/>
        <v>46</v>
      </c>
      <c r="L6" s="28"/>
    </row>
    <row r="7" spans="1:12" s="27" customFormat="1" x14ac:dyDescent="0.2">
      <c r="A7" s="29" t="s">
        <v>71</v>
      </c>
      <c r="B7" s="24">
        <v>0</v>
      </c>
      <c r="C7" s="24">
        <v>0</v>
      </c>
      <c r="D7" s="24">
        <v>222</v>
      </c>
      <c r="E7" s="24">
        <v>8</v>
      </c>
      <c r="F7" s="24">
        <v>35</v>
      </c>
      <c r="G7" s="24">
        <v>2</v>
      </c>
      <c r="H7" s="24">
        <v>0</v>
      </c>
      <c r="I7" s="24">
        <v>2</v>
      </c>
      <c r="J7" s="24">
        <v>1</v>
      </c>
      <c r="K7" s="25">
        <f t="shared" si="0"/>
        <v>270</v>
      </c>
      <c r="L7" s="28"/>
    </row>
    <row r="8" spans="1:12" s="27" customFormat="1" x14ac:dyDescent="0.2">
      <c r="A8" s="30" t="s">
        <v>1</v>
      </c>
      <c r="B8" s="24">
        <f>SUM(RepInCongressCongressionalDistrict23General[Allegany County 
Vote Results])</f>
        <v>1152</v>
      </c>
      <c r="C8" s="24">
        <f>SUM(RepInCongressCongressionalDistrict23General[Cattaraugus County 
Vote Results])</f>
        <v>1570</v>
      </c>
      <c r="D8" s="24">
        <f>SUM(RepInCongressCongressionalDistrict23General[Chautauqua County 
Vote Results])</f>
        <v>2973</v>
      </c>
      <c r="E8" s="24">
        <f>SUM(RepInCongressCongressionalDistrict23General[Chemung County 
Vote Results])</f>
        <v>2272</v>
      </c>
      <c r="F8" s="24">
        <f>SUM(RepInCongressCongressionalDistrict23General[Part of Erie County 
Vote Results])</f>
        <v>8752</v>
      </c>
      <c r="G8" s="24">
        <f>SUM(RepInCongressCongressionalDistrict23General[Part of Niagara County 
Vote Results])</f>
        <v>421</v>
      </c>
      <c r="H8" s="24">
        <f>SUM(RepInCongressCongressionalDistrict23General[Part of Schuyler County 
Vote Results])</f>
        <v>222</v>
      </c>
      <c r="I8" s="24">
        <f>SUM(RepInCongressCongressionalDistrict23General[Part of Steuben County 
Vote Results])</f>
        <v>1944</v>
      </c>
      <c r="J8" s="24">
        <f>SUM(RepInCongressCongressionalDistrict23General[Tioga County 
Vote Results])</f>
        <v>1424</v>
      </c>
      <c r="K8" s="25">
        <f>SUM(RepInCongressCongressionalDistrict23General[Total Votes by Party])</f>
        <v>20730</v>
      </c>
      <c r="L8" s="28"/>
    </row>
  </sheetData>
  <pageMargins left="0.25" right="0.25" top="0.25" bottom="0.25" header="0.25" footer="0.25"/>
  <pageSetup paperSize="5" scale="8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AD00-DC55-4ED3-AF25-1DDE6E43AEA6}">
  <sheetPr>
    <pageSetUpPr fitToPage="1"/>
  </sheetPr>
  <dimension ref="A1:D8"/>
  <sheetViews>
    <sheetView zoomScaleNormal="100" zoomScaleSheetLayoutView="120"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860</v>
      </c>
    </row>
    <row r="2" spans="1:4" ht="28.5" customHeight="1" x14ac:dyDescent="0.2">
      <c r="A2" s="19" t="s">
        <v>66</v>
      </c>
      <c r="B2" s="20" t="s">
        <v>68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446</v>
      </c>
      <c r="B3" s="24">
        <v>7349</v>
      </c>
      <c r="C3" s="25">
        <f>RepInCongressCongressionalDistrict1General[[#This Row],[Part of Suffolk County 
Vote Results]]</f>
        <v>7349</v>
      </c>
      <c r="D3" s="54">
        <f>SUM(RepInCongressCongressionalDistrict1General[[#This Row],[Total Votes by Party]])</f>
        <v>7349</v>
      </c>
    </row>
    <row r="4" spans="1:4" s="27" customFormat="1" ht="14.25" customHeight="1" x14ac:dyDescent="0.2">
      <c r="A4" s="23" t="s">
        <v>447</v>
      </c>
      <c r="B4" s="24">
        <v>12492</v>
      </c>
      <c r="C4" s="25">
        <f>RepInCongressCongressionalDistrict1General[[#This Row],[Part of Suffolk County 
Vote Results]]</f>
        <v>12492</v>
      </c>
      <c r="D4" s="26">
        <f>SUM(RepInCongressCongressionalDistrict1General[[#This Row],[Total Votes by Party]])</f>
        <v>12492</v>
      </c>
    </row>
    <row r="5" spans="1:4" s="27" customFormat="1" ht="14.25" customHeight="1" x14ac:dyDescent="0.2">
      <c r="A5" s="29" t="s">
        <v>69</v>
      </c>
      <c r="B5" s="24">
        <v>1044</v>
      </c>
      <c r="C5" s="25">
        <f>RepInCongressCongressionalDistrict1General[[#This Row],[Part of Suffolk County 
Vote Results]]</f>
        <v>1044</v>
      </c>
      <c r="D5" s="28"/>
    </row>
    <row r="6" spans="1:4" s="27" customFormat="1" ht="14.25" customHeight="1" x14ac:dyDescent="0.2">
      <c r="A6" s="29" t="s">
        <v>70</v>
      </c>
      <c r="B6" s="24">
        <v>11</v>
      </c>
      <c r="C6" s="25">
        <f>RepInCongressCongressionalDistrict1General[[#This Row],[Part of Suffolk County 
Vote Results]]</f>
        <v>11</v>
      </c>
      <c r="D6" s="28"/>
    </row>
    <row r="7" spans="1:4" s="27" customFormat="1" ht="14.25" customHeight="1" x14ac:dyDescent="0.2">
      <c r="A7" s="29" t="s">
        <v>71</v>
      </c>
      <c r="B7" s="24">
        <v>29</v>
      </c>
      <c r="C7" s="49">
        <f>RepInCongressCongressionalDistrict1General[[#This Row],[Part of Suffolk County 
Vote Results]]</f>
        <v>29</v>
      </c>
      <c r="D7" s="50"/>
    </row>
    <row r="8" spans="1:4" s="27" customFormat="1" ht="14.25" customHeight="1" x14ac:dyDescent="0.2">
      <c r="A8" s="30" t="s">
        <v>1</v>
      </c>
      <c r="B8" s="24">
        <f>SUM(RepInCongressCongressionalDistrict1General[Part of Suffolk County 
Vote Results])</f>
        <v>20925</v>
      </c>
      <c r="C8" s="49">
        <f>SUM(RepInCongressCongressionalDistrict1General[Total Votes by Party])</f>
        <v>20925</v>
      </c>
      <c r="D8" s="51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rowBreaks count="8" manualBreakCount="8">
    <brk id="34" max="4" man="1"/>
    <brk id="77" max="4" man="1"/>
    <brk id="120" max="4" man="1"/>
    <brk id="162" max="16383" man="1"/>
    <brk id="186" max="16383" man="1"/>
    <brk id="220" max="16383" man="1"/>
    <brk id="258" max="16383" man="1"/>
    <brk id="300" max="16383" man="1"/>
  </rowBreak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889E-C01E-4DDC-A621-C2BAB8DE10ED}">
  <sheetPr>
    <pageSetUpPr fitToPage="1"/>
  </sheetPr>
  <dimension ref="A1:Q8"/>
  <sheetViews>
    <sheetView workbookViewId="0">
      <pane xSplit="1" ySplit="2" topLeftCell="H3" activePane="bottomRight" state="frozen"/>
      <selection activeCell="L11" sqref="L11"/>
      <selection pane="topRight" activeCell="L11" sqref="L11"/>
      <selection pane="bottomLeft" activeCell="L11" sqref="L11"/>
      <selection pane="bottomRight" activeCell="I34" sqref="I34"/>
    </sheetView>
  </sheetViews>
  <sheetFormatPr defaultRowHeight="12.75" x14ac:dyDescent="0.2"/>
  <cols>
    <col min="1" max="1" width="25.5703125" customWidth="1"/>
    <col min="2" max="16" width="20.7109375" customWidth="1"/>
    <col min="17" max="17" width="20.7109375" style="18" customWidth="1"/>
    <col min="18" max="18" width="20.5703125" customWidth="1"/>
    <col min="19" max="20" width="23.5703125" customWidth="1"/>
  </cols>
  <sheetData>
    <row r="1" spans="1:17" ht="24.75" customHeight="1" x14ac:dyDescent="0.2">
      <c r="A1" s="17" t="s">
        <v>167</v>
      </c>
    </row>
    <row r="2" spans="1:17" ht="28.5" customHeight="1" x14ac:dyDescent="0.2">
      <c r="A2" s="19" t="s">
        <v>66</v>
      </c>
      <c r="B2" s="20" t="s">
        <v>107</v>
      </c>
      <c r="C2" s="20" t="s">
        <v>108</v>
      </c>
      <c r="D2" s="20" t="s">
        <v>89</v>
      </c>
      <c r="E2" s="20" t="s">
        <v>109</v>
      </c>
      <c r="F2" s="20" t="s">
        <v>103</v>
      </c>
      <c r="G2" s="20" t="s">
        <v>110</v>
      </c>
      <c r="H2" s="20" t="s">
        <v>111</v>
      </c>
      <c r="I2" s="20" t="s">
        <v>112</v>
      </c>
      <c r="J2" s="20" t="s">
        <v>104</v>
      </c>
      <c r="K2" s="20" t="s">
        <v>113</v>
      </c>
      <c r="L2" s="20" t="s">
        <v>105</v>
      </c>
      <c r="M2" s="20" t="s">
        <v>114</v>
      </c>
      <c r="N2" s="20" t="s">
        <v>115</v>
      </c>
      <c r="O2" s="20" t="s">
        <v>116</v>
      </c>
      <c r="P2" s="21" t="s">
        <v>63</v>
      </c>
      <c r="Q2" s="22" t="s">
        <v>64</v>
      </c>
    </row>
    <row r="3" spans="1:17" s="27" customFormat="1" x14ac:dyDescent="0.2">
      <c r="A3" s="23" t="s">
        <v>168</v>
      </c>
      <c r="B3" s="24">
        <v>182</v>
      </c>
      <c r="C3" s="24">
        <v>337</v>
      </c>
      <c r="D3" s="24">
        <v>822</v>
      </c>
      <c r="E3" s="24">
        <v>922</v>
      </c>
      <c r="F3" s="24">
        <v>1245</v>
      </c>
      <c r="G3" s="24">
        <v>2187</v>
      </c>
      <c r="H3" s="24">
        <v>219</v>
      </c>
      <c r="I3" s="24">
        <v>1426</v>
      </c>
      <c r="J3" s="24">
        <v>202</v>
      </c>
      <c r="K3" s="24">
        <v>621</v>
      </c>
      <c r="L3" s="24">
        <v>130</v>
      </c>
      <c r="M3" s="24">
        <v>1292</v>
      </c>
      <c r="N3" s="24">
        <v>257</v>
      </c>
      <c r="O3" s="24">
        <v>355</v>
      </c>
      <c r="P3" s="25">
        <f>SUM(B3:O3)</f>
        <v>10197</v>
      </c>
      <c r="Q3" s="26">
        <f>SUM(RepInCongressCongressionalDistrict24General[[#This Row],[Total Votes by Party]])</f>
        <v>10197</v>
      </c>
    </row>
    <row r="4" spans="1:17" s="27" customFormat="1" x14ac:dyDescent="0.2">
      <c r="A4" s="23" t="s">
        <v>169</v>
      </c>
      <c r="B4" s="24">
        <v>123</v>
      </c>
      <c r="C4" s="24">
        <v>557</v>
      </c>
      <c r="D4" s="24">
        <v>499</v>
      </c>
      <c r="E4" s="24">
        <v>619</v>
      </c>
      <c r="F4" s="24">
        <v>523</v>
      </c>
      <c r="G4" s="24">
        <v>1586</v>
      </c>
      <c r="H4" s="24">
        <v>214</v>
      </c>
      <c r="I4" s="24">
        <v>559</v>
      </c>
      <c r="J4" s="24">
        <v>121</v>
      </c>
      <c r="K4" s="24">
        <v>247</v>
      </c>
      <c r="L4" s="24">
        <v>65</v>
      </c>
      <c r="M4" s="24">
        <v>716</v>
      </c>
      <c r="N4" s="24">
        <v>192</v>
      </c>
      <c r="O4" s="24">
        <v>286</v>
      </c>
      <c r="P4" s="25">
        <f t="shared" ref="P4:P7" si="0">SUM(B4:O4)</f>
        <v>6307</v>
      </c>
      <c r="Q4" s="54">
        <f>SUM(RepInCongressCongressionalDistrict24General[[#This Row],[Total Votes by Party]])</f>
        <v>6307</v>
      </c>
    </row>
    <row r="5" spans="1:17" s="27" customFormat="1" x14ac:dyDescent="0.2">
      <c r="A5" s="29" t="s">
        <v>69</v>
      </c>
      <c r="B5" s="24">
        <v>16</v>
      </c>
      <c r="C5" s="24">
        <v>23</v>
      </c>
      <c r="D5" s="24">
        <v>100</v>
      </c>
      <c r="E5" s="24">
        <v>49</v>
      </c>
      <c r="F5" s="24">
        <v>101</v>
      </c>
      <c r="G5" s="24">
        <v>112</v>
      </c>
      <c r="H5" s="24">
        <v>15</v>
      </c>
      <c r="I5" s="24">
        <v>169</v>
      </c>
      <c r="J5" s="24">
        <v>14</v>
      </c>
      <c r="K5" s="24">
        <v>19</v>
      </c>
      <c r="L5" s="24">
        <v>6</v>
      </c>
      <c r="M5" s="24">
        <v>102</v>
      </c>
      <c r="N5" s="24">
        <v>31</v>
      </c>
      <c r="O5" s="24">
        <v>11</v>
      </c>
      <c r="P5" s="25">
        <f t="shared" si="0"/>
        <v>768</v>
      </c>
      <c r="Q5" s="28"/>
    </row>
    <row r="6" spans="1:17" s="27" customFormat="1" x14ac:dyDescent="0.2">
      <c r="A6" s="29" t="s">
        <v>70</v>
      </c>
      <c r="B6" s="24">
        <v>1</v>
      </c>
      <c r="C6" s="24">
        <v>5</v>
      </c>
      <c r="D6" s="24">
        <v>2</v>
      </c>
      <c r="E6" s="24">
        <v>2</v>
      </c>
      <c r="F6" s="24">
        <v>7</v>
      </c>
      <c r="G6" s="24">
        <v>7</v>
      </c>
      <c r="H6" s="24">
        <v>1</v>
      </c>
      <c r="I6" s="24">
        <v>3</v>
      </c>
      <c r="J6" s="24">
        <v>1</v>
      </c>
      <c r="K6" s="24">
        <v>2</v>
      </c>
      <c r="L6" s="24">
        <v>0</v>
      </c>
      <c r="M6" s="24">
        <v>4</v>
      </c>
      <c r="N6" s="24">
        <v>0</v>
      </c>
      <c r="O6" s="24">
        <v>0</v>
      </c>
      <c r="P6" s="25">
        <f t="shared" si="0"/>
        <v>35</v>
      </c>
      <c r="Q6" s="28"/>
    </row>
    <row r="7" spans="1:17" s="27" customFormat="1" x14ac:dyDescent="0.2">
      <c r="A7" s="29" t="s">
        <v>71</v>
      </c>
      <c r="B7" s="24">
        <v>0</v>
      </c>
      <c r="C7" s="24">
        <v>1</v>
      </c>
      <c r="D7" s="24">
        <v>2</v>
      </c>
      <c r="E7" s="24">
        <v>7</v>
      </c>
      <c r="F7" s="24">
        <v>5</v>
      </c>
      <c r="G7" s="24">
        <v>6</v>
      </c>
      <c r="H7" s="24">
        <v>0</v>
      </c>
      <c r="I7" s="24">
        <v>4</v>
      </c>
      <c r="J7" s="24">
        <v>2</v>
      </c>
      <c r="K7" s="24">
        <v>0</v>
      </c>
      <c r="L7" s="24">
        <v>1</v>
      </c>
      <c r="M7" s="24">
        <v>2</v>
      </c>
      <c r="N7" s="24">
        <v>1</v>
      </c>
      <c r="O7" s="24">
        <v>0</v>
      </c>
      <c r="P7" s="25">
        <f t="shared" si="0"/>
        <v>31</v>
      </c>
      <c r="Q7" s="28"/>
    </row>
    <row r="8" spans="1:17" s="27" customFormat="1" x14ac:dyDescent="0.2">
      <c r="A8" s="30" t="s">
        <v>1</v>
      </c>
      <c r="B8" s="24">
        <f>SUM(RepInCongressCongressionalDistrict24General[Part of Cayuga County 
Vote Results])</f>
        <v>322</v>
      </c>
      <c r="C8" s="24">
        <f>SUM(RepInCongressCongressionalDistrict24General[Genesee County 
Vote Results])</f>
        <v>923</v>
      </c>
      <c r="D8" s="24">
        <f>SUM(RepInCongressCongressionalDistrict24General[Part of Jefferson County 
Vote Results])</f>
        <v>1425</v>
      </c>
      <c r="E8" s="24">
        <f>SUM(RepInCongressCongressionalDistrict24General[Livingston County 
Vote Results])</f>
        <v>1599</v>
      </c>
      <c r="F8" s="24">
        <f>SUM(RepInCongressCongressionalDistrict24General[Part of Niagara County 
Vote Results])</f>
        <v>1881</v>
      </c>
      <c r="G8" s="24">
        <f>SUM(RepInCongressCongressionalDistrict24General[Part of Ontario County 
Vote Results])</f>
        <v>3898</v>
      </c>
      <c r="H8" s="24">
        <f>SUM(RepInCongressCongressionalDistrict24General[Orleans County 
Vote Results])</f>
        <v>449</v>
      </c>
      <c r="I8" s="24">
        <f>SUM(RepInCongressCongressionalDistrict24General[Oswego County 
Vote Results])</f>
        <v>2161</v>
      </c>
      <c r="J8" s="24">
        <f>SUM(RepInCongressCongressionalDistrict24General[Part of Schuyler County 
Vote Results])</f>
        <v>340</v>
      </c>
      <c r="K8" s="24">
        <f>SUM(RepInCongressCongressionalDistrict24General[Seneca County 
Vote Results])</f>
        <v>889</v>
      </c>
      <c r="L8" s="24">
        <f>SUM(RepInCongressCongressionalDistrict24General[Part of Steuben County 
Vote Results])</f>
        <v>202</v>
      </c>
      <c r="M8" s="24">
        <f>SUM(RepInCongressCongressionalDistrict24General[Wayne County 
Vote Results])</f>
        <v>2116</v>
      </c>
      <c r="N8" s="24">
        <f>SUM(RepInCongressCongressionalDistrict24General[Wyoming County 
Vote Results])</f>
        <v>481</v>
      </c>
      <c r="O8" s="24">
        <f>SUM(RepInCongressCongressionalDistrict24General[Yates County 
Vote Results])</f>
        <v>652</v>
      </c>
      <c r="P8" s="25">
        <f>SUM(RepInCongressCongressionalDistrict24General[Total Votes by Party])</f>
        <v>17338</v>
      </c>
      <c r="Q8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A2AC-DD20-4C93-A6F6-26D89A7F4731}">
  <sheetPr>
    <pageSetUpPr fitToPage="1"/>
  </sheetPr>
  <dimension ref="A1:E9"/>
  <sheetViews>
    <sheetView workbookViewId="0">
      <selection activeCell="B7" sqref="B7:C7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843</v>
      </c>
    </row>
    <row r="2" spans="1:5" ht="28.5" customHeight="1" x14ac:dyDescent="0.2">
      <c r="A2" s="19" t="s">
        <v>66</v>
      </c>
      <c r="B2" s="20" t="s">
        <v>117</v>
      </c>
      <c r="C2" s="20" t="s">
        <v>118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448</v>
      </c>
      <c r="B3" s="24">
        <v>11693</v>
      </c>
      <c r="C3" s="24">
        <v>173</v>
      </c>
      <c r="D3" s="25">
        <f t="shared" ref="D3:D8" si="0">SUM(B3,C3)</f>
        <v>11866</v>
      </c>
      <c r="E3" s="54">
        <f>SUM(RepInCongressCongressionalDistrict25General[[#This Row],[Total Votes by Party]])</f>
        <v>11866</v>
      </c>
    </row>
    <row r="4" spans="1:5" s="27" customFormat="1" ht="14.25" customHeight="1" x14ac:dyDescent="0.2">
      <c r="A4" s="23" t="s">
        <v>170</v>
      </c>
      <c r="B4" s="24">
        <v>24053</v>
      </c>
      <c r="C4" s="24">
        <v>514</v>
      </c>
      <c r="D4" s="25">
        <f t="shared" si="0"/>
        <v>24567</v>
      </c>
      <c r="E4" s="26">
        <f>SUM(RepInCongressCongressionalDistrict25General[[#This Row],[Total Votes by Party]])</f>
        <v>24567</v>
      </c>
    </row>
    <row r="5" spans="1:5" s="27" customFormat="1" ht="14.25" customHeight="1" x14ac:dyDescent="0.2">
      <c r="A5" s="23" t="s">
        <v>171</v>
      </c>
      <c r="B5" s="24">
        <v>2290</v>
      </c>
      <c r="C5" s="24">
        <v>42</v>
      </c>
      <c r="D5" s="25">
        <f t="shared" si="0"/>
        <v>2332</v>
      </c>
      <c r="E5" s="54">
        <f>SUM(RepInCongressCongressionalDistrict25General[[#This Row],[Total Votes by Party]])</f>
        <v>2332</v>
      </c>
    </row>
    <row r="6" spans="1:5" s="27" customFormat="1" ht="14.25" customHeight="1" x14ac:dyDescent="0.2">
      <c r="A6" s="29" t="s">
        <v>69</v>
      </c>
      <c r="B6" s="24">
        <v>597</v>
      </c>
      <c r="C6" s="24">
        <v>1</v>
      </c>
      <c r="D6" s="25">
        <f t="shared" si="0"/>
        <v>598</v>
      </c>
      <c r="E6" s="28"/>
    </row>
    <row r="7" spans="1:5" s="27" customFormat="1" ht="14.25" customHeight="1" x14ac:dyDescent="0.2">
      <c r="A7" s="29" t="s">
        <v>70</v>
      </c>
      <c r="B7" s="24">
        <v>92</v>
      </c>
      <c r="C7" s="24">
        <v>0</v>
      </c>
      <c r="D7" s="25">
        <f t="shared" si="0"/>
        <v>92</v>
      </c>
      <c r="E7" s="28"/>
    </row>
    <row r="8" spans="1:5" s="27" customFormat="1" ht="14.25" customHeight="1" x14ac:dyDescent="0.2">
      <c r="A8" s="29" t="s">
        <v>71</v>
      </c>
      <c r="B8" s="24">
        <v>59</v>
      </c>
      <c r="C8" s="24">
        <v>0</v>
      </c>
      <c r="D8" s="25">
        <f t="shared" si="0"/>
        <v>59</v>
      </c>
      <c r="E8" s="28"/>
    </row>
    <row r="9" spans="1:5" s="27" customFormat="1" ht="14.25" customHeight="1" x14ac:dyDescent="0.2">
      <c r="A9" s="30" t="s">
        <v>1</v>
      </c>
      <c r="B9" s="24">
        <f>SUM(RepInCongressCongressionalDistrict25General[Monroe County Vote Results])</f>
        <v>38784</v>
      </c>
      <c r="C9" s="24">
        <f>SUM(RepInCongressCongressionalDistrict25General[Part of Ontario County Vote Results])</f>
        <v>730</v>
      </c>
      <c r="D9" s="25">
        <f>SUM(RepInCongressCongressionalDistrict25General[Total Votes by Party])</f>
        <v>39514</v>
      </c>
      <c r="E9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C17C-C62F-45E3-931E-8A75835D7D9D}">
  <sheetPr>
    <pageSetUpPr fitToPage="1"/>
  </sheetPr>
  <dimension ref="A1:E22"/>
  <sheetViews>
    <sheetView workbookViewId="0">
      <selection activeCell="E3" sqref="E3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260</v>
      </c>
    </row>
    <row r="2" spans="1:5" ht="28.5" customHeight="1" x14ac:dyDescent="0.2">
      <c r="A2" s="19" t="s">
        <v>66</v>
      </c>
      <c r="B2" s="20" t="s">
        <v>215</v>
      </c>
      <c r="C2" s="20" t="s">
        <v>72</v>
      </c>
      <c r="D2" s="21" t="s">
        <v>63</v>
      </c>
      <c r="E2" s="22" t="s">
        <v>64</v>
      </c>
    </row>
    <row r="3" spans="1:5" ht="14.25" customHeight="1" x14ac:dyDescent="0.2">
      <c r="A3" s="42" t="s">
        <v>261</v>
      </c>
      <c r="B3" s="31">
        <v>0</v>
      </c>
      <c r="C3" s="31">
        <v>8486</v>
      </c>
      <c r="D3" s="25">
        <f t="shared" ref="D3:D7" si="0">SUM(B3:C3)</f>
        <v>8486</v>
      </c>
      <c r="E3" s="54">
        <f>SUM(StateSenatorSenateDistrict12General[[#This Row],[Total Votes by Party]])</f>
        <v>8486</v>
      </c>
    </row>
    <row r="4" spans="1:5" ht="14.25" customHeight="1" x14ac:dyDescent="0.2">
      <c r="A4" s="42" t="s">
        <v>262</v>
      </c>
      <c r="B4" s="31">
        <v>1</v>
      </c>
      <c r="C4" s="31">
        <v>13022</v>
      </c>
      <c r="D4" s="25">
        <f t="shared" si="0"/>
        <v>13023</v>
      </c>
      <c r="E4" s="26">
        <f>SUM(StateSenatorSenateDistrict12General[[#This Row],[Total Votes by Party]])</f>
        <v>13023</v>
      </c>
    </row>
    <row r="5" spans="1:5" ht="14.25" customHeight="1" x14ac:dyDescent="0.2">
      <c r="A5" s="43" t="s">
        <v>69</v>
      </c>
      <c r="B5" s="24">
        <v>0</v>
      </c>
      <c r="C5" s="24">
        <v>678</v>
      </c>
      <c r="D5" s="25">
        <f t="shared" si="0"/>
        <v>678</v>
      </c>
      <c r="E5" s="28"/>
    </row>
    <row r="6" spans="1:5" ht="14.25" customHeight="1" x14ac:dyDescent="0.2">
      <c r="A6" s="43" t="s">
        <v>70</v>
      </c>
      <c r="B6" s="24"/>
      <c r="C6" s="24"/>
      <c r="D6" s="25">
        <f t="shared" si="0"/>
        <v>0</v>
      </c>
      <c r="E6" s="28"/>
    </row>
    <row r="7" spans="1:5" ht="14.25" customHeight="1" x14ac:dyDescent="0.2">
      <c r="A7" s="43" t="s">
        <v>71</v>
      </c>
      <c r="B7" s="24">
        <v>0</v>
      </c>
      <c r="C7" s="24">
        <v>82</v>
      </c>
      <c r="D7" s="25">
        <f t="shared" si="0"/>
        <v>82</v>
      </c>
      <c r="E7" s="28"/>
    </row>
    <row r="8" spans="1:5" ht="14.25" customHeight="1" x14ac:dyDescent="0.2">
      <c r="A8" s="44" t="s">
        <v>1</v>
      </c>
      <c r="B8" s="24">
        <f>SUM(StateSenatorSenateDistrict12General[Part of Kings County 
Vote Results])</f>
        <v>1</v>
      </c>
      <c r="C8" s="24">
        <f>SUM(StateSenatorSenateDistrict12General[Part of Queens County 
Vote Results])</f>
        <v>22268</v>
      </c>
      <c r="D8" s="25">
        <f>SUM(StateSenatorSenateDistrict12General[Total Votes by Party])</f>
        <v>22269</v>
      </c>
      <c r="E8" s="28"/>
    </row>
    <row r="9" spans="1:5" ht="14.25" customHeight="1" x14ac:dyDescent="0.2"/>
    <row r="10" spans="1:5" ht="14.25" customHeight="1" x14ac:dyDescent="0.2"/>
    <row r="11" spans="1:5" ht="14.25" customHeight="1" x14ac:dyDescent="0.2"/>
    <row r="12" spans="1:5" ht="14.25" customHeight="1" x14ac:dyDescent="0.2"/>
    <row r="13" spans="1:5" ht="14.25" customHeight="1" x14ac:dyDescent="0.2"/>
    <row r="14" spans="1:5" ht="14.25" customHeight="1" x14ac:dyDescent="0.2"/>
    <row r="15" spans="1:5" ht="14.25" customHeight="1" x14ac:dyDescent="0.2"/>
    <row r="16" spans="1:5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E3:E4" calculatedColumn="1"/>
  </ignoredError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C46B-4806-4C66-A7B7-867CB0979494}">
  <sheetPr>
    <pageSetUpPr fitToPage="1"/>
  </sheetPr>
  <dimension ref="A1:D20"/>
  <sheetViews>
    <sheetView workbookViewId="0">
      <selection activeCell="F9" sqref="F9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263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ht="14.25" customHeight="1" x14ac:dyDescent="0.2">
      <c r="A3" s="42" t="s">
        <v>264</v>
      </c>
      <c r="B3" s="31">
        <v>5133</v>
      </c>
      <c r="C3" s="25">
        <f>StateSenatorSenateDistrict13General[[#This Row],[Part of Queens County 
Vote Results]]</f>
        <v>5133</v>
      </c>
      <c r="D3" s="54">
        <f>SUM(StateSenatorSenateDistrict13General[[#This Row],[Total Votes by Party]])</f>
        <v>5133</v>
      </c>
    </row>
    <row r="4" spans="1:4" ht="14.25" customHeight="1" x14ac:dyDescent="0.2">
      <c r="A4" s="42" t="s">
        <v>265</v>
      </c>
      <c r="B4" s="31">
        <v>2000</v>
      </c>
      <c r="C4" s="25">
        <f>StateSenatorSenateDistrict13General[[#This Row],[Part of Queens County 
Vote Results]]</f>
        <v>2000</v>
      </c>
      <c r="D4" s="54">
        <f>SUM(StateSenatorSenateDistrict13General[[#This Row],[Total Votes by Party]])</f>
        <v>2000</v>
      </c>
    </row>
    <row r="5" spans="1:4" ht="14.25" customHeight="1" x14ac:dyDescent="0.2">
      <c r="A5" s="42" t="s">
        <v>266</v>
      </c>
      <c r="B5" s="31">
        <v>6636</v>
      </c>
      <c r="C5" s="25">
        <f>StateSenatorSenateDistrict13General[[#This Row],[Part of Queens County 
Vote Results]]</f>
        <v>6636</v>
      </c>
      <c r="D5" s="26">
        <f>SUM(StateSenatorSenateDistrict13General[[#This Row],[Total Votes by Party]])</f>
        <v>6636</v>
      </c>
    </row>
    <row r="6" spans="1:4" ht="14.25" customHeight="1" x14ac:dyDescent="0.2">
      <c r="A6" s="43" t="s">
        <v>69</v>
      </c>
      <c r="B6" s="24">
        <v>324</v>
      </c>
      <c r="C6" s="25">
        <f>StateSenatorSenateDistrict13General[[#This Row],[Part of Queens County 
Vote Results]]</f>
        <v>324</v>
      </c>
      <c r="D6" s="28"/>
    </row>
    <row r="7" spans="1:4" ht="14.25" customHeight="1" x14ac:dyDescent="0.2">
      <c r="A7" s="43" t="s">
        <v>70</v>
      </c>
      <c r="B7" s="24"/>
      <c r="C7" s="25">
        <f>StateSenatorSenateDistrict13General[[#This Row],[Part of Queens County 
Vote Results]]</f>
        <v>0</v>
      </c>
      <c r="D7" s="28"/>
    </row>
    <row r="8" spans="1:4" ht="14.25" customHeight="1" x14ac:dyDescent="0.2">
      <c r="A8" s="43" t="s">
        <v>71</v>
      </c>
      <c r="B8" s="24">
        <v>60</v>
      </c>
      <c r="C8" s="25">
        <f>StateSenatorSenateDistrict13General[[#This Row],[Part of Queens County 
Vote Results]]</f>
        <v>60</v>
      </c>
      <c r="D8" s="28"/>
    </row>
    <row r="9" spans="1:4" ht="14.25" customHeight="1" x14ac:dyDescent="0.2">
      <c r="A9" s="44" t="s">
        <v>1</v>
      </c>
      <c r="B9" s="24">
        <f>SUM(StateSenatorSenateDistrict13General[Part of Queens County 
Vote Results])</f>
        <v>14153</v>
      </c>
      <c r="C9" s="25">
        <f>SUM(StateSenatorSenateDistrict13General[Total Votes by Party])</f>
        <v>14153</v>
      </c>
      <c r="D9" s="28"/>
    </row>
    <row r="10" spans="1:4" ht="14.25" customHeight="1" x14ac:dyDescent="0.2"/>
    <row r="11" spans="1:4" ht="14.25" customHeight="1" x14ac:dyDescent="0.2"/>
    <row r="12" spans="1:4" ht="14.25" customHeight="1" x14ac:dyDescent="0.2"/>
    <row r="13" spans="1:4" ht="14.25" customHeight="1" x14ac:dyDescent="0.2"/>
    <row r="14" spans="1:4" ht="14.25" customHeight="1" x14ac:dyDescent="0.2"/>
    <row r="15" spans="1:4" ht="14.25" customHeight="1" x14ac:dyDescent="0.2"/>
    <row r="16" spans="1: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DDF8-45E4-4259-9749-357FA2B5ACEE}">
  <sheetPr>
    <pageSetUpPr fitToPage="1"/>
  </sheetPr>
  <dimension ref="A1:E20"/>
  <sheetViews>
    <sheetView workbookViewId="0">
      <selection activeCell="E3" sqref="E3"/>
    </sheetView>
  </sheetViews>
  <sheetFormatPr defaultRowHeight="12.75" x14ac:dyDescent="0.2"/>
  <cols>
    <col min="1" max="1" width="27.1406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267</v>
      </c>
    </row>
    <row r="2" spans="1:5" ht="28.5" customHeight="1" x14ac:dyDescent="0.2">
      <c r="A2" s="19" t="s">
        <v>66</v>
      </c>
      <c r="B2" s="20" t="s">
        <v>215</v>
      </c>
      <c r="C2" s="20" t="s">
        <v>72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268</v>
      </c>
      <c r="B3" s="31">
        <v>1</v>
      </c>
      <c r="C3" s="31">
        <v>2751</v>
      </c>
      <c r="D3" s="25">
        <f t="shared" ref="D3:D7" si="0">SUM(B3:C3)</f>
        <v>2752</v>
      </c>
      <c r="E3" s="54">
        <f>SUM(StateSenatorSenateDistrict15General[[#This Row],[Total Votes by Party]])</f>
        <v>2752</v>
      </c>
    </row>
    <row r="4" spans="1:5" s="27" customFormat="1" ht="14.25" customHeight="1" x14ac:dyDescent="0.2">
      <c r="A4" s="23" t="s">
        <v>868</v>
      </c>
      <c r="B4" s="31">
        <v>2</v>
      </c>
      <c r="C4" s="31">
        <v>7820</v>
      </c>
      <c r="D4" s="25">
        <f t="shared" si="0"/>
        <v>7822</v>
      </c>
      <c r="E4" s="26">
        <f>SUM(StateSenatorSenateDistrict15General[[#This Row],[Total Votes by Party]])</f>
        <v>7822</v>
      </c>
    </row>
    <row r="5" spans="1:5" s="27" customFormat="1" ht="14.25" customHeight="1" x14ac:dyDescent="0.2">
      <c r="A5" s="29" t="s">
        <v>69</v>
      </c>
      <c r="B5" s="24">
        <v>0</v>
      </c>
      <c r="C5" s="24">
        <v>578</v>
      </c>
      <c r="D5" s="25">
        <f t="shared" si="0"/>
        <v>578</v>
      </c>
      <c r="E5" s="28"/>
    </row>
    <row r="6" spans="1:5" s="27" customFormat="1" ht="14.25" customHeight="1" x14ac:dyDescent="0.2">
      <c r="A6" s="29" t="s">
        <v>70</v>
      </c>
      <c r="B6" s="24"/>
      <c r="C6" s="24"/>
      <c r="D6" s="25">
        <f t="shared" si="0"/>
        <v>0</v>
      </c>
      <c r="E6" s="28"/>
    </row>
    <row r="7" spans="1:5" s="27" customFormat="1" ht="14.25" customHeight="1" x14ac:dyDescent="0.2">
      <c r="A7" s="29" t="s">
        <v>71</v>
      </c>
      <c r="B7" s="24">
        <v>0</v>
      </c>
      <c r="C7" s="24">
        <v>60</v>
      </c>
      <c r="D7" s="25">
        <f t="shared" si="0"/>
        <v>60</v>
      </c>
      <c r="E7" s="28"/>
    </row>
    <row r="8" spans="1:5" s="27" customFormat="1" ht="14.25" customHeight="1" x14ac:dyDescent="0.2">
      <c r="A8" s="30" t="s">
        <v>1</v>
      </c>
      <c r="B8" s="24">
        <f>SUM(StateSenatorSenateDistrict15General[Part of Kings County 
Vote Results])</f>
        <v>3</v>
      </c>
      <c r="C8" s="24">
        <f>SUM(StateSenatorSenateDistrict15General[Part of Queens County 
Vote Results])</f>
        <v>11209</v>
      </c>
      <c r="D8" s="25">
        <f>SUM(StateSenatorSenateDistrict15General[Total Votes by Party])</f>
        <v>11212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9462-5DFE-4265-B4A0-7C2C9DB58A41}">
  <sheetPr>
    <pageSetUpPr fitToPage="1"/>
  </sheetPr>
  <dimension ref="A1:D12"/>
  <sheetViews>
    <sheetView tabSelected="1" workbookViewId="0">
      <selection activeCell="B31" sqref="B31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269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270</v>
      </c>
      <c r="B3" s="31">
        <v>517</v>
      </c>
      <c r="C3" s="25">
        <f>StateSenatorSenateDistrict22General[[#This Row],[Part of Kings County 
Vote Results]]</f>
        <v>517</v>
      </c>
      <c r="D3" s="54">
        <f>SUM(StateSenatorSenateDistrict22General[[#This Row],[Total Votes by Party]])</f>
        <v>517</v>
      </c>
    </row>
    <row r="4" spans="1:4" s="27" customFormat="1" ht="14.25" customHeight="1" x14ac:dyDescent="0.2">
      <c r="A4" s="23" t="s">
        <v>869</v>
      </c>
      <c r="B4" s="31">
        <v>535</v>
      </c>
      <c r="C4" s="25">
        <f>StateSenatorSenateDistrict22General[[#This Row],[Part of Kings County 
Vote Results]]</f>
        <v>535</v>
      </c>
      <c r="D4" s="26">
        <f>SUM(StateSenatorSenateDistrict22General[[#This Row],[Total Votes by Party]])</f>
        <v>535</v>
      </c>
    </row>
    <row r="5" spans="1:4" s="27" customFormat="1" ht="14.25" customHeight="1" x14ac:dyDescent="0.2">
      <c r="A5" s="29" t="s">
        <v>69</v>
      </c>
      <c r="B5" s="31">
        <v>52</v>
      </c>
      <c r="C5" s="25">
        <f>StateSenatorSenateDistrict22General[[#This Row],[Part of Kings County 
Vote Results]]</f>
        <v>52</v>
      </c>
      <c r="D5" s="28"/>
    </row>
    <row r="6" spans="1:4" s="27" customFormat="1" ht="14.25" customHeight="1" x14ac:dyDescent="0.2">
      <c r="A6" s="29" t="s">
        <v>70</v>
      </c>
      <c r="B6" s="31">
        <v>2</v>
      </c>
      <c r="C6" s="25">
        <f>StateSenatorSenateDistrict22General[[#This Row],[Part of Kings County 
Vote Results]]</f>
        <v>2</v>
      </c>
      <c r="D6" s="28"/>
    </row>
    <row r="7" spans="1:4" s="27" customFormat="1" ht="14.25" customHeight="1" x14ac:dyDescent="0.2">
      <c r="A7" s="29" t="s">
        <v>71</v>
      </c>
      <c r="B7" s="31">
        <v>151</v>
      </c>
      <c r="C7" s="25">
        <f>StateSenatorSenateDistrict22General[[#This Row],[Part of Kings County 
Vote Results]]</f>
        <v>151</v>
      </c>
      <c r="D7" s="28"/>
    </row>
    <row r="8" spans="1:4" s="27" customFormat="1" ht="14.25" customHeight="1" x14ac:dyDescent="0.2">
      <c r="A8" s="30" t="s">
        <v>1</v>
      </c>
      <c r="B8" s="24">
        <f>SUM(StateSenatorSenateDistrict22General[Part of Kings County 
Vote Results])</f>
        <v>1257</v>
      </c>
      <c r="C8" s="25">
        <f>SUM(StateSenatorSenateDistrict22General[Total Votes by Party])</f>
        <v>1257</v>
      </c>
      <c r="D8" s="28"/>
    </row>
    <row r="9" spans="1:4" s="27" customFormat="1" ht="12.7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B9A3-60FE-4B86-B761-0DD4C4F252AB}">
  <sheetPr>
    <pageSetUpPr fitToPage="1"/>
  </sheetPr>
  <dimension ref="A1:E20"/>
  <sheetViews>
    <sheetView workbookViewId="0">
      <selection activeCell="E3" sqref="E3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271</v>
      </c>
    </row>
    <row r="2" spans="1:5" ht="28.5" customHeight="1" x14ac:dyDescent="0.2">
      <c r="A2" s="19" t="s">
        <v>66</v>
      </c>
      <c r="B2" s="20" t="s">
        <v>215</v>
      </c>
      <c r="C2" s="20" t="s">
        <v>259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850</v>
      </c>
      <c r="B3" s="45">
        <v>840</v>
      </c>
      <c r="C3" s="24">
        <v>1684</v>
      </c>
      <c r="D3" s="25">
        <f>SUM(StateSenatorSenateDistrict23General[[#This Row],[Part of Kings County 
Vote Results]:[Part of Richmond County 
Vote Results]])</f>
        <v>2524</v>
      </c>
      <c r="E3" s="54">
        <f>SUM(StateSenatorSenateDistrict23General[[#This Row],[Total Votes by Party]])</f>
        <v>2524</v>
      </c>
    </row>
    <row r="4" spans="1:5" s="27" customFormat="1" ht="14.25" customHeight="1" x14ac:dyDescent="0.2">
      <c r="A4" s="23" t="s">
        <v>272</v>
      </c>
      <c r="B4" s="46">
        <v>2586</v>
      </c>
      <c r="C4" s="24">
        <v>4207</v>
      </c>
      <c r="D4" s="25">
        <f>SUM(StateSenatorSenateDistrict23General[[#This Row],[Part of Kings County 
Vote Results]:[Part of Richmond County 
Vote Results]])</f>
        <v>6793</v>
      </c>
      <c r="E4" s="26">
        <f>SUM(StateSenatorSenateDistrict23General[[#This Row],[Total Votes by Party]])</f>
        <v>6793</v>
      </c>
    </row>
    <row r="5" spans="1:5" s="27" customFormat="1" ht="14.25" customHeight="1" x14ac:dyDescent="0.2">
      <c r="A5" s="29" t="s">
        <v>69</v>
      </c>
      <c r="B5" s="46">
        <v>62</v>
      </c>
      <c r="C5" s="24">
        <v>51</v>
      </c>
      <c r="D5" s="25">
        <f>SUM(StateSenatorSenateDistrict23General[[#This Row],[Part of Kings County 
Vote Results]:[Part of Richmond County 
Vote Results]])</f>
        <v>113</v>
      </c>
      <c r="E5" s="28"/>
    </row>
    <row r="6" spans="1:5" s="27" customFormat="1" ht="14.25" customHeight="1" x14ac:dyDescent="0.2">
      <c r="A6" s="29" t="s">
        <v>70</v>
      </c>
      <c r="B6" s="46"/>
      <c r="C6" s="24"/>
      <c r="D6" s="25">
        <f>SUM(StateSenatorSenateDistrict23General[[#This Row],[Part of Kings County 
Vote Results]:[Part of Richmond County 
Vote Results]])</f>
        <v>0</v>
      </c>
      <c r="E6" s="28"/>
    </row>
    <row r="7" spans="1:5" s="27" customFormat="1" ht="14.25" customHeight="1" x14ac:dyDescent="0.2">
      <c r="A7" s="29" t="s">
        <v>71</v>
      </c>
      <c r="B7" s="47">
        <v>17</v>
      </c>
      <c r="C7" s="24">
        <v>17</v>
      </c>
      <c r="D7" s="25">
        <f>SUM(StateSenatorSenateDistrict23General[[#This Row],[Part of Kings County 
Vote Results]:[Part of Richmond County 
Vote Results]])</f>
        <v>34</v>
      </c>
      <c r="E7" s="28"/>
    </row>
    <row r="8" spans="1:5" s="27" customFormat="1" ht="14.25" customHeight="1" x14ac:dyDescent="0.2">
      <c r="A8" s="30" t="s">
        <v>1</v>
      </c>
      <c r="B8" s="24">
        <f>SUM(StateSenatorSenateDistrict23General[Part of Kings County 
Vote Results])</f>
        <v>3505</v>
      </c>
      <c r="C8" s="24">
        <f>SUM(StateSenatorSenateDistrict23General[Part of Richmond County 
Vote Results])</f>
        <v>5959</v>
      </c>
      <c r="D8" s="25">
        <f>SUM(StateSenatorSenateDistrict23General[Total Votes by Party])</f>
        <v>9464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B98A-5BC5-4596-AB88-B994073080CA}">
  <sheetPr>
    <pageSetUpPr fitToPage="1"/>
  </sheetPr>
  <dimension ref="A1:D22"/>
  <sheetViews>
    <sheetView workbookViewId="0">
      <selection activeCell="D3" sqref="D3"/>
    </sheetView>
  </sheetViews>
  <sheetFormatPr defaultRowHeight="12.75" x14ac:dyDescent="0.2"/>
  <cols>
    <col min="1" max="1" width="26.42578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273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274</v>
      </c>
      <c r="B3" s="31">
        <v>6483</v>
      </c>
      <c r="C3" s="25">
        <f>StateSenatorSenateDistrict25General[[#This Row],[Part of Kings County 
Vote Results]]</f>
        <v>6483</v>
      </c>
      <c r="D3" s="54">
        <f>SUM(StateSenatorSenateDistrict25General[[#This Row],[Total Votes by Party]])</f>
        <v>6483</v>
      </c>
    </row>
    <row r="4" spans="1:4" s="27" customFormat="1" ht="14.25" customHeight="1" x14ac:dyDescent="0.2">
      <c r="A4" s="23" t="s">
        <v>275</v>
      </c>
      <c r="B4" s="31">
        <v>23922</v>
      </c>
      <c r="C4" s="25">
        <f>StateSenatorSenateDistrict25General[[#This Row],[Part of Kings County 
Vote Results]]</f>
        <v>23922</v>
      </c>
      <c r="D4" s="26">
        <f>SUM(StateSenatorSenateDistrict25General[[#This Row],[Total Votes by Party]])</f>
        <v>23922</v>
      </c>
    </row>
    <row r="5" spans="1:4" s="27" customFormat="1" ht="14.25" customHeight="1" x14ac:dyDescent="0.2">
      <c r="A5" s="29" t="s">
        <v>69</v>
      </c>
      <c r="B5" s="31">
        <v>2324</v>
      </c>
      <c r="C5" s="25">
        <f>StateSenatorSenateDistrict25General[[#This Row],[Part of Kings County 
Vote Results]]</f>
        <v>2324</v>
      </c>
      <c r="D5" s="28"/>
    </row>
    <row r="6" spans="1:4" s="27" customFormat="1" ht="14.25" customHeight="1" x14ac:dyDescent="0.2">
      <c r="A6" s="29" t="s">
        <v>70</v>
      </c>
      <c r="B6" s="31"/>
      <c r="C6" s="25">
        <f>StateSenatorSenateDistrict25General[[#This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133</v>
      </c>
      <c r="C7" s="25">
        <f>StateSenatorSenateDistrict25General[[#This Row],[Part of Kings County 
Vote Results]]</f>
        <v>133</v>
      </c>
      <c r="D7" s="28"/>
    </row>
    <row r="8" spans="1:4" s="27" customFormat="1" ht="14.25" customHeight="1" x14ac:dyDescent="0.2">
      <c r="A8" s="30" t="s">
        <v>1</v>
      </c>
      <c r="B8" s="24">
        <f>SUM(StateSenatorSenateDistrict25General[Part of Kings County 
Vote Results])</f>
        <v>32862</v>
      </c>
      <c r="C8" s="25">
        <f>SUM(StateSenatorSenateDistrict25General[Total Votes by Party])</f>
        <v>32862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202E-F43B-498C-93F1-7BD93443F9D3}">
  <sheetPr>
    <pageSetUpPr fitToPage="1"/>
  </sheetPr>
  <dimension ref="A1:D22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276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278</v>
      </c>
      <c r="B3" s="24">
        <v>18832</v>
      </c>
      <c r="C3" s="25">
        <f>StateSenatorSenateDistrict27General[[#This Row],[Part of New York County 
Vote Results]]</f>
        <v>18832</v>
      </c>
      <c r="D3" s="26">
        <f>SUM(StateSenatorSenateDistrict27General[[#This Row],[Total Votes by Party]])</f>
        <v>18832</v>
      </c>
    </row>
    <row r="4" spans="1:4" s="27" customFormat="1" ht="14.25" customHeight="1" x14ac:dyDescent="0.2">
      <c r="A4" s="23" t="s">
        <v>277</v>
      </c>
      <c r="B4" s="24">
        <v>11429</v>
      </c>
      <c r="C4" s="25">
        <f>StateSenatorSenateDistrict27General[[#This Row],[Part of New York County 
Vote Results]]</f>
        <v>11429</v>
      </c>
      <c r="D4" s="54">
        <f>SUM(StateSenatorSenateDistrict27General[[#This Row],[Total Votes by Party]])</f>
        <v>11429</v>
      </c>
    </row>
    <row r="5" spans="1:4" s="27" customFormat="1" ht="14.25" customHeight="1" x14ac:dyDescent="0.2">
      <c r="A5" s="29" t="s">
        <v>69</v>
      </c>
      <c r="B5" s="24">
        <v>1330</v>
      </c>
      <c r="C5" s="25">
        <f>StateSenatorSenateDistrict27General[[#This Row],[Part of New York County 
Vote Results]]</f>
        <v>1330</v>
      </c>
      <c r="D5" s="28"/>
    </row>
    <row r="6" spans="1:4" s="27" customFormat="1" ht="14.25" customHeight="1" x14ac:dyDescent="0.2">
      <c r="A6" s="29" t="s">
        <v>70</v>
      </c>
      <c r="B6" s="24"/>
      <c r="C6" s="25">
        <f>StateSenatorSenateDistrict27General[[#This Row],[Part of New York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88</v>
      </c>
      <c r="C7" s="25">
        <f>StateSenatorSenateDistrict27General[[#This Row],[Part of New York County 
Vote Results]]</f>
        <v>88</v>
      </c>
      <c r="D7" s="28"/>
    </row>
    <row r="8" spans="1:4" s="27" customFormat="1" ht="14.25" customHeight="1" x14ac:dyDescent="0.2">
      <c r="A8" s="30" t="s">
        <v>1</v>
      </c>
      <c r="B8" s="24">
        <f>SUM(StateSenatorSenateDistrict27General[Part of New York County 
Vote Results])</f>
        <v>31679</v>
      </c>
      <c r="C8" s="25">
        <f>SUM(StateSenatorSenateDistrict27General[Total Votes by Party])</f>
        <v>31679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E084-21AF-4A0E-8F05-36A8F3E4510F}">
  <sheetPr>
    <pageSetUpPr fitToPage="1"/>
  </sheetPr>
  <dimension ref="A1:E22"/>
  <sheetViews>
    <sheetView workbookViewId="0">
      <selection activeCell="E3" sqref="E3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279</v>
      </c>
    </row>
    <row r="2" spans="1:5" ht="28.5" customHeight="1" x14ac:dyDescent="0.2">
      <c r="A2" s="19" t="s">
        <v>66</v>
      </c>
      <c r="B2" s="20" t="s">
        <v>219</v>
      </c>
      <c r="C2" s="20" t="s">
        <v>216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280</v>
      </c>
      <c r="B3" s="24">
        <v>1611</v>
      </c>
      <c r="C3" s="24">
        <v>3627</v>
      </c>
      <c r="D3" s="25">
        <f>SUM(StateSenatorSenateDistrict29General[[#This Row],[Part of Bronx County 
Vote Results]:[Part of New York County 
Vote Results]])</f>
        <v>5238</v>
      </c>
      <c r="E3" s="54">
        <f>StateSenatorSenateDistrict29General[[#This Row],[Total Votes by Party]]</f>
        <v>5238</v>
      </c>
    </row>
    <row r="4" spans="1:5" s="27" customFormat="1" ht="14.25" customHeight="1" x14ac:dyDescent="0.2">
      <c r="A4" s="23" t="s">
        <v>281</v>
      </c>
      <c r="B4" s="24">
        <v>5480</v>
      </c>
      <c r="C4" s="24">
        <v>6481</v>
      </c>
      <c r="D4" s="25">
        <f>SUM(StateSenatorSenateDistrict29General[[#This Row],[Part of Bronx County 
Vote Results]:[Part of New York County 
Vote Results]])</f>
        <v>11961</v>
      </c>
      <c r="E4" s="26">
        <f>StateSenatorSenateDistrict29General[[#This Row],[Total Votes by Party]]</f>
        <v>11961</v>
      </c>
    </row>
    <row r="5" spans="1:5" s="27" customFormat="1" ht="14.25" customHeight="1" x14ac:dyDescent="0.2">
      <c r="A5" s="29" t="s">
        <v>69</v>
      </c>
      <c r="B5" s="24">
        <v>310</v>
      </c>
      <c r="C5" s="24">
        <v>1042</v>
      </c>
      <c r="D5" s="25">
        <f>SUM(StateSenatorSenateDistrict29General[[#This Row],[Part of Bronx County 
Vote Results]:[Part of New York County 
Vote Results]])</f>
        <v>1352</v>
      </c>
      <c r="E5" s="28"/>
    </row>
    <row r="6" spans="1:5" s="27" customFormat="1" ht="14.25" customHeight="1" x14ac:dyDescent="0.2">
      <c r="A6" s="29" t="s">
        <v>70</v>
      </c>
      <c r="B6" s="24"/>
      <c r="C6" s="24"/>
      <c r="D6" s="25">
        <f>SUM(StateSenatorSenateDistrict29General[[#This Row],[Part of Bronx County 
Vote Results]:[Part of New York County 
Vote Results]])</f>
        <v>0</v>
      </c>
      <c r="E6" s="28"/>
    </row>
    <row r="7" spans="1:5" s="27" customFormat="1" ht="14.25" customHeight="1" x14ac:dyDescent="0.2">
      <c r="A7" s="29" t="s">
        <v>71</v>
      </c>
      <c r="B7" s="24">
        <v>59</v>
      </c>
      <c r="C7" s="24">
        <v>71</v>
      </c>
      <c r="D7" s="25">
        <f>SUM(StateSenatorSenateDistrict29General[[#This Row],[Part of Bronx County 
Vote Results]:[Part of New York County 
Vote Results]])</f>
        <v>130</v>
      </c>
      <c r="E7" s="28"/>
    </row>
    <row r="8" spans="1:5" s="27" customFormat="1" ht="14.25" customHeight="1" x14ac:dyDescent="0.2">
      <c r="A8" s="30" t="s">
        <v>1</v>
      </c>
      <c r="B8" s="24">
        <f>SUM(StateSenatorSenateDistrict29General[Part of Bronx County 
Vote Results])</f>
        <v>7460</v>
      </c>
      <c r="C8" s="24">
        <f>SUM(StateSenatorSenateDistrict29General[Part of New York County 
Vote Results])</f>
        <v>11221</v>
      </c>
      <c r="D8" s="25">
        <f>SUM(StateSenatorSenateDistrict29General[Total Votes by Party])</f>
        <v>18681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  <row r="22" spans="5:5" s="27" customFormat="1" ht="14.25" customHeight="1" x14ac:dyDescent="0.2">
      <c r="E2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A60F-685D-449D-92E3-E38CA69FC0FF}">
  <sheetPr>
    <pageSetUpPr fitToPage="1"/>
  </sheetPr>
  <dimension ref="A1:F10"/>
  <sheetViews>
    <sheetView zoomScaleNormal="100" zoomScaleSheetLayoutView="110" workbookViewId="0">
      <selection activeCell="F4" sqref="F4"/>
    </sheetView>
  </sheetViews>
  <sheetFormatPr defaultRowHeight="12.75" x14ac:dyDescent="0.2"/>
  <cols>
    <col min="1" max="1" width="25.5703125" customWidth="1"/>
    <col min="2" max="5" width="20.5703125" customWidth="1"/>
    <col min="6" max="6" width="20.5703125" style="18" customWidth="1"/>
    <col min="7" max="8" width="23.5703125" customWidth="1"/>
  </cols>
  <sheetData>
    <row r="1" spans="1:6" ht="24.95" customHeight="1" x14ac:dyDescent="0.2">
      <c r="A1" s="17" t="s">
        <v>842</v>
      </c>
    </row>
    <row r="2" spans="1:6" ht="28.5" customHeight="1" x14ac:dyDescent="0.2">
      <c r="A2" s="19" t="s">
        <v>66</v>
      </c>
      <c r="B2" s="20" t="s">
        <v>67</v>
      </c>
      <c r="C2" s="20" t="s">
        <v>72</v>
      </c>
      <c r="D2" s="20" t="s">
        <v>858</v>
      </c>
      <c r="E2" s="21" t="s">
        <v>63</v>
      </c>
      <c r="F2" s="22" t="s">
        <v>64</v>
      </c>
    </row>
    <row r="3" spans="1:6" s="27" customFormat="1" ht="14.25" customHeight="1" x14ac:dyDescent="0.2">
      <c r="A3" s="23" t="s">
        <v>138</v>
      </c>
      <c r="B3" s="24">
        <v>14382</v>
      </c>
      <c r="C3" s="24">
        <v>5896</v>
      </c>
      <c r="D3" s="31">
        <v>1223</v>
      </c>
      <c r="E3" s="25">
        <f>SUM(B3:D3)</f>
        <v>21501</v>
      </c>
      <c r="F3" s="26">
        <f>SUM(RepInCongressCongressionalDistrict3General[[#This Row],[Total Votes by Party]])</f>
        <v>21501</v>
      </c>
    </row>
    <row r="4" spans="1:6" s="27" customFormat="1" ht="14.25" customHeight="1" x14ac:dyDescent="0.2">
      <c r="A4" s="23" t="s">
        <v>139</v>
      </c>
      <c r="B4" s="24">
        <v>3093</v>
      </c>
      <c r="C4" s="24">
        <v>2006</v>
      </c>
      <c r="D4" s="31">
        <v>454</v>
      </c>
      <c r="E4" s="25">
        <f>SUM(B4:D4)</f>
        <v>5553</v>
      </c>
      <c r="F4" s="54">
        <f>SUM(RepInCongressCongressionalDistrict3General[[#This Row],[Total Votes by Party]])</f>
        <v>5553</v>
      </c>
    </row>
    <row r="5" spans="1:6" s="27" customFormat="1" ht="14.25" customHeight="1" x14ac:dyDescent="0.2">
      <c r="A5" s="29" t="s">
        <v>69</v>
      </c>
      <c r="B5" s="24">
        <v>234</v>
      </c>
      <c r="C5" s="24">
        <v>103</v>
      </c>
      <c r="D5" s="31">
        <v>41</v>
      </c>
      <c r="E5" s="25">
        <f t="shared" ref="E5:E7" si="0">SUM(B5:D5)</f>
        <v>378</v>
      </c>
      <c r="F5" s="28"/>
    </row>
    <row r="6" spans="1:6" s="27" customFormat="1" ht="14.25" customHeight="1" x14ac:dyDescent="0.2">
      <c r="A6" s="29" t="s">
        <v>70</v>
      </c>
      <c r="B6" s="24">
        <v>157</v>
      </c>
      <c r="C6" s="24"/>
      <c r="D6" s="31">
        <v>3</v>
      </c>
      <c r="E6" s="25">
        <f t="shared" si="0"/>
        <v>160</v>
      </c>
      <c r="F6" s="28"/>
    </row>
    <row r="7" spans="1:6" s="27" customFormat="1" ht="14.25" customHeight="1" x14ac:dyDescent="0.2">
      <c r="A7" s="29" t="s">
        <v>71</v>
      </c>
      <c r="B7" s="24">
        <v>33</v>
      </c>
      <c r="C7" s="24">
        <v>35</v>
      </c>
      <c r="D7" s="31">
        <v>1</v>
      </c>
      <c r="E7" s="25">
        <f t="shared" si="0"/>
        <v>69</v>
      </c>
      <c r="F7" s="28"/>
    </row>
    <row r="8" spans="1:6" s="27" customFormat="1" ht="14.25" customHeight="1" x14ac:dyDescent="0.2">
      <c r="A8" s="29" t="s">
        <v>1</v>
      </c>
      <c r="B8" s="32">
        <f>SUM(RepInCongressCongressionalDistrict3General[Part of Nassau County 
Vote Results])</f>
        <v>17899</v>
      </c>
      <c r="C8" s="32">
        <f>SUM(RepInCongressCongressionalDistrict3General[Part of Queens County 
Vote Results])</f>
        <v>8040</v>
      </c>
      <c r="D8" s="32">
        <f>SUM(RepInCongressCongressionalDistrict3General[Part of Suffolk County
Vote Results])</f>
        <v>1722</v>
      </c>
      <c r="E8" s="25">
        <f>SUM(RepInCongressCongressionalDistrict3General[Total Votes by Party])</f>
        <v>27661</v>
      </c>
      <c r="F8" s="28"/>
    </row>
    <row r="9" spans="1:6" x14ac:dyDescent="0.2">
      <c r="D9" s="27"/>
    </row>
    <row r="10" spans="1:6" x14ac:dyDescent="0.2">
      <c r="D10" s="2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E3:E7" calculatedColumn="1"/>
  </ignoredErrors>
  <legacy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7D0F-13DD-4B3F-BDB5-658474D2DA99}">
  <sheetPr>
    <pageSetUpPr fitToPage="1"/>
  </sheetPr>
  <dimension ref="A1:E21"/>
  <sheetViews>
    <sheetView workbookViewId="0">
      <selection activeCell="E4" sqref="E4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282</v>
      </c>
    </row>
    <row r="2" spans="1:5" ht="28.5" customHeight="1" x14ac:dyDescent="0.2">
      <c r="A2" s="19" t="s">
        <v>66</v>
      </c>
      <c r="B2" s="20" t="s">
        <v>219</v>
      </c>
      <c r="C2" s="20" t="s">
        <v>216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283</v>
      </c>
      <c r="B3" s="24">
        <v>3462</v>
      </c>
      <c r="C3" s="24">
        <v>15420</v>
      </c>
      <c r="D3" s="25">
        <f t="shared" ref="D3:D7" si="0">SUM(B3,C3)</f>
        <v>18882</v>
      </c>
      <c r="E3" s="26">
        <f>SUM(StateSenatorSenateDistrict31General[[#This Row],[Total Votes by Party]])</f>
        <v>18882</v>
      </c>
    </row>
    <row r="4" spans="1:5" s="27" customFormat="1" ht="14.25" customHeight="1" x14ac:dyDescent="0.2">
      <c r="A4" s="23" t="s">
        <v>284</v>
      </c>
      <c r="B4" s="24">
        <v>1889</v>
      </c>
      <c r="C4" s="24">
        <v>5391</v>
      </c>
      <c r="D4" s="25">
        <f t="shared" si="0"/>
        <v>7280</v>
      </c>
      <c r="E4" s="54">
        <f>SUM(StateSenatorSenateDistrict31General[[#This Row],[Total Votes by Party]])</f>
        <v>7280</v>
      </c>
    </row>
    <row r="5" spans="1:5" s="27" customFormat="1" ht="14.25" customHeight="1" x14ac:dyDescent="0.2">
      <c r="A5" s="29" t="s">
        <v>69</v>
      </c>
      <c r="B5" s="24">
        <v>752</v>
      </c>
      <c r="C5" s="24">
        <v>3147</v>
      </c>
      <c r="D5" s="25">
        <f t="shared" si="0"/>
        <v>3899</v>
      </c>
      <c r="E5" s="28"/>
    </row>
    <row r="6" spans="1:5" s="27" customFormat="1" ht="14.25" customHeight="1" x14ac:dyDescent="0.2">
      <c r="A6" s="29" t="s">
        <v>70</v>
      </c>
      <c r="B6" s="24"/>
      <c r="C6" s="24"/>
      <c r="D6" s="25">
        <f t="shared" si="0"/>
        <v>0</v>
      </c>
      <c r="E6" s="28"/>
    </row>
    <row r="7" spans="1:5" s="27" customFormat="1" ht="14.25" customHeight="1" x14ac:dyDescent="0.2">
      <c r="A7" s="29" t="s">
        <v>71</v>
      </c>
      <c r="B7" s="24">
        <v>41</v>
      </c>
      <c r="C7" s="24">
        <v>67</v>
      </c>
      <c r="D7" s="25">
        <f t="shared" si="0"/>
        <v>108</v>
      </c>
      <c r="E7" s="28"/>
    </row>
    <row r="8" spans="1:5" s="27" customFormat="1" ht="14.25" customHeight="1" x14ac:dyDescent="0.2">
      <c r="A8" s="30" t="s">
        <v>1</v>
      </c>
      <c r="B8" s="24">
        <f>SUM(StateSenatorSenateDistrict31General[Part of Bronx County 
Vote Results])</f>
        <v>6144</v>
      </c>
      <c r="C8" s="24">
        <f>SUM(StateSenatorSenateDistrict31General[Part of New York County 
Vote Results])</f>
        <v>24025</v>
      </c>
      <c r="D8" s="25">
        <f>SUM(StateSenatorSenateDistrict31General[Total Votes by Party])</f>
        <v>30169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6E14-4AB1-4469-8CC2-AEE1DF4EED20}">
  <sheetPr>
    <pageSetUpPr fitToPage="1"/>
  </sheetPr>
  <dimension ref="A1:D14"/>
  <sheetViews>
    <sheetView workbookViewId="0">
      <selection activeCell="L11" sqref="L11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772</v>
      </c>
    </row>
    <row r="2" spans="1:4" ht="28.5" customHeight="1" x14ac:dyDescent="0.2">
      <c r="A2" s="19" t="s">
        <v>66</v>
      </c>
      <c r="B2" s="20" t="s">
        <v>136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773</v>
      </c>
      <c r="B3" s="24">
        <v>218</v>
      </c>
      <c r="C3" s="25">
        <f>SUM(StateSenatorSenateDistrict38General[[#This Row],[Part of Rockland County 
Vote Results]])</f>
        <v>218</v>
      </c>
      <c r="D3" s="26">
        <f>SUM(StateSenatorSenateDistrict38General[[#This Row],[Total Votes by Party]])</f>
        <v>218</v>
      </c>
    </row>
    <row r="4" spans="1:4" s="27" customFormat="1" ht="14.25" customHeight="1" x14ac:dyDescent="0.2">
      <c r="A4" s="29" t="s">
        <v>69</v>
      </c>
      <c r="B4" s="24">
        <v>2</v>
      </c>
      <c r="C4" s="25">
        <f>SUM(StateSenatorSenateDistrict38General[[#This Row],[Part of Rockland County 
Vote Results]])</f>
        <v>2</v>
      </c>
      <c r="D4" s="28"/>
    </row>
    <row r="5" spans="1:4" s="27" customFormat="1" ht="14.25" customHeight="1" x14ac:dyDescent="0.2">
      <c r="A5" s="29" t="s">
        <v>70</v>
      </c>
      <c r="B5" s="24">
        <v>1</v>
      </c>
      <c r="C5" s="25">
        <f>SUM(StateSenatorSenateDistrict38General[[#This Row],[Part of Rockland County 
Vote Results]])</f>
        <v>1</v>
      </c>
      <c r="D5" s="28"/>
    </row>
    <row r="6" spans="1:4" s="27" customFormat="1" ht="14.25" customHeight="1" x14ac:dyDescent="0.2">
      <c r="A6" s="29" t="s">
        <v>71</v>
      </c>
      <c r="B6" s="24">
        <v>138</v>
      </c>
      <c r="C6" s="25">
        <f>SUM(StateSenatorSenateDistrict38General[[#This Row],[Part of Rockland County 
Vote Results]])</f>
        <v>138</v>
      </c>
      <c r="D6" s="28"/>
    </row>
    <row r="7" spans="1:4" s="27" customFormat="1" ht="14.25" customHeight="1" x14ac:dyDescent="0.2">
      <c r="A7" s="30" t="s">
        <v>1</v>
      </c>
      <c r="B7" s="24">
        <f>SUM(StateSenatorSenateDistrict38General[Part of Rockland County 
Vote Results])</f>
        <v>359</v>
      </c>
      <c r="C7" s="25">
        <f>SUM(StateSenatorSenateDistrict38General[Total Votes by Party])</f>
        <v>359</v>
      </c>
      <c r="D7" s="28"/>
    </row>
    <row r="8" spans="1:4" s="27" customFormat="1" ht="14.25" customHeight="1" x14ac:dyDescent="0.2">
      <c r="D8" s="37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E73D-F821-43D6-A919-B65B8E8141F0}">
  <sheetPr>
    <pageSetUpPr fitToPage="1"/>
  </sheetPr>
  <dimension ref="A1:F15"/>
  <sheetViews>
    <sheetView zoomScaleNormal="100" zoomScaleSheetLayoutView="100" workbookViewId="0">
      <selection activeCell="F5" sqref="F5"/>
    </sheetView>
  </sheetViews>
  <sheetFormatPr defaultRowHeight="12.75" x14ac:dyDescent="0.2"/>
  <cols>
    <col min="1" max="1" width="25.5703125" customWidth="1"/>
    <col min="2" max="5" width="20.5703125" customWidth="1"/>
    <col min="6" max="6" width="20.5703125" style="18" customWidth="1"/>
    <col min="7" max="8" width="23.5703125" customWidth="1"/>
  </cols>
  <sheetData>
    <row r="1" spans="1:6" ht="24.95" customHeight="1" x14ac:dyDescent="0.2">
      <c r="A1" s="17" t="s">
        <v>172</v>
      </c>
    </row>
    <row r="2" spans="1:6" ht="28.5" customHeight="1" x14ac:dyDescent="0.2">
      <c r="A2" s="19" t="s">
        <v>66</v>
      </c>
      <c r="B2" s="20" t="s">
        <v>119</v>
      </c>
      <c r="C2" s="20" t="s">
        <v>120</v>
      </c>
      <c r="D2" s="20" t="s">
        <v>121</v>
      </c>
      <c r="E2" s="21" t="s">
        <v>63</v>
      </c>
      <c r="F2" s="22" t="s">
        <v>64</v>
      </c>
    </row>
    <row r="3" spans="1:6" s="27" customFormat="1" ht="14.25" customHeight="1" x14ac:dyDescent="0.2">
      <c r="A3" s="23" t="s">
        <v>173</v>
      </c>
      <c r="B3" s="24">
        <v>487</v>
      </c>
      <c r="C3" s="24">
        <v>377</v>
      </c>
      <c r="D3" s="24">
        <v>155</v>
      </c>
      <c r="E3" s="25">
        <f>SUM(StateSenatorSenateDistrict39General[[#This Row],[Part of Dutchess County 
Vote Results]:[Part of Putnam County 
Vote Results]])</f>
        <v>1019</v>
      </c>
      <c r="F3" s="54">
        <f>SUM(StateSenatorSenateDistrict39General[[#This Row],[Total Votes by Party]])</f>
        <v>1019</v>
      </c>
    </row>
    <row r="4" spans="1:6" s="27" customFormat="1" ht="14.25" customHeight="1" x14ac:dyDescent="0.2">
      <c r="A4" s="23" t="s">
        <v>174</v>
      </c>
      <c r="B4" s="24">
        <v>6227</v>
      </c>
      <c r="C4" s="24">
        <v>965</v>
      </c>
      <c r="D4" s="24">
        <v>1198</v>
      </c>
      <c r="E4" s="25">
        <f>SUM(StateSenatorSenateDistrict39General[[#This Row],[Part of Dutchess County 
Vote Results]:[Part of Putnam County 
Vote Results]])</f>
        <v>8390</v>
      </c>
      <c r="F4" s="26">
        <f>SUM(StateSenatorSenateDistrict39General[[#This Row],[Total Votes by Party]])</f>
        <v>8390</v>
      </c>
    </row>
    <row r="5" spans="1:6" s="27" customFormat="1" ht="14.25" customHeight="1" x14ac:dyDescent="0.2">
      <c r="A5" s="23" t="s">
        <v>175</v>
      </c>
      <c r="B5" s="24">
        <v>2606</v>
      </c>
      <c r="C5" s="24">
        <v>730</v>
      </c>
      <c r="D5" s="24">
        <v>775</v>
      </c>
      <c r="E5" s="25">
        <f>SUM(StateSenatorSenateDistrict39General[[#This Row],[Part of Dutchess County 
Vote Results]:[Part of Putnam County 
Vote Results]])</f>
        <v>4111</v>
      </c>
      <c r="F5" s="54">
        <f>SUM(StateSenatorSenateDistrict39General[[#This Row],[Total Votes by Party]])</f>
        <v>4111</v>
      </c>
    </row>
    <row r="6" spans="1:6" s="27" customFormat="1" ht="14.25" customHeight="1" x14ac:dyDescent="0.2">
      <c r="A6" s="29" t="s">
        <v>69</v>
      </c>
      <c r="B6" s="24">
        <v>90</v>
      </c>
      <c r="C6" s="24">
        <v>52</v>
      </c>
      <c r="D6" s="24">
        <v>52</v>
      </c>
      <c r="E6" s="25">
        <f>SUM(StateSenatorSenateDistrict39General[[#This Row],[Part of Dutchess County 
Vote Results]:[Part of Putnam County 
Vote Results]])</f>
        <v>194</v>
      </c>
      <c r="F6" s="28"/>
    </row>
    <row r="7" spans="1:6" s="27" customFormat="1" ht="14.25" customHeight="1" x14ac:dyDescent="0.2">
      <c r="A7" s="29" t="s">
        <v>70</v>
      </c>
      <c r="B7" s="24">
        <v>23</v>
      </c>
      <c r="C7" s="24">
        <v>8</v>
      </c>
      <c r="D7" s="24">
        <v>0</v>
      </c>
      <c r="E7" s="25">
        <f>SUM(StateSenatorSenateDistrict39General[[#This Row],[Part of Dutchess County 
Vote Results]:[Part of Putnam County 
Vote Results]])</f>
        <v>31</v>
      </c>
      <c r="F7" s="28"/>
    </row>
    <row r="8" spans="1:6" s="27" customFormat="1" ht="14.25" customHeight="1" x14ac:dyDescent="0.2">
      <c r="A8" s="29" t="s">
        <v>71</v>
      </c>
      <c r="B8" s="24">
        <v>4</v>
      </c>
      <c r="C8" s="24">
        <v>4</v>
      </c>
      <c r="D8" s="24">
        <v>3</v>
      </c>
      <c r="E8" s="25">
        <f>SUM(StateSenatorSenateDistrict39General[[#This Row],[Part of Dutchess County 
Vote Results]:[Part of Putnam County 
Vote Results]])</f>
        <v>11</v>
      </c>
      <c r="F8" s="28"/>
    </row>
    <row r="9" spans="1:6" s="27" customFormat="1" ht="14.25" customHeight="1" x14ac:dyDescent="0.2">
      <c r="A9" s="30" t="s">
        <v>1</v>
      </c>
      <c r="B9" s="24">
        <f>SUM(StateSenatorSenateDistrict39General[Part of Dutchess County 
Vote Results])</f>
        <v>9437</v>
      </c>
      <c r="C9" s="24">
        <f>SUM(StateSenatorSenateDistrict39General[Part of Orange County 
Vote Results])</f>
        <v>2136</v>
      </c>
      <c r="D9" s="24">
        <f>SUM(StateSenatorSenateDistrict39General[Part of Putnam County 
Vote Results])</f>
        <v>2183</v>
      </c>
      <c r="E9" s="25">
        <f>SUM(StateSenatorSenateDistrict39General[Total Votes by Party])</f>
        <v>13756</v>
      </c>
      <c r="F9" s="28"/>
    </row>
    <row r="10" spans="1:6" s="27" customFormat="1" ht="14.25" customHeight="1" x14ac:dyDescent="0.2">
      <c r="F10" s="37"/>
    </row>
    <row r="11" spans="1:6" s="27" customFormat="1" ht="14.25" customHeight="1" x14ac:dyDescent="0.2">
      <c r="F11" s="37"/>
    </row>
    <row r="12" spans="1:6" s="27" customFormat="1" ht="14.25" customHeight="1" x14ac:dyDescent="0.2">
      <c r="F12" s="37"/>
    </row>
    <row r="13" spans="1:6" s="27" customFormat="1" ht="14.25" customHeight="1" x14ac:dyDescent="0.2">
      <c r="F13" s="37"/>
    </row>
    <row r="14" spans="1:6" s="27" customFormat="1" ht="14.25" customHeight="1" x14ac:dyDescent="0.2">
      <c r="F14" s="37"/>
    </row>
    <row r="15" spans="1:6" s="27" customFormat="1" ht="14.25" customHeight="1" x14ac:dyDescent="0.2">
      <c r="F1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D726-2EB9-4561-AEF2-E560BD011863}">
  <sheetPr>
    <pageSetUpPr fitToPage="1"/>
  </sheetPr>
  <dimension ref="A1:D13"/>
  <sheetViews>
    <sheetView zoomScaleNormal="100" zoomScaleSheetLayoutView="100" workbookViewId="0">
      <selection activeCell="D4" sqref="D4"/>
    </sheetView>
  </sheetViews>
  <sheetFormatPr defaultRowHeight="12.75" x14ac:dyDescent="0.2"/>
  <cols>
    <col min="1" max="1" width="29.285156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862</v>
      </c>
    </row>
    <row r="2" spans="1:4" ht="28.5" customHeight="1" x14ac:dyDescent="0.2">
      <c r="A2" s="19" t="s">
        <v>66</v>
      </c>
      <c r="B2" s="20" t="s">
        <v>861</v>
      </c>
      <c r="C2" s="21" t="s">
        <v>63</v>
      </c>
      <c r="D2" s="22" t="s">
        <v>64</v>
      </c>
    </row>
    <row r="3" spans="1:4" ht="14.25" customHeight="1" x14ac:dyDescent="0.2">
      <c r="A3" s="42" t="s">
        <v>863</v>
      </c>
      <c r="B3" s="24">
        <v>240</v>
      </c>
      <c r="C3" s="25">
        <f>SUM(StateSenatorSenateDistrict42General[[#This Row],[Part of Orange County Vote Results]])</f>
        <v>240</v>
      </c>
      <c r="D3" s="54">
        <f>SUM(StateSenatorSenateDistrict42General[[#This Row],[Total Votes by Party]])</f>
        <v>240</v>
      </c>
    </row>
    <row r="4" spans="1:4" ht="14.25" customHeight="1" x14ac:dyDescent="0.2">
      <c r="A4" s="43" t="s">
        <v>883</v>
      </c>
      <c r="B4" s="24">
        <v>422</v>
      </c>
      <c r="C4" s="41">
        <f>SUM(StateSenatorSenateDistrict42General[[#This Row],[Part of Orange County Vote Results]])</f>
        <v>422</v>
      </c>
      <c r="D4" s="26">
        <f>SUM(StateSenatorSenateDistrict42General[[#This Row],[Total Votes by Party]])</f>
        <v>422</v>
      </c>
    </row>
    <row r="5" spans="1:4" ht="14.25" customHeight="1" x14ac:dyDescent="0.2">
      <c r="A5" s="43" t="s">
        <v>69</v>
      </c>
      <c r="B5" s="24">
        <v>6</v>
      </c>
      <c r="C5" s="25">
        <f>SUM(StateSenatorSenateDistrict42General[[#This Row],[Part of Orange County Vote Results]])</f>
        <v>6</v>
      </c>
      <c r="D5" s="28"/>
    </row>
    <row r="6" spans="1:4" ht="14.25" customHeight="1" x14ac:dyDescent="0.2">
      <c r="A6" s="43" t="s">
        <v>70</v>
      </c>
      <c r="B6" s="24">
        <v>1</v>
      </c>
      <c r="C6" s="25">
        <f>SUM(StateSenatorSenateDistrict42General[[#This Row],[Part of Orange County Vote Results]])</f>
        <v>1</v>
      </c>
      <c r="D6" s="28"/>
    </row>
    <row r="7" spans="1:4" ht="14.25" customHeight="1" x14ac:dyDescent="0.2">
      <c r="A7" s="43" t="s">
        <v>71</v>
      </c>
      <c r="B7" s="24">
        <v>13</v>
      </c>
      <c r="C7" s="25">
        <f>SUM(StateSenatorSenateDistrict42General[[#This Row],[Part of Orange County Vote Results]])</f>
        <v>13</v>
      </c>
      <c r="D7" s="28"/>
    </row>
    <row r="8" spans="1:4" ht="14.25" customHeight="1" x14ac:dyDescent="0.2">
      <c r="A8" s="44" t="s">
        <v>1</v>
      </c>
      <c r="B8" s="24">
        <f>SUM(StateSenatorSenateDistrict42General[Part of Orange County Vote Results])</f>
        <v>682</v>
      </c>
      <c r="C8" s="25">
        <f>SUM(StateSenatorSenateDistrict42General[Total Votes by Party])</f>
        <v>682</v>
      </c>
      <c r="D8" s="28"/>
    </row>
    <row r="9" spans="1:4" ht="14.25" customHeight="1" x14ac:dyDescent="0.2">
      <c r="B9" s="27"/>
      <c r="C9" s="27"/>
      <c r="D9" s="37"/>
    </row>
    <row r="10" spans="1:4" ht="14.25" customHeight="1" x14ac:dyDescent="0.2"/>
    <row r="11" spans="1:4" ht="14.25" customHeight="1" x14ac:dyDescent="0.2"/>
    <row r="12" spans="1:4" ht="14.25" customHeight="1" x14ac:dyDescent="0.2"/>
    <row r="13" spans="1:4" ht="14.25" customHeight="1" x14ac:dyDescent="0.2"/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A5B9-2790-4DBD-9621-D11D99473736}">
  <sheetPr>
    <pageSetUpPr fitToPage="1"/>
  </sheetPr>
  <dimension ref="A1:E17"/>
  <sheetViews>
    <sheetView workbookViewId="0">
      <selection activeCell="C5" sqref="C5"/>
    </sheetView>
  </sheetViews>
  <sheetFormatPr defaultRowHeight="12.75" x14ac:dyDescent="0.2"/>
  <cols>
    <col min="1" max="1" width="25.5703125" customWidth="1"/>
    <col min="2" max="4" width="22.85546875" customWidth="1"/>
    <col min="5" max="5" width="22.85546875" style="18" customWidth="1"/>
    <col min="6" max="7" width="23.5703125" customWidth="1"/>
  </cols>
  <sheetData>
    <row r="1" spans="1:5" ht="24.95" customHeight="1" x14ac:dyDescent="0.2">
      <c r="A1" s="17" t="s">
        <v>176</v>
      </c>
    </row>
    <row r="2" spans="1:5" ht="28.5" customHeight="1" x14ac:dyDescent="0.2">
      <c r="A2" s="19" t="s">
        <v>66</v>
      </c>
      <c r="B2" s="20" t="s">
        <v>122</v>
      </c>
      <c r="C2" s="20" t="s">
        <v>123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177</v>
      </c>
      <c r="B3" s="24">
        <v>5480</v>
      </c>
      <c r="C3" s="24">
        <v>3266</v>
      </c>
      <c r="D3" s="25">
        <f>SUM(StateSenatorSenateDistrict44General[[#This Row],[Saratoga County 
Vote Results]:[Part of Schenectady County 
Vote Results]])</f>
        <v>8746</v>
      </c>
      <c r="E3" s="26">
        <f>SUM(StateSenatorSenateDistrict44General[[#This Row],[Total Votes by Party]])</f>
        <v>8746</v>
      </c>
    </row>
    <row r="4" spans="1:5" s="27" customFormat="1" ht="14.25" customHeight="1" x14ac:dyDescent="0.2">
      <c r="A4" s="23" t="s">
        <v>178</v>
      </c>
      <c r="B4" s="24">
        <v>3128</v>
      </c>
      <c r="C4" s="24">
        <v>895</v>
      </c>
      <c r="D4" s="25">
        <f>SUM(StateSenatorSenateDistrict44General[[#This Row],[Saratoga County 
Vote Results]:[Part of Schenectady County 
Vote Results]])</f>
        <v>4023</v>
      </c>
      <c r="E4" s="54">
        <f>SUM(StateSenatorSenateDistrict44General[[#This Row],[Total Votes by Party]])</f>
        <v>4023</v>
      </c>
    </row>
    <row r="5" spans="1:5" s="27" customFormat="1" ht="14.25" customHeight="1" x14ac:dyDescent="0.2">
      <c r="A5" s="29" t="s">
        <v>69</v>
      </c>
      <c r="B5" s="24">
        <v>252</v>
      </c>
      <c r="C5" s="24">
        <v>20</v>
      </c>
      <c r="D5" s="25">
        <f>SUM(StateSenatorSenateDistrict44General[[#This Row],[Saratoga County 
Vote Results]:[Part of Schenectady County 
Vote Results]])</f>
        <v>272</v>
      </c>
      <c r="E5" s="28"/>
    </row>
    <row r="6" spans="1:5" s="27" customFormat="1" ht="14.25" customHeight="1" x14ac:dyDescent="0.2">
      <c r="A6" s="29" t="s">
        <v>70</v>
      </c>
      <c r="B6" s="24">
        <v>21</v>
      </c>
      <c r="C6" s="24">
        <v>221</v>
      </c>
      <c r="D6" s="25">
        <f>SUM(StateSenatorSenateDistrict44General[[#This Row],[Saratoga County 
Vote Results]:[Part of Schenectady County 
Vote Results]])</f>
        <v>242</v>
      </c>
      <c r="E6" s="28"/>
    </row>
    <row r="7" spans="1:5" s="27" customFormat="1" ht="14.25" customHeight="1" x14ac:dyDescent="0.2">
      <c r="A7" s="29" t="s">
        <v>71</v>
      </c>
      <c r="B7" s="24">
        <v>16</v>
      </c>
      <c r="C7" s="24">
        <v>7</v>
      </c>
      <c r="D7" s="25">
        <f>SUM(StateSenatorSenateDistrict44General[[#This Row],[Saratoga County 
Vote Results]:[Part of Schenectady County 
Vote Results]])</f>
        <v>23</v>
      </c>
      <c r="E7" s="28"/>
    </row>
    <row r="8" spans="1:5" s="27" customFormat="1" ht="14.25" customHeight="1" x14ac:dyDescent="0.2">
      <c r="A8" s="30" t="s">
        <v>1</v>
      </c>
      <c r="B8" s="24">
        <f>SUM(StateSenatorSenateDistrict44General[Saratoga County 
Vote Results])</f>
        <v>8897</v>
      </c>
      <c r="C8" s="24">
        <f>SUM(StateSenatorSenateDistrict44General[Part of Schenectady County 
Vote Results])</f>
        <v>4409</v>
      </c>
      <c r="D8" s="25">
        <f>SUM(StateSenatorSenateDistrict44General[Total Votes by Party])</f>
        <v>13306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A0B1E-9140-407D-A131-AF03592C178A}">
  <sheetPr>
    <pageSetUpPr fitToPage="1"/>
  </sheetPr>
  <dimension ref="A1:J8"/>
  <sheetViews>
    <sheetView workbookViewId="0">
      <pane xSplit="1" topLeftCell="B1" activePane="topRight" state="frozen"/>
      <selection activeCell="L11" sqref="L11"/>
      <selection pane="topRight" activeCell="J3" sqref="J3"/>
    </sheetView>
  </sheetViews>
  <sheetFormatPr defaultRowHeight="12.75" x14ac:dyDescent="0.2"/>
  <cols>
    <col min="1" max="1" width="25.5703125" customWidth="1"/>
    <col min="2" max="9" width="20.7109375" customWidth="1"/>
    <col min="10" max="10" width="20.7109375" style="18" customWidth="1"/>
    <col min="11" max="12" width="23.5703125" customWidth="1"/>
  </cols>
  <sheetData>
    <row r="1" spans="1:10" ht="24.95" customHeight="1" x14ac:dyDescent="0.2">
      <c r="A1" s="17" t="s">
        <v>179</v>
      </c>
    </row>
    <row r="2" spans="1:10" ht="28.5" customHeight="1" x14ac:dyDescent="0.2">
      <c r="A2" s="33" t="s">
        <v>66</v>
      </c>
      <c r="B2" s="20" t="s">
        <v>124</v>
      </c>
      <c r="C2" s="20" t="s">
        <v>125</v>
      </c>
      <c r="D2" s="20" t="s">
        <v>81</v>
      </c>
      <c r="E2" s="20" t="s">
        <v>83</v>
      </c>
      <c r="F2" s="20" t="s">
        <v>95</v>
      </c>
      <c r="G2" s="20" t="s">
        <v>85</v>
      </c>
      <c r="H2" s="20" t="s">
        <v>87</v>
      </c>
      <c r="I2" s="34" t="s">
        <v>63</v>
      </c>
      <c r="J2" s="35" t="s">
        <v>64</v>
      </c>
    </row>
    <row r="3" spans="1:10" s="27" customFormat="1" ht="14.25" customHeight="1" x14ac:dyDescent="0.2">
      <c r="A3" s="23" t="s">
        <v>180</v>
      </c>
      <c r="B3" s="24">
        <v>848</v>
      </c>
      <c r="C3" s="24">
        <v>559</v>
      </c>
      <c r="D3" s="24">
        <v>705</v>
      </c>
      <c r="E3" s="24">
        <v>1412</v>
      </c>
      <c r="F3" s="24">
        <v>337</v>
      </c>
      <c r="G3" s="24">
        <v>1522</v>
      </c>
      <c r="H3" s="24">
        <v>499</v>
      </c>
      <c r="I3" s="25">
        <f>SUM(StateSenatorSenateDistrict51General[[#This Row],[Part of Broome County 
Vote Results]:[Part of Ulster County 
Vote Results]])</f>
        <v>5882</v>
      </c>
      <c r="J3" s="54">
        <f>SUM(StateSenatorSenateDistrict51General[[#This Row],[Total Votes by Party]])</f>
        <v>5882</v>
      </c>
    </row>
    <row r="4" spans="1:10" s="27" customFormat="1" ht="14.25" customHeight="1" x14ac:dyDescent="0.2">
      <c r="A4" s="23" t="s">
        <v>181</v>
      </c>
      <c r="B4" s="24">
        <v>453</v>
      </c>
      <c r="C4" s="24">
        <v>567</v>
      </c>
      <c r="D4" s="24">
        <v>1351</v>
      </c>
      <c r="E4" s="24">
        <v>1434</v>
      </c>
      <c r="F4" s="24">
        <v>1768</v>
      </c>
      <c r="G4" s="24">
        <v>745</v>
      </c>
      <c r="H4" s="24">
        <v>403</v>
      </c>
      <c r="I4" s="25">
        <f>SUM(StateSenatorSenateDistrict51General[[#This Row],[Part of Broome County 
Vote Results]:[Part of Ulster County 
Vote Results]])</f>
        <v>6721</v>
      </c>
      <c r="J4" s="26">
        <f>SUM(StateSenatorSenateDistrict51General[[#This Row],[Total Votes by Party]])</f>
        <v>6721</v>
      </c>
    </row>
    <row r="5" spans="1:10" s="27" customFormat="1" ht="14.25" customHeight="1" x14ac:dyDescent="0.2">
      <c r="A5" s="29" t="s">
        <v>69</v>
      </c>
      <c r="B5" s="24">
        <v>77</v>
      </c>
      <c r="C5" s="24">
        <v>70</v>
      </c>
      <c r="D5" s="24">
        <v>90</v>
      </c>
      <c r="E5" s="24">
        <v>156</v>
      </c>
      <c r="F5" s="24">
        <v>42</v>
      </c>
      <c r="G5" s="24">
        <v>113</v>
      </c>
      <c r="H5" s="24">
        <v>22</v>
      </c>
      <c r="I5" s="25">
        <f>SUM(StateSenatorSenateDistrict51General[[#This Row],[Part of Broome County 
Vote Results]:[Part of Ulster County 
Vote Results]])</f>
        <v>570</v>
      </c>
      <c r="J5" s="28"/>
    </row>
    <row r="6" spans="1:10" s="27" customFormat="1" ht="14.25" customHeight="1" x14ac:dyDescent="0.2">
      <c r="A6" s="29" t="s">
        <v>70</v>
      </c>
      <c r="B6" s="24">
        <v>6</v>
      </c>
      <c r="C6" s="24">
        <v>7</v>
      </c>
      <c r="D6" s="24">
        <v>26</v>
      </c>
      <c r="E6" s="24">
        <v>4</v>
      </c>
      <c r="F6" s="24">
        <v>2</v>
      </c>
      <c r="G6" s="24">
        <v>6</v>
      </c>
      <c r="H6" s="24">
        <v>0</v>
      </c>
      <c r="I6" s="25">
        <f>SUM(StateSenatorSenateDistrict51General[[#This Row],[Part of Broome County 
Vote Results]:[Part of Ulster County 
Vote Results]])</f>
        <v>51</v>
      </c>
      <c r="J6" s="28"/>
    </row>
    <row r="7" spans="1:10" s="27" customFormat="1" ht="14.25" customHeight="1" x14ac:dyDescent="0.2">
      <c r="A7" s="29" t="s">
        <v>71</v>
      </c>
      <c r="B7" s="24">
        <v>6</v>
      </c>
      <c r="C7" s="24">
        <v>2</v>
      </c>
      <c r="D7" s="24">
        <v>5</v>
      </c>
      <c r="E7" s="24">
        <v>3</v>
      </c>
      <c r="F7" s="24">
        <v>2</v>
      </c>
      <c r="G7" s="24">
        <v>0</v>
      </c>
      <c r="H7" s="24">
        <v>1</v>
      </c>
      <c r="I7" s="25">
        <f>SUM(StateSenatorSenateDistrict51General[[#This Row],[Part of Broome County 
Vote Results]:[Part of Ulster County 
Vote Results]])</f>
        <v>19</v>
      </c>
      <c r="J7" s="28"/>
    </row>
    <row r="8" spans="1:10" s="27" customFormat="1" ht="14.25" customHeight="1" x14ac:dyDescent="0.2">
      <c r="A8" s="30" t="s">
        <v>1</v>
      </c>
      <c r="B8" s="24">
        <f>SUM(StateSenatorSenateDistrict51General[Part of Broome County 
Vote Results])</f>
        <v>1390</v>
      </c>
      <c r="C8" s="24">
        <f>SUM(StateSenatorSenateDistrict51General[Part of Chenango County 
Vote Results])</f>
        <v>1205</v>
      </c>
      <c r="D8" s="24">
        <f>SUM(StateSenatorSenateDistrict51General[Delaware County 
Vote Results])</f>
        <v>2177</v>
      </c>
      <c r="E8" s="24">
        <f>SUM(StateSenatorSenateDistrict51General[Otsego County 
Vote Results])</f>
        <v>3009</v>
      </c>
      <c r="F8" s="24">
        <f>SUM(StateSenatorSenateDistrict51General[Schoharie County 
Vote Results])</f>
        <v>2151</v>
      </c>
      <c r="G8" s="24">
        <f>SUM(StateSenatorSenateDistrict51General[Sullivan County 
Vote Results])</f>
        <v>2386</v>
      </c>
      <c r="H8" s="24">
        <f>SUM(StateSenatorSenateDistrict51General[Part of Ulster County 
Vote Results])</f>
        <v>925</v>
      </c>
      <c r="I8" s="25">
        <f>SUM(StateSenatorSenateDistrict51General[Total Votes by Party])</f>
        <v>13243</v>
      </c>
      <c r="J8" s="28"/>
    </row>
  </sheetData>
  <pageMargins left="0.25" right="0.25" top="0.25" bottom="0.25" header="0.25" footer="0.25"/>
  <pageSetup paperSize="5" scale="86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111E-8685-4C40-BC22-1AD0E8CFF836}">
  <sheetPr>
    <pageSetUpPr fitToPage="1"/>
  </sheetPr>
  <dimension ref="A1:G8"/>
  <sheetViews>
    <sheetView workbookViewId="0">
      <selection activeCell="G3" sqref="G3"/>
    </sheetView>
  </sheetViews>
  <sheetFormatPr defaultRowHeight="12.75" x14ac:dyDescent="0.2"/>
  <cols>
    <col min="1" max="1" width="25.5703125" customWidth="1"/>
    <col min="2" max="6" width="20.5703125" customWidth="1"/>
    <col min="7" max="7" width="20.5703125" style="18" customWidth="1"/>
    <col min="8" max="9" width="23.5703125" customWidth="1"/>
  </cols>
  <sheetData>
    <row r="1" spans="1:7" ht="24.95" customHeight="1" x14ac:dyDescent="0.2">
      <c r="A1" s="17" t="s">
        <v>182</v>
      </c>
    </row>
    <row r="2" spans="1:7" ht="28.5" customHeight="1" x14ac:dyDescent="0.2">
      <c r="A2" s="19" t="s">
        <v>66</v>
      </c>
      <c r="B2" s="20" t="s">
        <v>109</v>
      </c>
      <c r="C2" s="20" t="s">
        <v>126</v>
      </c>
      <c r="D2" s="20" t="s">
        <v>127</v>
      </c>
      <c r="E2" s="20" t="s">
        <v>114</v>
      </c>
      <c r="F2" s="21" t="s">
        <v>63</v>
      </c>
      <c r="G2" s="22" t="s">
        <v>64</v>
      </c>
    </row>
    <row r="3" spans="1:7" s="27" customFormat="1" ht="14.25" customHeight="1" x14ac:dyDescent="0.2">
      <c r="A3" s="23" t="s">
        <v>183</v>
      </c>
      <c r="B3" s="24">
        <v>770</v>
      </c>
      <c r="C3" s="24">
        <v>1006</v>
      </c>
      <c r="D3" s="24">
        <v>2015</v>
      </c>
      <c r="E3" s="24">
        <v>1260</v>
      </c>
      <c r="F3" s="25">
        <f>SUM(StateSenatorSenateDistrict54General[[#This Row],[Livingston County 
Vote Results]:[Wayne County 
Vote Results]])</f>
        <v>5051</v>
      </c>
      <c r="G3" s="54">
        <f>SUM(StateSenatorSenateDistrict54General[[#This Row],[Total Votes by Party]])</f>
        <v>5051</v>
      </c>
    </row>
    <row r="4" spans="1:7" s="27" customFormat="1" ht="14.25" customHeight="1" x14ac:dyDescent="0.2">
      <c r="A4" s="23" t="s">
        <v>184</v>
      </c>
      <c r="B4" s="24">
        <v>782</v>
      </c>
      <c r="C4" s="24">
        <v>1282</v>
      </c>
      <c r="D4" s="24">
        <v>2494</v>
      </c>
      <c r="E4" s="24">
        <v>793</v>
      </c>
      <c r="F4" s="25">
        <f>SUM(StateSenatorSenateDistrict54General[[#This Row],[Livingston County 
Vote Results]:[Wayne County 
Vote Results]])</f>
        <v>5351</v>
      </c>
      <c r="G4" s="26">
        <f>SUM(StateSenatorSenateDistrict54General[[#This Row],[Total Votes by Party]])</f>
        <v>5351</v>
      </c>
    </row>
    <row r="5" spans="1:7" s="27" customFormat="1" ht="14.25" customHeight="1" x14ac:dyDescent="0.2">
      <c r="A5" s="29" t="s">
        <v>69</v>
      </c>
      <c r="B5" s="24">
        <v>31</v>
      </c>
      <c r="C5" s="24">
        <v>107</v>
      </c>
      <c r="D5" s="24">
        <v>79</v>
      </c>
      <c r="E5" s="24">
        <v>60</v>
      </c>
      <c r="F5" s="25">
        <f>SUM(StateSenatorSenateDistrict54General[[#This Row],[Livingston County 
Vote Results]:[Wayne County 
Vote Results]])</f>
        <v>277</v>
      </c>
      <c r="G5" s="28"/>
    </row>
    <row r="6" spans="1:7" s="27" customFormat="1" ht="14.25" customHeight="1" x14ac:dyDescent="0.2">
      <c r="A6" s="29" t="s">
        <v>70</v>
      </c>
      <c r="B6" s="24">
        <v>4</v>
      </c>
      <c r="C6" s="24">
        <v>5</v>
      </c>
      <c r="D6" s="24">
        <v>7</v>
      </c>
      <c r="E6" s="24">
        <v>3</v>
      </c>
      <c r="F6" s="25">
        <f>SUM(StateSenatorSenateDistrict54General[[#This Row],[Livingston County 
Vote Results]:[Wayne County 
Vote Results]])</f>
        <v>19</v>
      </c>
      <c r="G6" s="28"/>
    </row>
    <row r="7" spans="1:7" s="27" customFormat="1" ht="14.25" customHeight="1" x14ac:dyDescent="0.2">
      <c r="A7" s="29" t="s">
        <v>71</v>
      </c>
      <c r="B7" s="24">
        <v>4</v>
      </c>
      <c r="C7" s="24">
        <v>7</v>
      </c>
      <c r="D7" s="24">
        <v>3</v>
      </c>
      <c r="E7" s="24">
        <v>0</v>
      </c>
      <c r="F7" s="25">
        <f>SUM(StateSenatorSenateDistrict54General[[#This Row],[Livingston County 
Vote Results]:[Wayne County 
Vote Results]])</f>
        <v>14</v>
      </c>
      <c r="G7" s="28"/>
    </row>
    <row r="8" spans="1:7" s="27" customFormat="1" ht="14.25" customHeight="1" x14ac:dyDescent="0.2">
      <c r="A8" s="30" t="s">
        <v>1</v>
      </c>
      <c r="B8" s="24">
        <f>SUM(StateSenatorSenateDistrict54General[Livingston County 
Vote Results])</f>
        <v>1591</v>
      </c>
      <c r="C8" s="24">
        <f>SUM(StateSenatorSenateDistrict54General[Part of Monroe County 
Vote Results])</f>
        <v>2407</v>
      </c>
      <c r="D8" s="24">
        <f>SUM(StateSenatorSenateDistrict54General[Ontario County 
Vote Results])</f>
        <v>4598</v>
      </c>
      <c r="E8" s="24">
        <f>SUM(StateSenatorSenateDistrict54General[Wayne County 
Vote Results])</f>
        <v>2116</v>
      </c>
      <c r="F8" s="25">
        <f>SUM(StateSenatorSenateDistrict54General[Total Votes by Party])</f>
        <v>10712</v>
      </c>
      <c r="G8" s="28"/>
    </row>
  </sheetData>
  <pageMargins left="0.25" right="0.25" top="0.25" bottom="0.25" header="0.25" footer="0.25"/>
  <pageSetup paperSize="5" scale="91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A6B4-419C-40E6-952D-9C758E7758AB}">
  <sheetPr>
    <pageSetUpPr fitToPage="1"/>
  </sheetPr>
  <dimension ref="A1:D8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765</v>
      </c>
    </row>
    <row r="2" spans="1:4" ht="28.5" customHeight="1" x14ac:dyDescent="0.2">
      <c r="A2" s="19" t="s">
        <v>66</v>
      </c>
      <c r="B2" s="20" t="s">
        <v>102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763</v>
      </c>
      <c r="B3" s="24">
        <v>10171</v>
      </c>
      <c r="C3" s="25">
        <f>SUM(StateSenatorSenateDistrict61General[[#This Row],[Part of Erie County 
Vote Results]])</f>
        <v>10171</v>
      </c>
      <c r="D3" s="26">
        <f>SUM(StateSenatorSenateDistrict61General[[#This Row],[Total Votes by Party]])</f>
        <v>10171</v>
      </c>
    </row>
    <row r="4" spans="1:4" s="27" customFormat="1" ht="14.25" customHeight="1" x14ac:dyDescent="0.2">
      <c r="A4" s="23" t="s">
        <v>764</v>
      </c>
      <c r="B4" s="24">
        <v>8322</v>
      </c>
      <c r="C4" s="25">
        <f>SUM(StateSenatorSenateDistrict61General[[#This Row],[Part of Erie County 
Vote Results]])</f>
        <v>8322</v>
      </c>
      <c r="D4" s="54">
        <f>SUM(StateSenatorSenateDistrict61General[[#This Row],[Total Votes by Party]])</f>
        <v>8322</v>
      </c>
    </row>
    <row r="5" spans="1:4" s="27" customFormat="1" ht="14.25" customHeight="1" x14ac:dyDescent="0.2">
      <c r="A5" s="29" t="s">
        <v>69</v>
      </c>
      <c r="B5" s="24">
        <v>130</v>
      </c>
      <c r="C5" s="25">
        <f>SUM(StateSenatorSenateDistrict61General[[#This Row],[Part of Erie County 
Vote Results]])</f>
        <v>130</v>
      </c>
      <c r="D5" s="28"/>
    </row>
    <row r="6" spans="1:4" s="27" customFormat="1" ht="14.25" customHeight="1" x14ac:dyDescent="0.2">
      <c r="A6" s="29" t="s">
        <v>70</v>
      </c>
      <c r="B6" s="24">
        <v>42</v>
      </c>
      <c r="C6" s="25">
        <f>SUM(StateSenatorSenateDistrict61General[[#This Row],[Part of Erie County 
Vote Results]])</f>
        <v>42</v>
      </c>
      <c r="D6" s="28"/>
    </row>
    <row r="7" spans="1:4" s="27" customFormat="1" ht="14.25" customHeight="1" x14ac:dyDescent="0.2">
      <c r="A7" s="29" t="s">
        <v>71</v>
      </c>
      <c r="B7" s="24">
        <v>29</v>
      </c>
      <c r="C7" s="25">
        <f>SUM(StateSenatorSenateDistrict61General[[#This Row],[Part of Erie County 
Vote Results]])</f>
        <v>29</v>
      </c>
      <c r="D7" s="28"/>
    </row>
    <row r="8" spans="1:4" s="27" customFormat="1" ht="14.25" customHeight="1" x14ac:dyDescent="0.2">
      <c r="A8" s="30" t="s">
        <v>1</v>
      </c>
      <c r="B8" s="24">
        <f>SUM(StateSenatorSenateDistrict61General[Part of Erie County 
Vote Results])</f>
        <v>18694</v>
      </c>
      <c r="C8" s="25">
        <f>SUM(StateSenatorSenateDistrict61General[Total Votes by Party])</f>
        <v>18694</v>
      </c>
      <c r="D8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4C17-E97C-4D70-BB7F-3F44E1FCDD15}">
  <sheetPr>
    <pageSetUpPr fitToPage="1"/>
  </sheetPr>
  <dimension ref="A1:D23"/>
  <sheetViews>
    <sheetView workbookViewId="0">
      <selection activeCell="D4" sqref="D4"/>
    </sheetView>
  </sheetViews>
  <sheetFormatPr defaultRowHeight="12.75" x14ac:dyDescent="0.2"/>
  <cols>
    <col min="1" max="1" width="29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285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851</v>
      </c>
      <c r="B3" s="31">
        <v>3445</v>
      </c>
      <c r="C3" s="25">
        <f>MemberOfAssemblyAssemblyDistrict23General[[#This Row],[Part of Queens County 
Vote Results]]</f>
        <v>3445</v>
      </c>
      <c r="D3" s="26">
        <f>SUM(MemberOfAssemblyAssemblyDistrict23General[[#This Row],[Total Votes by Party]])</f>
        <v>3445</v>
      </c>
    </row>
    <row r="4" spans="1:4" s="27" customFormat="1" ht="14.25" customHeight="1" x14ac:dyDescent="0.2">
      <c r="A4" s="23" t="s">
        <v>286</v>
      </c>
      <c r="B4" s="31">
        <v>2201</v>
      </c>
      <c r="C4" s="25">
        <f>MemberOfAssemblyAssemblyDistrict23General[[#This Row],[Part of Queens County 
Vote Results]]</f>
        <v>2201</v>
      </c>
      <c r="D4" s="54">
        <f>SUM(MemberOfAssemblyAssemblyDistrict23General[[#This Row],[Total Votes by Party]])</f>
        <v>2201</v>
      </c>
    </row>
    <row r="5" spans="1:4" s="27" customFormat="1" ht="14.25" customHeight="1" x14ac:dyDescent="0.2">
      <c r="A5" s="29" t="s">
        <v>69</v>
      </c>
      <c r="B5" s="24">
        <v>71</v>
      </c>
      <c r="C5" s="25">
        <f>MemberOfAssemblyAssemblyDistrict23General[[#This Row],[Part of Queens County 
Vote Results]]</f>
        <v>71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MemberOfAssemblyAssemblyDistrict23General[[#This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34</v>
      </c>
      <c r="C7" s="25">
        <f>MemberOfAssemblyAssemblyDistrict23General[[#This Row],[Part of Queens County 
Vote Results]]</f>
        <v>34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SUM(MemberOfAssemblyAssemblyDistrict23General[Part of Queens County 
Vote Results])</f>
        <v>5751</v>
      </c>
      <c r="C8" s="25">
        <f>SUM(MemberOfAssemblyAssemblyDistrict23General[Total Votes by Party])</f>
        <v>5751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A56B-5D17-43EB-AFC0-4825FB357233}">
  <sheetPr>
    <pageSetUpPr fitToPage="1"/>
  </sheetPr>
  <dimension ref="A1:D23"/>
  <sheetViews>
    <sheetView workbookViewId="0">
      <selection activeCell="D4" sqref="D4"/>
    </sheetView>
  </sheetViews>
  <sheetFormatPr defaultRowHeight="12.75" x14ac:dyDescent="0.2"/>
  <cols>
    <col min="1" max="1" width="33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287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852</v>
      </c>
      <c r="B3" s="31">
        <v>809</v>
      </c>
      <c r="C3" s="25">
        <f>MemberOfAssemblyAssemblyDistrict26General[[#This Row],[Part of Queens County 
Vote Results]]</f>
        <v>809</v>
      </c>
      <c r="D3" s="26">
        <f>SUM(MemberOfAssemblyAssemblyDistrict26General[[#This Row],[Total Votes by Party]])</f>
        <v>809</v>
      </c>
    </row>
    <row r="4" spans="1:4" s="27" customFormat="1" ht="14.25" customHeight="1" x14ac:dyDescent="0.2">
      <c r="A4" s="23" t="s">
        <v>288</v>
      </c>
      <c r="B4" s="31">
        <v>491</v>
      </c>
      <c r="C4" s="25">
        <f>MemberOfAssemblyAssemblyDistrict26General[[#This Row],[Part of Queens County 
Vote Results]]</f>
        <v>491</v>
      </c>
      <c r="D4" s="54">
        <f>SUM(MemberOfAssemblyAssemblyDistrict26General[[#This Row],[Total Votes by Party]])</f>
        <v>491</v>
      </c>
    </row>
    <row r="5" spans="1:4" s="27" customFormat="1" ht="14.25" customHeight="1" x14ac:dyDescent="0.2">
      <c r="A5" s="29" t="s">
        <v>69</v>
      </c>
      <c r="B5" s="24">
        <v>69</v>
      </c>
      <c r="C5" s="25">
        <f>MemberOfAssemblyAssemblyDistrict26General[[#This Row],[Part of Queens County 
Vote Results]]</f>
        <v>69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MemberOfAssemblyAssemblyDistrict26General[[#This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9</v>
      </c>
      <c r="C7" s="25">
        <f>MemberOfAssemblyAssemblyDistrict26General[[#This Row],[Part of Queens County 
Vote Results]]</f>
        <v>9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SUM(MemberOfAssemblyAssemblyDistrict26General[Part of Queens County 
Vote Results])</f>
        <v>1378</v>
      </c>
      <c r="C8" s="25">
        <f>SUM(MemberOfAssemblyAssemblyDistrict26General[Total Votes by Party])</f>
        <v>1378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47BA-4101-4762-854A-7B67703704EF}">
  <sheetPr>
    <pageSetUpPr fitToPage="1"/>
  </sheetPr>
  <dimension ref="A1:F10"/>
  <sheetViews>
    <sheetView zoomScaleNormal="100" zoomScaleSheetLayoutView="110" workbookViewId="0">
      <selection activeCell="F4" sqref="F4"/>
    </sheetView>
  </sheetViews>
  <sheetFormatPr defaultRowHeight="12.75" x14ac:dyDescent="0.2"/>
  <cols>
    <col min="1" max="1" width="25.5703125" customWidth="1"/>
    <col min="2" max="5" width="20.5703125" customWidth="1"/>
    <col min="6" max="6" width="20.5703125" style="18" customWidth="1"/>
    <col min="7" max="8" width="23.5703125" customWidth="1"/>
  </cols>
  <sheetData>
    <row r="1" spans="1:6" ht="24.95" customHeight="1" x14ac:dyDescent="0.2">
      <c r="A1" s="17" t="s">
        <v>206</v>
      </c>
    </row>
    <row r="2" spans="1:6" ht="28.5" customHeight="1" x14ac:dyDescent="0.2">
      <c r="A2" s="19" t="s">
        <v>66</v>
      </c>
      <c r="B2" s="20" t="s">
        <v>67</v>
      </c>
      <c r="C2" s="20" t="s">
        <v>72</v>
      </c>
      <c r="D2" s="20" t="s">
        <v>858</v>
      </c>
      <c r="E2" s="21" t="s">
        <v>63</v>
      </c>
      <c r="F2" s="22" t="s">
        <v>64</v>
      </c>
    </row>
    <row r="3" spans="1:6" s="27" customFormat="1" ht="14.25" customHeight="1" x14ac:dyDescent="0.2">
      <c r="A3" s="23" t="s">
        <v>140</v>
      </c>
      <c r="B3" s="24">
        <v>9133</v>
      </c>
      <c r="C3" s="24">
        <v>1551</v>
      </c>
      <c r="D3" s="31">
        <v>393</v>
      </c>
      <c r="E3" s="25">
        <f>SUM(B3:D3)</f>
        <v>11077</v>
      </c>
      <c r="F3" s="26">
        <f>SUM(RepInCongressCongressionalDistrict3General5[[#This Row],[Total Votes by Party]])</f>
        <v>11077</v>
      </c>
    </row>
    <row r="4" spans="1:6" s="27" customFormat="1" ht="14.25" customHeight="1" x14ac:dyDescent="0.2">
      <c r="A4" s="23" t="s">
        <v>141</v>
      </c>
      <c r="B4" s="24">
        <v>1862</v>
      </c>
      <c r="C4" s="24">
        <v>352</v>
      </c>
      <c r="D4" s="31">
        <v>111</v>
      </c>
      <c r="E4" s="25">
        <f>SUM(B4:D4)</f>
        <v>2325</v>
      </c>
      <c r="F4" s="54">
        <f>SUM(RepInCongressCongressionalDistrict3General5[[#This Row],[Total Votes by Party]])</f>
        <v>2325</v>
      </c>
    </row>
    <row r="5" spans="1:6" s="27" customFormat="1" ht="14.25" customHeight="1" x14ac:dyDescent="0.2">
      <c r="A5" s="29" t="s">
        <v>69</v>
      </c>
      <c r="B5" s="24">
        <v>35</v>
      </c>
      <c r="C5" s="24">
        <v>57</v>
      </c>
      <c r="D5" s="31">
        <v>4</v>
      </c>
      <c r="E5" s="25">
        <f>SUM(B5:D5)</f>
        <v>96</v>
      </c>
      <c r="F5" s="28"/>
    </row>
    <row r="6" spans="1:6" s="27" customFormat="1" ht="14.25" customHeight="1" x14ac:dyDescent="0.2">
      <c r="A6" s="29" t="s">
        <v>70</v>
      </c>
      <c r="B6" s="24">
        <v>159</v>
      </c>
      <c r="C6" s="24"/>
      <c r="D6" s="31">
        <v>1</v>
      </c>
      <c r="E6" s="25">
        <f t="shared" ref="E6:E7" si="0">SUM(B6:D6)</f>
        <v>160</v>
      </c>
      <c r="F6" s="28"/>
    </row>
    <row r="7" spans="1:6" s="27" customFormat="1" ht="14.25" customHeight="1" x14ac:dyDescent="0.2">
      <c r="A7" s="29" t="s">
        <v>71</v>
      </c>
      <c r="B7" s="24">
        <v>97</v>
      </c>
      <c r="C7" s="24">
        <v>14</v>
      </c>
      <c r="D7" s="31">
        <v>9</v>
      </c>
      <c r="E7" s="25">
        <f t="shared" si="0"/>
        <v>120</v>
      </c>
      <c r="F7" s="28"/>
    </row>
    <row r="8" spans="1:6" s="27" customFormat="1" ht="14.25" customHeight="1" x14ac:dyDescent="0.2">
      <c r="A8" s="29" t="s">
        <v>1</v>
      </c>
      <c r="B8" s="32">
        <f>SUM(RepInCongressCongressionalDistrict3General5[Part of Nassau County 
Vote Results])</f>
        <v>11286</v>
      </c>
      <c r="C8" s="32">
        <f>SUM(RepInCongressCongressionalDistrict3General5[Part of Queens County 
Vote Results])</f>
        <v>1974</v>
      </c>
      <c r="D8" s="32">
        <f>SUM(RepInCongressCongressionalDistrict3General5[Part of Suffolk County
Vote Results])</f>
        <v>518</v>
      </c>
      <c r="E8" s="25">
        <f>SUM(RepInCongressCongressionalDistrict3General5[Total Votes by Party])</f>
        <v>13778</v>
      </c>
      <c r="F8" s="28"/>
    </row>
    <row r="9" spans="1:6" x14ac:dyDescent="0.2">
      <c r="D9" s="27"/>
    </row>
    <row r="10" spans="1:6" x14ac:dyDescent="0.2">
      <c r="D10" s="2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E3:E7" calculatedColumn="1"/>
  </ignoredErrors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A60B-E192-46C8-B723-D5E534CAD1B9}">
  <sheetPr>
    <pageSetUpPr fitToPage="1"/>
  </sheetPr>
  <dimension ref="A1:D25"/>
  <sheetViews>
    <sheetView workbookViewId="0">
      <selection activeCell="D4" sqref="D4"/>
    </sheetView>
  </sheetViews>
  <sheetFormatPr defaultRowHeight="12.75" x14ac:dyDescent="0.2"/>
  <cols>
    <col min="1" max="1" width="27.42578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289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290</v>
      </c>
      <c r="B3" s="31">
        <v>7096</v>
      </c>
      <c r="C3" s="25">
        <f>MemberOfAssemblyAssemblyDistrict28General[[#This Row],[Part of Queens County 
Vote Results]]</f>
        <v>7096</v>
      </c>
      <c r="D3" s="26">
        <f>SUM(MemberOfAssemblyAssemblyDistrict28General[[#This Row],[Total Votes by Party]])</f>
        <v>7096</v>
      </c>
    </row>
    <row r="4" spans="1:4" s="27" customFormat="1" ht="14.25" customHeight="1" x14ac:dyDescent="0.2">
      <c r="A4" s="23" t="s">
        <v>291</v>
      </c>
      <c r="B4" s="31">
        <v>944</v>
      </c>
      <c r="C4" s="25">
        <f>MemberOfAssemblyAssemblyDistrict28General[[#This Row],[Part of Queens County 
Vote Results]]</f>
        <v>944</v>
      </c>
      <c r="D4" s="54">
        <f>SUM(MemberOfAssemblyAssemblyDistrict28General[[#This Row],[Total Votes by Party]])</f>
        <v>944</v>
      </c>
    </row>
    <row r="5" spans="1:4" s="27" customFormat="1" ht="14.25" customHeight="1" x14ac:dyDescent="0.2">
      <c r="A5" s="29" t="s">
        <v>69</v>
      </c>
      <c r="B5" s="24">
        <v>499</v>
      </c>
      <c r="C5" s="25">
        <f>MemberOfAssemblyAssemblyDistrict28General[[#This Row],[Part of Queens County 
Vote Results]]</f>
        <v>499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MemberOfAssemblyAssemblyDistrict28General[[#This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41</v>
      </c>
      <c r="C7" s="25">
        <f>MemberOfAssemblyAssemblyDistrict28General[[#This Row],[Part of Queens County 
Vote Results]]</f>
        <v>41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SUM(MemberOfAssemblyAssemblyDistrict28General[Part of Queens County 
Vote Results])</f>
        <v>8580</v>
      </c>
      <c r="C8" s="25">
        <f>SUM(MemberOfAssemblyAssemblyDistrict28General[Total Votes by Party])</f>
        <v>8580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A12E-E6D0-4372-AB2D-7F546BEB845C}">
  <sheetPr>
    <pageSetUpPr fitToPage="1"/>
  </sheetPr>
  <dimension ref="A1:D27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292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293</v>
      </c>
      <c r="B3" s="31">
        <v>718</v>
      </c>
      <c r="C3" s="25">
        <f>MemberOfAssemblyAssemblyDistrict30General[[#This Row],[Part of Queens County 
Vote Results]]</f>
        <v>718</v>
      </c>
      <c r="D3" s="54">
        <f>SUM(MemberOfAssemblyAssemblyDistrict30General[[#This Row],[Total Votes by Party]])</f>
        <v>718</v>
      </c>
    </row>
    <row r="4" spans="1:4" s="27" customFormat="1" ht="14.25" customHeight="1" x14ac:dyDescent="0.2">
      <c r="A4" s="23" t="s">
        <v>294</v>
      </c>
      <c r="B4" s="31">
        <v>2784</v>
      </c>
      <c r="C4" s="25">
        <f>MemberOfAssemblyAssemblyDistrict30General[[#This Row],[Part of Queens County 
Vote Results]]</f>
        <v>2784</v>
      </c>
      <c r="D4" s="26">
        <f>SUM(MemberOfAssemblyAssemblyDistrict30General[[#This Row],[Total Votes by Party]])</f>
        <v>2784</v>
      </c>
    </row>
    <row r="5" spans="1:4" s="27" customFormat="1" ht="14.25" customHeight="1" x14ac:dyDescent="0.2">
      <c r="A5" s="23" t="s">
        <v>295</v>
      </c>
      <c r="B5" s="31">
        <v>2777</v>
      </c>
      <c r="C5" s="25">
        <f>MemberOfAssemblyAssemblyDistrict30General[[#This Row],[Part of Queens County 
Vote Results]]</f>
        <v>2777</v>
      </c>
      <c r="D5" s="54">
        <f>SUM(MemberOfAssemblyAssemblyDistrict30General[[#This Row],[Total Votes by Party]])</f>
        <v>2777</v>
      </c>
    </row>
    <row r="6" spans="1:4" s="27" customFormat="1" ht="14.25" customHeight="1" x14ac:dyDescent="0.2">
      <c r="A6" s="29" t="s">
        <v>69</v>
      </c>
      <c r="B6" s="24">
        <v>250</v>
      </c>
      <c r="C6" s="25">
        <f>MemberOfAssemblyAssemblyDistrict30General[[#This Row],[Part of Queens County 
Vote Results]]</f>
        <v>250</v>
      </c>
      <c r="D6" s="28"/>
    </row>
    <row r="7" spans="1:4" s="27" customFormat="1" ht="14.25" customHeight="1" x14ac:dyDescent="0.2">
      <c r="A7" s="29" t="s">
        <v>70</v>
      </c>
      <c r="B7" s="24"/>
      <c r="C7" s="25">
        <f>MemberOfAssemblyAssemblyDistrict30General[[#This Row],[Part of Queens County 
Vote Results]]</f>
        <v>0</v>
      </c>
      <c r="D7" s="28"/>
    </row>
    <row r="8" spans="1:4" s="27" customFormat="1" ht="14.25" customHeight="1" x14ac:dyDescent="0.2">
      <c r="A8" s="29" t="s">
        <v>71</v>
      </c>
      <c r="B8" s="24">
        <v>26</v>
      </c>
      <c r="C8" s="25">
        <f>MemberOfAssemblyAssemblyDistrict30General[[#This Row],[Part of Queens County 
Vote Results]]</f>
        <v>26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SUM(MemberOfAssemblyAssemblyDistrict30General[Part of Queens County 
Vote Results])</f>
        <v>6555</v>
      </c>
      <c r="C9" s="25">
        <f>SUM(MemberOfAssemblyAssemblyDistrict30General[Total Votes by Party])</f>
        <v>6555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AFFC-48BB-422D-9B55-D0FFFF5D0763}">
  <sheetPr>
    <pageSetUpPr fitToPage="1"/>
  </sheetPr>
  <dimension ref="A1:D29"/>
  <sheetViews>
    <sheetView workbookViewId="0">
      <selection activeCell="E24" sqref="E2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854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296</v>
      </c>
      <c r="B3" s="31">
        <v>799</v>
      </c>
      <c r="C3" s="25">
        <f>MemberOfAssemblyAssemblyDistrict32General[[#This Row],[Part of Queens County 
Vote Results]]</f>
        <v>799</v>
      </c>
      <c r="D3" s="54">
        <f>SUM(MemberOfAssemblyAssemblyDistrict32General[[#This Row],[Total Votes by Party]])</f>
        <v>799</v>
      </c>
    </row>
    <row r="4" spans="1:4" s="27" customFormat="1" ht="14.25" customHeight="1" x14ac:dyDescent="0.2">
      <c r="A4" s="23" t="s">
        <v>297</v>
      </c>
      <c r="B4" s="31">
        <v>1425</v>
      </c>
      <c r="C4" s="25">
        <f>MemberOfAssemblyAssemblyDistrict32General[[#This Row],[Part of Queens County 
Vote Results]]</f>
        <v>1425</v>
      </c>
      <c r="D4" s="54">
        <f>SUM(MemberOfAssemblyAssemblyDistrict32General[[#This Row],[Total Votes by Party]])</f>
        <v>1425</v>
      </c>
    </row>
    <row r="5" spans="1:4" s="27" customFormat="1" ht="14.25" customHeight="1" x14ac:dyDescent="0.2">
      <c r="A5" s="23" t="s">
        <v>298</v>
      </c>
      <c r="B5" s="31">
        <v>733</v>
      </c>
      <c r="C5" s="25">
        <f>MemberOfAssemblyAssemblyDistrict32General[[#This Row],[Part of Queens County 
Vote Results]]</f>
        <v>733</v>
      </c>
      <c r="D5" s="54">
        <f>SUM(MemberOfAssemblyAssemblyDistrict32General[[#This Row],[Total Votes by Party]])</f>
        <v>733</v>
      </c>
    </row>
    <row r="6" spans="1:4" s="27" customFormat="1" ht="14.25" customHeight="1" x14ac:dyDescent="0.2">
      <c r="A6" s="23" t="s">
        <v>299</v>
      </c>
      <c r="B6" s="31">
        <v>539</v>
      </c>
      <c r="C6" s="25">
        <f>MemberOfAssemblyAssemblyDistrict32General[[#This Row],[Part of Queens County 
Vote Results]]</f>
        <v>539</v>
      </c>
      <c r="D6" s="54">
        <f>SUM(MemberOfAssemblyAssemblyDistrict32General[[#This Row],[Total Votes by Party]])</f>
        <v>539</v>
      </c>
    </row>
    <row r="7" spans="1:4" s="27" customFormat="1" ht="14.25" customHeight="1" x14ac:dyDescent="0.2">
      <c r="A7" s="23" t="s">
        <v>873</v>
      </c>
      <c r="B7" s="31">
        <v>3783</v>
      </c>
      <c r="C7" s="25">
        <f>MemberOfAssemblyAssemblyDistrict32General[[#This Row],[Part of Queens County 
Vote Results]]</f>
        <v>3783</v>
      </c>
      <c r="D7" s="26">
        <f>SUM(MemberOfAssemblyAssemblyDistrict32General[[#This Row],[Total Votes by Party]])</f>
        <v>3783</v>
      </c>
    </row>
    <row r="8" spans="1:4" s="27" customFormat="1" ht="14.25" customHeight="1" x14ac:dyDescent="0.2">
      <c r="A8" s="29" t="s">
        <v>69</v>
      </c>
      <c r="B8" s="24">
        <v>65</v>
      </c>
      <c r="C8" s="25">
        <f>MemberOfAssemblyAssemblyDistrict32General[[#This Row],[Part of Queens County 
Vote Results]]</f>
        <v>65</v>
      </c>
      <c r="D8" s="28"/>
    </row>
    <row r="9" spans="1:4" s="27" customFormat="1" ht="14.25" customHeight="1" x14ac:dyDescent="0.2">
      <c r="A9" s="29" t="s">
        <v>70</v>
      </c>
      <c r="B9" s="24"/>
      <c r="C9" s="25">
        <f>MemberOfAssemblyAssemblyDistrict32General[[#This Row],[Part of Queens County 
Vote Results]]</f>
        <v>0</v>
      </c>
      <c r="D9" s="28"/>
    </row>
    <row r="10" spans="1:4" s="27" customFormat="1" ht="14.25" customHeight="1" x14ac:dyDescent="0.2">
      <c r="A10" s="29" t="s">
        <v>71</v>
      </c>
      <c r="B10" s="24">
        <v>17</v>
      </c>
      <c r="C10" s="25">
        <f>MemberOfAssemblyAssemblyDistrict32General[[#This Row],[Part of Queens County 
Vote Results]]</f>
        <v>17</v>
      </c>
      <c r="D10" s="28"/>
    </row>
    <row r="11" spans="1:4" s="27" customFormat="1" ht="14.25" customHeight="1" x14ac:dyDescent="0.2">
      <c r="A11" s="30" t="s">
        <v>1</v>
      </c>
      <c r="B11" s="24">
        <f>SUM(MemberOfAssemblyAssemblyDistrict32General[Part of Queens County 
Vote Results])</f>
        <v>7361</v>
      </c>
      <c r="C11" s="25">
        <f>SUM(MemberOfAssemblyAssemblyDistrict32General[Total Votes by Party])</f>
        <v>7361</v>
      </c>
      <c r="D11" s="28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57EF-CBA2-4283-99EB-CE38326F5F23}">
  <sheetPr>
    <pageSetUpPr fitToPage="1"/>
  </sheetPr>
  <dimension ref="A1:D26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300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301</v>
      </c>
      <c r="B3" s="31">
        <v>1502</v>
      </c>
      <c r="C3" s="25">
        <f>MemberOfAssemblyAssemblyDistrict33General[[#This Row],[Part of Queens County 
Vote Results]]</f>
        <v>1502</v>
      </c>
      <c r="D3" s="54">
        <f>SUM(MemberOfAssemblyAssemblyDistrict33General[[#This Row],[Total Votes by Party]])</f>
        <v>1502</v>
      </c>
    </row>
    <row r="4" spans="1:4" s="27" customFormat="1" ht="14.25" customHeight="1" x14ac:dyDescent="0.2">
      <c r="A4" s="23" t="s">
        <v>302</v>
      </c>
      <c r="B4" s="31">
        <v>3710</v>
      </c>
      <c r="C4" s="25">
        <f>MemberOfAssemblyAssemblyDistrict33General[[#This Row],[Part of Queens County 
Vote Results]]</f>
        <v>3710</v>
      </c>
      <c r="D4" s="26">
        <f>SUM(MemberOfAssemblyAssemblyDistrict33General[[#This Row],[Total Votes by Party]])</f>
        <v>3710</v>
      </c>
    </row>
    <row r="5" spans="1:4" s="27" customFormat="1" ht="14.25" customHeight="1" x14ac:dyDescent="0.2">
      <c r="A5" s="29" t="s">
        <v>69</v>
      </c>
      <c r="B5" s="24">
        <v>154</v>
      </c>
      <c r="C5" s="25">
        <f>MemberOfAssemblyAssemblyDistrict33General[[#This Row],[Part of Queens County 
Vote Results]]</f>
        <v>154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MemberOfAssemblyAssemblyDistrict33General[[#This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23</v>
      </c>
      <c r="C7" s="25">
        <f>MemberOfAssemblyAssemblyDistrict33General[[#This Row],[Part of Queens County 
Vote Results]]</f>
        <v>23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SUM(MemberOfAssemblyAssemblyDistrict33General[Part of Queens County 
Vote Results])</f>
        <v>5389</v>
      </c>
      <c r="C8" s="25">
        <f>SUM(MemberOfAssemblyAssemblyDistrict33General[Total Votes by Party])</f>
        <v>5389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5FE7-F194-4E45-B5CF-3CD58CB6182F}">
  <sheetPr>
    <pageSetUpPr fitToPage="1"/>
  </sheetPr>
  <dimension ref="A1:D23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303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304</v>
      </c>
      <c r="B3" s="31">
        <v>5064</v>
      </c>
      <c r="C3" s="25">
        <f>MemberOfAssemblyAssemblyDistrict34General[[#This Row],[Part of Queens County 
Vote Results]]</f>
        <v>5064</v>
      </c>
      <c r="D3" s="26">
        <f>SUM(MemberOfAssemblyAssemblyDistrict34General[[#This Row],[Total Votes by Party]])</f>
        <v>5064</v>
      </c>
    </row>
    <row r="4" spans="1:4" s="27" customFormat="1" ht="14.25" customHeight="1" x14ac:dyDescent="0.2">
      <c r="A4" s="23" t="s">
        <v>305</v>
      </c>
      <c r="B4" s="31">
        <v>2436</v>
      </c>
      <c r="C4" s="25">
        <f>MemberOfAssemblyAssemblyDistrict34General[[#This Row],[Part of Queens County 
Vote Results]]</f>
        <v>2436</v>
      </c>
      <c r="D4" s="54">
        <f>SUM(MemberOfAssemblyAssemblyDistrict34General[[#This Row],[Total Votes by Party]])</f>
        <v>2436</v>
      </c>
    </row>
    <row r="5" spans="1:4" s="27" customFormat="1" ht="14.25" customHeight="1" x14ac:dyDescent="0.2">
      <c r="A5" s="29" t="s">
        <v>69</v>
      </c>
      <c r="B5" s="24">
        <v>605</v>
      </c>
      <c r="C5" s="25">
        <f>MemberOfAssemblyAssemblyDistrict34General[[#This Row],[Part of Queens County 
Vote Results]]</f>
        <v>605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MemberOfAssemblyAssemblyDistrict34General[[#This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63</v>
      </c>
      <c r="C7" s="25">
        <f>MemberOfAssemblyAssemblyDistrict34General[[#This Row],[Part of Queens County 
Vote Results]]</f>
        <v>63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SUM(MemberOfAssemblyAssemblyDistrict34General[Part of Queens County 
Vote Results])</f>
        <v>8168</v>
      </c>
      <c r="C8" s="25">
        <f>SUM(MemberOfAssemblyAssemblyDistrict34General[Total Votes by Party])</f>
        <v>8168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2D6F-B12E-4BC3-8020-1161B65740B6}">
  <sheetPr>
    <pageSetUpPr fitToPage="1"/>
  </sheetPr>
  <dimension ref="A1:D27"/>
  <sheetViews>
    <sheetView workbookViewId="0">
      <selection activeCell="E27" sqref="E27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306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307</v>
      </c>
      <c r="B3" s="31">
        <v>2045</v>
      </c>
      <c r="C3" s="25">
        <f>MemberOfAssemblyAssemblyDistrict36General[[#This Row],[Part of Queens County 
Vote Results]]</f>
        <v>2045</v>
      </c>
      <c r="D3" s="54">
        <f>SUM(MemberOfAssemblyAssemblyDistrict36General[[#This Row],[Total Votes by Party]])</f>
        <v>2045</v>
      </c>
    </row>
    <row r="4" spans="1:4" s="27" customFormat="1" ht="14.25" customHeight="1" x14ac:dyDescent="0.2">
      <c r="A4" s="23" t="s">
        <v>853</v>
      </c>
      <c r="B4" s="31">
        <v>490</v>
      </c>
      <c r="C4" s="25">
        <f>MemberOfAssemblyAssemblyDistrict36General[[#This Row],[Part of Queens County 
Vote Results]]</f>
        <v>490</v>
      </c>
      <c r="D4" s="54">
        <f>SUM(MemberOfAssemblyAssemblyDistrict36General[[#This Row],[Total Votes by Party]])</f>
        <v>490</v>
      </c>
    </row>
    <row r="5" spans="1:4" s="27" customFormat="1" ht="14.25" customHeight="1" x14ac:dyDescent="0.2">
      <c r="A5" s="23" t="s">
        <v>308</v>
      </c>
      <c r="B5" s="31">
        <v>9386</v>
      </c>
      <c r="C5" s="25">
        <f>MemberOfAssemblyAssemblyDistrict36General[[#This Row],[Part of Queens County 
Vote Results]]</f>
        <v>9386</v>
      </c>
      <c r="D5" s="26">
        <f>SUM(MemberOfAssemblyAssemblyDistrict36General[[#This Row],[Total Votes by Party]])</f>
        <v>9386</v>
      </c>
    </row>
    <row r="6" spans="1:4" s="27" customFormat="1" ht="14.25" customHeight="1" x14ac:dyDescent="0.2">
      <c r="A6" s="29" t="s">
        <v>69</v>
      </c>
      <c r="B6" s="24">
        <v>244</v>
      </c>
      <c r="C6" s="25">
        <f>MemberOfAssemblyAssemblyDistrict36General[[#This Row],[Part of Queens County 
Vote Results]]</f>
        <v>244</v>
      </c>
      <c r="D6" s="28"/>
    </row>
    <row r="7" spans="1:4" s="27" customFormat="1" ht="14.25" customHeight="1" x14ac:dyDescent="0.2">
      <c r="A7" s="29" t="s">
        <v>70</v>
      </c>
      <c r="B7" s="24"/>
      <c r="C7" s="25">
        <f>MemberOfAssemblyAssemblyDistrict36General[[#This Row],[Part of Queens County 
Vote Results]]</f>
        <v>0</v>
      </c>
      <c r="D7" s="28"/>
    </row>
    <row r="8" spans="1:4" s="27" customFormat="1" ht="14.25" customHeight="1" x14ac:dyDescent="0.2">
      <c r="A8" s="29" t="s">
        <v>71</v>
      </c>
      <c r="B8" s="24">
        <v>55</v>
      </c>
      <c r="C8" s="25">
        <f>MemberOfAssemblyAssemblyDistrict36General[[#This Row],[Part of Queens County 
Vote Results]]</f>
        <v>55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SUM(MemberOfAssemblyAssemblyDistrict36General[Part of Queens County 
Vote Results])</f>
        <v>12220</v>
      </c>
      <c r="C9" s="25">
        <f>SUM(MemberOfAssemblyAssemblyDistrict36General[Total Votes by Party])</f>
        <v>12220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E899-D916-4D1E-88FA-CB60B08796D4}">
  <sheetPr>
    <pageSetUpPr fitToPage="1"/>
  </sheetPr>
  <dimension ref="A1:E27"/>
  <sheetViews>
    <sheetView workbookViewId="0">
      <selection activeCell="D24" sqref="D24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309</v>
      </c>
    </row>
    <row r="2" spans="1:5" ht="28.5" customHeight="1" x14ac:dyDescent="0.2">
      <c r="A2" s="19" t="s">
        <v>66</v>
      </c>
      <c r="B2" s="20" t="s">
        <v>216</v>
      </c>
      <c r="C2" s="20" t="s">
        <v>72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310</v>
      </c>
      <c r="B3" s="31">
        <v>0</v>
      </c>
      <c r="C3" s="31">
        <v>8031</v>
      </c>
      <c r="D3" s="25">
        <f>SUM(B3:C3)</f>
        <v>8031</v>
      </c>
      <c r="E3" s="26">
        <f>SUM(MemberOfAssemblyAssemblyDistrict37General[[#This Row],[Total Votes by Party]])</f>
        <v>8031</v>
      </c>
    </row>
    <row r="4" spans="1:5" s="27" customFormat="1" ht="14.25" customHeight="1" x14ac:dyDescent="0.2">
      <c r="A4" s="23" t="s">
        <v>311</v>
      </c>
      <c r="B4" s="31">
        <v>0</v>
      </c>
      <c r="C4" s="24">
        <v>1904</v>
      </c>
      <c r="D4" s="25">
        <f>SUM(B4:C4)</f>
        <v>1904</v>
      </c>
      <c r="E4" s="54">
        <f>SUM(MemberOfAssemblyAssemblyDistrict37General[[#This Row],[Total Votes by Party]])</f>
        <v>1904</v>
      </c>
    </row>
    <row r="5" spans="1:5" s="27" customFormat="1" ht="14.25" customHeight="1" x14ac:dyDescent="0.2">
      <c r="A5" s="23" t="s">
        <v>312</v>
      </c>
      <c r="B5" s="31">
        <v>0</v>
      </c>
      <c r="C5" s="24">
        <v>2028</v>
      </c>
      <c r="D5" s="25">
        <f>SUM(B5:C5)</f>
        <v>2028</v>
      </c>
      <c r="E5" s="54">
        <f>SUM(MemberOfAssemblyAssemblyDistrict37General[[#This Row],[Total Votes by Party]])</f>
        <v>2028</v>
      </c>
    </row>
    <row r="6" spans="1:5" s="27" customFormat="1" ht="14.25" customHeight="1" x14ac:dyDescent="0.2">
      <c r="A6" s="29" t="s">
        <v>69</v>
      </c>
      <c r="B6" s="24">
        <v>0</v>
      </c>
      <c r="C6" s="24">
        <v>442</v>
      </c>
      <c r="D6" s="25">
        <f t="shared" ref="D6:D8" si="0">SUM(B6:C6)</f>
        <v>442</v>
      </c>
      <c r="E6" s="28"/>
    </row>
    <row r="7" spans="1:5" s="27" customFormat="1" ht="14.25" customHeight="1" x14ac:dyDescent="0.2">
      <c r="A7" s="29" t="s">
        <v>70</v>
      </c>
      <c r="B7" s="24"/>
      <c r="C7" s="24"/>
      <c r="D7" s="25">
        <f t="shared" si="0"/>
        <v>0</v>
      </c>
      <c r="E7" s="28"/>
    </row>
    <row r="8" spans="1:5" s="27" customFormat="1" ht="14.25" customHeight="1" x14ac:dyDescent="0.2">
      <c r="A8" s="29" t="s">
        <v>71</v>
      </c>
      <c r="B8" s="24">
        <v>0</v>
      </c>
      <c r="C8" s="24">
        <v>46</v>
      </c>
      <c r="D8" s="25">
        <f t="shared" si="0"/>
        <v>46</v>
      </c>
      <c r="E8" s="28"/>
    </row>
    <row r="9" spans="1:5" s="27" customFormat="1" ht="14.25" customHeight="1" x14ac:dyDescent="0.2">
      <c r="A9" s="30" t="s">
        <v>1</v>
      </c>
      <c r="B9" s="24">
        <f>SUM(MemberOfAssemblyAssemblyDistrict37General[Part of New York County 
Vote Results])</f>
        <v>0</v>
      </c>
      <c r="C9" s="24">
        <f>SUM(MemberOfAssemblyAssemblyDistrict37General[Part of Queens County 
Vote Results])</f>
        <v>12451</v>
      </c>
      <c r="D9" s="25">
        <f>SUM(MemberOfAssemblyAssemblyDistrict37General[Total Votes by Party])</f>
        <v>12451</v>
      </c>
      <c r="E9" s="28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  <row r="22" spans="5:5" s="27" customFormat="1" ht="14.25" customHeight="1" x14ac:dyDescent="0.2">
      <c r="E22" s="37"/>
    </row>
    <row r="23" spans="5:5" s="27" customFormat="1" ht="14.25" customHeight="1" x14ac:dyDescent="0.2">
      <c r="E23" s="37"/>
    </row>
    <row r="24" spans="5:5" s="27" customFormat="1" ht="14.25" customHeight="1" x14ac:dyDescent="0.2">
      <c r="E24" s="37"/>
    </row>
    <row r="25" spans="5:5" s="27" customFormat="1" ht="14.25" customHeight="1" x14ac:dyDescent="0.2">
      <c r="E25" s="37"/>
    </row>
    <row r="26" spans="5:5" s="27" customFormat="1" ht="14.25" customHeight="1" x14ac:dyDescent="0.2">
      <c r="E26" s="37"/>
    </row>
    <row r="27" spans="5:5" s="27" customFormat="1" ht="14.25" customHeight="1" x14ac:dyDescent="0.2">
      <c r="E27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8" calculatedColumn="1"/>
  </ignoredErrors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4E5ED-D951-4333-B0FA-6348E8209439}">
  <sheetPr>
    <pageSetUpPr fitToPage="1"/>
  </sheetPr>
  <dimension ref="A1:D23"/>
  <sheetViews>
    <sheetView workbookViewId="0">
      <selection activeCell="D4" sqref="D4"/>
    </sheetView>
  </sheetViews>
  <sheetFormatPr defaultRowHeight="12.75" x14ac:dyDescent="0.2"/>
  <cols>
    <col min="1" max="1" width="27.710937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313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314</v>
      </c>
      <c r="B3" s="31">
        <v>3861</v>
      </c>
      <c r="C3" s="25">
        <f>MemberOfAssemblyAssemblyDistrict38General[[#This Row],[Part of Queens County 
Vote Results]]</f>
        <v>3861</v>
      </c>
      <c r="D3" s="26">
        <f>SUM(MemberOfAssemblyAssemblyDistrict38General[[#This Row],[Total Votes by Party]])</f>
        <v>3861</v>
      </c>
    </row>
    <row r="4" spans="1:4" s="27" customFormat="1" ht="14.25" customHeight="1" x14ac:dyDescent="0.2">
      <c r="A4" s="23" t="s">
        <v>315</v>
      </c>
      <c r="B4" s="31">
        <v>2649</v>
      </c>
      <c r="C4" s="25">
        <f>MemberOfAssemblyAssemblyDistrict38General[[#This Row],[Part of Queens County 
Vote Results]]</f>
        <v>2649</v>
      </c>
      <c r="D4" s="54">
        <f>SUM(MemberOfAssemblyAssemblyDistrict38General[[#This Row],[Total Votes by Party]])</f>
        <v>2649</v>
      </c>
    </row>
    <row r="5" spans="1:4" s="27" customFormat="1" ht="14.25" customHeight="1" x14ac:dyDescent="0.2">
      <c r="A5" s="29" t="s">
        <v>69</v>
      </c>
      <c r="B5" s="24">
        <v>89</v>
      </c>
      <c r="C5" s="25">
        <f>MemberOfAssemblyAssemblyDistrict38General[[#This Row],[Part of Queens County 
Vote Results]]</f>
        <v>89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MemberOfAssemblyAssemblyDistrict38General[[#This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18</v>
      </c>
      <c r="C7" s="25">
        <f>MemberOfAssemblyAssemblyDistrict38General[[#This Row],[Part of Queens County 
Vote Results]]</f>
        <v>18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SUM(MemberOfAssemblyAssemblyDistrict38General[Part of Queens County 
Vote Results])</f>
        <v>6617</v>
      </c>
      <c r="C8" s="25">
        <f>SUM(MemberOfAssemblyAssemblyDistrict38General[Total Votes by Party])</f>
        <v>6617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8D3F-85B2-434B-85DB-A5E93BC27002}">
  <sheetPr>
    <pageSetUpPr fitToPage="1"/>
  </sheetPr>
  <dimension ref="A1:D26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316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317</v>
      </c>
      <c r="B3" s="31">
        <v>5449</v>
      </c>
      <c r="C3" s="25">
        <f>MemberOfAssemblyAssemblyDistrict39General[[#This Row],[Part of Queens County 
Vote Results]]</f>
        <v>5449</v>
      </c>
      <c r="D3" s="26">
        <f>SUM(MemberOfAssemblyAssemblyDistrict39General[[#This Row],[Total Votes by Party]])</f>
        <v>5449</v>
      </c>
    </row>
    <row r="4" spans="1:4" s="27" customFormat="1" ht="14.25" customHeight="1" x14ac:dyDescent="0.2">
      <c r="A4" s="23" t="s">
        <v>318</v>
      </c>
      <c r="B4" s="31">
        <v>483</v>
      </c>
      <c r="C4" s="25">
        <f>MemberOfAssemblyAssemblyDistrict39General[[#This Row],[Part of Queens County 
Vote Results]]</f>
        <v>483</v>
      </c>
      <c r="D4" s="54">
        <f>SUM(MemberOfAssemblyAssemblyDistrict39General[[#This Row],[Total Votes by Party]])</f>
        <v>483</v>
      </c>
    </row>
    <row r="5" spans="1:4" s="27" customFormat="1" ht="14.25" customHeight="1" x14ac:dyDescent="0.2">
      <c r="A5" s="29" t="s">
        <v>69</v>
      </c>
      <c r="B5" s="24">
        <v>450</v>
      </c>
      <c r="C5" s="25">
        <f>MemberOfAssemblyAssemblyDistrict39General[[#This Row],[Part of Queens County 
Vote Results]]</f>
        <v>450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MemberOfAssemblyAssemblyDistrict39General[[#This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59</v>
      </c>
      <c r="C7" s="25">
        <f>MemberOfAssemblyAssemblyDistrict39General[[#This Row],[Part of Queens County 
Vote Results]]</f>
        <v>59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SUM(MemberOfAssemblyAssemblyDistrict39General[Part of Queens County 
Vote Results])</f>
        <v>6441</v>
      </c>
      <c r="C8" s="25">
        <f>SUM(MemberOfAssemblyAssemblyDistrict39General[Total Votes by Party])</f>
        <v>6441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5D21-CF39-4620-8C88-134685F04B92}">
  <sheetPr>
    <pageSetUpPr fitToPage="1"/>
  </sheetPr>
  <dimension ref="A1:D25"/>
  <sheetViews>
    <sheetView workbookViewId="0">
      <selection activeCell="D3" sqref="D3"/>
    </sheetView>
  </sheetViews>
  <sheetFormatPr defaultRowHeight="12.75" x14ac:dyDescent="0.2"/>
  <cols>
    <col min="1" max="1" width="33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319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320</v>
      </c>
      <c r="B3" s="31">
        <v>2325</v>
      </c>
      <c r="C3" s="25">
        <f>MemberOfAssemblyAssemblyDistrict43General[[#This Row],[Part of Kings County 
Vote Results]]</f>
        <v>2325</v>
      </c>
      <c r="D3" s="54">
        <f>SUM(MemberOfAssemblyAssemblyDistrict43General[[#This Row],[Total Votes by Party]])</f>
        <v>2325</v>
      </c>
    </row>
    <row r="4" spans="1:4" s="27" customFormat="1" ht="14.25" customHeight="1" x14ac:dyDescent="0.2">
      <c r="A4" s="23" t="s">
        <v>321</v>
      </c>
      <c r="B4" s="31">
        <v>10180</v>
      </c>
      <c r="C4" s="25">
        <f>MemberOfAssemblyAssemblyDistrict43General[[#This Row],[Part of Kings County 
Vote Results]]</f>
        <v>10180</v>
      </c>
      <c r="D4" s="26">
        <f>SUM(MemberOfAssemblyAssemblyDistrict43General[[#This Row],[Total Votes by Party]])</f>
        <v>10180</v>
      </c>
    </row>
    <row r="5" spans="1:4" s="27" customFormat="1" ht="14.25" customHeight="1" x14ac:dyDescent="0.2">
      <c r="A5" s="29" t="s">
        <v>69</v>
      </c>
      <c r="B5" s="31">
        <v>379</v>
      </c>
      <c r="C5" s="25">
        <f>MemberOfAssemblyAssemblyDistrict43General[[#This Row],[Part of Kings County 
Vote Results]]</f>
        <v>379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MemberOfAssemblyAssemblyDistrict43General[[#This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88</v>
      </c>
      <c r="C7" s="25">
        <f>MemberOfAssemblyAssemblyDistrict43General[[#This Row],[Part of Kings County 
Vote Results]]</f>
        <v>88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SUM(MemberOfAssemblyAssemblyDistrict43General[Part of Kings County 
Vote Results])</f>
        <v>12972</v>
      </c>
      <c r="C8" s="25">
        <f>SUM(MemberOfAssemblyAssemblyDistrict43General[Total Votes by Party])</f>
        <v>12972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32A7-2196-4F4F-ABEE-4268A547794A}">
  <sheetPr>
    <pageSetUpPr fitToPage="1"/>
  </sheetPr>
  <dimension ref="A1:D8"/>
  <sheetViews>
    <sheetView workbookViewId="0">
      <selection activeCell="B5" sqref="B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207</v>
      </c>
    </row>
    <row r="2" spans="1:4" ht="28.5" customHeight="1" x14ac:dyDescent="0.2">
      <c r="A2" s="19" t="s">
        <v>66</v>
      </c>
      <c r="B2" s="20" t="s">
        <v>67</v>
      </c>
      <c r="C2" s="21" t="s">
        <v>63</v>
      </c>
      <c r="D2" s="22" t="s">
        <v>64</v>
      </c>
    </row>
    <row r="3" spans="1:4" s="27" customFormat="1" ht="14.25" customHeight="1" x14ac:dyDescent="0.2">
      <c r="A3" s="40" t="s">
        <v>208</v>
      </c>
      <c r="B3" s="24">
        <v>13063</v>
      </c>
      <c r="C3" s="25">
        <f>RepInCongressCongressionalDistrict4General[[#This Row],[Part of Nassau County 
Vote Results]]</f>
        <v>13063</v>
      </c>
      <c r="D3" s="26">
        <f>SUM(RepInCongressCongressionalDistrict4General[[#This Row],[Total Votes by Party]])</f>
        <v>13063</v>
      </c>
    </row>
    <row r="4" spans="1:4" s="27" customFormat="1" ht="14.25" customHeight="1" x14ac:dyDescent="0.2">
      <c r="A4" s="23" t="s">
        <v>209</v>
      </c>
      <c r="B4" s="24">
        <v>1278</v>
      </c>
      <c r="C4" s="25">
        <f>RepInCongressCongressionalDistrict4General[[#This Row],[Part of Nassau County 
Vote Results]]</f>
        <v>1278</v>
      </c>
      <c r="D4" s="54">
        <f>SUM(RepInCongressCongressionalDistrict4General[[#This Row],[Total Votes by Party]])</f>
        <v>1278</v>
      </c>
    </row>
    <row r="5" spans="1:4" s="27" customFormat="1" ht="14.25" customHeight="1" x14ac:dyDescent="0.2">
      <c r="A5" s="29" t="s">
        <v>69</v>
      </c>
      <c r="B5" s="24">
        <v>44</v>
      </c>
      <c r="C5" s="25">
        <f>RepInCongressCongressionalDistrict4General[[#This Row],[Part of Nassau County 
Vote Results]]</f>
        <v>44</v>
      </c>
      <c r="D5" s="28"/>
    </row>
    <row r="6" spans="1:4" s="27" customFormat="1" ht="14.25" customHeight="1" x14ac:dyDescent="0.2">
      <c r="A6" s="29" t="s">
        <v>70</v>
      </c>
      <c r="B6" s="24">
        <v>287</v>
      </c>
      <c r="C6" s="25">
        <f>RepInCongressCongressionalDistrict4General[[#This Row],[Part of Nassau County 
Vote Results]]</f>
        <v>287</v>
      </c>
      <c r="D6" s="28"/>
    </row>
    <row r="7" spans="1:4" s="27" customFormat="1" ht="14.25" customHeight="1" x14ac:dyDescent="0.2">
      <c r="A7" s="29" t="s">
        <v>71</v>
      </c>
      <c r="B7" s="24">
        <v>53</v>
      </c>
      <c r="C7" s="25">
        <f>RepInCongressCongressionalDistrict4General[[#This Row],[Part of Nassau County 
Vote Results]]</f>
        <v>53</v>
      </c>
      <c r="D7" s="28"/>
    </row>
    <row r="8" spans="1:4" s="27" customFormat="1" ht="14.25" customHeight="1" x14ac:dyDescent="0.2">
      <c r="A8" s="30" t="s">
        <v>1</v>
      </c>
      <c r="B8" s="24">
        <f>SUM(RepInCongressCongressionalDistrict4General[Part of Nassau County 
Vote Results])</f>
        <v>14725</v>
      </c>
      <c r="C8" s="25">
        <f>SUM(RepInCongressCongressionalDistrict4General[Total Votes by Party])</f>
        <v>14725</v>
      </c>
      <c r="D8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5F24-E1A8-4EB0-9D8E-C680354D115D}">
  <sheetPr>
    <pageSetUpPr fitToPage="1"/>
  </sheetPr>
  <dimension ref="A1:D24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322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323</v>
      </c>
      <c r="B3" s="31">
        <v>1845</v>
      </c>
      <c r="C3" s="25">
        <f>MemberOfAssemblyAssemblyDistrict46General[[#This Row],[Part of Kings County 
Vote Results]]</f>
        <v>1845</v>
      </c>
      <c r="D3" s="54">
        <f>SUM(MemberOfAssemblyAssemblyDistrict46General[[#This Row],[Total Votes by Party]])</f>
        <v>1845</v>
      </c>
    </row>
    <row r="4" spans="1:4" s="27" customFormat="1" ht="14.25" customHeight="1" x14ac:dyDescent="0.2">
      <c r="A4" s="23" t="s">
        <v>324</v>
      </c>
      <c r="B4" s="31">
        <v>3317</v>
      </c>
      <c r="C4" s="25">
        <f>MemberOfAssemblyAssemblyDistrict46General[[#This Row],[Part of Kings County 
Vote Results]]</f>
        <v>3317</v>
      </c>
      <c r="D4" s="26">
        <f>SUM(MemberOfAssemblyAssemblyDistrict46General[[#This Row],[Total Votes by Party]])</f>
        <v>3317</v>
      </c>
    </row>
    <row r="5" spans="1:4" s="27" customFormat="1" ht="14.25" customHeight="1" x14ac:dyDescent="0.2">
      <c r="A5" s="29" t="s">
        <v>69</v>
      </c>
      <c r="B5" s="31">
        <v>158</v>
      </c>
      <c r="C5" s="25">
        <f>MemberOfAssemblyAssemblyDistrict46General[[#This Row],[Part of Kings County 
Vote Results]]</f>
        <v>158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MemberOfAssemblyAssemblyDistrict46General[[#This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13</v>
      </c>
      <c r="C7" s="25">
        <f>MemberOfAssemblyAssemblyDistrict46General[[#This Row],[Part of Kings County 
Vote Results]]</f>
        <v>13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SUM(MemberOfAssemblyAssemblyDistrict46General[Part of Kings County 
Vote Results])</f>
        <v>5333</v>
      </c>
      <c r="C8" s="25">
        <f>SUM(MemberOfAssemblyAssemblyDistrict46General[Total Votes by Party])</f>
        <v>5333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E8A9-1216-40E8-98DB-8CE7BE746F7C}">
  <sheetPr>
    <pageSetUpPr fitToPage="1"/>
  </sheetPr>
  <dimension ref="A1:D26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325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326</v>
      </c>
      <c r="B3" s="31">
        <v>11680</v>
      </c>
      <c r="C3" s="25">
        <f>MemberOfAssemblyAssemblyDistrict50General[[#This Row],[Part of Kings County 
Vote Results]]</f>
        <v>11680</v>
      </c>
      <c r="D3" s="26">
        <f>SUM(MemberOfAssemblyAssemblyDistrict50General[[#This Row],[Total Votes by Party]])</f>
        <v>11680</v>
      </c>
    </row>
    <row r="4" spans="1:4" s="27" customFormat="1" ht="14.25" customHeight="1" x14ac:dyDescent="0.2">
      <c r="A4" s="23" t="s">
        <v>327</v>
      </c>
      <c r="B4" s="31">
        <v>1720</v>
      </c>
      <c r="C4" s="25">
        <f>MemberOfAssemblyAssemblyDistrict50General[[#This Row],[Part of Kings County 
Vote Results]]</f>
        <v>1720</v>
      </c>
      <c r="D4" s="54">
        <f>SUM(MemberOfAssemblyAssemblyDistrict50General[[#This Row],[Total Votes by Party]])</f>
        <v>1720</v>
      </c>
    </row>
    <row r="5" spans="1:4" s="27" customFormat="1" ht="14.25" customHeight="1" x14ac:dyDescent="0.2">
      <c r="A5" s="29" t="s">
        <v>69</v>
      </c>
      <c r="B5" s="31">
        <v>4229</v>
      </c>
      <c r="C5" s="25">
        <f>MemberOfAssemblyAssemblyDistrict50General[[#This Row],[Part of Kings County 
Vote Results]]</f>
        <v>4229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MemberOfAssemblyAssemblyDistrict50General[[#This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285</v>
      </c>
      <c r="C7" s="25">
        <f>MemberOfAssemblyAssemblyDistrict50General[[#This Row],[Part of Kings County 
Vote Results]]</f>
        <v>285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SUM(MemberOfAssemblyAssemblyDistrict50General[Part of Kings County 
Vote Results])</f>
        <v>17914</v>
      </c>
      <c r="C8" s="25">
        <f>SUM(MemberOfAssemblyAssemblyDistrict50General[Total Votes by Party])</f>
        <v>17914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CB8C-6B5F-4BB4-B60A-61FAF9CE6763}">
  <sheetPr>
    <pageSetUpPr fitToPage="1"/>
  </sheetPr>
  <dimension ref="A1:D25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328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329</v>
      </c>
      <c r="B3" s="31">
        <v>18259</v>
      </c>
      <c r="C3" s="25">
        <f>MemberOfAssemblyAssemblyDistrict52General[[#This Row],[Part of Kings County 
Vote Results]]</f>
        <v>18259</v>
      </c>
      <c r="D3" s="26">
        <f>SUM(MemberOfAssemblyAssemblyDistrict52General[[#This Row],[Total Votes by Party]])</f>
        <v>18259</v>
      </c>
    </row>
    <row r="4" spans="1:4" s="27" customFormat="1" ht="14.25" customHeight="1" x14ac:dyDescent="0.2">
      <c r="A4" s="23" t="s">
        <v>330</v>
      </c>
      <c r="B4" s="31">
        <v>7333</v>
      </c>
      <c r="C4" s="25">
        <f>MemberOfAssemblyAssemblyDistrict52General[[#This Row],[Part of Kings County 
Vote Results]]</f>
        <v>7333</v>
      </c>
      <c r="D4" s="54">
        <f>SUM(MemberOfAssemblyAssemblyDistrict52General[[#This Row],[Total Votes by Party]])</f>
        <v>7333</v>
      </c>
    </row>
    <row r="5" spans="1:4" s="27" customFormat="1" ht="14.25" customHeight="1" x14ac:dyDescent="0.2">
      <c r="A5" s="29" t="s">
        <v>69</v>
      </c>
      <c r="B5" s="31">
        <v>1341</v>
      </c>
      <c r="C5" s="25">
        <f>MemberOfAssemblyAssemblyDistrict52General[[#This Row],[Part of Kings County 
Vote Results]]</f>
        <v>1341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MemberOfAssemblyAssemblyDistrict52General[[#This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124</v>
      </c>
      <c r="C7" s="25">
        <f>MemberOfAssemblyAssemblyDistrict52General[[#This Row],[Part of Kings County 
Vote Results]]</f>
        <v>124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SUM(MemberOfAssemblyAssemblyDistrict52General[Part of Kings County 
Vote Results])</f>
        <v>27057</v>
      </c>
      <c r="C8" s="25">
        <f>SUM(MemberOfAssemblyAssemblyDistrict52General[Total Votes by Party])</f>
        <v>27057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3E84-62F2-408A-82C9-99FD5E15AF42}">
  <sheetPr>
    <pageSetUpPr fitToPage="1"/>
  </sheetPr>
  <dimension ref="A1:D24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333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331</v>
      </c>
      <c r="B3" s="31">
        <v>4192</v>
      </c>
      <c r="C3" s="25">
        <f>MemberOfAssemblyAssemblyDistrict54General[[#This Row],[Part of Kings County 
Vote Results]]</f>
        <v>4192</v>
      </c>
      <c r="D3" s="26">
        <f>MemberOfAssemblyAssemblyDistrict54General[[#This Row],[Total Votes by Party]]</f>
        <v>4192</v>
      </c>
    </row>
    <row r="4" spans="1:4" s="27" customFormat="1" ht="14.25" customHeight="1" x14ac:dyDescent="0.2">
      <c r="A4" s="23" t="s">
        <v>332</v>
      </c>
      <c r="B4" s="31">
        <v>2550</v>
      </c>
      <c r="C4" s="25">
        <f>MemberOfAssemblyAssemblyDistrict54General[[#This Row],[Part of Kings County 
Vote Results]]</f>
        <v>2550</v>
      </c>
      <c r="D4" s="54">
        <f>MemberOfAssemblyAssemblyDistrict54General[[#This Row],[Total Votes by Party]]</f>
        <v>2550</v>
      </c>
    </row>
    <row r="5" spans="1:4" s="27" customFormat="1" ht="14.25" customHeight="1" x14ac:dyDescent="0.2">
      <c r="A5" s="29" t="s">
        <v>69</v>
      </c>
      <c r="B5" s="31">
        <v>207</v>
      </c>
      <c r="C5" s="25">
        <f>MemberOfAssemblyAssemblyDistrict54General[[#This Row],[Part of Kings County 
Vote Results]]</f>
        <v>207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MemberOfAssemblyAssemblyDistrict54General[[#This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16</v>
      </c>
      <c r="C7" s="25">
        <f>MemberOfAssemblyAssemblyDistrict54General[[#This Row],[Part of Kings County 
Vote Results]]</f>
        <v>16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SUM(MemberOfAssemblyAssemblyDistrict54General[Part of Kings County 
Vote Results])</f>
        <v>6965</v>
      </c>
      <c r="C8" s="25">
        <f>SUM(MemberOfAssemblyAssemblyDistrict54General[Total Votes by Party])</f>
        <v>6965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A2F2-62CB-4834-ABED-B5C714CA111C}">
  <sheetPr>
    <pageSetUpPr fitToPage="1"/>
  </sheetPr>
  <dimension ref="A1:D27"/>
  <sheetViews>
    <sheetView workbookViewId="0">
      <selection activeCell="E23" sqref="E2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334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335</v>
      </c>
      <c r="B3" s="31">
        <v>764</v>
      </c>
      <c r="C3" s="25">
        <f>MemberOfAssemblyAssemblyDistrict56General[[#This Row],[Part of Kings County 
Vote Results]]</f>
        <v>764</v>
      </c>
      <c r="D3" s="54">
        <f>SUM(MemberOfAssemblyAssemblyDistrict56General[[#This Row],[Total Votes by Party]])</f>
        <v>764</v>
      </c>
    </row>
    <row r="4" spans="1:4" s="27" customFormat="1" ht="14.25" customHeight="1" x14ac:dyDescent="0.2">
      <c r="A4" s="23" t="s">
        <v>336</v>
      </c>
      <c r="B4" s="31">
        <v>5627</v>
      </c>
      <c r="C4" s="25">
        <f>MemberOfAssemblyAssemblyDistrict56General[[#This Row],[Part of Kings County 
Vote Results]]</f>
        <v>5627</v>
      </c>
      <c r="D4" s="54">
        <f>SUM(MemberOfAssemblyAssemblyDistrict56General[[#This Row],[Total Votes by Party]])</f>
        <v>5627</v>
      </c>
    </row>
    <row r="5" spans="1:4" s="27" customFormat="1" ht="14.25" customHeight="1" x14ac:dyDescent="0.2">
      <c r="A5" s="23" t="s">
        <v>337</v>
      </c>
      <c r="B5" s="31">
        <v>9004</v>
      </c>
      <c r="C5" s="25">
        <f>MemberOfAssemblyAssemblyDistrict56General[[#This Row],[Part of Kings County 
Vote Results]]</f>
        <v>9004</v>
      </c>
      <c r="D5" s="26">
        <f>SUM(MemberOfAssemblyAssemblyDistrict56General[[#This Row],[Total Votes by Party]])</f>
        <v>9004</v>
      </c>
    </row>
    <row r="6" spans="1:4" s="27" customFormat="1" ht="14.25" customHeight="1" x14ac:dyDescent="0.2">
      <c r="A6" s="29" t="s">
        <v>69</v>
      </c>
      <c r="B6" s="31">
        <v>322</v>
      </c>
      <c r="C6" s="25">
        <f>MemberOfAssemblyAssemblyDistrict56General[[#This Row],[Part of Kings County 
Vote Results]]</f>
        <v>322</v>
      </c>
      <c r="D6" s="28"/>
    </row>
    <row r="7" spans="1:4" s="27" customFormat="1" ht="14.25" customHeight="1" x14ac:dyDescent="0.2">
      <c r="A7" s="29" t="s">
        <v>70</v>
      </c>
      <c r="B7" s="31"/>
      <c r="C7" s="25">
        <f>MemberOfAssemblyAssemblyDistrict56General[[#This Row],[Part of Kings County 
Vote Results]]</f>
        <v>0</v>
      </c>
      <c r="D7" s="28"/>
    </row>
    <row r="8" spans="1:4" s="27" customFormat="1" ht="14.25" customHeight="1" x14ac:dyDescent="0.2">
      <c r="A8" s="29" t="s">
        <v>71</v>
      </c>
      <c r="B8" s="31">
        <v>23</v>
      </c>
      <c r="C8" s="25">
        <f>MemberOfAssemblyAssemblyDistrict56General[[#This Row],[Part of Kings County 
Vote Results]]</f>
        <v>23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SUM(MemberOfAssemblyAssemblyDistrict56General[Part of Kings County 
Vote Results])</f>
        <v>15740</v>
      </c>
      <c r="C9" s="25">
        <f>SUM(MemberOfAssemblyAssemblyDistrict56General[Total Votes by Party])</f>
        <v>15740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F6DA-1B2E-4600-8EA1-82DE6FF40846}">
  <sheetPr>
    <pageSetUpPr fitToPage="1"/>
  </sheetPr>
  <dimension ref="A1:D25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338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339</v>
      </c>
      <c r="B3" s="31">
        <v>3386</v>
      </c>
      <c r="C3" s="25">
        <f>MemberOfAssemblyAssemblyDistrict57General[[#This Row],[Part of Kings County 
Vote Results]]</f>
        <v>3386</v>
      </c>
      <c r="D3" s="54">
        <f>SUM(MemberOfAssemblyAssemblyDistrict57General[[#This Row],[Total Votes by Party]])</f>
        <v>3386</v>
      </c>
    </row>
    <row r="4" spans="1:4" s="27" customFormat="1" ht="14.25" customHeight="1" x14ac:dyDescent="0.2">
      <c r="A4" s="23" t="s">
        <v>340</v>
      </c>
      <c r="B4" s="31">
        <v>12866</v>
      </c>
      <c r="C4" s="25">
        <f>MemberOfAssemblyAssemblyDistrict57General[[#This Row],[Part of Kings County 
Vote Results]]</f>
        <v>12866</v>
      </c>
      <c r="D4" s="26">
        <f>SUM(MemberOfAssemblyAssemblyDistrict57General[[#This Row],[Total Votes by Party]])</f>
        <v>12866</v>
      </c>
    </row>
    <row r="5" spans="1:4" s="27" customFormat="1" ht="14.25" customHeight="1" x14ac:dyDescent="0.2">
      <c r="A5" s="29" t="s">
        <v>69</v>
      </c>
      <c r="B5" s="31">
        <v>1851</v>
      </c>
      <c r="C5" s="25">
        <f>MemberOfAssemblyAssemblyDistrict57General[[#This Row],[Part of Kings County 
Vote Results]]</f>
        <v>1851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MemberOfAssemblyAssemblyDistrict57General[[#This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135</v>
      </c>
      <c r="C7" s="25">
        <f>MemberOfAssemblyAssemblyDistrict57General[[#This Row],[Part of Kings County 
Vote Results]]</f>
        <v>135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SUM(MemberOfAssemblyAssemblyDistrict57General[Part of Kings County 
Vote Results])</f>
        <v>18238</v>
      </c>
      <c r="C8" s="25">
        <f>SUM(MemberOfAssemblyAssemblyDistrict57General[Total Votes by Party])</f>
        <v>18238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B5CD-4A72-4AD7-AFCB-29F8E4016BD3}">
  <sheetPr>
    <pageSetUpPr fitToPage="1"/>
  </sheetPr>
  <dimension ref="A1:D26"/>
  <sheetViews>
    <sheetView workbookViewId="0">
      <selection activeCell="E22" sqref="E22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341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342</v>
      </c>
      <c r="B3" s="31">
        <v>4277</v>
      </c>
      <c r="C3" s="25">
        <f>MemberOfAssemblyAssemblyDistrict59General[[#This Row],[Part of Kings County 
Vote Results]]</f>
        <v>4277</v>
      </c>
      <c r="D3" s="26">
        <f>SUM(MemberOfAssemblyAssemblyDistrict59General[[#This Row],[Total Votes by Party]])</f>
        <v>4277</v>
      </c>
    </row>
    <row r="4" spans="1:4" s="27" customFormat="1" ht="14.25" customHeight="1" x14ac:dyDescent="0.2">
      <c r="A4" s="23" t="s">
        <v>875</v>
      </c>
      <c r="B4" s="31">
        <v>2189</v>
      </c>
      <c r="C4" s="25">
        <f>MemberOfAssemblyAssemblyDistrict59General[[#This Row],[Part of Kings County 
Vote Results]]</f>
        <v>2189</v>
      </c>
      <c r="D4" s="54">
        <f>SUM(MemberOfAssemblyAssemblyDistrict59General[[#This Row],[Total Votes by Party]])</f>
        <v>2189</v>
      </c>
    </row>
    <row r="5" spans="1:4" s="27" customFormat="1" ht="14.25" customHeight="1" x14ac:dyDescent="0.2">
      <c r="A5" s="29" t="s">
        <v>69</v>
      </c>
      <c r="B5" s="31">
        <v>172</v>
      </c>
      <c r="C5" s="25">
        <f>MemberOfAssemblyAssemblyDistrict59General[[#This Row],[Part of Kings County 
Vote Results]]</f>
        <v>172</v>
      </c>
      <c r="D5" s="28"/>
    </row>
    <row r="6" spans="1:4" s="27" customFormat="1" ht="14.25" customHeight="1" x14ac:dyDescent="0.2">
      <c r="A6" s="29" t="s">
        <v>70</v>
      </c>
      <c r="B6" s="31"/>
      <c r="C6" s="25">
        <f>MemberOfAssemblyAssemblyDistrict59General[[#This Row],[Part of Kings County 
Vote Results]]</f>
        <v>0</v>
      </c>
      <c r="D6" s="28"/>
    </row>
    <row r="7" spans="1:4" s="27" customFormat="1" ht="14.25" customHeight="1" x14ac:dyDescent="0.2">
      <c r="A7" s="29" t="s">
        <v>71</v>
      </c>
      <c r="B7" s="31">
        <v>15</v>
      </c>
      <c r="C7" s="25">
        <f>MemberOfAssemblyAssemblyDistrict59General[[#This Row],[Part of Kings County 
Vote Results]]</f>
        <v>15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SUM(MemberOfAssemblyAssemblyDistrict59General[Part of Kings County 
Vote Results])</f>
        <v>6653</v>
      </c>
      <c r="C8" s="25">
        <f>SUM(MemberOfAssemblyAssemblyDistrict59General[Total Votes by Party])</f>
        <v>6653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23C9-D212-4933-90AD-8F393661C765}">
  <sheetPr>
    <pageSetUpPr fitToPage="1"/>
  </sheetPr>
  <dimension ref="A1:D29"/>
  <sheetViews>
    <sheetView workbookViewId="0">
      <selection activeCell="D5" sqref="D5:D8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343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344</v>
      </c>
      <c r="B3" s="24">
        <v>2095</v>
      </c>
      <c r="C3" s="25">
        <f>MemberOfAssemblyAssemblyDistrict65General[[#This Row],[Part of New York County 
Vote Results]]</f>
        <v>2095</v>
      </c>
      <c r="D3" s="54">
        <f>SUM(MemberOfAssemblyAssemblyDistrict65General[[#This Row],[Total Votes by Party]])</f>
        <v>2095</v>
      </c>
    </row>
    <row r="4" spans="1:4" s="27" customFormat="1" ht="14.25" customHeight="1" x14ac:dyDescent="0.2">
      <c r="A4" s="23" t="s">
        <v>345</v>
      </c>
      <c r="B4" s="24">
        <v>4417</v>
      </c>
      <c r="C4" s="25">
        <f>MemberOfAssemblyAssemblyDistrict65General[[#This Row],[Part of New York County 
Vote Results]]</f>
        <v>4417</v>
      </c>
      <c r="D4" s="26">
        <f>SUM(MemberOfAssemblyAssemblyDistrict65General[[#This Row],[Total Votes by Party]])</f>
        <v>4417</v>
      </c>
    </row>
    <row r="5" spans="1:4" s="27" customFormat="1" ht="14.25" customHeight="1" x14ac:dyDescent="0.2">
      <c r="A5" s="23" t="s">
        <v>346</v>
      </c>
      <c r="B5" s="24">
        <v>1258</v>
      </c>
      <c r="C5" s="25">
        <f>MemberOfAssemblyAssemblyDistrict65General[[#This Row],[Part of New York County 
Vote Results]]</f>
        <v>1258</v>
      </c>
      <c r="D5" s="54">
        <f>SUM(MemberOfAssemblyAssemblyDistrict65General[[#This Row],[Total Votes by Party]])</f>
        <v>1258</v>
      </c>
    </row>
    <row r="6" spans="1:4" s="27" customFormat="1" ht="14.25" customHeight="1" x14ac:dyDescent="0.2">
      <c r="A6" s="23" t="s">
        <v>347</v>
      </c>
      <c r="B6" s="24">
        <v>1822</v>
      </c>
      <c r="C6" s="25">
        <f>MemberOfAssemblyAssemblyDistrict65General[[#This Row],[Part of New York County 
Vote Results]]</f>
        <v>1822</v>
      </c>
      <c r="D6" s="54">
        <f>SUM(MemberOfAssemblyAssemblyDistrict65General[[#This Row],[Total Votes by Party]])</f>
        <v>1822</v>
      </c>
    </row>
    <row r="7" spans="1:4" s="27" customFormat="1" ht="14.25" customHeight="1" x14ac:dyDescent="0.2">
      <c r="A7" s="23" t="s">
        <v>348</v>
      </c>
      <c r="B7" s="24">
        <v>533</v>
      </c>
      <c r="C7" s="25">
        <f>MemberOfAssemblyAssemblyDistrict65General[[#This Row],[Part of New York County 
Vote Results]]</f>
        <v>533</v>
      </c>
      <c r="D7" s="54">
        <f>SUM(MemberOfAssemblyAssemblyDistrict65General[[#This Row],[Total Votes by Party]])</f>
        <v>533</v>
      </c>
    </row>
    <row r="8" spans="1:4" s="27" customFormat="1" ht="14.25" customHeight="1" x14ac:dyDescent="0.2">
      <c r="A8" s="23" t="s">
        <v>349</v>
      </c>
      <c r="B8" s="24">
        <v>1819</v>
      </c>
      <c r="C8" s="25">
        <f>MemberOfAssemblyAssemblyDistrict65General[[#This Row],[Part of New York County 
Vote Results]]</f>
        <v>1819</v>
      </c>
      <c r="D8" s="54">
        <f>SUM(MemberOfAssemblyAssemblyDistrict65General[[#This Row],[Total Votes by Party]])</f>
        <v>1819</v>
      </c>
    </row>
    <row r="9" spans="1:4" s="27" customFormat="1" ht="14.25" customHeight="1" x14ac:dyDescent="0.2">
      <c r="A9" s="29" t="s">
        <v>69</v>
      </c>
      <c r="B9" s="24">
        <v>697</v>
      </c>
      <c r="C9" s="25">
        <f>MemberOfAssemblyAssemblyDistrict65General[[#This Row],[Part of New York County 
Vote Results]]</f>
        <v>697</v>
      </c>
      <c r="D9" s="28"/>
    </row>
    <row r="10" spans="1:4" s="27" customFormat="1" ht="14.25" customHeight="1" x14ac:dyDescent="0.2">
      <c r="A10" s="29" t="s">
        <v>70</v>
      </c>
      <c r="B10" s="24"/>
      <c r="C10" s="25">
        <f>MemberOfAssemblyAssemblyDistrict65General[[#This Row],[Part of New York County 
Vote Results]]</f>
        <v>0</v>
      </c>
      <c r="D10" s="28"/>
    </row>
    <row r="11" spans="1:4" s="27" customFormat="1" ht="14.25" customHeight="1" x14ac:dyDescent="0.2">
      <c r="A11" s="29" t="s">
        <v>71</v>
      </c>
      <c r="B11" s="24">
        <v>39</v>
      </c>
      <c r="C11" s="25">
        <f>MemberOfAssemblyAssemblyDistrict65General[[#This Row],[Part of New York County 
Vote Results]]</f>
        <v>39</v>
      </c>
      <c r="D11" s="28"/>
    </row>
    <row r="12" spans="1:4" s="27" customFormat="1" ht="14.25" customHeight="1" x14ac:dyDescent="0.2">
      <c r="A12" s="30" t="s">
        <v>1</v>
      </c>
      <c r="B12" s="24">
        <f>SUM(MemberOfAssemblyAssemblyDistrict65General[Part of New York County 
Vote Results])</f>
        <v>12680</v>
      </c>
      <c r="C12" s="25">
        <f>SUM(MemberOfAssemblyAssemblyDistrict65General[Total Votes by Party])</f>
        <v>12680</v>
      </c>
      <c r="D12" s="28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8" calculatedColumn="1"/>
  </ignoredErrors>
  <tableParts count="1">
    <tablePart r:id="rId2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7BBA-2CFC-464B-A103-77A29163C892}">
  <sheetPr>
    <pageSetUpPr fitToPage="1"/>
  </sheetPr>
  <dimension ref="A1:D29"/>
  <sheetViews>
    <sheetView workbookViewId="0">
      <selection activeCell="E22" sqref="E22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350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351</v>
      </c>
      <c r="B3" s="24">
        <v>4388</v>
      </c>
      <c r="C3" s="25">
        <f>MemberOfAssemblyAssemblyDistrict66General[[#This Row],[Part of New York County 
Vote Results]]</f>
        <v>4388</v>
      </c>
      <c r="D3" s="26">
        <f>SUM(MemberOfAssemblyAssemblyDistrict66General[[#This Row],[Total Votes by Party]])</f>
        <v>4388</v>
      </c>
    </row>
    <row r="4" spans="1:4" s="27" customFormat="1" ht="14.25" customHeight="1" x14ac:dyDescent="0.2">
      <c r="A4" s="23" t="s">
        <v>352</v>
      </c>
      <c r="B4" s="24">
        <v>2238</v>
      </c>
      <c r="C4" s="25">
        <f>MemberOfAssemblyAssemblyDistrict66General[[#This Row],[Part of New York County 
Vote Results]]</f>
        <v>2238</v>
      </c>
      <c r="D4" s="54">
        <f>SUM(MemberOfAssemblyAssemblyDistrict66General[[#This Row],[Total Votes by Party]])</f>
        <v>2238</v>
      </c>
    </row>
    <row r="5" spans="1:4" s="27" customFormat="1" ht="14.25" customHeight="1" x14ac:dyDescent="0.2">
      <c r="A5" s="23" t="s">
        <v>353</v>
      </c>
      <c r="B5" s="24">
        <v>610</v>
      </c>
      <c r="C5" s="25">
        <f>MemberOfAssemblyAssemblyDistrict66General[[#This Row],[Part of New York County 
Vote Results]]</f>
        <v>610</v>
      </c>
      <c r="D5" s="54">
        <f>SUM(MemberOfAssemblyAssemblyDistrict66General[[#This Row],[Total Votes by Party]])</f>
        <v>610</v>
      </c>
    </row>
    <row r="6" spans="1:4" s="27" customFormat="1" ht="14.25" customHeight="1" x14ac:dyDescent="0.2">
      <c r="A6" s="23" t="s">
        <v>354</v>
      </c>
      <c r="B6" s="24">
        <v>3641</v>
      </c>
      <c r="C6" s="25">
        <f>MemberOfAssemblyAssemblyDistrict66General[[#This Row],[Part of New York County 
Vote Results]]</f>
        <v>3641</v>
      </c>
      <c r="D6" s="54">
        <f>SUM(MemberOfAssemblyAssemblyDistrict66General[[#This Row],[Total Votes by Party]])</f>
        <v>3641</v>
      </c>
    </row>
    <row r="7" spans="1:4" s="27" customFormat="1" ht="14.25" customHeight="1" x14ac:dyDescent="0.2">
      <c r="A7" s="23" t="s">
        <v>355</v>
      </c>
      <c r="B7" s="24">
        <v>4373</v>
      </c>
      <c r="C7" s="25">
        <f>MemberOfAssemblyAssemblyDistrict66General[[#This Row],[Part of New York County 
Vote Results]]</f>
        <v>4373</v>
      </c>
      <c r="D7" s="54">
        <f>SUM(MemberOfAssemblyAssemblyDistrict66General[[#This Row],[Total Votes by Party]])</f>
        <v>4373</v>
      </c>
    </row>
    <row r="8" spans="1:4" s="27" customFormat="1" ht="14.25" customHeight="1" x14ac:dyDescent="0.2">
      <c r="A8" s="23" t="s">
        <v>356</v>
      </c>
      <c r="B8" s="24">
        <v>727</v>
      </c>
      <c r="C8" s="25">
        <f>MemberOfAssemblyAssemblyDistrict66General[[#This Row],[Part of New York County 
Vote Results]]</f>
        <v>727</v>
      </c>
      <c r="D8" s="54">
        <f>SUM(MemberOfAssemblyAssemblyDistrict66General[[#This Row],[Total Votes by Party]])</f>
        <v>727</v>
      </c>
    </row>
    <row r="9" spans="1:4" s="27" customFormat="1" ht="14.25" customHeight="1" x14ac:dyDescent="0.2">
      <c r="A9" s="29" t="s">
        <v>69</v>
      </c>
      <c r="B9" s="24">
        <v>1125</v>
      </c>
      <c r="C9" s="25">
        <f>MemberOfAssemblyAssemblyDistrict66General[[#This Row],[Part of New York County 
Vote Results]]</f>
        <v>1125</v>
      </c>
      <c r="D9" s="28"/>
    </row>
    <row r="10" spans="1:4" s="27" customFormat="1" ht="14.25" customHeight="1" x14ac:dyDescent="0.2">
      <c r="A10" s="29" t="s">
        <v>70</v>
      </c>
      <c r="B10" s="24">
        <v>20</v>
      </c>
      <c r="C10" s="25">
        <f>MemberOfAssemblyAssemblyDistrict66General[[#This Row],[Part of New York County 
Vote Results]]</f>
        <v>20</v>
      </c>
      <c r="D10" s="28"/>
    </row>
    <row r="11" spans="1:4" s="27" customFormat="1" ht="14.25" customHeight="1" x14ac:dyDescent="0.2">
      <c r="A11" s="29" t="s">
        <v>71</v>
      </c>
      <c r="B11" s="24">
        <v>50</v>
      </c>
      <c r="C11" s="25">
        <f>MemberOfAssemblyAssemblyDistrict66General[[#This Row],[Part of New York County 
Vote Results]]</f>
        <v>50</v>
      </c>
      <c r="D11" s="28"/>
    </row>
    <row r="12" spans="1:4" s="27" customFormat="1" ht="14.25" customHeight="1" x14ac:dyDescent="0.2">
      <c r="A12" s="30" t="s">
        <v>1</v>
      </c>
      <c r="B12" s="24">
        <f>SUM(MemberOfAssemblyAssemblyDistrict66General[Part of New York County 
Vote Results])</f>
        <v>17172</v>
      </c>
      <c r="C12" s="25">
        <f>SUM(MemberOfAssemblyAssemblyDistrict66General[Total Votes by Party])</f>
        <v>17172</v>
      </c>
      <c r="D12" s="28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AAEB-9F78-4DDA-BD16-CD559557AD5F}">
  <sheetPr>
    <pageSetUpPr fitToPage="1"/>
  </sheetPr>
  <dimension ref="A1:D27"/>
  <sheetViews>
    <sheetView workbookViewId="0">
      <selection activeCell="C18" sqref="C18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357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358</v>
      </c>
      <c r="B3" s="24">
        <v>5759</v>
      </c>
      <c r="C3" s="25">
        <f>MemberOfAssemblyAssemblyDistrict68General[[#This Row],[Part of New York County 
Vote Results]]</f>
        <v>5759</v>
      </c>
      <c r="D3" s="26">
        <f>SUM(MemberOfAssemblyAssemblyDistrict68General[[#This Row],[Total Votes by Party]])</f>
        <v>5759</v>
      </c>
    </row>
    <row r="4" spans="1:4" s="27" customFormat="1" ht="14.25" customHeight="1" x14ac:dyDescent="0.2">
      <c r="A4" s="23" t="s">
        <v>359</v>
      </c>
      <c r="B4" s="24">
        <v>3453</v>
      </c>
      <c r="C4" s="25">
        <f>MemberOfAssemblyAssemblyDistrict68General[[#This Row],[Part of New York County 
Vote Results]]</f>
        <v>3453</v>
      </c>
      <c r="D4" s="54">
        <f>SUM(MemberOfAssemblyAssemblyDistrict68General[[#This Row],[Total Votes by Party]])</f>
        <v>3453</v>
      </c>
    </row>
    <row r="5" spans="1:4" s="27" customFormat="1" ht="14.25" customHeight="1" x14ac:dyDescent="0.2">
      <c r="A5" s="23" t="s">
        <v>360</v>
      </c>
      <c r="B5" s="24">
        <v>1273</v>
      </c>
      <c r="C5" s="25">
        <f>MemberOfAssemblyAssemblyDistrict68General[[#This Row],[Part of New York County 
Vote Results]]</f>
        <v>1273</v>
      </c>
      <c r="D5" s="54">
        <f>SUM(MemberOfAssemblyAssemblyDistrict68General[[#This Row],[Total Votes by Party]])</f>
        <v>1273</v>
      </c>
    </row>
    <row r="6" spans="1:4" s="27" customFormat="1" ht="14.25" customHeight="1" x14ac:dyDescent="0.2">
      <c r="A6" s="23" t="s">
        <v>361</v>
      </c>
      <c r="B6" s="24">
        <v>564</v>
      </c>
      <c r="C6" s="25">
        <f>MemberOfAssemblyAssemblyDistrict68General[[#This Row],[Part of New York County 
Vote Results]]</f>
        <v>564</v>
      </c>
      <c r="D6" s="54">
        <f>SUM(MemberOfAssemblyAssemblyDistrict68General[[#This Row],[Total Votes by Party]])</f>
        <v>564</v>
      </c>
    </row>
    <row r="7" spans="1:4" s="27" customFormat="1" ht="14.25" customHeight="1" x14ac:dyDescent="0.2">
      <c r="A7" s="29" t="s">
        <v>69</v>
      </c>
      <c r="B7" s="24">
        <v>841</v>
      </c>
      <c r="C7" s="25">
        <f>MemberOfAssemblyAssemblyDistrict68General[[#This Row],[Part of New York County 
Vote Results]]</f>
        <v>841</v>
      </c>
      <c r="D7" s="28"/>
    </row>
    <row r="8" spans="1:4" s="27" customFormat="1" ht="14.25" customHeight="1" x14ac:dyDescent="0.2">
      <c r="A8" s="29" t="s">
        <v>70</v>
      </c>
      <c r="B8" s="24"/>
      <c r="C8" s="25">
        <f>MemberOfAssemblyAssemblyDistrict68General[[#This Row],[Part of New York County 
Vote Results]]</f>
        <v>0</v>
      </c>
      <c r="D8" s="28"/>
    </row>
    <row r="9" spans="1:4" s="27" customFormat="1" ht="14.25" customHeight="1" x14ac:dyDescent="0.2">
      <c r="A9" s="29" t="s">
        <v>71</v>
      </c>
      <c r="B9" s="24">
        <v>40</v>
      </c>
      <c r="C9" s="25">
        <f>MemberOfAssemblyAssemblyDistrict68General[[#This Row],[Part of New York County 
Vote Results]]</f>
        <v>40</v>
      </c>
      <c r="D9" s="28"/>
    </row>
    <row r="10" spans="1:4" s="27" customFormat="1" ht="14.25" customHeight="1" x14ac:dyDescent="0.2">
      <c r="A10" s="30" t="s">
        <v>1</v>
      </c>
      <c r="B10" s="24">
        <f>SUM(MemberOfAssemblyAssemblyDistrict68General[Part of New York County 
Vote Results])</f>
        <v>11930</v>
      </c>
      <c r="C10" s="25">
        <f>SUM(MemberOfAssemblyAssemblyDistrict68General[Total Votes by Party])</f>
        <v>11930</v>
      </c>
      <c r="D10" s="28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04E5-479C-489E-8087-FF90A0DBC658}">
  <sheetPr>
    <pageSetUpPr fitToPage="1"/>
  </sheetPr>
  <dimension ref="A1:D8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220</v>
      </c>
    </row>
    <row r="2" spans="1:4" ht="28.5" customHeight="1" x14ac:dyDescent="0.2">
      <c r="A2" s="19" t="s">
        <v>66</v>
      </c>
      <c r="B2" s="20" t="s">
        <v>72</v>
      </c>
      <c r="C2" s="21" t="s">
        <v>63</v>
      </c>
      <c r="D2" s="22" t="s">
        <v>64</v>
      </c>
    </row>
    <row r="3" spans="1:4" s="27" customFormat="1" ht="14.25" customHeight="1" x14ac:dyDescent="0.2">
      <c r="A3" s="40" t="s">
        <v>228</v>
      </c>
      <c r="B3" s="31">
        <v>18971</v>
      </c>
      <c r="C3" s="25">
        <f>RepInCongressCongressionalDistrict6General[[#This Row],[Part of Queens County 
Vote Results]]</f>
        <v>18971</v>
      </c>
      <c r="D3" s="26">
        <f>SUM(RepInCongressCongressionalDistrict6General[[#This Row],[Total Votes by Party]])</f>
        <v>18971</v>
      </c>
    </row>
    <row r="4" spans="1:4" s="27" customFormat="1" ht="14.25" customHeight="1" x14ac:dyDescent="0.2">
      <c r="A4" s="23" t="s">
        <v>229</v>
      </c>
      <c r="B4" s="31">
        <v>14335</v>
      </c>
      <c r="C4" s="25">
        <f>RepInCongressCongressionalDistrict6General[[#This Row],[Part of Queens County 
Vote Results]]</f>
        <v>14335</v>
      </c>
      <c r="D4" s="54">
        <f>SUM(RepInCongressCongressionalDistrict6General[[#This Row],[Total Votes by Party]])</f>
        <v>14335</v>
      </c>
    </row>
    <row r="5" spans="1:4" s="27" customFormat="1" ht="14.25" customHeight="1" x14ac:dyDescent="0.2">
      <c r="A5" s="29" t="s">
        <v>69</v>
      </c>
      <c r="B5" s="24">
        <v>673</v>
      </c>
      <c r="C5" s="25">
        <f>RepInCongressCongressionalDistrict6General[[#This Row],[Part of Queens County 
Vote Results]]</f>
        <v>673</v>
      </c>
      <c r="D5" s="28"/>
    </row>
    <row r="6" spans="1:4" s="27" customFormat="1" ht="14.25" customHeight="1" x14ac:dyDescent="0.2">
      <c r="A6" s="29" t="s">
        <v>70</v>
      </c>
      <c r="B6" s="24"/>
      <c r="C6" s="25">
        <f>RepInCongressCongressionalDistrict6General[[#This Row],[Part of Queens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86</v>
      </c>
      <c r="C7" s="25">
        <f>RepInCongressCongressionalDistrict6General[[#This Row],[Part of Queens County 
Vote Results]]</f>
        <v>86</v>
      </c>
      <c r="D7" s="28"/>
    </row>
    <row r="8" spans="1:4" s="27" customFormat="1" ht="14.25" customHeight="1" x14ac:dyDescent="0.2">
      <c r="A8" s="30" t="s">
        <v>1</v>
      </c>
      <c r="B8" s="24">
        <f>SUM(RepInCongressCongressionalDistrict6General[Part of Queens County 
Vote Results])</f>
        <v>34065</v>
      </c>
      <c r="C8" s="25">
        <f>SUM(RepInCongressCongressionalDistrict6General[Total Votes by Party])</f>
        <v>34065</v>
      </c>
      <c r="D8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68EE-CCA1-4F44-94AF-2786F24838D6}">
  <sheetPr>
    <pageSetUpPr fitToPage="1"/>
  </sheetPr>
  <dimension ref="A1:D26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362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882</v>
      </c>
      <c r="B3" s="24">
        <v>15713</v>
      </c>
      <c r="C3" s="25">
        <f>MemberOfAssemblyAssemblyDistrict69General[[#This Row],[Part of New York County 
Vote Results]]</f>
        <v>15713</v>
      </c>
      <c r="D3" s="26">
        <f>SUM(MemberOfAssemblyAssemblyDistrict69General[[#This Row],[Total Votes by Party]])</f>
        <v>15713</v>
      </c>
    </row>
    <row r="4" spans="1:4" s="27" customFormat="1" ht="14.25" customHeight="1" x14ac:dyDescent="0.2">
      <c r="A4" s="23" t="s">
        <v>363</v>
      </c>
      <c r="B4" s="24">
        <v>10211</v>
      </c>
      <c r="C4" s="25">
        <f>MemberOfAssemblyAssemblyDistrict69General[[#This Row],[Part of New York County 
Vote Results]]</f>
        <v>10211</v>
      </c>
      <c r="D4" s="54">
        <f>SUM(MemberOfAssemblyAssemblyDistrict69General[[#This Row],[Total Votes by Party]])</f>
        <v>10211</v>
      </c>
    </row>
    <row r="5" spans="1:4" s="27" customFormat="1" ht="14.25" customHeight="1" x14ac:dyDescent="0.2">
      <c r="A5" s="29" t="s">
        <v>69</v>
      </c>
      <c r="B5" s="24">
        <v>639</v>
      </c>
      <c r="C5" s="25">
        <f>MemberOfAssemblyAssemblyDistrict69General[[#This Row],[Part of New York County 
Vote Results]]</f>
        <v>639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MemberOfAssemblyAssemblyDistrict69General[[#This Row],[Part of New York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83</v>
      </c>
      <c r="C7" s="25">
        <f>MemberOfAssemblyAssemblyDistrict69General[[#This Row],[Part of New York County 
Vote Results]]</f>
        <v>83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SUM(MemberOfAssemblyAssemblyDistrict69General[Part of New York County 
Vote Results])</f>
        <v>26646</v>
      </c>
      <c r="C8" s="25">
        <f>SUM(MemberOfAssemblyAssemblyDistrict69General[Total Votes by Party])</f>
        <v>26646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F1F7-C926-4381-B786-F4CE4F3CE5AA}">
  <sheetPr>
    <pageSetUpPr fitToPage="1"/>
  </sheetPr>
  <dimension ref="A1:D25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364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39" t="s">
        <v>365</v>
      </c>
      <c r="B3" s="24">
        <v>7456</v>
      </c>
      <c r="C3" s="25">
        <f>MemberOfAssemblyAssemblyDistrict70General[[#This Row],[Part of New York County 
Vote Results]]</f>
        <v>7456</v>
      </c>
      <c r="D3" s="54">
        <f>SUM(MemberOfAssemblyAssemblyDistrict70General[[#This Row],[Total Votes by Party]])</f>
        <v>7456</v>
      </c>
    </row>
    <row r="4" spans="1:4" s="27" customFormat="1" ht="14.25" customHeight="1" x14ac:dyDescent="0.2">
      <c r="A4" s="23" t="s">
        <v>366</v>
      </c>
      <c r="B4" s="24">
        <v>9152</v>
      </c>
      <c r="C4" s="25">
        <f>MemberOfAssemblyAssemblyDistrict70General[[#This Row],[Part of New York County 
Vote Results]]</f>
        <v>9152</v>
      </c>
      <c r="D4" s="26">
        <f>SUM(MemberOfAssemblyAssemblyDistrict70General[[#This Row],[Total Votes by Party]])</f>
        <v>9152</v>
      </c>
    </row>
    <row r="5" spans="1:4" s="27" customFormat="1" ht="14.25" customHeight="1" x14ac:dyDescent="0.2">
      <c r="A5" s="29" t="s">
        <v>69</v>
      </c>
      <c r="B5" s="24">
        <v>480</v>
      </c>
      <c r="C5" s="25">
        <f>MemberOfAssemblyAssemblyDistrict70General[[#This Row],[Part of New York County 
Vote Results]]</f>
        <v>480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MemberOfAssemblyAssemblyDistrict70General[[#This Row],[Part of New York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75</v>
      </c>
      <c r="C7" s="25">
        <f>MemberOfAssemblyAssemblyDistrict70General[[#This Row],[Part of New York County 
Vote Results]]</f>
        <v>75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SUM(MemberOfAssemblyAssemblyDistrict70General[Part of New York County 
Vote Results])</f>
        <v>17163</v>
      </c>
      <c r="C8" s="25">
        <f>SUM(MemberOfAssemblyAssemblyDistrict70General[Total Votes by Party])</f>
        <v>17163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9D83-1BBB-4948-AC55-2FD2C9B4279F}">
  <sheetPr>
    <pageSetUpPr fitToPage="1"/>
  </sheetPr>
  <dimension ref="A1:D26"/>
  <sheetViews>
    <sheetView workbookViewId="0">
      <selection activeCell="D4" sqref="D4:D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367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368</v>
      </c>
      <c r="B3" s="24">
        <v>9174</v>
      </c>
      <c r="C3" s="25">
        <f>MemberOfAssemblyAssemblyDistrict71General[[#This Row],[Part of New York County 
Vote Results]]</f>
        <v>9174</v>
      </c>
      <c r="D3" s="26">
        <f>SUM(MemberOfAssemblyAssemblyDistrict71General[[#This Row],[Total Votes by Party]],C5)</f>
        <v>14777</v>
      </c>
    </row>
    <row r="4" spans="1:4" s="27" customFormat="1" ht="14.25" customHeight="1" x14ac:dyDescent="0.2">
      <c r="A4" s="23" t="s">
        <v>369</v>
      </c>
      <c r="B4" s="24">
        <v>1634</v>
      </c>
      <c r="C4" s="25">
        <f>MemberOfAssemblyAssemblyDistrict71General[[#This Row],[Part of New York County 
Vote Results]]</f>
        <v>1634</v>
      </c>
      <c r="D4" s="54">
        <f>SUM(MemberOfAssemblyAssemblyDistrict71General[[#This Row],[Total Votes by Party]],C6)</f>
        <v>3143</v>
      </c>
    </row>
    <row r="5" spans="1:4" s="27" customFormat="1" ht="14.25" customHeight="1" x14ac:dyDescent="0.2">
      <c r="A5" s="23" t="s">
        <v>370</v>
      </c>
      <c r="B5" s="24">
        <v>5603</v>
      </c>
      <c r="C5" s="25">
        <f>MemberOfAssemblyAssemblyDistrict71General[[#This Row],[Part of New York County 
Vote Results]]</f>
        <v>5603</v>
      </c>
      <c r="D5" s="54">
        <f>SUM(MemberOfAssemblyAssemblyDistrict71General[[#This Row],[Total Votes by Party]],C7)</f>
        <v>5603</v>
      </c>
    </row>
    <row r="6" spans="1:4" s="27" customFormat="1" ht="14.25" customHeight="1" x14ac:dyDescent="0.2">
      <c r="A6" s="29" t="s">
        <v>69</v>
      </c>
      <c r="B6" s="24">
        <v>1509</v>
      </c>
      <c r="C6" s="25">
        <f>MemberOfAssemblyAssemblyDistrict71General[[#This Row],[Part of New York County 
Vote Results]]</f>
        <v>1509</v>
      </c>
      <c r="D6" s="28"/>
    </row>
    <row r="7" spans="1:4" s="27" customFormat="1" ht="14.25" customHeight="1" x14ac:dyDescent="0.2">
      <c r="A7" s="29" t="s">
        <v>70</v>
      </c>
      <c r="B7" s="24"/>
      <c r="C7" s="25">
        <f>MemberOfAssemblyAssemblyDistrict71General[[#This Row],[Part of New York County 
Vote Results]]</f>
        <v>0</v>
      </c>
      <c r="D7" s="28"/>
    </row>
    <row r="8" spans="1:4" s="27" customFormat="1" ht="14.25" customHeight="1" x14ac:dyDescent="0.2">
      <c r="A8" s="29" t="s">
        <v>71</v>
      </c>
      <c r="B8" s="24">
        <v>104</v>
      </c>
      <c r="C8" s="25">
        <f>MemberOfAssemblyAssemblyDistrict71General[[#This Row],[Part of New York County 
Vote Results]]</f>
        <v>104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SUM(MemberOfAssemblyAssemblyDistrict71General[Part of New York County 
Vote Results])</f>
        <v>18024</v>
      </c>
      <c r="C9" s="25">
        <f>SUM(MemberOfAssemblyAssemblyDistrict71General[Total Votes by Party])</f>
        <v>18024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1916-600D-4BC0-AA5A-7131641E0301}">
  <sheetPr>
    <pageSetUpPr fitToPage="1"/>
  </sheetPr>
  <dimension ref="A1:D26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870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371</v>
      </c>
      <c r="B3" s="24">
        <v>2882</v>
      </c>
      <c r="C3" s="25">
        <f>MemberOfAssemblyAssemblyDistrict72General[[#This Row],[Part of New York County 
Vote Results]]</f>
        <v>2882</v>
      </c>
      <c r="D3" s="54">
        <f>SUM(MemberOfAssemblyAssemblyDistrict72General[[#This Row],[Total Votes by Party]])</f>
        <v>2882</v>
      </c>
    </row>
    <row r="4" spans="1:4" s="27" customFormat="1" ht="14.25" customHeight="1" x14ac:dyDescent="0.2">
      <c r="A4" s="23" t="s">
        <v>372</v>
      </c>
      <c r="B4" s="24">
        <v>9176</v>
      </c>
      <c r="C4" s="25">
        <f>MemberOfAssemblyAssemblyDistrict72General[[#This Row],[Part of New York County 
Vote Results]]</f>
        <v>9176</v>
      </c>
      <c r="D4" s="26">
        <f>SUM(MemberOfAssemblyAssemblyDistrict72General[[#This Row],[Total Votes by Party]])</f>
        <v>9176</v>
      </c>
    </row>
    <row r="5" spans="1:4" s="27" customFormat="1" ht="14.25" customHeight="1" x14ac:dyDescent="0.2">
      <c r="A5" s="29" t="s">
        <v>69</v>
      </c>
      <c r="B5" s="24">
        <v>1469</v>
      </c>
      <c r="C5" s="25">
        <f>MemberOfAssemblyAssemblyDistrict72General[[#This Row],[Part of New York County 
Vote Results]]</f>
        <v>1469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MemberOfAssemblyAssemblyDistrict72General[[#This Row],[Part of New York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83</v>
      </c>
      <c r="C7" s="25">
        <f>MemberOfAssemblyAssemblyDistrict72General[[#This Row],[Part of New York County 
Vote Results]]</f>
        <v>83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SUM(MemberOfAssemblyAssemblyDistrict72General[Part of New York County 
Vote Results])</f>
        <v>13610</v>
      </c>
      <c r="C8" s="25">
        <f>SUM(MemberOfAssemblyAssemblyDistrict72General[Total Votes by Party])</f>
        <v>13610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8FA7-B094-4B45-BA12-4022F669ABF4}">
  <sheetPr>
    <pageSetUpPr fitToPage="1"/>
  </sheetPr>
  <dimension ref="A1:D25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374</v>
      </c>
    </row>
    <row r="2" spans="1:4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878</v>
      </c>
      <c r="B3" s="24">
        <v>2968</v>
      </c>
      <c r="C3" s="25">
        <f>MemberOfAssemblyAssemblyDistrict75General[[#This Row],[Part of New York County 
Vote Results]]</f>
        <v>2968</v>
      </c>
      <c r="D3" s="26">
        <f>SUM(MemberOfAssemblyAssemblyDistrict75General[[#This Row],[Total Votes by Party]],C4)</f>
        <v>13198</v>
      </c>
    </row>
    <row r="4" spans="1:4" s="27" customFormat="1" ht="14.25" customHeight="1" x14ac:dyDescent="0.2">
      <c r="A4" s="23" t="s">
        <v>373</v>
      </c>
      <c r="B4" s="24">
        <v>10230</v>
      </c>
      <c r="C4" s="25">
        <f>MemberOfAssemblyAssemblyDistrict75General[[#This Row],[Part of New York County 
Vote Results]]</f>
        <v>10230</v>
      </c>
      <c r="D4" s="54">
        <f>SUM(MemberOfAssemblyAssemblyDistrict75General[[#This Row],[Total Votes by Party]],C5)</f>
        <v>11870</v>
      </c>
    </row>
    <row r="5" spans="1:4" s="27" customFormat="1" ht="14.25" customHeight="1" x14ac:dyDescent="0.2">
      <c r="A5" s="29" t="s">
        <v>69</v>
      </c>
      <c r="B5" s="24">
        <v>1640</v>
      </c>
      <c r="C5" s="25">
        <f>MemberOfAssemblyAssemblyDistrict75General[[#This Row],[Part of New York County 
Vote Results]]</f>
        <v>1640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MemberOfAssemblyAssemblyDistrict75General[[#This Row],[Part of New York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126</v>
      </c>
      <c r="C7" s="25">
        <f>MemberOfAssemblyAssemblyDistrict75General[[#This Row],[Part of New York County 
Vote Results]]</f>
        <v>126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SUM(MemberOfAssemblyAssemblyDistrict75General[Part of New York County 
Vote Results])</f>
        <v>14964</v>
      </c>
      <c r="C8" s="25">
        <f>SUM(MemberOfAssemblyAssemblyDistrict75General[Total Votes by Party])</f>
        <v>14964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B906-A4EF-49DC-98F9-B690585A163A}">
  <sheetPr>
    <pageSetUpPr fitToPage="1"/>
  </sheetPr>
  <dimension ref="A1:D24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375</v>
      </c>
    </row>
    <row r="2" spans="1:4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376</v>
      </c>
      <c r="B3" s="24">
        <v>7791</v>
      </c>
      <c r="C3" s="25">
        <f>MemberOfAssemblyAssemblyDistrict81General[[#This Row],[Part of Bronx County 
Vote Results]]</f>
        <v>7791</v>
      </c>
      <c r="D3" s="26">
        <f>SUM(MemberOfAssemblyAssemblyDistrict81General[[#This Row],[Total Votes by Party]])</f>
        <v>7791</v>
      </c>
    </row>
    <row r="4" spans="1:4" s="27" customFormat="1" ht="14.25" customHeight="1" x14ac:dyDescent="0.2">
      <c r="A4" s="23" t="s">
        <v>377</v>
      </c>
      <c r="B4" s="24">
        <v>4225</v>
      </c>
      <c r="C4" s="25">
        <f>MemberOfAssemblyAssemblyDistrict81General[[#This Row],[Part of Bronx County 
Vote Results]]</f>
        <v>4225</v>
      </c>
      <c r="D4" s="54">
        <f>SUM(MemberOfAssemblyAssemblyDistrict81General[[#This Row],[Total Votes by Party]])</f>
        <v>4225</v>
      </c>
    </row>
    <row r="5" spans="1:4" s="27" customFormat="1" ht="14.25" customHeight="1" x14ac:dyDescent="0.2">
      <c r="A5" s="29" t="s">
        <v>69</v>
      </c>
      <c r="B5" s="24">
        <v>387</v>
      </c>
      <c r="C5" s="25">
        <f>MemberOfAssemblyAssemblyDistrict81General[[#This Row],[Part of Bronx County 
Vote Results]]</f>
        <v>387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MemberOfAssemblyAssemblyDistrict81General[[#This Row],[Part of Bronx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29</v>
      </c>
      <c r="C7" s="25">
        <f>MemberOfAssemblyAssemblyDistrict81General[[#This Row],[Part of Bronx County 
Vote Results]]</f>
        <v>29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SUM(MemberOfAssemblyAssemblyDistrict81General[Part of Bronx County 
Vote Results])</f>
        <v>12432</v>
      </c>
      <c r="C8" s="25">
        <f>SUM(MemberOfAssemblyAssemblyDistrict81General[Total Votes by Party])</f>
        <v>12432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7789-EE29-4387-8206-0A52B3AB9BBA}">
  <sheetPr>
    <pageSetUpPr fitToPage="1"/>
  </sheetPr>
  <dimension ref="A1:D25"/>
  <sheetViews>
    <sheetView zoomScaleNormal="100" workbookViewId="0">
      <selection activeCell="E26" sqref="E26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378</v>
      </c>
    </row>
    <row r="2" spans="1:4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379</v>
      </c>
      <c r="B3" s="24">
        <v>1864</v>
      </c>
      <c r="C3" s="25">
        <f>MemberOfAssemblyAssemblyDistrict82General[[#This Row],[Part of Bronx County 
Vote Results]]</f>
        <v>1864</v>
      </c>
      <c r="D3" s="54">
        <f>SUM(MemberOfAssemblyAssemblyDistrict82General[[#This Row],[Total Votes by Party]])</f>
        <v>1864</v>
      </c>
    </row>
    <row r="4" spans="1:4" s="27" customFormat="1" ht="14.25" customHeight="1" x14ac:dyDescent="0.2">
      <c r="A4" s="23" t="s">
        <v>380</v>
      </c>
      <c r="B4" s="24">
        <v>911</v>
      </c>
      <c r="C4" s="25">
        <f>MemberOfAssemblyAssemblyDistrict82General[[#This Row],[Part of Bronx County 
Vote Results]]</f>
        <v>911</v>
      </c>
      <c r="D4" s="54">
        <f>SUM(MemberOfAssemblyAssemblyDistrict82General[[#This Row],[Total Votes by Party]])</f>
        <v>911</v>
      </c>
    </row>
    <row r="5" spans="1:4" s="27" customFormat="1" ht="14.25" customHeight="1" x14ac:dyDescent="0.2">
      <c r="A5" s="23" t="s">
        <v>381</v>
      </c>
      <c r="B5" s="24">
        <v>4636</v>
      </c>
      <c r="C5" s="25">
        <f>MemberOfAssemblyAssemblyDistrict82General[[#This Row],[Part of Bronx County 
Vote Results]]</f>
        <v>4636</v>
      </c>
      <c r="D5" s="26">
        <f>SUM(MemberOfAssemblyAssemblyDistrict82General[[#This Row],[Total Votes by Party]])</f>
        <v>4636</v>
      </c>
    </row>
    <row r="6" spans="1:4" s="27" customFormat="1" ht="14.25" customHeight="1" x14ac:dyDescent="0.2">
      <c r="A6" s="29" t="s">
        <v>69</v>
      </c>
      <c r="B6" s="24">
        <v>115</v>
      </c>
      <c r="C6" s="25">
        <f>MemberOfAssemblyAssemblyDistrict82General[[#This Row],[Part of Bronx County 
Vote Results]]</f>
        <v>115</v>
      </c>
      <c r="D6" s="28"/>
    </row>
    <row r="7" spans="1:4" s="27" customFormat="1" ht="14.25" customHeight="1" x14ac:dyDescent="0.2">
      <c r="A7" s="29" t="s">
        <v>70</v>
      </c>
      <c r="B7" s="24"/>
      <c r="C7" s="25">
        <f>MemberOfAssemblyAssemblyDistrict82General[[#This Row],[Part of Bronx County 
Vote Results]]</f>
        <v>0</v>
      </c>
      <c r="D7" s="28"/>
    </row>
    <row r="8" spans="1:4" s="27" customFormat="1" ht="14.25" customHeight="1" x14ac:dyDescent="0.2">
      <c r="A8" s="29" t="s">
        <v>71</v>
      </c>
      <c r="B8" s="24">
        <v>39</v>
      </c>
      <c r="C8" s="25">
        <f>MemberOfAssemblyAssemblyDistrict82General[[#This Row],[Part of Bronx County 
Vote Results]]</f>
        <v>39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SUM(MemberOfAssemblyAssemblyDistrict82General[Part of Bronx County 
Vote Results])</f>
        <v>7565</v>
      </c>
      <c r="C9" s="25">
        <f>SUM(MemberOfAssemblyAssemblyDistrict82General[Total Votes by Party])</f>
        <v>7565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A060-7988-48FB-B2F1-5BC73B9FDFA6}">
  <sheetPr>
    <pageSetUpPr fitToPage="1"/>
  </sheetPr>
  <dimension ref="A1:D23"/>
  <sheetViews>
    <sheetView workbookViewId="0">
      <selection activeCell="D5" sqref="D5"/>
    </sheetView>
  </sheetViews>
  <sheetFormatPr defaultRowHeight="12.75" x14ac:dyDescent="0.2"/>
  <cols>
    <col min="1" max="1" width="27.8554687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382</v>
      </c>
    </row>
    <row r="2" spans="1:4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383</v>
      </c>
      <c r="B3" s="24">
        <v>777</v>
      </c>
      <c r="C3" s="25">
        <f>MemberOfAssemblyAssemblyDistrict84General[[#This Row],[Part of Bronx County 
Vote Results]]</f>
        <v>777</v>
      </c>
      <c r="D3" s="54">
        <f>SUM(MemberOfAssemblyAssemblyDistrict84General[[#This Row],[Total Votes by Party]])</f>
        <v>777</v>
      </c>
    </row>
    <row r="4" spans="1:4" s="27" customFormat="1" ht="14.25" customHeight="1" x14ac:dyDescent="0.2">
      <c r="A4" s="23" t="s">
        <v>384</v>
      </c>
      <c r="B4" s="24">
        <v>2494</v>
      </c>
      <c r="C4" s="25">
        <f>MemberOfAssemblyAssemblyDistrict84General[[#This Row],[Part of Bronx County 
Vote Results]]</f>
        <v>2494</v>
      </c>
      <c r="D4" s="26">
        <f>SUM(MemberOfAssemblyAssemblyDistrict84General[[#This Row],[Total Votes by Party]])</f>
        <v>2494</v>
      </c>
    </row>
    <row r="5" spans="1:4" s="27" customFormat="1" ht="14.25" customHeight="1" x14ac:dyDescent="0.2">
      <c r="A5" s="23" t="s">
        <v>385</v>
      </c>
      <c r="B5" s="24">
        <v>888</v>
      </c>
      <c r="C5" s="25">
        <f>MemberOfAssemblyAssemblyDistrict84General[[#This Row],[Part of Bronx County 
Vote Results]]</f>
        <v>888</v>
      </c>
      <c r="D5" s="54">
        <f>SUM(MemberOfAssemblyAssemblyDistrict84General[[#This Row],[Total Votes by Party]])</f>
        <v>888</v>
      </c>
    </row>
    <row r="6" spans="1:4" s="27" customFormat="1" ht="14.25" customHeight="1" x14ac:dyDescent="0.2">
      <c r="A6" s="29" t="s">
        <v>69</v>
      </c>
      <c r="B6" s="24">
        <v>286</v>
      </c>
      <c r="C6" s="25">
        <f>MemberOfAssemblyAssemblyDistrict84General[[#This Row],[Part of Bronx County 
Vote Results]]</f>
        <v>286</v>
      </c>
      <c r="D6" s="28"/>
    </row>
    <row r="7" spans="1:4" s="27" customFormat="1" ht="14.25" customHeight="1" x14ac:dyDescent="0.2">
      <c r="A7" s="29" t="s">
        <v>70</v>
      </c>
      <c r="B7" s="24"/>
      <c r="C7" s="25">
        <f>MemberOfAssemblyAssemblyDistrict84General[[#This Row],[Part of Bronx County 
Vote Results]]</f>
        <v>0</v>
      </c>
      <c r="D7" s="28"/>
    </row>
    <row r="8" spans="1:4" s="27" customFormat="1" ht="14.25" customHeight="1" x14ac:dyDescent="0.2">
      <c r="A8" s="29" t="s">
        <v>71</v>
      </c>
      <c r="B8" s="24">
        <v>21</v>
      </c>
      <c r="C8" s="25">
        <f>MemberOfAssemblyAssemblyDistrict84General[[#This Row],[Part of Bronx County 
Vote Results]]</f>
        <v>21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SUM(MemberOfAssemblyAssemblyDistrict84General[Part of Bronx County 
Vote Results])</f>
        <v>4466</v>
      </c>
      <c r="C9" s="25">
        <f>SUM(MemberOfAssemblyAssemblyDistrict84General[Total Votes by Party])</f>
        <v>4466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C2AA-0598-4926-971C-00BF6C9470B7}">
  <sheetPr>
    <pageSetUpPr fitToPage="1"/>
  </sheetPr>
  <dimension ref="A1:D25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386</v>
      </c>
    </row>
    <row r="2" spans="1:4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387</v>
      </c>
      <c r="B3" s="24">
        <v>122</v>
      </c>
      <c r="C3" s="25">
        <f>MemberOfAssemblyAssemblyDistrict86General[[#This Row],[Part of Bronx County 
Vote Results]]</f>
        <v>122</v>
      </c>
      <c r="D3" s="26">
        <f>SUM(MemberOfAssemblyAssemblyDistrict86General[[#This Row],[Total Votes by Party]])</f>
        <v>122</v>
      </c>
    </row>
    <row r="4" spans="1:4" s="27" customFormat="1" ht="14.25" customHeight="1" x14ac:dyDescent="0.2">
      <c r="A4" s="23" t="s">
        <v>388</v>
      </c>
      <c r="B4" s="24">
        <v>76</v>
      </c>
      <c r="C4" s="25">
        <f>MemberOfAssemblyAssemblyDistrict86General[[#This Row],[Part of Bronx County 
Vote Results]]</f>
        <v>76</v>
      </c>
      <c r="D4" s="54">
        <f>SUM(MemberOfAssemblyAssemblyDistrict86General[[#This Row],[Total Votes by Party]])</f>
        <v>76</v>
      </c>
    </row>
    <row r="5" spans="1:4" s="27" customFormat="1" ht="14.25" customHeight="1" x14ac:dyDescent="0.2">
      <c r="A5" s="29" t="s">
        <v>69</v>
      </c>
      <c r="B5" s="24">
        <v>8</v>
      </c>
      <c r="C5" s="25">
        <f>MemberOfAssemblyAssemblyDistrict86General[[#This Row],[Part of Bronx County 
Vote Results]]</f>
        <v>8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MemberOfAssemblyAssemblyDistrict86General[[#This Row],[Part of Bronx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8</v>
      </c>
      <c r="C7" s="25">
        <f>MemberOfAssemblyAssemblyDistrict86General[[#This Row],[Part of Bronx County 
Vote Results]]</f>
        <v>8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SUM(MemberOfAssemblyAssemblyDistrict86General[Part of Bronx County 
Vote Results])</f>
        <v>214</v>
      </c>
      <c r="C8" s="25">
        <f>SUM(MemberOfAssemblyAssemblyDistrict86General[Total Votes by Party])</f>
        <v>214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CD1B-94D2-4916-9C88-4F1E8FC1B2BA}">
  <sheetPr>
    <pageSetUpPr fitToPage="1"/>
  </sheetPr>
  <dimension ref="A1:D22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389</v>
      </c>
    </row>
    <row r="2" spans="1:4" ht="28.5" customHeight="1" x14ac:dyDescent="0.2">
      <c r="A2" s="19" t="s">
        <v>66</v>
      </c>
      <c r="B2" s="20" t="s">
        <v>219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390</v>
      </c>
      <c r="B3" s="24">
        <v>4221</v>
      </c>
      <c r="C3" s="25">
        <f>MemberOfAssemblyAssemblyDistrict87General[[#This Row],[Part of Bronx County 
Vote Results]]</f>
        <v>4221</v>
      </c>
      <c r="D3" s="26">
        <f>SUM(MemberOfAssemblyAssemblyDistrict87General[[#This Row],[Total Votes by Party]])</f>
        <v>4221</v>
      </c>
    </row>
    <row r="4" spans="1:4" s="27" customFormat="1" ht="14.25" customHeight="1" x14ac:dyDescent="0.2">
      <c r="A4" s="23" t="s">
        <v>391</v>
      </c>
      <c r="B4" s="24">
        <v>1654</v>
      </c>
      <c r="C4" s="25">
        <f>MemberOfAssemblyAssemblyDistrict87General[[#This Row],[Part of Bronx County 
Vote Results]]</f>
        <v>1654</v>
      </c>
      <c r="D4" s="54">
        <f>SUM(MemberOfAssemblyAssemblyDistrict87General[[#This Row],[Total Votes by Party]])</f>
        <v>1654</v>
      </c>
    </row>
    <row r="5" spans="1:4" s="27" customFormat="1" ht="14.25" customHeight="1" x14ac:dyDescent="0.2">
      <c r="A5" s="29" t="s">
        <v>69</v>
      </c>
      <c r="B5" s="24">
        <v>104</v>
      </c>
      <c r="C5" s="25">
        <f>MemberOfAssemblyAssemblyDistrict87General[[#This Row],[Part of Bronx County 
Vote Results]]</f>
        <v>104</v>
      </c>
      <c r="D5" s="28"/>
    </row>
    <row r="6" spans="1:4" s="27" customFormat="1" ht="14.25" customHeight="1" x14ac:dyDescent="0.2">
      <c r="A6" s="29" t="s">
        <v>70</v>
      </c>
      <c r="B6" s="24"/>
      <c r="C6" s="25">
        <f>MemberOfAssemblyAssemblyDistrict87General[[#This Row],[Part of Bronx County 
Vote Results]]</f>
        <v>0</v>
      </c>
      <c r="D6" s="28"/>
    </row>
    <row r="7" spans="1:4" s="27" customFormat="1" ht="14.25" customHeight="1" x14ac:dyDescent="0.2">
      <c r="A7" s="29" t="s">
        <v>71</v>
      </c>
      <c r="B7" s="24">
        <v>18</v>
      </c>
      <c r="C7" s="25">
        <f>MemberOfAssemblyAssemblyDistrict87General[[#This Row],[Part of Bronx County 
Vote Results]]</f>
        <v>18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SUM(MemberOfAssemblyAssemblyDistrict87General[Part of Bronx County 
Vote Results])</f>
        <v>5997</v>
      </c>
      <c r="C8" s="25">
        <f>SUM(MemberOfAssemblyAssemblyDistrict87General[Total Votes by Party])</f>
        <v>5997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9E21-F7A1-4BC0-A092-3D427CAA8895}">
  <sheetPr>
    <pageSetUpPr fitToPage="1"/>
  </sheetPr>
  <dimension ref="A1:E11"/>
  <sheetViews>
    <sheetView zoomScaleNormal="100" zoomScaleSheetLayoutView="110" workbookViewId="0">
      <selection activeCell="K13" sqref="K13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221</v>
      </c>
    </row>
    <row r="2" spans="1:5" ht="28.5" customHeight="1" x14ac:dyDescent="0.2">
      <c r="A2" s="19" t="s">
        <v>66</v>
      </c>
      <c r="B2" s="20" t="s">
        <v>213</v>
      </c>
      <c r="C2" s="20" t="s">
        <v>214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230</v>
      </c>
      <c r="B3" s="31">
        <v>505</v>
      </c>
      <c r="C3" s="31">
        <v>682</v>
      </c>
      <c r="D3" s="25">
        <f t="shared" ref="D3:D9" si="0">SUM(B3,C3)</f>
        <v>1187</v>
      </c>
      <c r="E3" s="54">
        <f>SUM(RepInCongressCongressionalDistrict7General[[#This Row],[Total Votes by Party]])</f>
        <v>1187</v>
      </c>
    </row>
    <row r="4" spans="1:5" s="27" customFormat="1" ht="14.25" customHeight="1" x14ac:dyDescent="0.2">
      <c r="A4" s="23" t="s">
        <v>231</v>
      </c>
      <c r="B4" s="31">
        <v>20461</v>
      </c>
      <c r="C4" s="31">
        <v>4666</v>
      </c>
      <c r="D4" s="25">
        <f t="shared" si="0"/>
        <v>25127</v>
      </c>
      <c r="E4" s="54">
        <f>SUM(RepInCongressCongressionalDistrict7General[[#This Row],[Total Votes by Party]])</f>
        <v>25127</v>
      </c>
    </row>
    <row r="5" spans="1:5" s="27" customFormat="1" ht="14.25" customHeight="1" x14ac:dyDescent="0.2">
      <c r="A5" s="23" t="s">
        <v>232</v>
      </c>
      <c r="B5" s="31">
        <v>25554</v>
      </c>
      <c r="C5" s="31">
        <v>14072</v>
      </c>
      <c r="D5" s="25">
        <f t="shared" si="0"/>
        <v>39626</v>
      </c>
      <c r="E5" s="26">
        <f>SUM(RepInCongressCongressionalDistrict7General[[#This Row],[Total Votes by Party]])</f>
        <v>39626</v>
      </c>
    </row>
    <row r="6" spans="1:5" s="27" customFormat="1" ht="14.25" customHeight="1" x14ac:dyDescent="0.2">
      <c r="A6" s="23" t="s">
        <v>233</v>
      </c>
      <c r="B6" s="31">
        <v>1339</v>
      </c>
      <c r="C6" s="31">
        <v>3099</v>
      </c>
      <c r="D6" s="25">
        <f t="shared" si="0"/>
        <v>4438</v>
      </c>
      <c r="E6" s="54">
        <f>SUM(RepInCongressCongressionalDistrict7General[[#This Row],[Total Votes by Party]])</f>
        <v>4438</v>
      </c>
    </row>
    <row r="7" spans="1:5" s="27" customFormat="1" ht="14.25" customHeight="1" x14ac:dyDescent="0.2">
      <c r="A7" s="29" t="s">
        <v>69</v>
      </c>
      <c r="B7" s="31">
        <v>441</v>
      </c>
      <c r="C7" s="24">
        <v>269</v>
      </c>
      <c r="D7" s="25">
        <f t="shared" si="0"/>
        <v>710</v>
      </c>
      <c r="E7" s="28"/>
    </row>
    <row r="8" spans="1:5" s="27" customFormat="1" ht="14.25" customHeight="1" x14ac:dyDescent="0.2">
      <c r="A8" s="29" t="s">
        <v>70</v>
      </c>
      <c r="B8" s="31"/>
      <c r="C8" s="24"/>
      <c r="D8" s="25">
        <f t="shared" si="0"/>
        <v>0</v>
      </c>
      <c r="E8" s="28"/>
    </row>
    <row r="9" spans="1:5" s="27" customFormat="1" ht="14.25" customHeight="1" x14ac:dyDescent="0.2">
      <c r="A9" s="29" t="s">
        <v>71</v>
      </c>
      <c r="B9" s="31">
        <v>76</v>
      </c>
      <c r="C9" s="24">
        <v>34</v>
      </c>
      <c r="D9" s="25">
        <f t="shared" si="0"/>
        <v>110</v>
      </c>
      <c r="E9" s="28"/>
    </row>
    <row r="10" spans="1:5" s="27" customFormat="1" ht="14.25" customHeight="1" x14ac:dyDescent="0.2">
      <c r="A10" s="30" t="s">
        <v>1</v>
      </c>
      <c r="B10" s="24">
        <f>SUM(RepInCongressCongressionalDistrict7General[Part of Kings County Vote Results])</f>
        <v>48376</v>
      </c>
      <c r="C10" s="24">
        <f>SUM(RepInCongressCongressionalDistrict7General[Part of Queens County Vote Results])</f>
        <v>22822</v>
      </c>
      <c r="D10" s="25">
        <f>SUM(RepInCongressCongressionalDistrict7General[Total Votes by Party])</f>
        <v>71198</v>
      </c>
      <c r="E10" s="28"/>
    </row>
    <row r="11" spans="1:5" s="27" customFormat="1" ht="14.25" customHeight="1" x14ac:dyDescent="0.2">
      <c r="E11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1D2C-BC5D-4684-B404-47DAFD0B5E92}">
  <sheetPr>
    <pageSetUpPr fitToPage="1"/>
  </sheetPr>
  <dimension ref="A1:D25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3.140625" customWidth="1"/>
    <col min="4" max="4" width="23.140625" style="18" customWidth="1"/>
    <col min="5" max="6" width="23.5703125" customWidth="1"/>
  </cols>
  <sheetData>
    <row r="1" spans="1:4" ht="24.95" customHeight="1" x14ac:dyDescent="0.2">
      <c r="A1" s="17" t="s">
        <v>768</v>
      </c>
    </row>
    <row r="2" spans="1:4" ht="28.5" customHeight="1" x14ac:dyDescent="0.2">
      <c r="A2" s="19" t="s">
        <v>66</v>
      </c>
      <c r="B2" s="20" t="s">
        <v>76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766</v>
      </c>
      <c r="B3" s="24">
        <v>2826</v>
      </c>
      <c r="C3" s="25">
        <f>MemberOfAssemblyAssemblyDistrict90General[[#This Row],[Part of Westchester County 
Vote Results]]</f>
        <v>2826</v>
      </c>
      <c r="D3" s="26">
        <f>SUM(MemberOfAssemblyAssemblyDistrict90General[[#This Row],[Total Votes by Party]])</f>
        <v>2826</v>
      </c>
    </row>
    <row r="4" spans="1:4" s="27" customFormat="1" ht="14.25" customHeight="1" x14ac:dyDescent="0.2">
      <c r="A4" s="23" t="s">
        <v>767</v>
      </c>
      <c r="B4" s="24">
        <v>2122</v>
      </c>
      <c r="C4" s="25">
        <f>MemberOfAssemblyAssemblyDistrict90General[[#This Row],[Part of Westchester County 
Vote Results]]</f>
        <v>2122</v>
      </c>
      <c r="D4" s="54">
        <f>SUM(MemberOfAssemblyAssemblyDistrict90General[[#This Row],[Total Votes by Party]])</f>
        <v>2122</v>
      </c>
    </row>
    <row r="5" spans="1:4" s="27" customFormat="1" ht="14.25" customHeight="1" x14ac:dyDescent="0.2">
      <c r="A5" s="29" t="s">
        <v>69</v>
      </c>
      <c r="B5" s="24">
        <v>255</v>
      </c>
      <c r="C5" s="25">
        <f>MemberOfAssemblyAssemblyDistrict90General[[#This Row],[Part of Westchester County 
Vote Results]]</f>
        <v>255</v>
      </c>
      <c r="D5" s="28"/>
    </row>
    <row r="6" spans="1:4" s="27" customFormat="1" ht="14.25" customHeight="1" x14ac:dyDescent="0.2">
      <c r="A6" s="29" t="s">
        <v>70</v>
      </c>
      <c r="B6" s="24">
        <v>32</v>
      </c>
      <c r="C6" s="25">
        <f>MemberOfAssemblyAssemblyDistrict90General[[#This Row],[Part of Westchester County 
Vote Results]]</f>
        <v>32</v>
      </c>
      <c r="D6" s="28"/>
    </row>
    <row r="7" spans="1:4" s="27" customFormat="1" ht="14.25" customHeight="1" x14ac:dyDescent="0.2">
      <c r="A7" s="29" t="s">
        <v>71</v>
      </c>
      <c r="B7" s="24">
        <v>2</v>
      </c>
      <c r="C7" s="25">
        <f>MemberOfAssemblyAssemblyDistrict90General[[#This Row],[Part of Westchester County 
Vote Results]]</f>
        <v>2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SUM(MemberOfAssemblyAssemblyDistrict90General[Part of Westchester County 
Vote Results])</f>
        <v>5237</v>
      </c>
      <c r="C8" s="25">
        <f>SUM(MemberOfAssemblyAssemblyDistrict90General[Total Votes by Party])</f>
        <v>5237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28BE-6698-48C2-85AE-2DBA3191D637}">
  <sheetPr>
    <pageSetUpPr fitToPage="1"/>
  </sheetPr>
  <dimension ref="A1:D24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769</v>
      </c>
    </row>
    <row r="2" spans="1:4" ht="28.5" customHeight="1" x14ac:dyDescent="0.2">
      <c r="A2" s="19" t="s">
        <v>66</v>
      </c>
      <c r="B2" s="20" t="s">
        <v>136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770</v>
      </c>
      <c r="B3" s="24">
        <v>6745</v>
      </c>
      <c r="C3" s="25">
        <f>MemberOfAssemblyAssemblyDistrict96General[[#This Row],[Part of Rockland County 
Vote Results]]</f>
        <v>6745</v>
      </c>
      <c r="D3" s="26">
        <f>SUM(MemberOfAssemblyAssemblyDistrict96General[[#This Row],[Total Votes by Party]])</f>
        <v>6745</v>
      </c>
    </row>
    <row r="4" spans="1:4" s="27" customFormat="1" ht="14.25" customHeight="1" x14ac:dyDescent="0.2">
      <c r="A4" s="23" t="s">
        <v>771</v>
      </c>
      <c r="B4" s="24">
        <v>1618</v>
      </c>
      <c r="C4" s="25">
        <f>MemberOfAssemblyAssemblyDistrict96General[[#This Row],[Part of Rockland County 
Vote Results]]</f>
        <v>1618</v>
      </c>
      <c r="D4" s="54">
        <f>SUM(MemberOfAssemblyAssemblyDistrict96General[[#This Row],[Total Votes by Party]])</f>
        <v>1618</v>
      </c>
    </row>
    <row r="5" spans="1:4" s="27" customFormat="1" ht="14.25" customHeight="1" x14ac:dyDescent="0.2">
      <c r="A5" s="29" t="s">
        <v>69</v>
      </c>
      <c r="B5" s="24">
        <v>740</v>
      </c>
      <c r="C5" s="25">
        <f>MemberOfAssemblyAssemblyDistrict96General[[#This Row],[Part of Rockland County 
Vote Results]]</f>
        <v>740</v>
      </c>
      <c r="D5" s="28"/>
    </row>
    <row r="6" spans="1:4" s="27" customFormat="1" ht="14.25" customHeight="1" x14ac:dyDescent="0.2">
      <c r="A6" s="29" t="s">
        <v>70</v>
      </c>
      <c r="B6" s="24">
        <v>37</v>
      </c>
      <c r="C6" s="25">
        <f>MemberOfAssemblyAssemblyDistrict96General[[#This Row],[Part of Rockland County 
Vote Results]]</f>
        <v>37</v>
      </c>
      <c r="D6" s="28"/>
    </row>
    <row r="7" spans="1:4" s="27" customFormat="1" ht="14.25" customHeight="1" x14ac:dyDescent="0.2">
      <c r="A7" s="29" t="s">
        <v>71</v>
      </c>
      <c r="B7" s="24">
        <v>16</v>
      </c>
      <c r="C7" s="25">
        <f>MemberOfAssemblyAssemblyDistrict96General[[#This Row],[Part of Rockland County 
Vote Results]]</f>
        <v>16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SUM(MemberOfAssemblyAssemblyDistrict96General[Part of Rockland County 
Vote Results])</f>
        <v>9156</v>
      </c>
      <c r="C8" s="25">
        <f>SUM(MemberOfAssemblyAssemblyDistrict96General[Total Votes by Party])</f>
        <v>9156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C344-F16E-4BB2-B14F-55349E94B136}">
  <sheetPr>
    <pageSetUpPr fitToPage="1"/>
  </sheetPr>
  <dimension ref="A1:D22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774</v>
      </c>
    </row>
    <row r="2" spans="1:4" ht="28.5" customHeight="1" x14ac:dyDescent="0.2">
      <c r="A2" s="19" t="s">
        <v>66</v>
      </c>
      <c r="B2" s="20" t="s">
        <v>136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775</v>
      </c>
      <c r="B3" s="24">
        <v>397</v>
      </c>
      <c r="C3" s="25">
        <f>MemberOfAssemblyAssemblyDistrict97General[[#This Row],[Part of Rockland County 
Vote Results]]</f>
        <v>397</v>
      </c>
      <c r="D3" s="26">
        <f>SUM(MemberOfAssemblyAssemblyDistrict97General[[#This Row],[Total Votes by Party]])</f>
        <v>397</v>
      </c>
    </row>
    <row r="4" spans="1:4" s="27" customFormat="1" ht="14.25" customHeight="1" x14ac:dyDescent="0.2">
      <c r="A4" s="23" t="s">
        <v>776</v>
      </c>
      <c r="B4" s="24">
        <v>288</v>
      </c>
      <c r="C4" s="25">
        <f>MemberOfAssemblyAssemblyDistrict97General[[#This Row],[Part of Rockland County 
Vote Results]]</f>
        <v>288</v>
      </c>
      <c r="D4" s="54">
        <f>SUM(MemberOfAssemblyAssemblyDistrict97General[[#This Row],[Total Votes by Party]])</f>
        <v>288</v>
      </c>
    </row>
    <row r="5" spans="1:4" s="27" customFormat="1" ht="14.25" customHeight="1" x14ac:dyDescent="0.2">
      <c r="A5" s="29" t="s">
        <v>69</v>
      </c>
      <c r="B5" s="24">
        <v>1</v>
      </c>
      <c r="C5" s="25">
        <f>MemberOfAssemblyAssemblyDistrict97General[[#This Row],[Part of Rockland County 
Vote Results]]</f>
        <v>1</v>
      </c>
      <c r="D5" s="28"/>
    </row>
    <row r="6" spans="1:4" s="27" customFormat="1" ht="14.25" customHeight="1" x14ac:dyDescent="0.2">
      <c r="A6" s="29" t="s">
        <v>70</v>
      </c>
      <c r="B6" s="24">
        <v>5</v>
      </c>
      <c r="C6" s="25">
        <f>MemberOfAssemblyAssemblyDistrict97General[[#This Row],[Part of Rockland County 
Vote Results]]</f>
        <v>5</v>
      </c>
      <c r="D6" s="28"/>
    </row>
    <row r="7" spans="1:4" s="27" customFormat="1" ht="14.25" customHeight="1" x14ac:dyDescent="0.2">
      <c r="A7" s="29" t="s">
        <v>71</v>
      </c>
      <c r="B7" s="24">
        <v>0</v>
      </c>
      <c r="C7" s="25">
        <f>MemberOfAssemblyAssemblyDistrict97General[[#This Row],[Part of Rockland County 
Vote Results]]</f>
        <v>0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SUM(MemberOfAssemblyAssemblyDistrict97General[Part of Rockland County 
Vote Results])</f>
        <v>691</v>
      </c>
      <c r="C8" s="25">
        <f>SUM(MemberOfAssemblyAssemblyDistrict97General[Total Votes by Party])</f>
        <v>691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88D3-40A1-4EF8-A953-97EC6DE23420}">
  <sheetPr>
    <pageSetUpPr fitToPage="1"/>
  </sheetPr>
  <dimension ref="A1:H24"/>
  <sheetViews>
    <sheetView workbookViewId="0">
      <pane xSplit="1" topLeftCell="B1" activePane="topRight" state="frozen"/>
      <selection activeCell="A45" sqref="A45"/>
      <selection pane="topRight" activeCell="H5" sqref="H5"/>
    </sheetView>
  </sheetViews>
  <sheetFormatPr defaultRowHeight="12.75" x14ac:dyDescent="0.2"/>
  <cols>
    <col min="1" max="1" width="25.5703125" customWidth="1"/>
    <col min="2" max="7" width="20.7109375" customWidth="1"/>
    <col min="8" max="8" width="20.7109375" style="18" customWidth="1"/>
    <col min="9" max="10" width="23.5703125" customWidth="1"/>
  </cols>
  <sheetData>
    <row r="1" spans="1:8" ht="24.95" customHeight="1" x14ac:dyDescent="0.2">
      <c r="A1" s="58" t="s">
        <v>185</v>
      </c>
      <c r="B1" s="58"/>
      <c r="C1" s="58"/>
      <c r="D1" s="58"/>
      <c r="E1" s="58"/>
      <c r="F1" s="58"/>
    </row>
    <row r="2" spans="1:8" ht="28.5" customHeight="1" x14ac:dyDescent="0.2">
      <c r="A2" s="33" t="s">
        <v>66</v>
      </c>
      <c r="B2" s="20" t="s">
        <v>128</v>
      </c>
      <c r="C2" s="20" t="s">
        <v>129</v>
      </c>
      <c r="D2" s="20" t="s">
        <v>82</v>
      </c>
      <c r="E2" s="20" t="s">
        <v>130</v>
      </c>
      <c r="F2" s="20" t="s">
        <v>95</v>
      </c>
      <c r="G2" s="34" t="s">
        <v>63</v>
      </c>
      <c r="H2" s="35" t="s">
        <v>64</v>
      </c>
    </row>
    <row r="3" spans="1:8" s="27" customFormat="1" ht="14.25" customHeight="1" x14ac:dyDescent="0.2">
      <c r="A3" s="23" t="s">
        <v>186</v>
      </c>
      <c r="B3" s="24">
        <v>290</v>
      </c>
      <c r="C3" s="24">
        <v>97</v>
      </c>
      <c r="D3" s="24">
        <v>726</v>
      </c>
      <c r="E3" s="24">
        <v>179</v>
      </c>
      <c r="F3" s="24">
        <v>271</v>
      </c>
      <c r="G3" s="25">
        <f>SUM(MemberOfAssemblyAssemblyDistrict102General[[#This Row],[Part of Albany County 
Vote Results]:[Schoharie County 
Vote Results]])</f>
        <v>1563</v>
      </c>
      <c r="H3" s="54">
        <f>SUM(MemberOfAssemblyAssemblyDistrict102General[[#This Row],[Total Votes by Party]])</f>
        <v>1563</v>
      </c>
    </row>
    <row r="4" spans="1:8" s="27" customFormat="1" ht="14.25" customHeight="1" x14ac:dyDescent="0.2">
      <c r="A4" s="23" t="s">
        <v>187</v>
      </c>
      <c r="B4" s="24">
        <v>243</v>
      </c>
      <c r="C4" s="24">
        <v>891</v>
      </c>
      <c r="D4" s="24">
        <v>505</v>
      </c>
      <c r="E4" s="24">
        <v>399</v>
      </c>
      <c r="F4" s="24">
        <v>533</v>
      </c>
      <c r="G4" s="25">
        <f>SUM(MemberOfAssemblyAssemblyDistrict102General[[#This Row],[Part of Albany County 
Vote Results]:[Schoharie County 
Vote Results]])</f>
        <v>2571</v>
      </c>
      <c r="H4" s="26">
        <f>SUM(MemberOfAssemblyAssemblyDistrict102General[[#This Row],[Total Votes by Party]])</f>
        <v>2571</v>
      </c>
    </row>
    <row r="5" spans="1:8" s="27" customFormat="1" ht="14.25" customHeight="1" x14ac:dyDescent="0.2">
      <c r="A5" s="23" t="s">
        <v>188</v>
      </c>
      <c r="B5" s="24">
        <v>258</v>
      </c>
      <c r="C5" s="24">
        <v>135</v>
      </c>
      <c r="D5" s="24">
        <v>588</v>
      </c>
      <c r="E5" s="24">
        <v>124</v>
      </c>
      <c r="F5" s="24">
        <v>320</v>
      </c>
      <c r="G5" s="25">
        <f>SUM(MemberOfAssemblyAssemblyDistrict102General[[#This Row],[Part of Albany County 
Vote Results]:[Schoharie County 
Vote Results]])</f>
        <v>1425</v>
      </c>
      <c r="H5" s="54">
        <f>SUM(MemberOfAssemblyAssemblyDistrict102General[[#This Row],[Total Votes by Party]])</f>
        <v>1425</v>
      </c>
    </row>
    <row r="6" spans="1:8" s="27" customFormat="1" ht="14.25" customHeight="1" x14ac:dyDescent="0.2">
      <c r="A6" s="29" t="s">
        <v>69</v>
      </c>
      <c r="B6" s="24">
        <v>16</v>
      </c>
      <c r="C6" s="24">
        <v>17</v>
      </c>
      <c r="D6" s="24">
        <v>16</v>
      </c>
      <c r="E6" s="24">
        <v>12</v>
      </c>
      <c r="F6" s="24">
        <v>30</v>
      </c>
      <c r="G6" s="25">
        <f>SUM(MemberOfAssemblyAssemblyDistrict102General[[#This Row],[Part of Albany County 
Vote Results]:[Schoharie County 
Vote Results]])</f>
        <v>91</v>
      </c>
      <c r="H6" s="28"/>
    </row>
    <row r="7" spans="1:8" s="27" customFormat="1" ht="14.25" customHeight="1" x14ac:dyDescent="0.2">
      <c r="A7" s="29" t="s">
        <v>70</v>
      </c>
      <c r="B7" s="24">
        <v>0</v>
      </c>
      <c r="C7" s="24">
        <v>5</v>
      </c>
      <c r="D7" s="24">
        <v>7</v>
      </c>
      <c r="E7" s="24">
        <v>16</v>
      </c>
      <c r="F7" s="24">
        <v>2</v>
      </c>
      <c r="G7" s="25">
        <f>SUM(MemberOfAssemblyAssemblyDistrict102General[[#This Row],[Part of Albany County 
Vote Results]:[Schoharie County 
Vote Results]])</f>
        <v>30</v>
      </c>
      <c r="H7" s="28"/>
    </row>
    <row r="8" spans="1:8" s="27" customFormat="1" ht="14.25" customHeight="1" x14ac:dyDescent="0.2">
      <c r="A8" s="29" t="s">
        <v>71</v>
      </c>
      <c r="B8" s="24">
        <v>3</v>
      </c>
      <c r="C8" s="24">
        <v>2</v>
      </c>
      <c r="D8" s="24">
        <v>0</v>
      </c>
      <c r="E8" s="24">
        <v>0</v>
      </c>
      <c r="F8" s="24">
        <v>1</v>
      </c>
      <c r="G8" s="25">
        <f>SUM(MemberOfAssemblyAssemblyDistrict102General[[#This Row],[Part of Albany County 
Vote Results]:[Schoharie County 
Vote Results]])</f>
        <v>6</v>
      </c>
      <c r="H8" s="28"/>
    </row>
    <row r="9" spans="1:8" s="27" customFormat="1" ht="14.25" customHeight="1" x14ac:dyDescent="0.2">
      <c r="A9" s="30" t="s">
        <v>1</v>
      </c>
      <c r="B9" s="24">
        <f>SUM(MemberOfAssemblyAssemblyDistrict102General[Part of Albany County 
Vote Results])</f>
        <v>810</v>
      </c>
      <c r="C9" s="24">
        <f>SUM(MemberOfAssemblyAssemblyDistrict102General[Part of Delaware County 
Vote Results])</f>
        <v>1147</v>
      </c>
      <c r="D9" s="24">
        <f>SUM(MemberOfAssemblyAssemblyDistrict102General[Greene County 
Vote Results])</f>
        <v>1842</v>
      </c>
      <c r="E9" s="24">
        <f>SUM(MemberOfAssemblyAssemblyDistrict102General[Part of Otsego County 
Vote Results])</f>
        <v>730</v>
      </c>
      <c r="F9" s="24">
        <f>SUM(MemberOfAssemblyAssemblyDistrict102General[Schoharie County 
Vote Results])</f>
        <v>1157</v>
      </c>
      <c r="G9" s="25">
        <f>SUM(MemberOfAssemblyAssemblyDistrict102General[Total Votes by Party])</f>
        <v>5686</v>
      </c>
      <c r="H9" s="28"/>
    </row>
    <row r="10" spans="1:8" s="27" customFormat="1" ht="14.25" customHeight="1" x14ac:dyDescent="0.2">
      <c r="H10" s="37"/>
    </row>
    <row r="11" spans="1:8" s="27" customFormat="1" ht="14.25" customHeight="1" x14ac:dyDescent="0.2">
      <c r="H11" s="37"/>
    </row>
    <row r="12" spans="1:8" s="27" customFormat="1" ht="14.25" customHeight="1" x14ac:dyDescent="0.2">
      <c r="H12" s="37"/>
    </row>
    <row r="13" spans="1:8" s="27" customFormat="1" ht="14.25" customHeight="1" x14ac:dyDescent="0.2">
      <c r="H13" s="37"/>
    </row>
    <row r="14" spans="1:8" s="27" customFormat="1" ht="14.25" customHeight="1" x14ac:dyDescent="0.2">
      <c r="H14" s="37"/>
    </row>
    <row r="15" spans="1:8" s="27" customFormat="1" ht="14.25" customHeight="1" x14ac:dyDescent="0.2">
      <c r="H15" s="37"/>
    </row>
    <row r="16" spans="1:8" s="27" customFormat="1" ht="14.25" customHeight="1" x14ac:dyDescent="0.2">
      <c r="H16" s="37"/>
    </row>
    <row r="17" spans="8:8" s="27" customFormat="1" ht="14.25" customHeight="1" x14ac:dyDescent="0.2">
      <c r="H17" s="37"/>
    </row>
    <row r="18" spans="8:8" s="27" customFormat="1" ht="14.25" customHeight="1" x14ac:dyDescent="0.2">
      <c r="H18" s="37"/>
    </row>
    <row r="19" spans="8:8" s="27" customFormat="1" ht="14.25" customHeight="1" x14ac:dyDescent="0.2">
      <c r="H19" s="37"/>
    </row>
    <row r="20" spans="8:8" s="27" customFormat="1" ht="14.25" customHeight="1" x14ac:dyDescent="0.2">
      <c r="H20" s="37"/>
    </row>
    <row r="21" spans="8:8" s="27" customFormat="1" ht="14.25" customHeight="1" x14ac:dyDescent="0.2">
      <c r="H21" s="37"/>
    </row>
    <row r="22" spans="8:8" s="27" customFormat="1" ht="14.25" customHeight="1" x14ac:dyDescent="0.2">
      <c r="H22" s="37"/>
    </row>
    <row r="23" spans="8:8" s="27" customFormat="1" ht="14.25" customHeight="1" x14ac:dyDescent="0.2">
      <c r="H23" s="37"/>
    </row>
    <row r="24" spans="8:8" s="27" customFormat="1" ht="14.25" customHeight="1" x14ac:dyDescent="0.2">
      <c r="H24" s="37"/>
    </row>
  </sheetData>
  <mergeCells count="1">
    <mergeCell ref="A1:F1"/>
  </mergeCells>
  <pageMargins left="0.25" right="0.25" top="0.25" bottom="0.25" header="0.25" footer="0.25"/>
  <pageSetup paperSize="5" scale="94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5F3D-0D49-497C-A57B-130ABE55BB3F}">
  <sheetPr>
    <pageSetUpPr fitToPage="1"/>
  </sheetPr>
  <dimension ref="A1:E21"/>
  <sheetViews>
    <sheetView workbookViewId="0">
      <selection activeCell="F17" sqref="F17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189</v>
      </c>
    </row>
    <row r="2" spans="1:5" ht="28.5" customHeight="1" x14ac:dyDescent="0.2">
      <c r="A2" s="19" t="s">
        <v>66</v>
      </c>
      <c r="B2" s="20" t="s">
        <v>131</v>
      </c>
      <c r="C2" s="20" t="s">
        <v>119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190</v>
      </c>
      <c r="B3" s="24">
        <v>2913</v>
      </c>
      <c r="C3" s="24">
        <v>3573</v>
      </c>
      <c r="D3" s="25">
        <f>SUM(MemberOfAssemblyAssemblyDistrict106General[[#This Row],[Part of Columbia County 
Vote Results]:[Part of Dutchess County 
Vote Results]])</f>
        <v>6486</v>
      </c>
      <c r="E3" s="26">
        <f>SUM(MemberOfAssemblyAssemblyDistrict106General[[#This Row],[Total Votes by Party]])</f>
        <v>6486</v>
      </c>
    </row>
    <row r="4" spans="1:5" s="27" customFormat="1" ht="14.25" customHeight="1" x14ac:dyDescent="0.2">
      <c r="A4" s="23" t="s">
        <v>191</v>
      </c>
      <c r="B4" s="24">
        <v>937</v>
      </c>
      <c r="C4" s="24">
        <v>1461</v>
      </c>
      <c r="D4" s="25">
        <f>SUM(MemberOfAssemblyAssemblyDistrict106General[[#This Row],[Part of Columbia County 
Vote Results]:[Part of Dutchess County 
Vote Results]])</f>
        <v>2398</v>
      </c>
      <c r="E4" s="54">
        <f>SUM(MemberOfAssemblyAssemblyDistrict106General[[#This Row],[Total Votes by Party]])</f>
        <v>2398</v>
      </c>
    </row>
    <row r="5" spans="1:5" s="27" customFormat="1" ht="14.25" customHeight="1" x14ac:dyDescent="0.2">
      <c r="A5" s="29" t="s">
        <v>69</v>
      </c>
      <c r="B5" s="24">
        <v>23</v>
      </c>
      <c r="C5" s="24">
        <v>32</v>
      </c>
      <c r="D5" s="25">
        <f>SUM(MemberOfAssemblyAssemblyDistrict106General[[#This Row],[Part of Columbia County 
Vote Results]:[Part of Dutchess County 
Vote Results]])</f>
        <v>55</v>
      </c>
      <c r="E5" s="28"/>
    </row>
    <row r="6" spans="1:5" s="27" customFormat="1" ht="14.25" customHeight="1" x14ac:dyDescent="0.2">
      <c r="A6" s="29" t="s">
        <v>70</v>
      </c>
      <c r="B6" s="24">
        <v>6</v>
      </c>
      <c r="C6" s="24">
        <v>9</v>
      </c>
      <c r="D6" s="25">
        <f>SUM(MemberOfAssemblyAssemblyDistrict106General[[#This Row],[Part of Columbia County 
Vote Results]:[Part of Dutchess County 
Vote Results]])</f>
        <v>15</v>
      </c>
      <c r="E6" s="28"/>
    </row>
    <row r="7" spans="1:5" s="27" customFormat="1" ht="14.25" customHeight="1" x14ac:dyDescent="0.2">
      <c r="A7" s="29" t="s">
        <v>71</v>
      </c>
      <c r="B7" s="24">
        <v>4</v>
      </c>
      <c r="C7" s="24">
        <v>2</v>
      </c>
      <c r="D7" s="25">
        <f>SUM(MemberOfAssemblyAssemblyDistrict106General[[#This Row],[Part of Columbia County 
Vote Results]:[Part of Dutchess County 
Vote Results]])</f>
        <v>6</v>
      </c>
      <c r="E7" s="28"/>
    </row>
    <row r="8" spans="1:5" s="27" customFormat="1" ht="14.25" customHeight="1" x14ac:dyDescent="0.2">
      <c r="A8" s="30" t="s">
        <v>1</v>
      </c>
      <c r="B8" s="24">
        <f>SUM(MemberOfAssemblyAssemblyDistrict106General[Part of Columbia County 
Vote Results])</f>
        <v>3883</v>
      </c>
      <c r="C8" s="24">
        <f>SUM(MemberOfAssemblyAssemblyDistrict106General[Part of Dutchess County 
Vote Results])</f>
        <v>5077</v>
      </c>
      <c r="D8" s="25">
        <f>SUM(MemberOfAssemblyAssemblyDistrict106General[Total Votes by Party])</f>
        <v>8960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97B2-6C16-4934-97FF-46C4F94B0EEE}">
  <sheetPr>
    <pageSetUpPr fitToPage="1"/>
  </sheetPr>
  <dimension ref="A1:I24"/>
  <sheetViews>
    <sheetView workbookViewId="0">
      <selection activeCell="F20" sqref="F20"/>
    </sheetView>
  </sheetViews>
  <sheetFormatPr defaultRowHeight="12.75" x14ac:dyDescent="0.2"/>
  <cols>
    <col min="1" max="1" width="25.5703125" customWidth="1"/>
    <col min="2" max="8" width="22.7109375" customWidth="1"/>
    <col min="9" max="9" width="22.7109375" style="18" customWidth="1"/>
    <col min="10" max="11" width="23.5703125" customWidth="1"/>
  </cols>
  <sheetData>
    <row r="1" spans="1:9" ht="24.95" customHeight="1" x14ac:dyDescent="0.2">
      <c r="A1" s="17" t="s">
        <v>192</v>
      </c>
    </row>
    <row r="2" spans="1:9" ht="28.5" customHeight="1" x14ac:dyDescent="0.2">
      <c r="A2" s="19" t="s">
        <v>66</v>
      </c>
      <c r="B2" s="20" t="s">
        <v>132</v>
      </c>
      <c r="C2" s="20" t="s">
        <v>133</v>
      </c>
      <c r="D2" s="20" t="s">
        <v>134</v>
      </c>
      <c r="E2" s="20" t="s">
        <v>91</v>
      </c>
      <c r="F2" s="20" t="s">
        <v>92</v>
      </c>
      <c r="G2" s="20" t="s">
        <v>135</v>
      </c>
      <c r="H2" s="21" t="s">
        <v>63</v>
      </c>
      <c r="I2" s="22" t="s">
        <v>64</v>
      </c>
    </row>
    <row r="3" spans="1:9" s="27" customFormat="1" ht="14.25" customHeight="1" x14ac:dyDescent="0.2">
      <c r="A3" s="23" t="s">
        <v>193</v>
      </c>
      <c r="B3" s="24">
        <v>1728</v>
      </c>
      <c r="C3" s="24">
        <v>269</v>
      </c>
      <c r="D3" s="24">
        <v>1233</v>
      </c>
      <c r="E3" s="24">
        <v>657</v>
      </c>
      <c r="F3" s="24">
        <v>404</v>
      </c>
      <c r="G3" s="24">
        <v>92</v>
      </c>
      <c r="H3" s="25">
        <f>SUM(MemberOfAssemblyAssemblyDistrict118General[[#This Row],[Part of Fulton County 
Vote Results]:[Part of Otsego 
Vote Results]])</f>
        <v>4383</v>
      </c>
      <c r="I3" s="26">
        <f>SUM(MemberOfAssemblyAssemblyDistrict118General[[#This Row],[Total Votes by Party]])</f>
        <v>4383</v>
      </c>
    </row>
    <row r="4" spans="1:9" s="27" customFormat="1" ht="14.25" customHeight="1" x14ac:dyDescent="0.2">
      <c r="A4" s="23" t="s">
        <v>194</v>
      </c>
      <c r="B4" s="24">
        <v>1310</v>
      </c>
      <c r="C4" s="24">
        <v>210</v>
      </c>
      <c r="D4" s="24">
        <v>1372</v>
      </c>
      <c r="E4" s="24">
        <v>630</v>
      </c>
      <c r="F4" s="24">
        <v>164</v>
      </c>
      <c r="G4" s="24">
        <v>24</v>
      </c>
      <c r="H4" s="25">
        <f>SUM(MemberOfAssemblyAssemblyDistrict118General[[#This Row],[Part of Fulton County 
Vote Results]:[Part of Otsego 
Vote Results]])</f>
        <v>3710</v>
      </c>
      <c r="I4" s="54">
        <f>SUM(MemberOfAssemblyAssemblyDistrict118General[[#This Row],[Total Votes by Party]])</f>
        <v>3710</v>
      </c>
    </row>
    <row r="5" spans="1:9" s="27" customFormat="1" ht="14.25" customHeight="1" x14ac:dyDescent="0.2">
      <c r="A5" s="23" t="s">
        <v>195</v>
      </c>
      <c r="B5" s="24">
        <v>979</v>
      </c>
      <c r="C5" s="24">
        <v>360</v>
      </c>
      <c r="D5" s="24">
        <v>1021</v>
      </c>
      <c r="E5" s="24">
        <v>352</v>
      </c>
      <c r="F5" s="24">
        <v>106</v>
      </c>
      <c r="G5" s="24">
        <v>31</v>
      </c>
      <c r="H5" s="25">
        <f>SUM(MemberOfAssemblyAssemblyDistrict118General[[#This Row],[Part of Fulton County 
Vote Results]:[Part of Otsego 
Vote Results]])</f>
        <v>2849</v>
      </c>
      <c r="I5" s="54">
        <f>SUM(MemberOfAssemblyAssemblyDistrict118General[[#This Row],[Total Votes by Party]])</f>
        <v>2849</v>
      </c>
    </row>
    <row r="6" spans="1:9" s="27" customFormat="1" ht="14.25" customHeight="1" x14ac:dyDescent="0.2">
      <c r="A6" s="29" t="s">
        <v>69</v>
      </c>
      <c r="B6" s="24">
        <v>191</v>
      </c>
      <c r="C6" s="24">
        <v>63</v>
      </c>
      <c r="D6" s="24">
        <v>282</v>
      </c>
      <c r="E6" s="24">
        <v>135</v>
      </c>
      <c r="F6" s="24">
        <v>94</v>
      </c>
      <c r="G6" s="24">
        <v>16</v>
      </c>
      <c r="H6" s="25">
        <f>SUM(MemberOfAssemblyAssemblyDistrict118General[[#This Row],[Part of Fulton County 
Vote Results]:[Part of Otsego 
Vote Results]])</f>
        <v>781</v>
      </c>
      <c r="I6" s="28"/>
    </row>
    <row r="7" spans="1:9" s="27" customFormat="1" ht="14.25" customHeight="1" x14ac:dyDescent="0.2">
      <c r="A7" s="29" t="s">
        <v>70</v>
      </c>
      <c r="B7" s="24">
        <v>9</v>
      </c>
      <c r="C7" s="24">
        <v>1</v>
      </c>
      <c r="D7" s="24">
        <v>6</v>
      </c>
      <c r="E7" s="24">
        <v>6</v>
      </c>
      <c r="F7" s="24">
        <v>1</v>
      </c>
      <c r="G7" s="24">
        <v>0</v>
      </c>
      <c r="H7" s="25">
        <f>SUM(MemberOfAssemblyAssemblyDistrict118General[[#This Row],[Part of Fulton County 
Vote Results]:[Part of Otsego 
Vote Results]])</f>
        <v>23</v>
      </c>
      <c r="I7" s="28"/>
    </row>
    <row r="8" spans="1:9" s="27" customFormat="1" ht="14.25" customHeight="1" x14ac:dyDescent="0.2">
      <c r="A8" s="29" t="s">
        <v>71</v>
      </c>
      <c r="B8" s="24">
        <v>8</v>
      </c>
      <c r="C8" s="24">
        <v>1</v>
      </c>
      <c r="D8" s="24">
        <v>5</v>
      </c>
      <c r="E8" s="24">
        <v>4</v>
      </c>
      <c r="F8" s="24">
        <v>2</v>
      </c>
      <c r="G8" s="24">
        <v>0</v>
      </c>
      <c r="H8" s="25">
        <f>SUM(MemberOfAssemblyAssemblyDistrict118General[[#This Row],[Part of Fulton County 
Vote Results]:[Part of Otsego 
Vote Results]])</f>
        <v>20</v>
      </c>
      <c r="I8" s="28"/>
    </row>
    <row r="9" spans="1:9" s="27" customFormat="1" ht="14.25" customHeight="1" x14ac:dyDescent="0.2">
      <c r="A9" s="30" t="s">
        <v>1</v>
      </c>
      <c r="B9" s="24">
        <f>SUM(MemberOfAssemblyAssemblyDistrict118General[Part of Fulton County 
Vote Results])</f>
        <v>4225</v>
      </c>
      <c r="C9" s="24">
        <f>SUM(MemberOfAssemblyAssemblyDistrict118General[Hamilton County 
Vote Results])</f>
        <v>904</v>
      </c>
      <c r="D9" s="24">
        <f>SUBTOTAL(109,D3:D8)</f>
        <v>3919</v>
      </c>
      <c r="E9" s="24">
        <f>SUM(MemberOfAssemblyAssemblyDistrict118General[Part of Montgomery County 
Vote Results])</f>
        <v>1784</v>
      </c>
      <c r="F9" s="24">
        <f>SUM(MemberOfAssemblyAssemblyDistrict118General[Part of Oneida County 
Vote Results])</f>
        <v>771</v>
      </c>
      <c r="G9" s="24">
        <f>SUM(MemberOfAssemblyAssemblyDistrict118General[Part of Otsego 
Vote Results])</f>
        <v>163</v>
      </c>
      <c r="H9" s="25">
        <f>SUM(MemberOfAssemblyAssemblyDistrict118General[Total Votes by Party])</f>
        <v>11766</v>
      </c>
      <c r="I9" s="28"/>
    </row>
    <row r="10" spans="1:9" s="27" customFormat="1" ht="14.25" customHeight="1" x14ac:dyDescent="0.2">
      <c r="I10" s="37"/>
    </row>
    <row r="11" spans="1:9" s="27" customFormat="1" ht="14.25" customHeight="1" x14ac:dyDescent="0.2">
      <c r="I11" s="37"/>
    </row>
    <row r="12" spans="1:9" s="27" customFormat="1" ht="14.25" customHeight="1" x14ac:dyDescent="0.2">
      <c r="I12" s="37"/>
    </row>
    <row r="13" spans="1:9" s="27" customFormat="1" ht="14.25" customHeight="1" x14ac:dyDescent="0.2">
      <c r="I13" s="37"/>
    </row>
    <row r="14" spans="1:9" s="27" customFormat="1" ht="14.25" customHeight="1" x14ac:dyDescent="0.2">
      <c r="I14" s="37"/>
    </row>
    <row r="15" spans="1:9" s="27" customFormat="1" ht="14.25" customHeight="1" x14ac:dyDescent="0.2">
      <c r="I15" s="37"/>
    </row>
    <row r="16" spans="1:9" s="27" customFormat="1" ht="14.25" customHeight="1" x14ac:dyDescent="0.2">
      <c r="I16" s="37"/>
    </row>
    <row r="17" spans="9:9" s="27" customFormat="1" ht="14.25" customHeight="1" x14ac:dyDescent="0.2">
      <c r="I17" s="37"/>
    </row>
    <row r="18" spans="9:9" s="27" customFormat="1" ht="14.25" customHeight="1" x14ac:dyDescent="0.2">
      <c r="I18" s="37"/>
    </row>
    <row r="19" spans="9:9" s="27" customFormat="1" ht="14.25" customHeight="1" x14ac:dyDescent="0.2">
      <c r="I19" s="37"/>
    </row>
    <row r="20" spans="9:9" s="27" customFormat="1" ht="14.25" customHeight="1" x14ac:dyDescent="0.2">
      <c r="I20" s="37"/>
    </row>
    <row r="21" spans="9:9" s="27" customFormat="1" ht="14.25" customHeight="1" x14ac:dyDescent="0.2">
      <c r="I21" s="37"/>
    </row>
    <row r="22" spans="9:9" s="27" customFormat="1" ht="14.25" customHeight="1" x14ac:dyDescent="0.2">
      <c r="I22" s="37"/>
    </row>
    <row r="23" spans="9:9" s="27" customFormat="1" ht="14.25" customHeight="1" x14ac:dyDescent="0.2">
      <c r="I23" s="37"/>
    </row>
    <row r="24" spans="9:9" s="27" customFormat="1" ht="14.25" customHeight="1" x14ac:dyDescent="0.2">
      <c r="I2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I3:I5" calculatedColumn="1"/>
  </ignoredErrors>
  <tableParts count="1">
    <tablePart r:id="rId2"/>
  </tablePart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5184-0E38-46B1-AA17-A7BFD99149B3}">
  <sheetPr>
    <pageSetUpPr fitToPage="1"/>
  </sheetPr>
  <dimension ref="A1:D23"/>
  <sheetViews>
    <sheetView workbookViewId="0">
      <selection activeCell="D21" sqref="D21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777</v>
      </c>
    </row>
    <row r="2" spans="1:4" ht="28.5" customHeight="1" x14ac:dyDescent="0.2">
      <c r="A2" s="19" t="s">
        <v>66</v>
      </c>
      <c r="B2" s="20" t="s">
        <v>92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778</v>
      </c>
      <c r="B3" s="24">
        <v>1735</v>
      </c>
      <c r="C3" s="25">
        <f>SUM(MemberOfAssemblyAssemblyDistrict119General34[[#This Row],[Part of Oneida County 
Vote Results]])</f>
        <v>1735</v>
      </c>
      <c r="D3" s="26">
        <f>SUM(MemberOfAssemblyAssemblyDistrict119General34[[#This Row],[Total Votes by Party]])</f>
        <v>1735</v>
      </c>
    </row>
    <row r="4" spans="1:4" s="27" customFormat="1" ht="14.25" customHeight="1" x14ac:dyDescent="0.2">
      <c r="A4" s="23" t="s">
        <v>779</v>
      </c>
      <c r="B4" s="24">
        <v>1454</v>
      </c>
      <c r="C4" s="25">
        <f>SUM(MemberOfAssemblyAssemblyDistrict119General34[[#This Row],[Part of Oneida County 
Vote Results]])</f>
        <v>1454</v>
      </c>
      <c r="D4" s="54">
        <f>SUM(MemberOfAssemblyAssemblyDistrict119General34[[#This Row],[Total Votes by Party]])</f>
        <v>1454</v>
      </c>
    </row>
    <row r="5" spans="1:4" s="27" customFormat="1" ht="14.25" customHeight="1" x14ac:dyDescent="0.2">
      <c r="A5" s="29" t="s">
        <v>69</v>
      </c>
      <c r="B5" s="24">
        <v>114</v>
      </c>
      <c r="C5" s="25">
        <f>SUM(MemberOfAssemblyAssemblyDistrict119General34[[#This Row],[Part of Oneida County 
Vote Results]])</f>
        <v>114</v>
      </c>
      <c r="D5" s="28"/>
    </row>
    <row r="6" spans="1:4" s="27" customFormat="1" ht="14.25" customHeight="1" x14ac:dyDescent="0.2">
      <c r="A6" s="29" t="s">
        <v>70</v>
      </c>
      <c r="B6" s="24">
        <v>11</v>
      </c>
      <c r="C6" s="25">
        <f>SUM(MemberOfAssemblyAssemblyDistrict119General34[[#This Row],[Part of Oneida County 
Vote Results]])</f>
        <v>11</v>
      </c>
      <c r="D6" s="28"/>
    </row>
    <row r="7" spans="1:4" s="27" customFormat="1" ht="14.25" customHeight="1" x14ac:dyDescent="0.2">
      <c r="A7" s="29" t="s">
        <v>71</v>
      </c>
      <c r="B7" s="24">
        <v>0</v>
      </c>
      <c r="C7" s="25">
        <f>SUM(MemberOfAssemblyAssemblyDistrict119General34[[#This Row],[Part of Oneida County 
Vote Results]])</f>
        <v>0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SUM(MemberOfAssemblyAssemblyDistrict119General34[Part of Oneida County 
Vote Results])</f>
        <v>3314</v>
      </c>
      <c r="C8" s="25">
        <f>SUM(MemberOfAssemblyAssemblyDistrict119General34[Total Votes by Party])</f>
        <v>3314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BDFE-B7DE-4F06-8D4C-45BD66621B89}">
  <sheetPr>
    <pageSetUpPr fitToPage="1"/>
  </sheetPr>
  <dimension ref="A1:D23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780</v>
      </c>
    </row>
    <row r="2" spans="1:4" ht="28.5" customHeight="1" x14ac:dyDescent="0.2">
      <c r="A2" s="19" t="s">
        <v>66</v>
      </c>
      <c r="B2" s="20" t="s">
        <v>92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782</v>
      </c>
      <c r="B3" s="24">
        <v>1895</v>
      </c>
      <c r="C3" s="25">
        <f>SUM(MemberOfAssemblyAssemblyDistrict119General[[#This Row],[Part of Oneida County 
Vote Results]])</f>
        <v>1895</v>
      </c>
      <c r="D3" s="26">
        <f>SUM(MemberOfAssemblyAssemblyDistrict119General[[#This Row],[Total Votes by Party]])</f>
        <v>1895</v>
      </c>
    </row>
    <row r="4" spans="1:4" s="27" customFormat="1" ht="14.25" customHeight="1" x14ac:dyDescent="0.2">
      <c r="A4" s="23" t="s">
        <v>781</v>
      </c>
      <c r="B4" s="24">
        <v>1778</v>
      </c>
      <c r="C4" s="25">
        <f>SUM(MemberOfAssemblyAssemblyDistrict119General[[#This Row],[Part of Oneida County 
Vote Results]])</f>
        <v>1778</v>
      </c>
      <c r="D4" s="54">
        <f>SUM(MemberOfAssemblyAssemblyDistrict119General[[#This Row],[Total Votes by Party]])</f>
        <v>1778</v>
      </c>
    </row>
    <row r="5" spans="1:4" s="27" customFormat="1" ht="14.25" customHeight="1" x14ac:dyDescent="0.2">
      <c r="A5" s="29" t="s">
        <v>69</v>
      </c>
      <c r="B5" s="24">
        <v>267</v>
      </c>
      <c r="C5" s="25">
        <f>SUM(MemberOfAssemblyAssemblyDistrict119General[[#This Row],[Part of Oneida County 
Vote Results]])</f>
        <v>267</v>
      </c>
      <c r="D5" s="28"/>
    </row>
    <row r="6" spans="1:4" s="27" customFormat="1" ht="14.25" customHeight="1" x14ac:dyDescent="0.2">
      <c r="A6" s="29" t="s">
        <v>70</v>
      </c>
      <c r="B6" s="24">
        <v>16</v>
      </c>
      <c r="C6" s="25">
        <f>SUM(MemberOfAssemblyAssemblyDistrict119General[[#This Row],[Part of Oneida County 
Vote Results]])</f>
        <v>16</v>
      </c>
      <c r="D6" s="28"/>
    </row>
    <row r="7" spans="1:4" s="27" customFormat="1" ht="14.25" customHeight="1" x14ac:dyDescent="0.2">
      <c r="A7" s="29" t="s">
        <v>71</v>
      </c>
      <c r="B7" s="24">
        <v>4</v>
      </c>
      <c r="C7" s="25">
        <f>SUM(MemberOfAssemblyAssemblyDistrict119General[[#This Row],[Part of Oneida County 
Vote Results]])</f>
        <v>4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SUM(MemberOfAssemblyAssemblyDistrict119General[Part of Oneida County 
Vote Results])</f>
        <v>3960</v>
      </c>
      <c r="C8" s="25">
        <f>SUM(MemberOfAssemblyAssemblyDistrict119General[Total Votes by Party])</f>
        <v>3960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E0CE-354F-44E3-BD4D-4D9AEA999A8A}">
  <sheetPr>
    <pageSetUpPr fitToPage="1"/>
  </sheetPr>
  <dimension ref="A1:F23"/>
  <sheetViews>
    <sheetView workbookViewId="0">
      <selection activeCell="F4" sqref="F4"/>
    </sheetView>
  </sheetViews>
  <sheetFormatPr defaultRowHeight="12.75" x14ac:dyDescent="0.2"/>
  <cols>
    <col min="1" max="1" width="25.5703125" customWidth="1"/>
    <col min="2" max="5" width="20.5703125" customWidth="1"/>
    <col min="6" max="6" width="20.5703125" style="18" customWidth="1"/>
    <col min="7" max="8" width="23.5703125" customWidth="1"/>
  </cols>
  <sheetData>
    <row r="1" spans="1:6" ht="24.95" customHeight="1" x14ac:dyDescent="0.2">
      <c r="A1" s="17" t="s">
        <v>196</v>
      </c>
    </row>
    <row r="2" spans="1:6" ht="28.5" customHeight="1" x14ac:dyDescent="0.2">
      <c r="A2" s="19" t="s">
        <v>66</v>
      </c>
      <c r="B2" s="20" t="s">
        <v>107</v>
      </c>
      <c r="C2" s="20" t="s">
        <v>89</v>
      </c>
      <c r="D2" s="20" t="s">
        <v>112</v>
      </c>
      <c r="E2" s="21" t="s">
        <v>63</v>
      </c>
      <c r="F2" s="22" t="s">
        <v>64</v>
      </c>
    </row>
    <row r="3" spans="1:6" s="27" customFormat="1" ht="14.25" customHeight="1" x14ac:dyDescent="0.2">
      <c r="A3" s="23" t="s">
        <v>197</v>
      </c>
      <c r="B3" s="24">
        <v>62</v>
      </c>
      <c r="C3" s="24">
        <v>77</v>
      </c>
      <c r="D3" s="24">
        <v>977</v>
      </c>
      <c r="E3" s="25">
        <f>SUM(MemberOfAssemblyAssemblyDistrict120General16[[#This Row],[Part of Cayuga County 
Vote Results]:[Oswego County 
Vote Results]])</f>
        <v>1116</v>
      </c>
      <c r="F3" s="26">
        <f>SUM(MemberOfAssemblyAssemblyDistrict120General16[[#This Row],[Total Votes by Party]])</f>
        <v>1116</v>
      </c>
    </row>
    <row r="4" spans="1:6" s="27" customFormat="1" ht="14.25" customHeight="1" x14ac:dyDescent="0.2">
      <c r="A4" s="23" t="s">
        <v>198</v>
      </c>
      <c r="B4" s="24">
        <v>42</v>
      </c>
      <c r="C4" s="24">
        <v>43</v>
      </c>
      <c r="D4" s="24">
        <v>1003</v>
      </c>
      <c r="E4" s="25">
        <f>SUM(MemberOfAssemblyAssemblyDistrict120General16[[#This Row],[Part of Cayuga County 
Vote Results]:[Oswego County 
Vote Results]])</f>
        <v>1088</v>
      </c>
      <c r="F4" s="54">
        <f>SUM(MemberOfAssemblyAssemblyDistrict120General16[[#This Row],[Total Votes by Party]])</f>
        <v>1088</v>
      </c>
    </row>
    <row r="5" spans="1:6" s="27" customFormat="1" ht="14.25" customHeight="1" x14ac:dyDescent="0.2">
      <c r="A5" s="29" t="s">
        <v>69</v>
      </c>
      <c r="B5" s="24">
        <v>6</v>
      </c>
      <c r="C5" s="24">
        <v>25</v>
      </c>
      <c r="D5" s="24">
        <v>170</v>
      </c>
      <c r="E5" s="25">
        <f>SUM(MemberOfAssemblyAssemblyDistrict120General16[[#This Row],[Part of Cayuga County 
Vote Results]:[Oswego County 
Vote Results]])</f>
        <v>201</v>
      </c>
      <c r="F5" s="28"/>
    </row>
    <row r="6" spans="1:6" s="27" customFormat="1" ht="14.25" customHeight="1" x14ac:dyDescent="0.2">
      <c r="A6" s="29" t="s">
        <v>70</v>
      </c>
      <c r="B6" s="24">
        <v>0</v>
      </c>
      <c r="C6" s="24">
        <v>0</v>
      </c>
      <c r="D6" s="24">
        <v>2</v>
      </c>
      <c r="E6" s="25">
        <f>SUM(MemberOfAssemblyAssemblyDistrict120General16[[#This Row],[Part of Cayuga County 
Vote Results]:[Oswego County 
Vote Results]])</f>
        <v>2</v>
      </c>
      <c r="F6" s="28"/>
    </row>
    <row r="7" spans="1:6" s="27" customFormat="1" ht="14.25" customHeight="1" x14ac:dyDescent="0.2">
      <c r="A7" s="29" t="s">
        <v>71</v>
      </c>
      <c r="B7" s="24">
        <v>0</v>
      </c>
      <c r="C7" s="24">
        <v>0</v>
      </c>
      <c r="D7" s="24">
        <v>2</v>
      </c>
      <c r="E7" s="25">
        <f>SUM(MemberOfAssemblyAssemblyDistrict120General16[[#This Row],[Part of Cayuga County 
Vote Results]:[Oswego County 
Vote Results]])</f>
        <v>2</v>
      </c>
      <c r="F7" s="28"/>
    </row>
    <row r="8" spans="1:6" s="27" customFormat="1" ht="14.25" customHeight="1" x14ac:dyDescent="0.2">
      <c r="A8" s="30" t="s">
        <v>1</v>
      </c>
      <c r="B8" s="24">
        <f>SUM(MemberOfAssemblyAssemblyDistrict120General16[Part of Cayuga County 
Vote Results])</f>
        <v>110</v>
      </c>
      <c r="C8" s="24">
        <f>SUM(MemberOfAssemblyAssemblyDistrict120General16[Part of Jefferson County 
Vote Results])</f>
        <v>145</v>
      </c>
      <c r="D8" s="24">
        <f>SUM(MemberOfAssemblyAssemblyDistrict120General16[Oswego County 
Vote Results])</f>
        <v>2154</v>
      </c>
      <c r="E8" s="25">
        <f>SUM(MemberOfAssemblyAssemblyDistrict120General16[Total Votes by Party])</f>
        <v>2409</v>
      </c>
      <c r="F8" s="28"/>
    </row>
    <row r="9" spans="1:6" s="27" customFormat="1" ht="14.25" customHeight="1" x14ac:dyDescent="0.2">
      <c r="F9" s="37"/>
    </row>
    <row r="10" spans="1:6" s="27" customFormat="1" ht="14.25" customHeight="1" x14ac:dyDescent="0.2">
      <c r="F10" s="37"/>
    </row>
    <row r="11" spans="1:6" s="27" customFormat="1" ht="14.25" customHeight="1" x14ac:dyDescent="0.2">
      <c r="F11" s="37"/>
    </row>
    <row r="12" spans="1:6" s="27" customFormat="1" ht="14.25" customHeight="1" x14ac:dyDescent="0.2">
      <c r="F12" s="37"/>
    </row>
    <row r="13" spans="1:6" s="27" customFormat="1" ht="14.25" customHeight="1" x14ac:dyDescent="0.2">
      <c r="F13" s="37"/>
    </row>
    <row r="14" spans="1:6" s="27" customFormat="1" ht="14.25" customHeight="1" x14ac:dyDescent="0.2">
      <c r="F14" s="37"/>
    </row>
    <row r="15" spans="1:6" s="27" customFormat="1" ht="14.25" customHeight="1" x14ac:dyDescent="0.2">
      <c r="F15" s="37"/>
    </row>
    <row r="16" spans="1:6" s="27" customFormat="1" ht="14.25" customHeight="1" x14ac:dyDescent="0.2">
      <c r="F16" s="37"/>
    </row>
    <row r="17" spans="6:6" s="27" customFormat="1" ht="14.25" customHeight="1" x14ac:dyDescent="0.2">
      <c r="F17" s="37"/>
    </row>
    <row r="18" spans="6:6" s="27" customFormat="1" ht="14.25" customHeight="1" x14ac:dyDescent="0.2">
      <c r="F18" s="37"/>
    </row>
    <row r="19" spans="6:6" s="27" customFormat="1" ht="14.25" customHeight="1" x14ac:dyDescent="0.2">
      <c r="F19" s="37"/>
    </row>
    <row r="20" spans="6:6" s="27" customFormat="1" ht="14.25" customHeight="1" x14ac:dyDescent="0.2">
      <c r="F20" s="37"/>
    </row>
    <row r="21" spans="6:6" s="27" customFormat="1" ht="14.25" customHeight="1" x14ac:dyDescent="0.2">
      <c r="F21" s="37"/>
    </row>
    <row r="22" spans="6:6" s="27" customFormat="1" ht="14.25" customHeight="1" x14ac:dyDescent="0.2">
      <c r="F22" s="37"/>
    </row>
    <row r="23" spans="6:6" s="27" customFormat="1" ht="14.25" customHeight="1" x14ac:dyDescent="0.2">
      <c r="F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249E-E9AF-47A8-9FB8-BEF14298358B}">
  <sheetPr>
    <pageSetUpPr fitToPage="1"/>
  </sheetPr>
  <dimension ref="A1:D25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783</v>
      </c>
    </row>
    <row r="2" spans="1:4" ht="28.5" customHeight="1" x14ac:dyDescent="0.2">
      <c r="A2" s="19" t="s">
        <v>66</v>
      </c>
      <c r="B2" s="20" t="s">
        <v>124</v>
      </c>
      <c r="C2" s="21" t="s">
        <v>63</v>
      </c>
      <c r="D2" s="22" t="s">
        <v>64</v>
      </c>
    </row>
    <row r="3" spans="1:4" s="27" customFormat="1" ht="14.25" customHeight="1" x14ac:dyDescent="0.2">
      <c r="A3" s="39" t="s">
        <v>784</v>
      </c>
      <c r="B3" s="24">
        <v>2315</v>
      </c>
      <c r="C3" s="25">
        <f>MemberOfAssemblyAssemblyDistrict123General[[#This Row],[Part of Broome County 
Vote Results]]</f>
        <v>2315</v>
      </c>
      <c r="D3" s="54">
        <f>SUM(MemberOfAssemblyAssemblyDistrict123General[[#This Row],[Total Votes by Party]])</f>
        <v>2315</v>
      </c>
    </row>
    <row r="4" spans="1:4" s="27" customFormat="1" ht="14.25" customHeight="1" x14ac:dyDescent="0.2">
      <c r="A4" s="23" t="s">
        <v>785</v>
      </c>
      <c r="B4" s="24">
        <v>3444</v>
      </c>
      <c r="C4" s="25">
        <f>MemberOfAssemblyAssemblyDistrict123General[[#This Row],[Part of Broome County 
Vote Results]]</f>
        <v>3444</v>
      </c>
      <c r="D4" s="26">
        <f>SUM(MemberOfAssemblyAssemblyDistrict123General[[#This Row],[Total Votes by Party]])</f>
        <v>3444</v>
      </c>
    </row>
    <row r="5" spans="1:4" s="27" customFormat="1" ht="14.25" customHeight="1" x14ac:dyDescent="0.2">
      <c r="A5" s="29" t="s">
        <v>69</v>
      </c>
      <c r="B5" s="24">
        <v>101</v>
      </c>
      <c r="C5" s="25">
        <f>MemberOfAssemblyAssemblyDistrict123General[[#This Row],[Part of Broome County 
Vote Results]]</f>
        <v>101</v>
      </c>
      <c r="D5" s="28"/>
    </row>
    <row r="6" spans="1:4" s="27" customFormat="1" ht="14.25" customHeight="1" x14ac:dyDescent="0.2">
      <c r="A6" s="29" t="s">
        <v>70</v>
      </c>
      <c r="B6" s="24">
        <v>11</v>
      </c>
      <c r="C6" s="25">
        <f>MemberOfAssemblyAssemblyDistrict123General[[#This Row],[Part of Broome County 
Vote Results]]</f>
        <v>11</v>
      </c>
      <c r="D6" s="28"/>
    </row>
    <row r="7" spans="1:4" s="27" customFormat="1" ht="14.25" customHeight="1" x14ac:dyDescent="0.2">
      <c r="A7" s="29" t="s">
        <v>71</v>
      </c>
      <c r="B7" s="24">
        <v>8</v>
      </c>
      <c r="C7" s="25">
        <f>MemberOfAssemblyAssemblyDistrict123General[[#This Row],[Part of Broome County 
Vote Results]]</f>
        <v>8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SUM(MemberOfAssemblyAssemblyDistrict123General[Part of Broome County 
Vote Results])</f>
        <v>5879</v>
      </c>
      <c r="C8" s="25">
        <f>SUM(MemberOfAssemblyAssemblyDistrict123General[Total Votes by Party])</f>
        <v>5879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8E0F-9651-48FA-B93A-11FB8232F14C}">
  <sheetPr>
    <pageSetUpPr fitToPage="1"/>
  </sheetPr>
  <dimension ref="A1:D9"/>
  <sheetViews>
    <sheetView workbookViewId="0">
      <selection activeCell="D3" sqref="D3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222</v>
      </c>
    </row>
    <row r="2" spans="1:4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234</v>
      </c>
      <c r="B3" s="31">
        <v>6932</v>
      </c>
      <c r="C3" s="25">
        <f>RepInCongressCongressionalDistrict9General[[#This Row],[Part of Kings County 
Vote Results]]</f>
        <v>6932</v>
      </c>
      <c r="D3" s="54">
        <f>SUM(RepInCongressCongressionalDistrict9General[[#This Row],[Total Votes by Party]])</f>
        <v>6932</v>
      </c>
    </row>
    <row r="4" spans="1:4" s="27" customFormat="1" ht="14.25" customHeight="1" x14ac:dyDescent="0.2">
      <c r="A4" s="23" t="s">
        <v>235</v>
      </c>
      <c r="B4" s="31">
        <v>30723</v>
      </c>
      <c r="C4" s="25">
        <f>RepInCongressCongressionalDistrict9General[[#This Row],[Part of Kings County 
Vote Results]]</f>
        <v>30723</v>
      </c>
      <c r="D4" s="26">
        <f>SUM(RepInCongressCongressionalDistrict9General[[#This Row],[Total Votes by Party]])</f>
        <v>30723</v>
      </c>
    </row>
    <row r="5" spans="1:4" s="27" customFormat="1" ht="14.25" customHeight="1" x14ac:dyDescent="0.2">
      <c r="A5" s="23" t="s">
        <v>236</v>
      </c>
      <c r="B5" s="31">
        <v>6666</v>
      </c>
      <c r="C5" s="25">
        <f>RepInCongressCongressionalDistrict9General[[#This Row],[Part of Kings County 
Vote Results]]</f>
        <v>6666</v>
      </c>
      <c r="D5" s="28"/>
    </row>
    <row r="6" spans="1:4" s="27" customFormat="1" ht="14.25" customHeight="1" x14ac:dyDescent="0.2">
      <c r="A6" s="29" t="s">
        <v>69</v>
      </c>
      <c r="B6" s="31">
        <v>1486</v>
      </c>
      <c r="C6" s="25">
        <f>RepInCongressCongressionalDistrict9General[[#This Row],[Part of Kings County 
Vote Results]]</f>
        <v>1486</v>
      </c>
      <c r="D6" s="28"/>
    </row>
    <row r="7" spans="1:4" s="27" customFormat="1" ht="14.25" customHeight="1" x14ac:dyDescent="0.2">
      <c r="A7" s="29" t="s">
        <v>70</v>
      </c>
      <c r="B7" s="31"/>
      <c r="C7" s="25">
        <f>RepInCongressCongressionalDistrict9General[[#This Row],[Part of Kings County 
Vote Results]]</f>
        <v>0</v>
      </c>
      <c r="D7" s="28"/>
    </row>
    <row r="8" spans="1:4" s="27" customFormat="1" ht="14.25" customHeight="1" x14ac:dyDescent="0.2">
      <c r="A8" s="29" t="s">
        <v>71</v>
      </c>
      <c r="B8" s="31">
        <v>564</v>
      </c>
      <c r="C8" s="25">
        <f>RepInCongressCongressionalDistrict9General[[#This Row],[Part of Kings County 
Vote Results]]</f>
        <v>564</v>
      </c>
      <c r="D8" s="28"/>
    </row>
    <row r="9" spans="1:4" s="27" customFormat="1" ht="14.25" customHeight="1" x14ac:dyDescent="0.2">
      <c r="A9" s="30" t="s">
        <v>1</v>
      </c>
      <c r="B9" s="24">
        <f>SUM(RepInCongressCongressionalDistrict9General[Part of Kings County 
Vote Results])</f>
        <v>46371</v>
      </c>
      <c r="C9" s="25">
        <f>SUM(RepInCongressCongressionalDistrict9General[Total Votes by Party])</f>
        <v>46371</v>
      </c>
      <c r="D9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DA95-0734-4F7B-9988-2FB5DAB6D06C}">
  <sheetPr>
    <pageSetUpPr fitToPage="1"/>
  </sheetPr>
  <dimension ref="A1:D23"/>
  <sheetViews>
    <sheetView workbookViewId="0">
      <selection activeCell="B8" sqref="B8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788</v>
      </c>
    </row>
    <row r="2" spans="1:4" ht="28.5" customHeight="1" x14ac:dyDescent="0.2">
      <c r="A2" s="19" t="s">
        <v>66</v>
      </c>
      <c r="B2" s="20" t="s">
        <v>137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786</v>
      </c>
      <c r="B3" s="24">
        <v>3366</v>
      </c>
      <c r="C3" s="25">
        <f>MemberOfAssemblyAssemblyDistrict129General[[#This Row],[Part of Onondaga County 
Vote Results]]</f>
        <v>3366</v>
      </c>
      <c r="D3" s="54">
        <f>SUM(MemberOfAssemblyAssemblyDistrict129General[[#This Row],[Total Votes by Party]])</f>
        <v>3366</v>
      </c>
    </row>
    <row r="4" spans="1:4" s="27" customFormat="1" ht="14.25" customHeight="1" x14ac:dyDescent="0.2">
      <c r="A4" s="23" t="s">
        <v>787</v>
      </c>
      <c r="B4" s="24">
        <v>3473</v>
      </c>
      <c r="C4" s="25">
        <f>MemberOfAssemblyAssemblyDistrict129General[[#This Row],[Part of Onondaga County 
Vote Results]]</f>
        <v>3473</v>
      </c>
      <c r="D4" s="26">
        <f>SUM(MemberOfAssemblyAssemblyDistrict129General[[#This Row],[Total Votes by Party]])</f>
        <v>3473</v>
      </c>
    </row>
    <row r="5" spans="1:4" s="27" customFormat="1" ht="14.25" customHeight="1" x14ac:dyDescent="0.2">
      <c r="A5" s="29" t="s">
        <v>69</v>
      </c>
      <c r="B5" s="24">
        <v>63</v>
      </c>
      <c r="C5" s="25">
        <f>MemberOfAssemblyAssemblyDistrict129General[[#This Row],[Part of Onondaga County 
Vote Results]]</f>
        <v>63</v>
      </c>
      <c r="D5" s="28"/>
    </row>
    <row r="6" spans="1:4" s="27" customFormat="1" ht="14.25" customHeight="1" x14ac:dyDescent="0.2">
      <c r="A6" s="29" t="s">
        <v>70</v>
      </c>
      <c r="B6" s="24">
        <v>38</v>
      </c>
      <c r="C6" s="25">
        <f>MemberOfAssemblyAssemblyDistrict129General[[#This Row],[Part of Onondaga County 
Vote Results]]</f>
        <v>38</v>
      </c>
      <c r="D6" s="28"/>
    </row>
    <row r="7" spans="1:4" s="27" customFormat="1" ht="14.25" customHeight="1" x14ac:dyDescent="0.2">
      <c r="A7" s="29" t="s">
        <v>71</v>
      </c>
      <c r="B7" s="24">
        <v>6</v>
      </c>
      <c r="C7" s="25">
        <f>MemberOfAssemblyAssemblyDistrict129General[[#This Row],[Part of Onondaga County 
Vote Results]]</f>
        <v>6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SUM(MemberOfAssemblyAssemblyDistrict129General[Part of Onondaga County 
Vote Results])</f>
        <v>6946</v>
      </c>
      <c r="C8" s="25">
        <f>SUM(MemberOfAssemblyAssemblyDistrict129General[Total Votes by Party])</f>
        <v>6946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90FC-DE21-4F80-955F-D84AFBD4A7B1}">
  <sheetPr>
    <pageSetUpPr fitToPage="1"/>
  </sheetPr>
  <dimension ref="A1:E22"/>
  <sheetViews>
    <sheetView workbookViewId="0">
      <selection activeCell="E4" sqref="E4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199</v>
      </c>
    </row>
    <row r="2" spans="1:5" ht="28.5" customHeight="1" x14ac:dyDescent="0.2">
      <c r="A2" s="19" t="s">
        <v>66</v>
      </c>
      <c r="B2" s="20" t="s">
        <v>126</v>
      </c>
      <c r="C2" s="20" t="s">
        <v>114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200</v>
      </c>
      <c r="B3" s="24">
        <v>1207</v>
      </c>
      <c r="C3" s="24">
        <v>906</v>
      </c>
      <c r="D3" s="25">
        <f>SUM(MemberOfAssemblyAssemblyDistrict130General[[#This Row],[Part of Monroe County 
Vote Results]:[Wayne County 
Vote Results]])</f>
        <v>2113</v>
      </c>
      <c r="E3" s="26">
        <f>SUM(MemberOfAssemblyAssemblyDistrict130General[[#This Row],[Total Votes by Party]])</f>
        <v>2113</v>
      </c>
    </row>
    <row r="4" spans="1:5" s="27" customFormat="1" ht="14.25" customHeight="1" x14ac:dyDescent="0.2">
      <c r="A4" s="23" t="s">
        <v>201</v>
      </c>
      <c r="B4" s="24">
        <v>928</v>
      </c>
      <c r="C4" s="24">
        <v>1131</v>
      </c>
      <c r="D4" s="25">
        <f>SUM(MemberOfAssemblyAssemblyDistrict130General[[#This Row],[Part of Monroe County 
Vote Results]:[Wayne County 
Vote Results]])</f>
        <v>2059</v>
      </c>
      <c r="E4" s="54">
        <f>SUM(MemberOfAssemblyAssemblyDistrict130General[[#This Row],[Total Votes by Party]])</f>
        <v>2059</v>
      </c>
    </row>
    <row r="5" spans="1:5" s="27" customFormat="1" ht="14.25" customHeight="1" x14ac:dyDescent="0.2">
      <c r="A5" s="29" t="s">
        <v>69</v>
      </c>
      <c r="B5" s="24">
        <v>102</v>
      </c>
      <c r="C5" s="24">
        <v>72</v>
      </c>
      <c r="D5" s="25">
        <f>SUM(MemberOfAssemblyAssemblyDistrict130General[[#This Row],[Part of Monroe County 
Vote Results]:[Wayne County 
Vote Results]])</f>
        <v>174</v>
      </c>
      <c r="E5" s="28"/>
    </row>
    <row r="6" spans="1:5" s="27" customFormat="1" ht="14.25" customHeight="1" x14ac:dyDescent="0.2">
      <c r="A6" s="29" t="s">
        <v>70</v>
      </c>
      <c r="B6" s="24">
        <v>4</v>
      </c>
      <c r="C6" s="24">
        <v>4</v>
      </c>
      <c r="D6" s="25">
        <f>SUM(MemberOfAssemblyAssemblyDistrict130General[[#This Row],[Part of Monroe County 
Vote Results]:[Wayne County 
Vote Results]])</f>
        <v>8</v>
      </c>
      <c r="E6" s="28"/>
    </row>
    <row r="7" spans="1:5" s="27" customFormat="1" ht="14.25" customHeight="1" x14ac:dyDescent="0.2">
      <c r="A7" s="29" t="s">
        <v>71</v>
      </c>
      <c r="B7" s="24">
        <v>6</v>
      </c>
      <c r="C7" s="24">
        <v>3</v>
      </c>
      <c r="D7" s="25">
        <f>SUM(MemberOfAssemblyAssemblyDistrict130General[[#This Row],[Part of Monroe County 
Vote Results]:[Wayne County 
Vote Results]])</f>
        <v>9</v>
      </c>
      <c r="E7" s="28"/>
    </row>
    <row r="8" spans="1:5" s="27" customFormat="1" ht="14.25" customHeight="1" x14ac:dyDescent="0.2">
      <c r="A8" s="30" t="s">
        <v>1</v>
      </c>
      <c r="B8" s="24">
        <f>SUM(MemberOfAssemblyAssemblyDistrict130General[Part of Monroe County 
Vote Results])</f>
        <v>2247</v>
      </c>
      <c r="C8" s="24">
        <f>SUM(MemberOfAssemblyAssemblyDistrict130General[Wayne County 
Vote Results])</f>
        <v>2116</v>
      </c>
      <c r="D8" s="25">
        <f>SUM(MemberOfAssemblyAssemblyDistrict130General[Total Votes by Party])</f>
        <v>4363</v>
      </c>
      <c r="E8" s="28"/>
    </row>
    <row r="9" spans="1:5" s="27" customFormat="1" ht="14.25" customHeight="1" x14ac:dyDescent="0.2">
      <c r="E9" s="37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  <row r="22" spans="5:5" s="27" customFormat="1" ht="14.25" customHeight="1" x14ac:dyDescent="0.2">
      <c r="E22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224C-6EFC-4C06-9F1D-1B220535FABC}">
  <sheetPr>
    <pageSetUpPr fitToPage="1"/>
  </sheetPr>
  <dimension ref="A1:E23"/>
  <sheetViews>
    <sheetView workbookViewId="0">
      <selection activeCell="B9" sqref="B9:C9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202</v>
      </c>
    </row>
    <row r="2" spans="1:5" ht="28.5" customHeight="1" x14ac:dyDescent="0.2">
      <c r="A2" s="19" t="s">
        <v>66</v>
      </c>
      <c r="B2" s="20" t="s">
        <v>126</v>
      </c>
      <c r="C2" s="20" t="s">
        <v>114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203</v>
      </c>
      <c r="B3" s="24">
        <v>470</v>
      </c>
      <c r="C3" s="24">
        <v>1287</v>
      </c>
      <c r="D3" s="25">
        <f>SUM(MemberOfAssemblyAssemblyDistrict130General19[[#This Row],[Part of Monroe County 
Vote Results]:[Wayne County 
Vote Results]])</f>
        <v>1757</v>
      </c>
      <c r="E3" s="54">
        <f>SUM(MemberOfAssemblyAssemblyDistrict130General19[[#This Row],[Total Votes by Party]])</f>
        <v>1757</v>
      </c>
    </row>
    <row r="4" spans="1:5" s="27" customFormat="1" ht="14.25" customHeight="1" x14ac:dyDescent="0.2">
      <c r="A4" s="23" t="s">
        <v>204</v>
      </c>
      <c r="B4" s="24">
        <v>394</v>
      </c>
      <c r="C4" s="24">
        <v>1706</v>
      </c>
      <c r="D4" s="25">
        <f>SUM(MemberOfAssemblyAssemblyDistrict130General19[[#This Row],[Part of Monroe County 
Vote Results]:[Wayne County 
Vote Results]])</f>
        <v>2100</v>
      </c>
      <c r="E4" s="26">
        <f>SUM(MemberOfAssemblyAssemblyDistrict130General19[[#This Row],[Total Votes by Party]])</f>
        <v>2100</v>
      </c>
    </row>
    <row r="5" spans="1:5" s="27" customFormat="1" ht="14.25" customHeight="1" x14ac:dyDescent="0.2">
      <c r="A5" s="23" t="s">
        <v>205</v>
      </c>
      <c r="B5" s="24">
        <v>802</v>
      </c>
      <c r="C5" s="24">
        <v>693</v>
      </c>
      <c r="D5" s="25">
        <f>SUM(MemberOfAssemblyAssemblyDistrict130General19[[#This Row],[Part of Monroe County 
Vote Results]:[Wayne County 
Vote Results]])</f>
        <v>1495</v>
      </c>
      <c r="E5" s="54">
        <f>SUM(MemberOfAssemblyAssemblyDistrict130General19[[#This Row],[Total Votes by Party]])</f>
        <v>1495</v>
      </c>
    </row>
    <row r="6" spans="1:5" s="27" customFormat="1" ht="14.25" customHeight="1" x14ac:dyDescent="0.2">
      <c r="A6" s="29" t="s">
        <v>69</v>
      </c>
      <c r="B6" s="24">
        <v>9</v>
      </c>
      <c r="C6" s="24">
        <v>32</v>
      </c>
      <c r="D6" s="25">
        <f>SUM(MemberOfAssemblyAssemblyDistrict130General19[[#This Row],[Part of Monroe County 
Vote Results]:[Wayne County 
Vote Results]])</f>
        <v>41</v>
      </c>
      <c r="E6" s="28"/>
    </row>
    <row r="7" spans="1:5" s="27" customFormat="1" ht="14.25" customHeight="1" x14ac:dyDescent="0.2">
      <c r="A7" s="29" t="s">
        <v>70</v>
      </c>
      <c r="B7" s="24">
        <v>2</v>
      </c>
      <c r="C7" s="24">
        <v>15</v>
      </c>
      <c r="D7" s="25">
        <f>SUM(MemberOfAssemblyAssemblyDistrict130General19[[#This Row],[Part of Monroe County 
Vote Results]:[Wayne County 
Vote Results]])</f>
        <v>17</v>
      </c>
      <c r="E7" s="28"/>
    </row>
    <row r="8" spans="1:5" s="27" customFormat="1" ht="14.25" customHeight="1" x14ac:dyDescent="0.2">
      <c r="A8" s="29" t="s">
        <v>71</v>
      </c>
      <c r="B8" s="24">
        <v>11</v>
      </c>
      <c r="C8" s="24">
        <v>10</v>
      </c>
      <c r="D8" s="25">
        <f>SUM(MemberOfAssemblyAssemblyDistrict130General19[[#This Row],[Part of Monroe County 
Vote Results]:[Wayne County 
Vote Results]])</f>
        <v>21</v>
      </c>
      <c r="E8" s="28"/>
    </row>
    <row r="9" spans="1:5" s="27" customFormat="1" ht="14.25" customHeight="1" x14ac:dyDescent="0.2">
      <c r="A9" s="30" t="s">
        <v>1</v>
      </c>
      <c r="B9" s="24">
        <f>SUM(MemberOfAssemblyAssemblyDistrict130General19[Part of Monroe County 
Vote Results])</f>
        <v>1688</v>
      </c>
      <c r="C9" s="24">
        <f>SUM(MemberOfAssemblyAssemblyDistrict130General19[Wayne County 
Vote Results])</f>
        <v>3743</v>
      </c>
      <c r="D9" s="25">
        <f>SUM(MemberOfAssemblyAssemblyDistrict130General19[Total Votes by Party])</f>
        <v>5431</v>
      </c>
      <c r="E9" s="28"/>
    </row>
    <row r="10" spans="1:5" s="27" customFormat="1" ht="14.25" customHeight="1" x14ac:dyDescent="0.2">
      <c r="E10" s="37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  <row r="22" spans="5:5" s="27" customFormat="1" ht="14.25" customHeight="1" x14ac:dyDescent="0.2">
      <c r="E22" s="37"/>
    </row>
    <row r="23" spans="5:5" s="27" customFormat="1" ht="14.25" customHeight="1" x14ac:dyDescent="0.2">
      <c r="E23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B0D6-A9EE-4B09-BA3C-D06E9BD1D282}">
  <sheetPr>
    <pageSetUpPr fitToPage="1"/>
  </sheetPr>
  <dimension ref="A1:D25"/>
  <sheetViews>
    <sheetView workbookViewId="0">
      <selection activeCell="D4" sqref="D4"/>
    </sheetView>
  </sheetViews>
  <sheetFormatPr defaultRowHeight="12.75" x14ac:dyDescent="0.2"/>
  <cols>
    <col min="1" max="1" width="29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210</v>
      </c>
    </row>
    <row r="2" spans="1:4" ht="28.5" customHeight="1" x14ac:dyDescent="0.2">
      <c r="A2" s="19" t="s">
        <v>66</v>
      </c>
      <c r="B2" s="20" t="s">
        <v>126</v>
      </c>
      <c r="C2" s="21" t="s">
        <v>63</v>
      </c>
      <c r="D2" s="22" t="s">
        <v>64</v>
      </c>
    </row>
    <row r="3" spans="1:4" s="27" customFormat="1" ht="14.25" customHeight="1" x14ac:dyDescent="0.2">
      <c r="A3" s="39" t="s">
        <v>211</v>
      </c>
      <c r="B3" s="24">
        <v>4801</v>
      </c>
      <c r="C3" s="25">
        <f>MemberOfAssemblyAssemblyDistrict137General[[#This Row],[Part of Monroe County 
Vote Results]]</f>
        <v>4801</v>
      </c>
      <c r="D3" s="26">
        <f>SUM(MemberOfAssemblyAssemblyDistrict137General[[#This Row],[Total Votes by Party]])</f>
        <v>4801</v>
      </c>
    </row>
    <row r="4" spans="1:4" s="27" customFormat="1" ht="14.25" customHeight="1" x14ac:dyDescent="0.2">
      <c r="A4" s="23" t="s">
        <v>212</v>
      </c>
      <c r="B4" s="24">
        <v>1100</v>
      </c>
      <c r="C4" s="25">
        <f>MemberOfAssemblyAssemblyDistrict137General[[#This Row],[Part of Monroe County 
Vote Results]]</f>
        <v>1100</v>
      </c>
      <c r="D4" s="54">
        <f>SUM(MemberOfAssemblyAssemblyDistrict137General[[#This Row],[Total Votes by Party]])</f>
        <v>1100</v>
      </c>
    </row>
    <row r="5" spans="1:4" s="27" customFormat="1" ht="14.25" customHeight="1" x14ac:dyDescent="0.2">
      <c r="A5" s="29" t="s">
        <v>69</v>
      </c>
      <c r="B5" s="24">
        <v>198</v>
      </c>
      <c r="C5" s="25">
        <f>MemberOfAssemblyAssemblyDistrict137General[[#This Row],[Part of Monroe County 
Vote Results]]</f>
        <v>198</v>
      </c>
      <c r="D5" s="28"/>
    </row>
    <row r="6" spans="1:4" s="27" customFormat="1" ht="14.25" customHeight="1" x14ac:dyDescent="0.2">
      <c r="A6" s="29" t="s">
        <v>70</v>
      </c>
      <c r="B6" s="24">
        <v>14</v>
      </c>
      <c r="C6" s="25">
        <f>MemberOfAssemblyAssemblyDistrict137General[[#This Row],[Part of Monroe County 
Vote Results]]</f>
        <v>14</v>
      </c>
      <c r="D6" s="28"/>
    </row>
    <row r="7" spans="1:4" s="27" customFormat="1" ht="14.25" customHeight="1" x14ac:dyDescent="0.2">
      <c r="A7" s="29" t="s">
        <v>71</v>
      </c>
      <c r="B7" s="24">
        <v>6</v>
      </c>
      <c r="C7" s="25">
        <f>MemberOfAssemblyAssemblyDistrict137General[[#This Row],[Part of Monroe County 
Vote Results]]</f>
        <v>6</v>
      </c>
      <c r="D7" s="28"/>
    </row>
    <row r="8" spans="1:4" s="27" customFormat="1" ht="14.25" customHeight="1" x14ac:dyDescent="0.2">
      <c r="A8" s="30" t="s">
        <v>1</v>
      </c>
      <c r="B8" s="24">
        <f>SUM(MemberOfAssemblyAssemblyDistrict137General[Part of Monroe County 
Vote Results])</f>
        <v>6119</v>
      </c>
      <c r="C8" s="25">
        <f>SUM(MemberOfAssemblyAssemblyDistrict137General[Total Votes by Party])</f>
        <v>6119</v>
      </c>
      <c r="D8" s="28"/>
    </row>
    <row r="9" spans="1:4" s="27" customFormat="1" ht="14.25" customHeight="1" x14ac:dyDescent="0.2">
      <c r="D9" s="37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F8F1-8C32-4E22-9849-6043169266F9}">
  <sheetPr>
    <pageSetUpPr fitToPage="1"/>
  </sheetPr>
  <dimension ref="A1:D24"/>
  <sheetViews>
    <sheetView workbookViewId="0">
      <selection activeCell="D3" sqref="D3:D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4" ht="24.95" customHeight="1" x14ac:dyDescent="0.2">
      <c r="A1" s="17" t="s">
        <v>789</v>
      </c>
    </row>
    <row r="2" spans="1:4" ht="28.5" customHeight="1" x14ac:dyDescent="0.2">
      <c r="A2" s="19" t="s">
        <v>66</v>
      </c>
      <c r="B2" s="20" t="s">
        <v>102</v>
      </c>
      <c r="C2" s="21" t="s">
        <v>63</v>
      </c>
      <c r="D2" s="22" t="s">
        <v>64</v>
      </c>
    </row>
    <row r="3" spans="1:4" s="27" customFormat="1" ht="14.25" customHeight="1" x14ac:dyDescent="0.2">
      <c r="A3" s="23" t="s">
        <v>790</v>
      </c>
      <c r="B3" s="24">
        <v>1387</v>
      </c>
      <c r="C3" s="25">
        <f>MemberOfAssemblyAssemblyDistrict149General[[#This Row],[Part of Erie County 
Vote Results]]</f>
        <v>1387</v>
      </c>
      <c r="D3" s="54">
        <f>SUM(MemberOfAssemblyAssemblyDistrict149General[[#This Row],[Total Votes by Party]])</f>
        <v>1387</v>
      </c>
    </row>
    <row r="4" spans="1:4" s="27" customFormat="1" ht="14.25" customHeight="1" x14ac:dyDescent="0.2">
      <c r="A4" s="23" t="s">
        <v>791</v>
      </c>
      <c r="B4" s="24">
        <v>2700</v>
      </c>
      <c r="C4" s="25">
        <f>MemberOfAssemblyAssemblyDistrict149General[[#This Row],[Part of Erie County 
Vote Results]]</f>
        <v>2700</v>
      </c>
      <c r="D4" s="54">
        <f>SUM(MemberOfAssemblyAssemblyDistrict149General[[#This Row],[Total Votes by Party]])</f>
        <v>2700</v>
      </c>
    </row>
    <row r="5" spans="1:4" s="27" customFormat="1" ht="14.25" customHeight="1" x14ac:dyDescent="0.2">
      <c r="A5" s="23" t="s">
        <v>792</v>
      </c>
      <c r="B5" s="24">
        <v>4014</v>
      </c>
      <c r="C5" s="25">
        <f>MemberOfAssemblyAssemblyDistrict149General[[#This Row],[Part of Erie County 
Vote Results]]</f>
        <v>4014</v>
      </c>
      <c r="D5" s="26">
        <f>SUM(MemberOfAssemblyAssemblyDistrict149General[[#This Row],[Total Votes by Party]])</f>
        <v>4014</v>
      </c>
    </row>
    <row r="6" spans="1:4" s="27" customFormat="1" ht="14.25" customHeight="1" x14ac:dyDescent="0.2">
      <c r="A6" s="29" t="s">
        <v>69</v>
      </c>
      <c r="B6" s="24">
        <v>86</v>
      </c>
      <c r="C6" s="25">
        <f>MemberOfAssemblyAssemblyDistrict149General[[#This Row],[Part of Erie County 
Vote Results]]</f>
        <v>86</v>
      </c>
      <c r="D6" s="28"/>
    </row>
    <row r="7" spans="1:4" s="27" customFormat="1" ht="14.25" customHeight="1" x14ac:dyDescent="0.2">
      <c r="A7" s="29" t="s">
        <v>70</v>
      </c>
      <c r="B7" s="24">
        <v>26</v>
      </c>
      <c r="C7" s="25">
        <f>MemberOfAssemblyAssemblyDistrict149General[[#This Row],[Part of Erie County 
Vote Results]]</f>
        <v>26</v>
      </c>
      <c r="D7" s="28"/>
    </row>
    <row r="8" spans="1:4" s="27" customFormat="1" ht="14.25" customHeight="1" x14ac:dyDescent="0.2">
      <c r="A8" s="29" t="s">
        <v>71</v>
      </c>
      <c r="B8" s="24">
        <v>10</v>
      </c>
      <c r="C8" s="25">
        <f>MemberOfAssemblyAssemblyDistrict149General[[#This Row],[Part of Erie County 
Vote Results]]</f>
        <v>10</v>
      </c>
      <c r="D8" s="28"/>
    </row>
    <row r="9" spans="1:4" s="27" customFormat="1" ht="14.25" customHeight="1" x14ac:dyDescent="0.2">
      <c r="A9" s="30" t="s">
        <v>1</v>
      </c>
      <c r="B9" s="24">
        <f>SUM(MemberOfAssemblyAssemblyDistrict149General[Part of Erie County 
Vote Results])</f>
        <v>8223</v>
      </c>
      <c r="C9" s="25">
        <f>SUM(MemberOfAssemblyAssemblyDistrict149General[Total Votes by Party])</f>
        <v>8223</v>
      </c>
      <c r="D9" s="28"/>
    </row>
    <row r="10" spans="1:4" s="27" customFormat="1" ht="14.25" customHeight="1" x14ac:dyDescent="0.2">
      <c r="D10" s="37"/>
    </row>
    <row r="11" spans="1:4" s="27" customFormat="1" ht="14.25" customHeight="1" x14ac:dyDescent="0.2">
      <c r="D11" s="37"/>
    </row>
    <row r="12" spans="1:4" s="27" customFormat="1" ht="14.25" customHeight="1" x14ac:dyDescent="0.2">
      <c r="D12" s="37"/>
    </row>
    <row r="13" spans="1:4" s="27" customFormat="1" ht="14.25" customHeight="1" x14ac:dyDescent="0.2">
      <c r="D13" s="37"/>
    </row>
    <row r="14" spans="1:4" s="27" customFormat="1" ht="14.25" customHeight="1" x14ac:dyDescent="0.2">
      <c r="D14" s="37"/>
    </row>
    <row r="15" spans="1:4" s="27" customFormat="1" ht="14.25" customHeight="1" x14ac:dyDescent="0.2">
      <c r="D15" s="37"/>
    </row>
    <row r="16" spans="1:4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C8B6-E2D1-45B3-8591-35A06AF713CD}">
  <sheetPr>
    <pageSetUpPr fitToPage="1"/>
  </sheetPr>
  <dimension ref="A1:H45"/>
  <sheetViews>
    <sheetView workbookViewId="0">
      <selection activeCell="F29" sqref="F29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6.75" customHeight="1" x14ac:dyDescent="0.2">
      <c r="A1" s="59" t="s">
        <v>554</v>
      </c>
      <c r="B1" s="59"/>
      <c r="C1" s="59"/>
      <c r="D1" s="59"/>
      <c r="E1" s="59"/>
    </row>
    <row r="2" spans="1:8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576</v>
      </c>
      <c r="B3" s="24">
        <v>9607</v>
      </c>
      <c r="C3" s="25">
        <f>MemberOfAssemblyAssemblyDistrict66General122[[#This Row],[Part of New York County 
Vote Results]]</f>
        <v>9607</v>
      </c>
      <c r="D3" s="26">
        <f>SUM(MemberOfAssemblyAssemblyDistrict66General122[[#This Row],[Total Votes by Party]])</f>
        <v>9607</v>
      </c>
    </row>
    <row r="4" spans="1:8" s="27" customFormat="1" ht="14.25" customHeight="1" x14ac:dyDescent="0.2">
      <c r="A4" s="23" t="s">
        <v>575</v>
      </c>
      <c r="B4" s="24">
        <v>8720</v>
      </c>
      <c r="C4" s="25">
        <f>MemberOfAssemblyAssemblyDistrict66General122[[#This Row],[Part of New York County 
Vote Results]]</f>
        <v>8720</v>
      </c>
      <c r="D4" s="26">
        <f>SUM(MemberOfAssemblyAssemblyDistrict66General122[[#This Row],[Total Votes by Party]])</f>
        <v>8720</v>
      </c>
    </row>
    <row r="5" spans="1:8" s="27" customFormat="1" ht="14.25" customHeight="1" x14ac:dyDescent="0.2">
      <c r="A5" s="23" t="s">
        <v>574</v>
      </c>
      <c r="B5" s="24">
        <v>7286</v>
      </c>
      <c r="C5" s="25">
        <f>MemberOfAssemblyAssemblyDistrict66General122[[#This Row],[Part of New York County 
Vote Results]]</f>
        <v>7286</v>
      </c>
      <c r="D5" s="26">
        <f>SUM(MemberOfAssemblyAssemblyDistrict66General122[[#This Row],[Total Votes by Party]])</f>
        <v>7286</v>
      </c>
    </row>
    <row r="6" spans="1:8" s="27" customFormat="1" ht="14.25" customHeight="1" x14ac:dyDescent="0.2">
      <c r="A6" s="23" t="s">
        <v>573</v>
      </c>
      <c r="B6" s="24">
        <v>8275</v>
      </c>
      <c r="C6" s="25">
        <f>MemberOfAssemblyAssemblyDistrict66General122[[#This Row],[Part of New York County 
Vote Results]]</f>
        <v>8275</v>
      </c>
      <c r="D6" s="26">
        <f>SUM(MemberOfAssemblyAssemblyDistrict66General122[[#This Row],[Total Votes by Party]])</f>
        <v>8275</v>
      </c>
    </row>
    <row r="7" spans="1:8" s="27" customFormat="1" ht="14.25" customHeight="1" x14ac:dyDescent="0.2">
      <c r="A7" s="23" t="s">
        <v>572</v>
      </c>
      <c r="B7" s="24">
        <v>8104</v>
      </c>
      <c r="C7" s="25">
        <f>MemberOfAssemblyAssemblyDistrict66General122[[#This Row],[Part of New York County 
Vote Results]]</f>
        <v>8104</v>
      </c>
      <c r="D7" s="26">
        <f>SUM(MemberOfAssemblyAssemblyDistrict66General122[[#This Row],[Total Votes by Party]])</f>
        <v>8104</v>
      </c>
      <c r="H7" s="55"/>
    </row>
    <row r="8" spans="1:8" s="27" customFormat="1" ht="14.25" customHeight="1" x14ac:dyDescent="0.2">
      <c r="A8" s="23" t="s">
        <v>571</v>
      </c>
      <c r="B8" s="24">
        <v>7080</v>
      </c>
      <c r="C8" s="25">
        <f>MemberOfAssemblyAssemblyDistrict66General122[[#This Row],[Part of New York County 
Vote Results]]</f>
        <v>7080</v>
      </c>
      <c r="D8" s="26">
        <f>SUM(MemberOfAssemblyAssemblyDistrict66General122[[#This Row],[Total Votes by Party]])</f>
        <v>7080</v>
      </c>
      <c r="H8" s="55"/>
    </row>
    <row r="9" spans="1:8" s="27" customFormat="1" ht="14.25" customHeight="1" x14ac:dyDescent="0.2">
      <c r="A9" s="23" t="s">
        <v>570</v>
      </c>
      <c r="B9" s="24">
        <v>6862</v>
      </c>
      <c r="C9" s="25">
        <f>MemberOfAssemblyAssemblyDistrict66General122[[#This Row],[Part of New York County 
Vote Results]]</f>
        <v>6862</v>
      </c>
      <c r="D9" s="26">
        <f>SUM(MemberOfAssemblyAssemblyDistrict66General122[[#This Row],[Total Votes by Party]])</f>
        <v>6862</v>
      </c>
      <c r="H9" s="55"/>
    </row>
    <row r="10" spans="1:8" s="27" customFormat="1" ht="14.25" customHeight="1" x14ac:dyDescent="0.2">
      <c r="A10" s="23" t="s">
        <v>569</v>
      </c>
      <c r="B10" s="24">
        <v>6717</v>
      </c>
      <c r="C10" s="25">
        <f>MemberOfAssemblyAssemblyDistrict66General122[[#This Row],[Part of New York County 
Vote Results]]</f>
        <v>6717</v>
      </c>
      <c r="D10" s="26">
        <f>SUM(MemberOfAssemblyAssemblyDistrict66General122[[#This Row],[Total Votes by Party]])</f>
        <v>6717</v>
      </c>
      <c r="H10" s="55"/>
    </row>
    <row r="11" spans="1:8" s="27" customFormat="1" ht="14.25" customHeight="1" x14ac:dyDescent="0.2">
      <c r="A11" s="23" t="s">
        <v>568</v>
      </c>
      <c r="B11" s="24">
        <v>8092</v>
      </c>
      <c r="C11" s="25">
        <f>MemberOfAssemblyAssemblyDistrict66General122[[#This Row],[Part of New York County 
Vote Results]]</f>
        <v>8092</v>
      </c>
      <c r="D11" s="26">
        <f>SUM(MemberOfAssemblyAssemblyDistrict66General122[[#This Row],[Total Votes by Party]])</f>
        <v>8092</v>
      </c>
      <c r="H11" s="55"/>
    </row>
    <row r="12" spans="1:8" s="27" customFormat="1" ht="14.25" customHeight="1" x14ac:dyDescent="0.2">
      <c r="A12" s="23" t="s">
        <v>567</v>
      </c>
      <c r="B12" s="24">
        <v>6781</v>
      </c>
      <c r="C12" s="25">
        <f>MemberOfAssemblyAssemblyDistrict66General122[[#This Row],[Part of New York County 
Vote Results]]</f>
        <v>6781</v>
      </c>
      <c r="D12" s="26">
        <f>SUM(MemberOfAssemblyAssemblyDistrict66General122[[#This Row],[Total Votes by Party]])</f>
        <v>6781</v>
      </c>
      <c r="H12" s="55"/>
    </row>
    <row r="13" spans="1:8" s="27" customFormat="1" ht="14.25" customHeight="1" x14ac:dyDescent="0.2">
      <c r="A13" s="23" t="s">
        <v>566</v>
      </c>
      <c r="B13" s="24">
        <v>8173</v>
      </c>
      <c r="C13" s="25">
        <f>MemberOfAssemblyAssemblyDistrict66General122[[#This Row],[Part of New York County 
Vote Results]]</f>
        <v>8173</v>
      </c>
      <c r="D13" s="26">
        <f>SUM(MemberOfAssemblyAssemblyDistrict66General122[[#This Row],[Total Votes by Party]])</f>
        <v>8173</v>
      </c>
      <c r="H13" s="55"/>
    </row>
    <row r="14" spans="1:8" s="27" customFormat="1" ht="14.25" customHeight="1" x14ac:dyDescent="0.2">
      <c r="A14" s="23" t="s">
        <v>565</v>
      </c>
      <c r="B14" s="24">
        <v>6608</v>
      </c>
      <c r="C14" s="25">
        <f>MemberOfAssemblyAssemblyDistrict66General122[[#This Row],[Part of New York County 
Vote Results]]</f>
        <v>6608</v>
      </c>
      <c r="D14" s="26">
        <f>SUM(MemberOfAssemblyAssemblyDistrict66General122[[#This Row],[Total Votes by Party]])</f>
        <v>6608</v>
      </c>
      <c r="H14" s="55"/>
    </row>
    <row r="15" spans="1:8" s="27" customFormat="1" ht="14.25" customHeight="1" x14ac:dyDescent="0.2">
      <c r="A15" s="23" t="s">
        <v>564</v>
      </c>
      <c r="B15" s="24">
        <v>6817</v>
      </c>
      <c r="C15" s="25">
        <f>MemberOfAssemblyAssemblyDistrict66General122[[#This Row],[Part of New York County 
Vote Results]]</f>
        <v>6817</v>
      </c>
      <c r="D15" s="26">
        <f>SUM(MemberOfAssemblyAssemblyDistrict66General122[[#This Row],[Total Votes by Party]])</f>
        <v>6817</v>
      </c>
      <c r="H15" s="55"/>
    </row>
    <row r="16" spans="1:8" s="27" customFormat="1" ht="14.25" customHeight="1" x14ac:dyDescent="0.2">
      <c r="A16" s="23" t="s">
        <v>563</v>
      </c>
      <c r="B16" s="24">
        <v>6803</v>
      </c>
      <c r="C16" s="25">
        <f>MemberOfAssemblyAssemblyDistrict66General122[[#This Row],[Part of New York County 
Vote Results]]</f>
        <v>6803</v>
      </c>
      <c r="D16" s="26">
        <f>SUM(MemberOfAssemblyAssemblyDistrict66General122[[#This Row],[Total Votes by Party]])</f>
        <v>6803</v>
      </c>
      <c r="H16" s="55"/>
    </row>
    <row r="17" spans="1:8" s="27" customFormat="1" ht="14.25" customHeight="1" x14ac:dyDescent="0.2">
      <c r="A17" s="23" t="s">
        <v>562</v>
      </c>
      <c r="B17" s="24">
        <v>7792</v>
      </c>
      <c r="C17" s="25">
        <f>MemberOfAssemblyAssemblyDistrict66General122[[#This Row],[Part of New York County 
Vote Results]]</f>
        <v>7792</v>
      </c>
      <c r="D17" s="26">
        <f>SUM(MemberOfAssemblyAssemblyDistrict66General122[[#This Row],[Total Votes by Party]])</f>
        <v>7792</v>
      </c>
      <c r="H17" s="55"/>
    </row>
    <row r="18" spans="1:8" s="27" customFormat="1" ht="14.25" customHeight="1" x14ac:dyDescent="0.2">
      <c r="A18" s="23" t="s">
        <v>561</v>
      </c>
      <c r="B18" s="24">
        <v>2222</v>
      </c>
      <c r="C18" s="25">
        <f>MemberOfAssemblyAssemblyDistrict66General122[[#This Row],[Part of New York County 
Vote Results]]</f>
        <v>2222</v>
      </c>
      <c r="D18" s="54">
        <f>SUM(MemberOfAssemblyAssemblyDistrict66General122[[#This Row],[Total Votes by Party]])</f>
        <v>2222</v>
      </c>
      <c r="H18" s="55"/>
    </row>
    <row r="19" spans="1:8" s="27" customFormat="1" ht="14.25" customHeight="1" x14ac:dyDescent="0.2">
      <c r="A19" s="23" t="s">
        <v>560</v>
      </c>
      <c r="B19" s="24">
        <v>2356</v>
      </c>
      <c r="C19" s="25">
        <f>MemberOfAssemblyAssemblyDistrict66General122[[#This Row],[Part of New York County 
Vote Results]]</f>
        <v>2356</v>
      </c>
      <c r="D19" s="54">
        <f>SUM(MemberOfAssemblyAssemblyDistrict66General122[[#This Row],[Total Votes by Party]])</f>
        <v>2356</v>
      </c>
      <c r="H19" s="55"/>
    </row>
    <row r="20" spans="1:8" s="27" customFormat="1" ht="14.25" customHeight="1" x14ac:dyDescent="0.2">
      <c r="A20" s="23" t="s">
        <v>559</v>
      </c>
      <c r="B20" s="24">
        <v>2719</v>
      </c>
      <c r="C20" s="25">
        <f>MemberOfAssemblyAssemblyDistrict66General122[[#This Row],[Part of New York County 
Vote Results]]</f>
        <v>2719</v>
      </c>
      <c r="D20" s="54">
        <f>SUM(MemberOfAssemblyAssemblyDistrict66General122[[#This Row],[Total Votes by Party]])</f>
        <v>2719</v>
      </c>
      <c r="H20" s="55"/>
    </row>
    <row r="21" spans="1:8" s="27" customFormat="1" ht="14.25" customHeight="1" x14ac:dyDescent="0.2">
      <c r="A21" s="23" t="s">
        <v>558</v>
      </c>
      <c r="B21" s="24">
        <v>1501</v>
      </c>
      <c r="C21" s="25">
        <f>MemberOfAssemblyAssemblyDistrict66General122[[#This Row],[Part of New York County 
Vote Results]]</f>
        <v>1501</v>
      </c>
      <c r="D21" s="54">
        <f>SUM(MemberOfAssemblyAssemblyDistrict66General122[[#This Row],[Total Votes by Party]])</f>
        <v>1501</v>
      </c>
      <c r="H21" s="55"/>
    </row>
    <row r="22" spans="1:8" s="27" customFormat="1" ht="14.25" customHeight="1" x14ac:dyDescent="0.2">
      <c r="A22" s="23" t="s">
        <v>557</v>
      </c>
      <c r="B22" s="24">
        <v>2262</v>
      </c>
      <c r="C22" s="25">
        <f>MemberOfAssemblyAssemblyDistrict66General122[[#This Row],[Part of New York County 
Vote Results]]</f>
        <v>2262</v>
      </c>
      <c r="D22" s="54">
        <f>SUM(MemberOfAssemblyAssemblyDistrict66General122[[#This Row],[Total Votes by Party]])</f>
        <v>2262</v>
      </c>
    </row>
    <row r="23" spans="1:8" s="27" customFormat="1" ht="14.25" customHeight="1" x14ac:dyDescent="0.2">
      <c r="A23" s="23" t="s">
        <v>556</v>
      </c>
      <c r="B23" s="24">
        <v>1905</v>
      </c>
      <c r="C23" s="25">
        <f>MemberOfAssemblyAssemblyDistrict66General122[[#This Row],[Part of New York County 
Vote Results]]</f>
        <v>1905</v>
      </c>
      <c r="D23" s="54">
        <f>SUM(MemberOfAssemblyAssemblyDistrict66General122[[#This Row],[Total Votes by Party]])</f>
        <v>1905</v>
      </c>
    </row>
    <row r="24" spans="1:8" s="27" customFormat="1" ht="14.25" customHeight="1" x14ac:dyDescent="0.2">
      <c r="A24" s="23" t="s">
        <v>555</v>
      </c>
      <c r="B24" s="24">
        <v>1573</v>
      </c>
      <c r="C24" s="25">
        <f>MemberOfAssemblyAssemblyDistrict66General122[[#This Row],[Part of New York County 
Vote Results]]</f>
        <v>1573</v>
      </c>
      <c r="D24" s="54">
        <f>SUM(MemberOfAssemblyAssemblyDistrict66General122[[#This Row],[Total Votes by Party]])</f>
        <v>1573</v>
      </c>
    </row>
    <row r="25" spans="1:8" s="27" customFormat="1" ht="14.25" customHeight="1" x14ac:dyDescent="0.2">
      <c r="A25" s="29" t="s">
        <v>69</v>
      </c>
      <c r="B25" s="24">
        <v>126383</v>
      </c>
      <c r="C25" s="25">
        <f>MemberOfAssemblyAssemblyDistrict66General122[[#This Row],[Part of New York County 
Vote Results]]</f>
        <v>126383</v>
      </c>
      <c r="D25" s="26">
        <f>SUM(MemberOfAssemblyAssemblyDistrict66General122[[#This Row],[Total Votes by Party]])</f>
        <v>126383</v>
      </c>
    </row>
    <row r="26" spans="1:8" s="27" customFormat="1" ht="14.25" customHeight="1" x14ac:dyDescent="0.2">
      <c r="A26" s="29" t="s">
        <v>70</v>
      </c>
      <c r="B26" s="24"/>
      <c r="C26" s="25">
        <f>MemberOfAssemblyAssemblyDistrict66General122[[#This Row],[Part of New York County 
Vote Results]]</f>
        <v>0</v>
      </c>
      <c r="D26" s="28"/>
    </row>
    <row r="27" spans="1:8" s="27" customFormat="1" ht="14.25" customHeight="1" x14ac:dyDescent="0.2">
      <c r="A27" s="29" t="s">
        <v>71</v>
      </c>
      <c r="B27" s="24">
        <v>467</v>
      </c>
      <c r="C27" s="25">
        <f>MemberOfAssemblyAssemblyDistrict66General122[[#This Row],[Part of New York County 
Vote Results]]</f>
        <v>467</v>
      </c>
      <c r="D27" s="28"/>
    </row>
    <row r="28" spans="1:8" s="27" customFormat="1" ht="14.25" customHeight="1" x14ac:dyDescent="0.2">
      <c r="A28" s="30" t="s">
        <v>1</v>
      </c>
      <c r="B28" s="24">
        <f>SUM(MemberOfAssemblyAssemblyDistrict66General122[Part of New York County 
Vote Results])</f>
        <v>255105</v>
      </c>
      <c r="C28" s="25">
        <f>SUM(MemberOfAssemblyAssemblyDistrict66General122[Total Votes by Party])</f>
        <v>255105</v>
      </c>
      <c r="D28" s="28"/>
    </row>
    <row r="29" spans="1:8" s="27" customFormat="1" ht="14.25" customHeight="1" x14ac:dyDescent="0.2">
      <c r="D29" s="37"/>
    </row>
    <row r="30" spans="1:8" s="27" customFormat="1" ht="14.25" customHeight="1" x14ac:dyDescent="0.2">
      <c r="D30" s="37"/>
    </row>
    <row r="31" spans="1:8" s="27" customFormat="1" ht="14.25" customHeight="1" x14ac:dyDescent="0.2">
      <c r="D31" s="37"/>
    </row>
    <row r="32" spans="1:8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  <row r="44" spans="4:4" s="27" customFormat="1" ht="14.25" customHeight="1" x14ac:dyDescent="0.2">
      <c r="D44" s="37"/>
    </row>
    <row r="45" spans="4:4" s="27" customFormat="1" ht="14.25" customHeight="1" x14ac:dyDescent="0.2">
      <c r="D45" s="37"/>
    </row>
  </sheetData>
  <sortState xmlns:xlrd2="http://schemas.microsoft.com/office/spreadsheetml/2017/richdata2" ref="H7:H28">
    <sortCondition descending="1" ref="H7:H2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6909-2895-4DA9-A32A-5C52C9837F18}">
  <sheetPr>
    <pageSetUpPr fitToPage="1"/>
  </sheetPr>
  <dimension ref="A1:H43"/>
  <sheetViews>
    <sheetView workbookViewId="0">
      <selection activeCell="F16" sqref="F16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7.5" customHeight="1" x14ac:dyDescent="0.2">
      <c r="A1" s="59" t="s">
        <v>876</v>
      </c>
      <c r="B1" s="59"/>
      <c r="C1" s="59"/>
      <c r="D1" s="59"/>
      <c r="E1" s="59"/>
      <c r="F1" s="59"/>
    </row>
    <row r="2" spans="1:8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701</v>
      </c>
      <c r="B3" s="24">
        <v>5938</v>
      </c>
      <c r="C3" s="25">
        <f>MemberOfAssemblyAssemblyDistrict66General123[[#This Row],[Part of New York County 
Vote Results]]</f>
        <v>5938</v>
      </c>
      <c r="D3" s="26">
        <f>SUM(MemberOfAssemblyAssemblyDistrict66General123[[#This Row],[Total Votes by Party]])</f>
        <v>5938</v>
      </c>
    </row>
    <row r="4" spans="1:8" s="27" customFormat="1" ht="14.25" customHeight="1" x14ac:dyDescent="0.2">
      <c r="A4" s="23" t="s">
        <v>700</v>
      </c>
      <c r="B4" s="24">
        <v>5758</v>
      </c>
      <c r="C4" s="25">
        <f>MemberOfAssemblyAssemblyDistrict66General123[[#This Row],[Part of New York County 
Vote Results]]</f>
        <v>5758</v>
      </c>
      <c r="D4" s="26">
        <f>SUM(MemberOfAssemblyAssemblyDistrict66General123[[#This Row],[Total Votes by Party]])</f>
        <v>5758</v>
      </c>
    </row>
    <row r="5" spans="1:8" s="27" customFormat="1" ht="14.25" customHeight="1" x14ac:dyDescent="0.2">
      <c r="A5" s="23" t="s">
        <v>699</v>
      </c>
      <c r="B5" s="24">
        <v>6724</v>
      </c>
      <c r="C5" s="25">
        <f>MemberOfAssemblyAssemblyDistrict66General123[[#This Row],[Part of New York County 
Vote Results]]</f>
        <v>6724</v>
      </c>
      <c r="D5" s="26">
        <f>SUM(MemberOfAssemblyAssemblyDistrict66General123[[#This Row],[Total Votes by Party]])</f>
        <v>6724</v>
      </c>
    </row>
    <row r="6" spans="1:8" s="27" customFormat="1" ht="14.25" customHeight="1" x14ac:dyDescent="0.2">
      <c r="A6" s="23" t="s">
        <v>877</v>
      </c>
      <c r="B6" s="24">
        <v>5417</v>
      </c>
      <c r="C6" s="25">
        <f>MemberOfAssemblyAssemblyDistrict66General123[[#This Row],[Part of New York County 
Vote Results]]</f>
        <v>5417</v>
      </c>
      <c r="D6" s="26">
        <f>SUM(MemberOfAssemblyAssemblyDistrict66General123[[#This Row],[Total Votes by Party]])</f>
        <v>5417</v>
      </c>
      <c r="H6" s="55"/>
    </row>
    <row r="7" spans="1:8" s="27" customFormat="1" ht="14.25" customHeight="1" x14ac:dyDescent="0.2">
      <c r="A7" s="23" t="s">
        <v>698</v>
      </c>
      <c r="B7" s="24">
        <v>5807</v>
      </c>
      <c r="C7" s="25">
        <f>MemberOfAssemblyAssemblyDistrict66General123[[#This Row],[Part of New York County 
Vote Results]]</f>
        <v>5807</v>
      </c>
      <c r="D7" s="26">
        <f>SUM(MemberOfAssemblyAssemblyDistrict66General123[[#This Row],[Total Votes by Party]])</f>
        <v>5807</v>
      </c>
      <c r="H7" s="55"/>
    </row>
    <row r="8" spans="1:8" s="27" customFormat="1" ht="14.25" customHeight="1" x14ac:dyDescent="0.2">
      <c r="A8" s="23" t="s">
        <v>697</v>
      </c>
      <c r="B8" s="24">
        <v>6437</v>
      </c>
      <c r="C8" s="25">
        <f>MemberOfAssemblyAssemblyDistrict66General123[[#This Row],[Part of New York County 
Vote Results]]</f>
        <v>6437</v>
      </c>
      <c r="D8" s="26">
        <f>SUM(MemberOfAssemblyAssemblyDistrict66General123[[#This Row],[Total Votes by Party]])</f>
        <v>6437</v>
      </c>
      <c r="H8" s="55"/>
    </row>
    <row r="9" spans="1:8" s="27" customFormat="1" ht="14.25" customHeight="1" x14ac:dyDescent="0.2">
      <c r="A9" s="23" t="s">
        <v>696</v>
      </c>
      <c r="B9" s="24">
        <v>6749</v>
      </c>
      <c r="C9" s="25">
        <f>MemberOfAssemblyAssemblyDistrict66General123[[#This Row],[Part of New York County 
Vote Results]]</f>
        <v>6749</v>
      </c>
      <c r="D9" s="26">
        <f>SUM(MemberOfAssemblyAssemblyDistrict66General123[[#This Row],[Total Votes by Party]])</f>
        <v>6749</v>
      </c>
      <c r="H9" s="55"/>
    </row>
    <row r="10" spans="1:8" s="27" customFormat="1" ht="14.25" customHeight="1" x14ac:dyDescent="0.2">
      <c r="A10" s="23" t="s">
        <v>695</v>
      </c>
      <c r="B10" s="24">
        <v>6144</v>
      </c>
      <c r="C10" s="25">
        <f>MemberOfAssemblyAssemblyDistrict66General123[[#This Row],[Part of New York County 
Vote Results]]</f>
        <v>6144</v>
      </c>
      <c r="D10" s="26">
        <f>SUM(MemberOfAssemblyAssemblyDistrict66General123[[#This Row],[Total Votes by Party]])</f>
        <v>6144</v>
      </c>
      <c r="H10" s="55"/>
    </row>
    <row r="11" spans="1:8" s="27" customFormat="1" ht="14.25" customHeight="1" x14ac:dyDescent="0.2">
      <c r="A11" s="23" t="s">
        <v>694</v>
      </c>
      <c r="B11" s="24">
        <v>6508</v>
      </c>
      <c r="C11" s="25">
        <f>MemberOfAssemblyAssemblyDistrict66General123[[#This Row],[Part of New York County 
Vote Results]]</f>
        <v>6508</v>
      </c>
      <c r="D11" s="26">
        <f>SUM(MemberOfAssemblyAssemblyDistrict66General123[[#This Row],[Total Votes by Party]])</f>
        <v>6508</v>
      </c>
      <c r="H11" s="55"/>
    </row>
    <row r="12" spans="1:8" s="27" customFormat="1" ht="14.25" customHeight="1" x14ac:dyDescent="0.2">
      <c r="A12" s="23" t="s">
        <v>693</v>
      </c>
      <c r="B12" s="24">
        <v>5629</v>
      </c>
      <c r="C12" s="25">
        <f>MemberOfAssemblyAssemblyDistrict66General123[[#This Row],[Part of New York County 
Vote Results]]</f>
        <v>5629</v>
      </c>
      <c r="D12" s="26">
        <f>SUM(MemberOfAssemblyAssemblyDistrict66General123[[#This Row],[Total Votes by Party]])</f>
        <v>5629</v>
      </c>
      <c r="H12" s="55"/>
    </row>
    <row r="13" spans="1:8" s="27" customFormat="1" ht="14.25" customHeight="1" x14ac:dyDescent="0.2">
      <c r="A13" s="23" t="s">
        <v>692</v>
      </c>
      <c r="B13" s="24">
        <v>5962</v>
      </c>
      <c r="C13" s="25">
        <f>MemberOfAssemblyAssemblyDistrict66General123[[#This Row],[Part of New York County 
Vote Results]]</f>
        <v>5962</v>
      </c>
      <c r="D13" s="26">
        <f>SUM(MemberOfAssemblyAssemblyDistrict66General123[[#This Row],[Total Votes by Party]])</f>
        <v>5962</v>
      </c>
      <c r="H13" s="55"/>
    </row>
    <row r="14" spans="1:8" s="27" customFormat="1" ht="14.25" customHeight="1" x14ac:dyDescent="0.2">
      <c r="A14" s="23" t="s">
        <v>691</v>
      </c>
      <c r="B14" s="24">
        <v>5474</v>
      </c>
      <c r="C14" s="25">
        <f>MemberOfAssemblyAssemblyDistrict66General123[[#This Row],[Part of New York County 
Vote Results]]</f>
        <v>5474</v>
      </c>
      <c r="D14" s="26">
        <f>SUM(MemberOfAssemblyAssemblyDistrict66General123[[#This Row],[Total Votes by Party]])</f>
        <v>5474</v>
      </c>
      <c r="H14" s="55"/>
    </row>
    <row r="15" spans="1:8" s="27" customFormat="1" ht="14.25" customHeight="1" x14ac:dyDescent="0.2">
      <c r="A15" s="23" t="s">
        <v>690</v>
      </c>
      <c r="B15" s="24">
        <v>5578</v>
      </c>
      <c r="C15" s="25">
        <f>MemberOfAssemblyAssemblyDistrict66General123[[#This Row],[Part of New York County 
Vote Results]]</f>
        <v>5578</v>
      </c>
      <c r="D15" s="26">
        <f>SUM(MemberOfAssemblyAssemblyDistrict66General123[[#This Row],[Total Votes by Party]])</f>
        <v>5578</v>
      </c>
      <c r="H15" s="55"/>
    </row>
    <row r="16" spans="1:8" s="27" customFormat="1" ht="14.25" customHeight="1" x14ac:dyDescent="0.2">
      <c r="A16" s="23" t="s">
        <v>689</v>
      </c>
      <c r="B16" s="24">
        <v>6511</v>
      </c>
      <c r="C16" s="25">
        <f>MemberOfAssemblyAssemblyDistrict66General123[[#This Row],[Part of New York County 
Vote Results]]</f>
        <v>6511</v>
      </c>
      <c r="D16" s="26">
        <f>SUM(MemberOfAssemblyAssemblyDistrict66General123[[#This Row],[Total Votes by Party]])</f>
        <v>6511</v>
      </c>
      <c r="H16" s="55"/>
    </row>
    <row r="17" spans="1:8" s="27" customFormat="1" ht="14.25" customHeight="1" x14ac:dyDescent="0.2">
      <c r="A17" s="23" t="s">
        <v>688</v>
      </c>
      <c r="B17" s="24">
        <v>1995</v>
      </c>
      <c r="C17" s="25">
        <f>MemberOfAssemblyAssemblyDistrict66General123[[#This Row],[Part of New York County 
Vote Results]]</f>
        <v>1995</v>
      </c>
      <c r="D17" s="54">
        <f>SUM(MemberOfAssemblyAssemblyDistrict66General123[[#This Row],[Total Votes by Party]])</f>
        <v>1995</v>
      </c>
      <c r="H17" s="55"/>
    </row>
    <row r="18" spans="1:8" s="27" customFormat="1" ht="14.25" customHeight="1" x14ac:dyDescent="0.2">
      <c r="A18" s="23" t="s">
        <v>687</v>
      </c>
      <c r="B18" s="24">
        <v>2470</v>
      </c>
      <c r="C18" s="25">
        <f>MemberOfAssemblyAssemblyDistrict66General123[[#This Row],[Part of New York County 
Vote Results]]</f>
        <v>2470</v>
      </c>
      <c r="D18" s="26">
        <f>SUM(MemberOfAssemblyAssemblyDistrict66General123[[#This Row],[Total Votes by Party]])</f>
        <v>2470</v>
      </c>
      <c r="H18" s="55"/>
    </row>
    <row r="19" spans="1:8" s="27" customFormat="1" ht="14.25" customHeight="1" x14ac:dyDescent="0.2">
      <c r="A19" s="23" t="s">
        <v>686</v>
      </c>
      <c r="B19" s="24">
        <v>2267</v>
      </c>
      <c r="C19" s="25">
        <f>MemberOfAssemblyAssemblyDistrict66General123[[#This Row],[Part of New York County 
Vote Results]]</f>
        <v>2267</v>
      </c>
      <c r="D19" s="54">
        <f>SUM(MemberOfAssemblyAssemblyDistrict66General123[[#This Row],[Total Votes by Party]])</f>
        <v>2267</v>
      </c>
      <c r="H19" s="55"/>
    </row>
    <row r="20" spans="1:8" s="27" customFormat="1" ht="14.25" customHeight="1" x14ac:dyDescent="0.2">
      <c r="A20" s="23" t="s">
        <v>685</v>
      </c>
      <c r="B20" s="24">
        <v>2278</v>
      </c>
      <c r="C20" s="25">
        <f>MemberOfAssemblyAssemblyDistrict66General123[[#This Row],[Part of New York County 
Vote Results]]</f>
        <v>2278</v>
      </c>
      <c r="D20" s="54">
        <f>SUM(MemberOfAssemblyAssemblyDistrict66General123[[#This Row],[Total Votes by Party]])</f>
        <v>2278</v>
      </c>
      <c r="H20" s="55"/>
    </row>
    <row r="21" spans="1:8" s="27" customFormat="1" ht="14.25" customHeight="1" x14ac:dyDescent="0.2">
      <c r="A21" s="23" t="s">
        <v>684</v>
      </c>
      <c r="B21" s="24">
        <v>1216</v>
      </c>
      <c r="C21" s="25">
        <f>MemberOfAssemblyAssemblyDistrict66General123[[#This Row],[Part of New York County 
Vote Results]]</f>
        <v>1216</v>
      </c>
      <c r="D21" s="54">
        <f>SUM(MemberOfAssemblyAssemblyDistrict66General123[[#This Row],[Total Votes by Party]])</f>
        <v>1216</v>
      </c>
    </row>
    <row r="22" spans="1:8" s="27" customFormat="1" ht="14.25" customHeight="1" x14ac:dyDescent="0.2">
      <c r="A22" s="23" t="s">
        <v>683</v>
      </c>
      <c r="B22" s="24">
        <v>1337</v>
      </c>
      <c r="C22" s="25">
        <f>MemberOfAssemblyAssemblyDistrict66General123[[#This Row],[Part of New York County 
Vote Results]]</f>
        <v>1337</v>
      </c>
      <c r="D22" s="54">
        <f>SUM(MemberOfAssemblyAssemblyDistrict66General123[[#This Row],[Total Votes by Party]])</f>
        <v>1337</v>
      </c>
    </row>
    <row r="23" spans="1:8" s="27" customFormat="1" ht="14.25" customHeight="1" x14ac:dyDescent="0.2">
      <c r="A23" s="29" t="s">
        <v>69</v>
      </c>
      <c r="B23" s="24">
        <v>158664</v>
      </c>
      <c r="C23" s="25">
        <f>MemberOfAssemblyAssemblyDistrict66General123[[#This Row],[Part of New York County 
Vote Results]]</f>
        <v>158664</v>
      </c>
      <c r="D23" s="28"/>
    </row>
    <row r="24" spans="1:8" s="27" customFormat="1" ht="14.25" customHeight="1" x14ac:dyDescent="0.2">
      <c r="A24" s="29" t="s">
        <v>70</v>
      </c>
      <c r="B24" s="24"/>
      <c r="C24" s="25">
        <f>MemberOfAssemblyAssemblyDistrict66General123[[#This Row],[Part of New York County 
Vote Results]]</f>
        <v>0</v>
      </c>
      <c r="D24" s="28"/>
    </row>
    <row r="25" spans="1:8" s="27" customFormat="1" ht="14.25" customHeight="1" x14ac:dyDescent="0.2">
      <c r="A25" s="29" t="s">
        <v>71</v>
      </c>
      <c r="B25" s="24">
        <v>242</v>
      </c>
      <c r="C25" s="25">
        <f>MemberOfAssemblyAssemblyDistrict66General123[[#This Row],[Part of New York County 
Vote Results]]</f>
        <v>242</v>
      </c>
      <c r="D25" s="28"/>
    </row>
    <row r="26" spans="1:8" s="27" customFormat="1" ht="14.25" customHeight="1" x14ac:dyDescent="0.2">
      <c r="A26" s="30" t="s">
        <v>1</v>
      </c>
      <c r="B26" s="24">
        <f>SUM(MemberOfAssemblyAssemblyDistrict66General123[Part of New York County 
Vote Results])</f>
        <v>255105</v>
      </c>
      <c r="C26" s="25">
        <f>SUM(MemberOfAssemblyAssemblyDistrict66General123[Total Votes by Party])</f>
        <v>255105</v>
      </c>
      <c r="D26" s="28"/>
    </row>
    <row r="27" spans="1:8" s="27" customFormat="1" ht="14.25" customHeight="1" x14ac:dyDescent="0.2">
      <c r="D27" s="37"/>
    </row>
    <row r="28" spans="1:8" s="27" customFormat="1" ht="14.25" customHeight="1" x14ac:dyDescent="0.2">
      <c r="D28" s="37"/>
    </row>
    <row r="29" spans="1:8" s="27" customFormat="1" ht="14.25" customHeight="1" x14ac:dyDescent="0.2">
      <c r="D29" s="37"/>
    </row>
    <row r="30" spans="1:8" s="27" customFormat="1" ht="14.25" customHeight="1" x14ac:dyDescent="0.2">
      <c r="D30" s="37"/>
    </row>
    <row r="31" spans="1:8" s="27" customFormat="1" ht="14.25" customHeight="1" x14ac:dyDescent="0.2">
      <c r="D31" s="37"/>
    </row>
    <row r="32" spans="1:8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</sheetData>
  <sortState xmlns:xlrd2="http://schemas.microsoft.com/office/spreadsheetml/2017/richdata2" ref="H6:H25">
    <sortCondition descending="1" ref="H6:H25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24471-5A22-4DAC-9D01-8F974BEA7208}">
  <sheetPr>
    <pageSetUpPr fitToPage="1"/>
  </sheetPr>
  <dimension ref="A1:H50"/>
  <sheetViews>
    <sheetView workbookViewId="0">
      <selection activeCell="H6" sqref="H6:H32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6.75" customHeight="1" x14ac:dyDescent="0.2">
      <c r="A1" s="59" t="s">
        <v>602</v>
      </c>
      <c r="B1" s="59"/>
      <c r="C1" s="59"/>
      <c r="D1" s="59"/>
      <c r="E1" s="59"/>
    </row>
    <row r="2" spans="1:8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601</v>
      </c>
      <c r="B3" s="24">
        <v>2564</v>
      </c>
      <c r="C3" s="25">
        <f>MemberOfAssemblyAssemblyDistrict68General124[[#This Row],[Part of New York County 
Vote Results]]</f>
        <v>2564</v>
      </c>
      <c r="D3" s="26">
        <f>SUM(MemberOfAssemblyAssemblyDistrict68General124[[#This Row],[Total Votes by Party]])</f>
        <v>2564</v>
      </c>
    </row>
    <row r="4" spans="1:8" s="27" customFormat="1" ht="14.25" customHeight="1" x14ac:dyDescent="0.2">
      <c r="A4" s="23" t="s">
        <v>600</v>
      </c>
      <c r="B4" s="24">
        <v>2360</v>
      </c>
      <c r="C4" s="25">
        <f>MemberOfAssemblyAssemblyDistrict68General124[[#This Row],[Part of New York County 
Vote Results]]</f>
        <v>2360</v>
      </c>
      <c r="D4" s="54">
        <f>SUM(MemberOfAssemblyAssemblyDistrict68General124[[#This Row],[Total Votes by Party]])</f>
        <v>2360</v>
      </c>
    </row>
    <row r="5" spans="1:8" s="27" customFormat="1" ht="14.25" customHeight="1" x14ac:dyDescent="0.2">
      <c r="A5" s="23" t="s">
        <v>599</v>
      </c>
      <c r="B5" s="24">
        <v>1668</v>
      </c>
      <c r="C5" s="25">
        <f>MemberOfAssemblyAssemblyDistrict68General124[[#This Row],[Part of New York County 
Vote Results]]</f>
        <v>1668</v>
      </c>
      <c r="D5" s="54">
        <f>SUM(MemberOfAssemblyAssemblyDistrict68General124[[#This Row],[Total Votes by Party]])</f>
        <v>1668</v>
      </c>
    </row>
    <row r="6" spans="1:8" s="27" customFormat="1" ht="14.25" customHeight="1" x14ac:dyDescent="0.2">
      <c r="A6" s="23" t="s">
        <v>598</v>
      </c>
      <c r="B6" s="24">
        <v>2635</v>
      </c>
      <c r="C6" s="25">
        <f>MemberOfAssemblyAssemblyDistrict68General124[[#This Row],[Part of New York County 
Vote Results]]</f>
        <v>2635</v>
      </c>
      <c r="D6" s="26">
        <f>SUM(MemberOfAssemblyAssemblyDistrict68General124[[#This Row],[Total Votes by Party]])</f>
        <v>2635</v>
      </c>
      <c r="H6" s="55"/>
    </row>
    <row r="7" spans="1:8" s="27" customFormat="1" ht="14.25" customHeight="1" x14ac:dyDescent="0.2">
      <c r="A7" s="23" t="s">
        <v>597</v>
      </c>
      <c r="B7" s="24">
        <v>2376</v>
      </c>
      <c r="C7" s="25">
        <f>MemberOfAssemblyAssemblyDistrict68General124[[#This Row],[Part of New York County 
Vote Results]]</f>
        <v>2376</v>
      </c>
      <c r="D7" s="54">
        <f>SUM(MemberOfAssemblyAssemblyDistrict68General124[[#This Row],[Total Votes by Party]])</f>
        <v>2376</v>
      </c>
      <c r="H7" s="55"/>
    </row>
    <row r="8" spans="1:8" s="27" customFormat="1" ht="14.25" customHeight="1" x14ac:dyDescent="0.2">
      <c r="A8" s="23" t="s">
        <v>596</v>
      </c>
      <c r="B8" s="24">
        <v>2361</v>
      </c>
      <c r="C8" s="25">
        <f>MemberOfAssemblyAssemblyDistrict68General124[[#This Row],[Part of New York County 
Vote Results]]</f>
        <v>2361</v>
      </c>
      <c r="D8" s="54">
        <f>SUM(MemberOfAssemblyAssemblyDistrict68General124[[#This Row],[Total Votes by Party]])</f>
        <v>2361</v>
      </c>
      <c r="H8" s="55"/>
    </row>
    <row r="9" spans="1:8" s="27" customFormat="1" ht="14.25" customHeight="1" x14ac:dyDescent="0.2">
      <c r="A9" s="23" t="s">
        <v>595</v>
      </c>
      <c r="B9" s="24">
        <v>1905</v>
      </c>
      <c r="C9" s="25">
        <f>MemberOfAssemblyAssemblyDistrict68General124[[#This Row],[Part of New York County 
Vote Results]]</f>
        <v>1905</v>
      </c>
      <c r="D9" s="54">
        <f>SUM(MemberOfAssemblyAssemblyDistrict68General124[[#This Row],[Total Votes by Party]])</f>
        <v>1905</v>
      </c>
      <c r="H9" s="55"/>
    </row>
    <row r="10" spans="1:8" s="27" customFormat="1" ht="14.25" customHeight="1" x14ac:dyDescent="0.2">
      <c r="A10" s="23" t="s">
        <v>594</v>
      </c>
      <c r="B10" s="24">
        <v>1803</v>
      </c>
      <c r="C10" s="25">
        <f>MemberOfAssemblyAssemblyDistrict68General124[[#This Row],[Part of New York County 
Vote Results]]</f>
        <v>1803</v>
      </c>
      <c r="D10" s="54">
        <f>SUM(MemberOfAssemblyAssemblyDistrict68General124[[#This Row],[Total Votes by Party]])</f>
        <v>1803</v>
      </c>
      <c r="H10" s="55"/>
    </row>
    <row r="11" spans="1:8" s="27" customFormat="1" ht="14.25" customHeight="1" x14ac:dyDescent="0.2">
      <c r="A11" s="23" t="s">
        <v>865</v>
      </c>
      <c r="B11" s="24">
        <v>2742</v>
      </c>
      <c r="C11" s="25">
        <f>MemberOfAssemblyAssemblyDistrict68General124[[#This Row],[Part of New York County 
Vote Results]]</f>
        <v>2742</v>
      </c>
      <c r="D11" s="26">
        <f>SUM(MemberOfAssemblyAssemblyDistrict68General124[[#This Row],[Total Votes by Party]])</f>
        <v>2742</v>
      </c>
      <c r="H11" s="55"/>
    </row>
    <row r="12" spans="1:8" s="27" customFormat="1" ht="14.25" customHeight="1" x14ac:dyDescent="0.2">
      <c r="A12" s="23" t="s">
        <v>593</v>
      </c>
      <c r="B12" s="24">
        <v>3465</v>
      </c>
      <c r="C12" s="25">
        <f>MemberOfAssemblyAssemblyDistrict68General124[[#This Row],[Part of New York County 
Vote Results]]</f>
        <v>3465</v>
      </c>
      <c r="D12" s="26">
        <f>SUM(MemberOfAssemblyAssemblyDistrict68General124[[#This Row],[Total Votes by Party]])</f>
        <v>3465</v>
      </c>
      <c r="H12" s="55"/>
    </row>
    <row r="13" spans="1:8" s="27" customFormat="1" ht="14.25" customHeight="1" x14ac:dyDescent="0.2">
      <c r="A13" s="23" t="s">
        <v>358</v>
      </c>
      <c r="B13" s="24">
        <v>5076</v>
      </c>
      <c r="C13" s="25">
        <f>MemberOfAssemblyAssemblyDistrict68General124[[#This Row],[Part of New York County 
Vote Results]]</f>
        <v>5076</v>
      </c>
      <c r="D13" s="26">
        <f>SUM(MemberOfAssemblyAssemblyDistrict68General124[[#This Row],[Total Votes by Party]])</f>
        <v>5076</v>
      </c>
      <c r="H13" s="55"/>
    </row>
    <row r="14" spans="1:8" s="27" customFormat="1" ht="14.25" customHeight="1" x14ac:dyDescent="0.2">
      <c r="A14" s="23" t="s">
        <v>592</v>
      </c>
      <c r="B14" s="24">
        <v>2851</v>
      </c>
      <c r="C14" s="25">
        <f>MemberOfAssemblyAssemblyDistrict68General124[[#This Row],[Part of New York County 
Vote Results]]</f>
        <v>2851</v>
      </c>
      <c r="D14" s="26">
        <f>SUM(MemberOfAssemblyAssemblyDistrict68General124[[#This Row],[Total Votes by Party]])</f>
        <v>2851</v>
      </c>
      <c r="H14" s="55"/>
    </row>
    <row r="15" spans="1:8" s="27" customFormat="1" ht="14.25" customHeight="1" x14ac:dyDescent="0.2">
      <c r="A15" s="23" t="s">
        <v>591</v>
      </c>
      <c r="B15" s="24">
        <v>2407</v>
      </c>
      <c r="C15" s="25">
        <f>MemberOfAssemblyAssemblyDistrict68General124[[#This Row],[Part of New York County 
Vote Results]]</f>
        <v>2407</v>
      </c>
      <c r="D15" s="26">
        <f>SUM(MemberOfAssemblyAssemblyDistrict68General124[[#This Row],[Total Votes by Party]])</f>
        <v>2407</v>
      </c>
      <c r="H15" s="55"/>
    </row>
    <row r="16" spans="1:8" s="27" customFormat="1" ht="14.25" customHeight="1" x14ac:dyDescent="0.2">
      <c r="A16" s="23" t="s">
        <v>590</v>
      </c>
      <c r="B16" s="24">
        <v>2046</v>
      </c>
      <c r="C16" s="25">
        <f>MemberOfAssemblyAssemblyDistrict68General124[[#This Row],[Part of New York County 
Vote Results]]</f>
        <v>2046</v>
      </c>
      <c r="D16" s="54">
        <f>SUM(MemberOfAssemblyAssemblyDistrict68General124[[#This Row],[Total Votes by Party]])</f>
        <v>2046</v>
      </c>
    </row>
    <row r="17" spans="1:4" s="27" customFormat="1" ht="14.25" customHeight="1" x14ac:dyDescent="0.2">
      <c r="A17" s="23" t="s">
        <v>589</v>
      </c>
      <c r="B17" s="24">
        <v>2584</v>
      </c>
      <c r="C17" s="25">
        <f>MemberOfAssemblyAssemblyDistrict68General124[[#This Row],[Part of New York County 
Vote Results]]</f>
        <v>2584</v>
      </c>
      <c r="D17" s="26">
        <f>SUM(MemberOfAssemblyAssemblyDistrict68General124[[#This Row],[Total Votes by Party]])</f>
        <v>2584</v>
      </c>
    </row>
    <row r="18" spans="1:4" s="27" customFormat="1" ht="14.25" customHeight="1" x14ac:dyDescent="0.2">
      <c r="A18" s="23" t="s">
        <v>588</v>
      </c>
      <c r="B18" s="24">
        <v>2696</v>
      </c>
      <c r="C18" s="25">
        <f>MemberOfAssemblyAssemblyDistrict68General124[[#This Row],[Part of New York County 
Vote Results]]</f>
        <v>2696</v>
      </c>
      <c r="D18" s="26">
        <f>SUM(MemberOfAssemblyAssemblyDistrict68General124[[#This Row],[Total Votes by Party]])</f>
        <v>2696</v>
      </c>
    </row>
    <row r="19" spans="1:4" s="27" customFormat="1" ht="14.25" customHeight="1" x14ac:dyDescent="0.2">
      <c r="A19" s="23" t="s">
        <v>587</v>
      </c>
      <c r="B19" s="24">
        <v>2211</v>
      </c>
      <c r="C19" s="25">
        <f>MemberOfAssemblyAssemblyDistrict68General124[[#This Row],[Part of New York County 
Vote Results]]</f>
        <v>2211</v>
      </c>
      <c r="D19" s="54">
        <f>SUM(MemberOfAssemblyAssemblyDistrict68General124[[#This Row],[Total Votes by Party]])</f>
        <v>2211</v>
      </c>
    </row>
    <row r="20" spans="1:4" s="27" customFormat="1" ht="14.25" customHeight="1" x14ac:dyDescent="0.2">
      <c r="A20" s="23" t="s">
        <v>586</v>
      </c>
      <c r="B20" s="24">
        <v>1912</v>
      </c>
      <c r="C20" s="25">
        <f>MemberOfAssemblyAssemblyDistrict68General124[[#This Row],[Part of New York County 
Vote Results]]</f>
        <v>1912</v>
      </c>
      <c r="D20" s="54">
        <f>SUM(MemberOfAssemblyAssemblyDistrict68General124[[#This Row],[Total Votes by Party]])</f>
        <v>1912</v>
      </c>
    </row>
    <row r="21" spans="1:4" s="27" customFormat="1" ht="14.25" customHeight="1" x14ac:dyDescent="0.2">
      <c r="A21" s="23" t="s">
        <v>585</v>
      </c>
      <c r="B21" s="24">
        <v>2056</v>
      </c>
      <c r="C21" s="25">
        <f>MemberOfAssemblyAssemblyDistrict68General124[[#This Row],[Part of New York County 
Vote Results]]</f>
        <v>2056</v>
      </c>
      <c r="D21" s="54">
        <f>SUM(MemberOfAssemblyAssemblyDistrict68General124[[#This Row],[Total Votes by Party]])</f>
        <v>2056</v>
      </c>
    </row>
    <row r="22" spans="1:4" s="27" customFormat="1" ht="14.25" customHeight="1" x14ac:dyDescent="0.2">
      <c r="A22" s="23" t="s">
        <v>584</v>
      </c>
      <c r="B22" s="24">
        <v>1803</v>
      </c>
      <c r="C22" s="25">
        <f>MemberOfAssemblyAssemblyDistrict68General124[[#This Row],[Part of New York County 
Vote Results]]</f>
        <v>1803</v>
      </c>
      <c r="D22" s="54">
        <f>SUM(MemberOfAssemblyAssemblyDistrict68General124[[#This Row],[Total Votes by Party]])</f>
        <v>1803</v>
      </c>
    </row>
    <row r="23" spans="1:4" s="27" customFormat="1" ht="14.25" customHeight="1" x14ac:dyDescent="0.2">
      <c r="A23" s="23" t="s">
        <v>583</v>
      </c>
      <c r="B23" s="24">
        <v>1230</v>
      </c>
      <c r="C23" s="25">
        <f>MemberOfAssemblyAssemblyDistrict68General124[[#This Row],[Part of New York County 
Vote Results]]</f>
        <v>1230</v>
      </c>
      <c r="D23" s="54">
        <f>SUM(MemberOfAssemblyAssemblyDistrict68General124[[#This Row],[Total Votes by Party]])</f>
        <v>1230</v>
      </c>
    </row>
    <row r="24" spans="1:4" s="27" customFormat="1" ht="14.25" customHeight="1" x14ac:dyDescent="0.2">
      <c r="A24" s="23" t="s">
        <v>582</v>
      </c>
      <c r="B24" s="24">
        <v>2650</v>
      </c>
      <c r="C24" s="25">
        <f>MemberOfAssemblyAssemblyDistrict68General124[[#This Row],[Part of New York County 
Vote Results]]</f>
        <v>2650</v>
      </c>
      <c r="D24" s="26">
        <f>SUM(MemberOfAssemblyAssemblyDistrict68General124[[#This Row],[Total Votes by Party]])</f>
        <v>2650</v>
      </c>
    </row>
    <row r="25" spans="1:4" s="27" customFormat="1" ht="14.25" customHeight="1" x14ac:dyDescent="0.2">
      <c r="A25" s="23" t="s">
        <v>581</v>
      </c>
      <c r="B25" s="24">
        <v>1850</v>
      </c>
      <c r="C25" s="25">
        <f>MemberOfAssemblyAssemblyDistrict68General124[[#This Row],[Part of New York County 
Vote Results]]</f>
        <v>1850</v>
      </c>
      <c r="D25" s="54">
        <f>SUM(MemberOfAssemblyAssemblyDistrict68General124[[#This Row],[Total Votes by Party]])</f>
        <v>1850</v>
      </c>
    </row>
    <row r="26" spans="1:4" s="27" customFormat="1" ht="14.25" customHeight="1" x14ac:dyDescent="0.2">
      <c r="A26" s="23" t="s">
        <v>580</v>
      </c>
      <c r="B26" s="24">
        <v>816</v>
      </c>
      <c r="C26" s="25">
        <f>MemberOfAssemblyAssemblyDistrict68General124[[#This Row],[Part of New York County 
Vote Results]]</f>
        <v>816</v>
      </c>
      <c r="D26" s="54">
        <f>SUM(MemberOfAssemblyAssemblyDistrict68General124[[#This Row],[Total Votes by Party]])</f>
        <v>816</v>
      </c>
    </row>
    <row r="27" spans="1:4" s="27" customFormat="1" ht="14.25" customHeight="1" x14ac:dyDescent="0.2">
      <c r="A27" s="23" t="s">
        <v>579</v>
      </c>
      <c r="B27" s="24">
        <v>769</v>
      </c>
      <c r="C27" s="25">
        <f>MemberOfAssemblyAssemblyDistrict68General124[[#This Row],[Part of New York County 
Vote Results]]</f>
        <v>769</v>
      </c>
      <c r="D27" s="54">
        <f>SUM(MemberOfAssemblyAssemblyDistrict68General124[[#This Row],[Total Votes by Party]])</f>
        <v>769</v>
      </c>
    </row>
    <row r="28" spans="1:4" s="27" customFormat="1" ht="14.25" customHeight="1" x14ac:dyDescent="0.2">
      <c r="A28" s="23" t="s">
        <v>578</v>
      </c>
      <c r="B28" s="24">
        <v>1983</v>
      </c>
      <c r="C28" s="25">
        <f>MemberOfAssemblyAssemblyDistrict68General124[[#This Row],[Part of New York County 
Vote Results]]</f>
        <v>1983</v>
      </c>
      <c r="D28" s="54">
        <f>SUM(MemberOfAssemblyAssemblyDistrict68General124[[#This Row],[Total Votes by Party]])</f>
        <v>1983</v>
      </c>
    </row>
    <row r="29" spans="1:4" s="27" customFormat="1" ht="14.25" customHeight="1" x14ac:dyDescent="0.2">
      <c r="A29" s="23" t="s">
        <v>577</v>
      </c>
      <c r="B29" s="24">
        <v>1680</v>
      </c>
      <c r="C29" s="25">
        <f>MemberOfAssemblyAssemblyDistrict68General124[[#This Row],[Part of New York County 
Vote Results]]</f>
        <v>1680</v>
      </c>
      <c r="D29" s="54">
        <f>SUM(MemberOfAssemblyAssemblyDistrict68General124[[#This Row],[Total Votes by Party]])</f>
        <v>1680</v>
      </c>
    </row>
    <row r="30" spans="1:4" s="27" customFormat="1" ht="14.25" customHeight="1" x14ac:dyDescent="0.2">
      <c r="A30" s="29" t="s">
        <v>69</v>
      </c>
      <c r="B30" s="24">
        <v>58545</v>
      </c>
      <c r="C30" s="25">
        <f>MemberOfAssemblyAssemblyDistrict68General124[[#This Row],[Part of New York County 
Vote Results]]</f>
        <v>58545</v>
      </c>
      <c r="D30" s="28"/>
    </row>
    <row r="31" spans="1:4" s="27" customFormat="1" ht="14.25" customHeight="1" x14ac:dyDescent="0.2">
      <c r="A31" s="29" t="s">
        <v>70</v>
      </c>
      <c r="B31" s="24">
        <v>320</v>
      </c>
      <c r="C31" s="25">
        <f>MemberOfAssemblyAssemblyDistrict68General124[[#This Row],[Part of New York County 
Vote Results]]</f>
        <v>320</v>
      </c>
      <c r="D31" s="28"/>
    </row>
    <row r="32" spans="1:4" s="27" customFormat="1" ht="14.25" customHeight="1" x14ac:dyDescent="0.2">
      <c r="A32" s="29" t="s">
        <v>71</v>
      </c>
      <c r="B32" s="24">
        <v>276</v>
      </c>
      <c r="C32" s="25">
        <f>MemberOfAssemblyAssemblyDistrict68General124[[#This Row],[Part of New York County 
Vote Results]]</f>
        <v>276</v>
      </c>
      <c r="D32" s="28"/>
    </row>
    <row r="33" spans="1:4" s="27" customFormat="1" ht="14.25" customHeight="1" x14ac:dyDescent="0.2">
      <c r="A33" s="30" t="s">
        <v>1</v>
      </c>
      <c r="B33" s="24">
        <f>SUM(MemberOfAssemblyAssemblyDistrict68General124[Part of New York County 
Vote Results])</f>
        <v>119640</v>
      </c>
      <c r="C33" s="25">
        <f>SUM(MemberOfAssemblyAssemblyDistrict68General124[Total Votes by Party])</f>
        <v>119640</v>
      </c>
      <c r="D33" s="28"/>
    </row>
    <row r="34" spans="1:4" s="27" customFormat="1" ht="14.25" customHeight="1" x14ac:dyDescent="0.2">
      <c r="D34" s="37"/>
    </row>
    <row r="35" spans="1:4" s="27" customFormat="1" ht="14.25" customHeight="1" x14ac:dyDescent="0.2">
      <c r="D35" s="37"/>
    </row>
    <row r="36" spans="1:4" s="27" customFormat="1" ht="14.25" customHeight="1" x14ac:dyDescent="0.2">
      <c r="D36" s="37"/>
    </row>
    <row r="37" spans="1:4" s="27" customFormat="1" ht="14.25" customHeight="1" x14ac:dyDescent="0.2">
      <c r="D37" s="37"/>
    </row>
    <row r="38" spans="1:4" s="27" customFormat="1" ht="14.25" customHeight="1" x14ac:dyDescent="0.2">
      <c r="D38" s="37"/>
    </row>
    <row r="39" spans="1:4" s="27" customFormat="1" ht="14.25" customHeight="1" x14ac:dyDescent="0.2">
      <c r="D39" s="37"/>
    </row>
    <row r="40" spans="1:4" s="27" customFormat="1" ht="14.25" customHeight="1" x14ac:dyDescent="0.2">
      <c r="D40" s="37"/>
    </row>
    <row r="41" spans="1:4" s="27" customFormat="1" ht="14.25" customHeight="1" x14ac:dyDescent="0.2">
      <c r="D41" s="37"/>
    </row>
    <row r="42" spans="1:4" s="27" customFormat="1" ht="14.25" customHeight="1" x14ac:dyDescent="0.2">
      <c r="D42" s="37"/>
    </row>
    <row r="43" spans="1:4" s="27" customFormat="1" ht="14.25" customHeight="1" x14ac:dyDescent="0.2">
      <c r="D43" s="37"/>
    </row>
    <row r="44" spans="1:4" s="27" customFormat="1" ht="14.25" customHeight="1" x14ac:dyDescent="0.2">
      <c r="D44" s="37"/>
    </row>
    <row r="45" spans="1:4" s="27" customFormat="1" ht="14.25" customHeight="1" x14ac:dyDescent="0.2">
      <c r="D45" s="37"/>
    </row>
    <row r="46" spans="1:4" s="27" customFormat="1" ht="14.25" customHeight="1" x14ac:dyDescent="0.2">
      <c r="D46" s="37"/>
    </row>
    <row r="47" spans="1:4" s="27" customFormat="1" ht="14.25" customHeight="1" x14ac:dyDescent="0.2">
      <c r="D47" s="37"/>
    </row>
    <row r="48" spans="1:4" s="27" customFormat="1" ht="14.25" customHeight="1" x14ac:dyDescent="0.2">
      <c r="D48" s="37"/>
    </row>
    <row r="49" spans="4:4" s="27" customFormat="1" ht="14.25" customHeight="1" x14ac:dyDescent="0.2">
      <c r="D49" s="37"/>
    </row>
    <row r="50" spans="4:4" s="27" customFormat="1" ht="14.25" customHeight="1" x14ac:dyDescent="0.2">
      <c r="D50" s="37"/>
    </row>
  </sheetData>
  <sortState xmlns:xlrd2="http://schemas.microsoft.com/office/spreadsheetml/2017/richdata2" ref="H6:H32">
    <sortCondition descending="1" ref="H6:H32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A3E2-0C2E-47BE-AECA-C4927D23C2D8}">
  <sheetPr>
    <pageSetUpPr fitToPage="1"/>
  </sheetPr>
  <dimension ref="A1:H48"/>
  <sheetViews>
    <sheetView workbookViewId="0">
      <selection activeCell="H5" sqref="H5:H29"/>
    </sheetView>
  </sheetViews>
  <sheetFormatPr defaultRowHeight="12.75" x14ac:dyDescent="0.2"/>
  <cols>
    <col min="1" max="1" width="28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7.5" customHeight="1" x14ac:dyDescent="0.2">
      <c r="A1" s="59" t="s">
        <v>726</v>
      </c>
      <c r="B1" s="59"/>
      <c r="C1" s="59"/>
      <c r="D1" s="59"/>
      <c r="E1" s="59"/>
      <c r="F1" s="59"/>
    </row>
    <row r="2" spans="1:8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725</v>
      </c>
      <c r="B3" s="24">
        <v>1672</v>
      </c>
      <c r="C3" s="25">
        <f>MemberOfAssemblyAssemblyDistrict68General125[[#This Row],[Part of New York County 
Vote Results]]</f>
        <v>1672</v>
      </c>
      <c r="D3" s="54">
        <f>SUM(MemberOfAssemblyAssemblyDistrict68General125[[#This Row],[Total Votes by Party]])</f>
        <v>1672</v>
      </c>
    </row>
    <row r="4" spans="1:8" s="27" customFormat="1" ht="14.25" customHeight="1" x14ac:dyDescent="0.2">
      <c r="A4" s="23" t="s">
        <v>724</v>
      </c>
      <c r="B4" s="24">
        <v>2644</v>
      </c>
      <c r="C4" s="25">
        <f>MemberOfAssemblyAssemblyDistrict68General125[[#This Row],[Part of New York County 
Vote Results]]</f>
        <v>2644</v>
      </c>
      <c r="D4" s="26">
        <f>SUM(MemberOfAssemblyAssemblyDistrict68General125[[#This Row],[Total Votes by Party]])</f>
        <v>2644</v>
      </c>
    </row>
    <row r="5" spans="1:8" s="27" customFormat="1" ht="14.25" customHeight="1" x14ac:dyDescent="0.2">
      <c r="A5" s="23" t="s">
        <v>723</v>
      </c>
      <c r="B5" s="24">
        <v>2934</v>
      </c>
      <c r="C5" s="25">
        <f>MemberOfAssemblyAssemblyDistrict68General125[[#This Row],[Part of New York County 
Vote Results]]</f>
        <v>2934</v>
      </c>
      <c r="D5" s="26">
        <f>SUM(MemberOfAssemblyAssemblyDistrict68General125[[#This Row],[Total Votes by Party]])</f>
        <v>2934</v>
      </c>
      <c r="H5" s="55"/>
    </row>
    <row r="6" spans="1:8" s="27" customFormat="1" ht="14.25" customHeight="1" x14ac:dyDescent="0.2">
      <c r="A6" s="23" t="s">
        <v>866</v>
      </c>
      <c r="B6" s="24">
        <v>1629</v>
      </c>
      <c r="C6" s="25">
        <f>MemberOfAssemblyAssemblyDistrict68General125[[#This Row],[Part of New York County 
Vote Results]]</f>
        <v>1629</v>
      </c>
      <c r="D6" s="54">
        <f>SUM(MemberOfAssemblyAssemblyDistrict68General125[[#This Row],[Total Votes by Party]])</f>
        <v>1629</v>
      </c>
      <c r="H6" s="55"/>
    </row>
    <row r="7" spans="1:8" s="27" customFormat="1" ht="14.25" customHeight="1" x14ac:dyDescent="0.2">
      <c r="A7" s="23" t="s">
        <v>722</v>
      </c>
      <c r="B7" s="24">
        <v>1535</v>
      </c>
      <c r="C7" s="25">
        <f>MemberOfAssemblyAssemblyDistrict68General125[[#This Row],[Part of New York County 
Vote Results]]</f>
        <v>1535</v>
      </c>
      <c r="D7" s="54">
        <f>SUM(MemberOfAssemblyAssemblyDistrict68General125[[#This Row],[Total Votes by Party]])</f>
        <v>1535</v>
      </c>
      <c r="H7" s="55"/>
    </row>
    <row r="8" spans="1:8" s="27" customFormat="1" ht="14.25" customHeight="1" x14ac:dyDescent="0.2">
      <c r="A8" s="23" t="s">
        <v>721</v>
      </c>
      <c r="B8" s="24">
        <v>2651</v>
      </c>
      <c r="C8" s="25">
        <f>MemberOfAssemblyAssemblyDistrict68General125[[#This Row],[Part of New York County 
Vote Results]]</f>
        <v>2651</v>
      </c>
      <c r="D8" s="26">
        <f>SUM(MemberOfAssemblyAssemblyDistrict68General125[[#This Row],[Total Votes by Party]])</f>
        <v>2651</v>
      </c>
      <c r="H8" s="55"/>
    </row>
    <row r="9" spans="1:8" s="27" customFormat="1" ht="14.25" customHeight="1" x14ac:dyDescent="0.2">
      <c r="A9" s="23" t="s">
        <v>720</v>
      </c>
      <c r="B9" s="24">
        <v>2694</v>
      </c>
      <c r="C9" s="25">
        <f>MemberOfAssemblyAssemblyDistrict68General125[[#This Row],[Part of New York County 
Vote Results]]</f>
        <v>2694</v>
      </c>
      <c r="D9" s="26">
        <f>SUM(MemberOfAssemblyAssemblyDistrict68General125[[#This Row],[Total Votes by Party]])</f>
        <v>2694</v>
      </c>
      <c r="H9" s="55"/>
    </row>
    <row r="10" spans="1:8" s="27" customFormat="1" ht="14.25" customHeight="1" x14ac:dyDescent="0.2">
      <c r="A10" s="23" t="s">
        <v>719</v>
      </c>
      <c r="B10" s="24">
        <v>2040</v>
      </c>
      <c r="C10" s="25">
        <f>MemberOfAssemblyAssemblyDistrict68General125[[#This Row],[Part of New York County 
Vote Results]]</f>
        <v>2040</v>
      </c>
      <c r="D10" s="26">
        <f>SUM(MemberOfAssemblyAssemblyDistrict68General125[[#This Row],[Total Votes by Party]])</f>
        <v>2040</v>
      </c>
      <c r="H10" s="55"/>
    </row>
    <row r="11" spans="1:8" s="27" customFormat="1" ht="14.25" customHeight="1" x14ac:dyDescent="0.2">
      <c r="A11" s="23" t="s">
        <v>718</v>
      </c>
      <c r="B11" s="24">
        <v>3012</v>
      </c>
      <c r="C11" s="25">
        <f>MemberOfAssemblyAssemblyDistrict68General125[[#This Row],[Part of New York County 
Vote Results]]</f>
        <v>3012</v>
      </c>
      <c r="D11" s="26">
        <f>SUM(MemberOfAssemblyAssemblyDistrict68General125[[#This Row],[Total Votes by Party]])</f>
        <v>3012</v>
      </c>
      <c r="H11" s="55"/>
    </row>
    <row r="12" spans="1:8" s="27" customFormat="1" ht="14.25" customHeight="1" x14ac:dyDescent="0.2">
      <c r="A12" s="23" t="s">
        <v>717</v>
      </c>
      <c r="B12" s="24">
        <v>2663</v>
      </c>
      <c r="C12" s="25">
        <f>MemberOfAssemblyAssemblyDistrict68General125[[#This Row],[Part of New York County 
Vote Results]]</f>
        <v>2663</v>
      </c>
      <c r="D12" s="26">
        <f>SUM(MemberOfAssemblyAssemblyDistrict68General125[[#This Row],[Total Votes by Party]])</f>
        <v>2663</v>
      </c>
      <c r="H12" s="55"/>
    </row>
    <row r="13" spans="1:8" s="27" customFormat="1" ht="14.25" customHeight="1" x14ac:dyDescent="0.2">
      <c r="A13" s="23" t="s">
        <v>716</v>
      </c>
      <c r="B13" s="24">
        <v>2092</v>
      </c>
      <c r="C13" s="25">
        <f>MemberOfAssemblyAssemblyDistrict68General125[[#This Row],[Part of New York County 
Vote Results]]</f>
        <v>2092</v>
      </c>
      <c r="D13" s="26">
        <f>SUM(MemberOfAssemblyAssemblyDistrict68General125[[#This Row],[Total Votes by Party]])</f>
        <v>2092</v>
      </c>
      <c r="H13" s="55"/>
    </row>
    <row r="14" spans="1:8" s="27" customFormat="1" ht="14.25" customHeight="1" x14ac:dyDescent="0.2">
      <c r="A14" s="23" t="s">
        <v>715</v>
      </c>
      <c r="B14" s="24">
        <v>1606</v>
      </c>
      <c r="C14" s="25">
        <f>MemberOfAssemblyAssemblyDistrict68General125[[#This Row],[Part of New York County 
Vote Results]]</f>
        <v>1606</v>
      </c>
      <c r="D14" s="54">
        <f>SUM(MemberOfAssemblyAssemblyDistrict68General125[[#This Row],[Total Votes by Party]])</f>
        <v>1606</v>
      </c>
      <c r="H14" s="55"/>
    </row>
    <row r="15" spans="1:8" s="27" customFormat="1" ht="14.25" customHeight="1" x14ac:dyDescent="0.2">
      <c r="A15" s="23" t="s">
        <v>714</v>
      </c>
      <c r="B15" s="24">
        <v>1767</v>
      </c>
      <c r="C15" s="25">
        <f>MemberOfAssemblyAssemblyDistrict68General125[[#This Row],[Part of New York County 
Vote Results]]</f>
        <v>1767</v>
      </c>
      <c r="D15" s="54">
        <f>SUM(MemberOfAssemblyAssemblyDistrict68General125[[#This Row],[Total Votes by Party]])</f>
        <v>1767</v>
      </c>
    </row>
    <row r="16" spans="1:8" s="27" customFormat="1" ht="14.25" customHeight="1" x14ac:dyDescent="0.2">
      <c r="A16" s="23" t="s">
        <v>713</v>
      </c>
      <c r="B16" s="24">
        <v>2173</v>
      </c>
      <c r="C16" s="25">
        <f>MemberOfAssemblyAssemblyDistrict68General125[[#This Row],[Part of New York County 
Vote Results]]</f>
        <v>2173</v>
      </c>
      <c r="D16" s="26">
        <f>SUM(MemberOfAssemblyAssemblyDistrict68General125[[#This Row],[Total Votes by Party]])</f>
        <v>2173</v>
      </c>
    </row>
    <row r="17" spans="1:4" s="27" customFormat="1" ht="14.25" customHeight="1" x14ac:dyDescent="0.2">
      <c r="A17" s="23" t="s">
        <v>712</v>
      </c>
      <c r="B17" s="24">
        <v>1433</v>
      </c>
      <c r="C17" s="25">
        <f>MemberOfAssemblyAssemblyDistrict68General125[[#This Row],[Part of New York County 
Vote Results]]</f>
        <v>1433</v>
      </c>
      <c r="D17" s="54">
        <f>SUM(MemberOfAssemblyAssemblyDistrict68General125[[#This Row],[Total Votes by Party]])</f>
        <v>1433</v>
      </c>
    </row>
    <row r="18" spans="1:4" s="27" customFormat="1" ht="14.25" customHeight="1" x14ac:dyDescent="0.2">
      <c r="A18" s="23" t="s">
        <v>711</v>
      </c>
      <c r="B18" s="24">
        <v>2025</v>
      </c>
      <c r="C18" s="25">
        <f>MemberOfAssemblyAssemblyDistrict68General125[[#This Row],[Part of New York County 
Vote Results]]</f>
        <v>2025</v>
      </c>
      <c r="D18" s="54">
        <f>SUM(MemberOfAssemblyAssemblyDistrict68General125[[#This Row],[Total Votes by Party]])</f>
        <v>2025</v>
      </c>
    </row>
    <row r="19" spans="1:4" s="27" customFormat="1" ht="14.25" customHeight="1" x14ac:dyDescent="0.2">
      <c r="A19" s="23" t="s">
        <v>710</v>
      </c>
      <c r="B19" s="24">
        <v>2533</v>
      </c>
      <c r="C19" s="25">
        <f>MemberOfAssemblyAssemblyDistrict68General125[[#This Row],[Part of New York County 
Vote Results]]</f>
        <v>2533</v>
      </c>
      <c r="D19" s="26">
        <f>SUM(MemberOfAssemblyAssemblyDistrict68General125[[#This Row],[Total Votes by Party]])</f>
        <v>2533</v>
      </c>
    </row>
    <row r="20" spans="1:4" s="27" customFormat="1" ht="14.25" customHeight="1" x14ac:dyDescent="0.2">
      <c r="A20" s="23" t="s">
        <v>709</v>
      </c>
      <c r="B20" s="24">
        <v>1609</v>
      </c>
      <c r="C20" s="25">
        <f>MemberOfAssemblyAssemblyDistrict68General125[[#This Row],[Part of New York County 
Vote Results]]</f>
        <v>1609</v>
      </c>
      <c r="D20" s="54">
        <f>SUM(MemberOfAssemblyAssemblyDistrict68General125[[#This Row],[Total Votes by Party]])</f>
        <v>1609</v>
      </c>
    </row>
    <row r="21" spans="1:4" s="27" customFormat="1" ht="14.25" customHeight="1" x14ac:dyDescent="0.2">
      <c r="A21" s="23" t="s">
        <v>708</v>
      </c>
      <c r="B21" s="24">
        <v>1270</v>
      </c>
      <c r="C21" s="25">
        <f>MemberOfAssemblyAssemblyDistrict68General125[[#This Row],[Part of New York County 
Vote Results]]</f>
        <v>1270</v>
      </c>
      <c r="D21" s="54">
        <f>SUM(MemberOfAssemblyAssemblyDistrict68General125[[#This Row],[Total Votes by Party]])</f>
        <v>1270</v>
      </c>
    </row>
    <row r="22" spans="1:4" s="27" customFormat="1" ht="14.25" customHeight="1" x14ac:dyDescent="0.2">
      <c r="A22" s="23" t="s">
        <v>707</v>
      </c>
      <c r="B22" s="24">
        <v>1362</v>
      </c>
      <c r="C22" s="25">
        <f>MemberOfAssemblyAssemblyDistrict68General125[[#This Row],[Part of New York County 
Vote Results]]</f>
        <v>1362</v>
      </c>
      <c r="D22" s="54">
        <f>SUM(MemberOfAssemblyAssemblyDistrict68General125[[#This Row],[Total Votes by Party]])</f>
        <v>1362</v>
      </c>
    </row>
    <row r="23" spans="1:4" s="27" customFormat="1" ht="14.25" customHeight="1" x14ac:dyDescent="0.2">
      <c r="A23" s="23" t="s">
        <v>706</v>
      </c>
      <c r="B23" s="24">
        <v>1853</v>
      </c>
      <c r="C23" s="25">
        <f>MemberOfAssemblyAssemblyDistrict68General125[[#This Row],[Part of New York County 
Vote Results]]</f>
        <v>1853</v>
      </c>
      <c r="D23" s="54">
        <f>SUM(MemberOfAssemblyAssemblyDistrict68General125[[#This Row],[Total Votes by Party]])</f>
        <v>1853</v>
      </c>
    </row>
    <row r="24" spans="1:4" s="27" customFormat="1" ht="14.25" customHeight="1" x14ac:dyDescent="0.2">
      <c r="A24" s="23" t="s">
        <v>705</v>
      </c>
      <c r="B24" s="24">
        <v>1778</v>
      </c>
      <c r="C24" s="25">
        <f>MemberOfAssemblyAssemblyDistrict68General125[[#This Row],[Part of New York County 
Vote Results]]</f>
        <v>1778</v>
      </c>
      <c r="D24" s="54">
        <f>SUM(MemberOfAssemblyAssemblyDistrict68General125[[#This Row],[Total Votes by Party]])</f>
        <v>1778</v>
      </c>
    </row>
    <row r="25" spans="1:4" s="27" customFormat="1" ht="14.25" customHeight="1" x14ac:dyDescent="0.2">
      <c r="A25" s="23" t="s">
        <v>704</v>
      </c>
      <c r="B25" s="24">
        <v>1353</v>
      </c>
      <c r="C25" s="25">
        <f>MemberOfAssemblyAssemblyDistrict68General125[[#This Row],[Part of New York County 
Vote Results]]</f>
        <v>1353</v>
      </c>
      <c r="D25" s="54">
        <f>SUM(MemberOfAssemblyAssemblyDistrict68General125[[#This Row],[Total Votes by Party]])</f>
        <v>1353</v>
      </c>
    </row>
    <row r="26" spans="1:4" s="27" customFormat="1" ht="14.25" customHeight="1" x14ac:dyDescent="0.2">
      <c r="A26" s="23" t="s">
        <v>703</v>
      </c>
      <c r="B26" s="24">
        <v>1576</v>
      </c>
      <c r="C26" s="25">
        <f>MemberOfAssemblyAssemblyDistrict68General125[[#This Row],[Part of New York County 
Vote Results]]</f>
        <v>1576</v>
      </c>
      <c r="D26" s="54">
        <f>SUM(MemberOfAssemblyAssemblyDistrict68General125[[#This Row],[Total Votes by Party]])</f>
        <v>1576</v>
      </c>
    </row>
    <row r="27" spans="1:4" s="27" customFormat="1" ht="14.25" customHeight="1" x14ac:dyDescent="0.2">
      <c r="A27" s="23" t="s">
        <v>702</v>
      </c>
      <c r="B27" s="24">
        <v>1506</v>
      </c>
      <c r="C27" s="25">
        <f>MemberOfAssemblyAssemblyDistrict68General125[[#This Row],[Part of New York County 
Vote Results]]</f>
        <v>1506</v>
      </c>
      <c r="D27" s="54">
        <f>SUM(MemberOfAssemblyAssemblyDistrict68General125[[#This Row],[Total Votes by Party]])</f>
        <v>1506</v>
      </c>
    </row>
    <row r="28" spans="1:4" s="27" customFormat="1" ht="14.25" customHeight="1" x14ac:dyDescent="0.2">
      <c r="A28" s="29" t="s">
        <v>69</v>
      </c>
      <c r="B28" s="24">
        <v>69644</v>
      </c>
      <c r="C28" s="25">
        <f>MemberOfAssemblyAssemblyDistrict68General125[[#This Row],[Part of New York County 
Vote Results]]</f>
        <v>69644</v>
      </c>
      <c r="D28" s="28"/>
    </row>
    <row r="29" spans="1:4" s="27" customFormat="1" ht="14.25" customHeight="1" x14ac:dyDescent="0.2">
      <c r="A29" s="29" t="s">
        <v>70</v>
      </c>
      <c r="B29" s="24">
        <v>320</v>
      </c>
      <c r="C29" s="25">
        <f>MemberOfAssemblyAssemblyDistrict68General125[[#This Row],[Part of New York County 
Vote Results]]</f>
        <v>320</v>
      </c>
      <c r="D29" s="28"/>
    </row>
    <row r="30" spans="1:4" s="27" customFormat="1" ht="14.25" customHeight="1" x14ac:dyDescent="0.2">
      <c r="A30" s="29" t="s">
        <v>71</v>
      </c>
      <c r="B30" s="24">
        <v>266</v>
      </c>
      <c r="C30" s="25">
        <f>MemberOfAssemblyAssemblyDistrict68General125[[#This Row],[Part of New York County 
Vote Results]]</f>
        <v>266</v>
      </c>
      <c r="D30" s="28"/>
    </row>
    <row r="31" spans="1:4" s="27" customFormat="1" ht="14.25" customHeight="1" x14ac:dyDescent="0.2">
      <c r="A31" s="30" t="s">
        <v>1</v>
      </c>
      <c r="B31" s="24">
        <f>SUM(MemberOfAssemblyAssemblyDistrict68General125[Part of New York County 
Vote Results])</f>
        <v>119640</v>
      </c>
      <c r="C31" s="25">
        <f>SUM(MemberOfAssemblyAssemblyDistrict68General125[Total Votes by Party])</f>
        <v>119640</v>
      </c>
      <c r="D31" s="28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  <row r="44" spans="4:4" s="27" customFormat="1" ht="14.25" customHeight="1" x14ac:dyDescent="0.2">
      <c r="D44" s="37"/>
    </row>
    <row r="45" spans="4:4" s="27" customFormat="1" ht="14.25" customHeight="1" x14ac:dyDescent="0.2">
      <c r="D45" s="37"/>
    </row>
    <row r="46" spans="4:4" s="27" customFormat="1" ht="14.25" customHeight="1" x14ac:dyDescent="0.2">
      <c r="D46" s="37"/>
    </row>
    <row r="47" spans="4:4" s="27" customFormat="1" ht="14.25" customHeight="1" x14ac:dyDescent="0.2">
      <c r="D47" s="37"/>
    </row>
    <row r="48" spans="4:4" s="27" customFormat="1" ht="14.25" customHeight="1" x14ac:dyDescent="0.2">
      <c r="D48" s="37"/>
    </row>
  </sheetData>
  <sortState xmlns:xlrd2="http://schemas.microsoft.com/office/spreadsheetml/2017/richdata2" ref="H5:H29">
    <sortCondition descending="1" ref="H5:H29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5D87-D481-4635-BBC7-50E20B148361}">
  <sheetPr>
    <pageSetUpPr fitToPage="1"/>
  </sheetPr>
  <dimension ref="A1:H46"/>
  <sheetViews>
    <sheetView workbookViewId="0">
      <selection activeCell="H8" sqref="H7:H29"/>
    </sheetView>
  </sheetViews>
  <sheetFormatPr defaultRowHeight="12.75" x14ac:dyDescent="0.2"/>
  <cols>
    <col min="1" max="1" width="27.140625" customWidth="1"/>
    <col min="2" max="3" width="20.5703125" customWidth="1"/>
    <col min="4" max="4" width="20.5703125" style="18" customWidth="1"/>
    <col min="5" max="6" width="23.5703125" customWidth="1"/>
  </cols>
  <sheetData>
    <row r="1" spans="1:8" ht="37.5" customHeight="1" x14ac:dyDescent="0.2">
      <c r="A1" s="59" t="s">
        <v>624</v>
      </c>
      <c r="B1" s="59"/>
      <c r="C1" s="59"/>
      <c r="D1" s="59"/>
      <c r="E1" s="59"/>
    </row>
    <row r="2" spans="1:8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250</v>
      </c>
      <c r="B3" s="24">
        <v>2809</v>
      </c>
      <c r="C3" s="25">
        <f>MemberOfAssemblyAssemblyDistrict71General127[[#This Row],[Part of New York County 
Vote Results]]</f>
        <v>2809</v>
      </c>
      <c r="D3" s="54">
        <f>SUM(MemberOfAssemblyAssemblyDistrict71General127[[#This Row],[Total Votes by Party]])</f>
        <v>2809</v>
      </c>
    </row>
    <row r="4" spans="1:8" s="27" customFormat="1" ht="14.25" customHeight="1" x14ac:dyDescent="0.2">
      <c r="A4" s="23" t="s">
        <v>623</v>
      </c>
      <c r="B4" s="24">
        <v>2858</v>
      </c>
      <c r="C4" s="25">
        <f>MemberOfAssemblyAssemblyDistrict71General127[[#This Row],[Part of New York County 
Vote Results]]</f>
        <v>2858</v>
      </c>
      <c r="D4" s="54">
        <f>SUM(MemberOfAssemblyAssemblyDistrict71General127[[#This Row],[Total Votes by Party]])</f>
        <v>2858</v>
      </c>
    </row>
    <row r="5" spans="1:8" s="27" customFormat="1" ht="14.25" customHeight="1" x14ac:dyDescent="0.2">
      <c r="A5" s="23" t="s">
        <v>370</v>
      </c>
      <c r="B5" s="24">
        <v>5664</v>
      </c>
      <c r="C5" s="25">
        <f>MemberOfAssemblyAssemblyDistrict71General127[[#This Row],[Part of New York County 
Vote Results]]</f>
        <v>5664</v>
      </c>
      <c r="D5" s="26">
        <f>SUM(MemberOfAssemblyAssemblyDistrict71General127[[#This Row],[Total Votes by Party]])</f>
        <v>5664</v>
      </c>
    </row>
    <row r="6" spans="1:8" s="27" customFormat="1" ht="14.25" customHeight="1" x14ac:dyDescent="0.2">
      <c r="A6" s="23" t="s">
        <v>622</v>
      </c>
      <c r="B6" s="24">
        <v>5818</v>
      </c>
      <c r="C6" s="25">
        <f>MemberOfAssemblyAssemblyDistrict71General127[[#This Row],[Part of New York County 
Vote Results]]</f>
        <v>5818</v>
      </c>
      <c r="D6" s="26">
        <f>SUM(MemberOfAssemblyAssemblyDistrict71General127[[#This Row],[Total Votes by Party]])</f>
        <v>5818</v>
      </c>
    </row>
    <row r="7" spans="1:8" s="27" customFormat="1" ht="14.25" customHeight="1" x14ac:dyDescent="0.2">
      <c r="A7" s="23" t="s">
        <v>621</v>
      </c>
      <c r="B7" s="24">
        <v>2921</v>
      </c>
      <c r="C7" s="25">
        <f>MemberOfAssemblyAssemblyDistrict71General127[[#This Row],[Part of New York County 
Vote Results]]</f>
        <v>2921</v>
      </c>
      <c r="D7" s="54">
        <f>SUM(MemberOfAssemblyAssemblyDistrict71General127[[#This Row],[Total Votes by Party]])</f>
        <v>2921</v>
      </c>
      <c r="H7" s="55"/>
    </row>
    <row r="8" spans="1:8" s="27" customFormat="1" ht="14.25" customHeight="1" x14ac:dyDescent="0.2">
      <c r="A8" s="23" t="s">
        <v>620</v>
      </c>
      <c r="B8" s="24">
        <v>3631</v>
      </c>
      <c r="C8" s="25">
        <f>MemberOfAssemblyAssemblyDistrict71General127[[#This Row],[Part of New York County 
Vote Results]]</f>
        <v>3631</v>
      </c>
      <c r="D8" s="54">
        <f>SUM(MemberOfAssemblyAssemblyDistrict71General127[[#This Row],[Total Votes by Party]])</f>
        <v>3631</v>
      </c>
      <c r="H8" s="55"/>
    </row>
    <row r="9" spans="1:8" s="27" customFormat="1" ht="14.25" customHeight="1" x14ac:dyDescent="0.2">
      <c r="A9" s="23" t="s">
        <v>619</v>
      </c>
      <c r="B9" s="24">
        <v>3219</v>
      </c>
      <c r="C9" s="25">
        <f>MemberOfAssemblyAssemblyDistrict71General127[[#This Row],[Part of New York County 
Vote Results]]</f>
        <v>3219</v>
      </c>
      <c r="D9" s="54">
        <f>SUM(MemberOfAssemblyAssemblyDistrict71General127[[#This Row],[Total Votes by Party]])</f>
        <v>3219</v>
      </c>
      <c r="H9" s="55"/>
    </row>
    <row r="10" spans="1:8" s="27" customFormat="1" ht="14.25" customHeight="1" x14ac:dyDescent="0.2">
      <c r="A10" s="23" t="s">
        <v>618</v>
      </c>
      <c r="B10" s="24">
        <v>4914</v>
      </c>
      <c r="C10" s="25">
        <f>MemberOfAssemblyAssemblyDistrict71General127[[#This Row],[Part of New York County 
Vote Results]]</f>
        <v>4914</v>
      </c>
      <c r="D10" s="54">
        <f>SUM(MemberOfAssemblyAssemblyDistrict71General127[[#This Row],[Total Votes by Party]])</f>
        <v>4914</v>
      </c>
      <c r="H10" s="55"/>
    </row>
    <row r="11" spans="1:8" s="27" customFormat="1" ht="14.25" customHeight="1" x14ac:dyDescent="0.2">
      <c r="A11" s="23" t="s">
        <v>617</v>
      </c>
      <c r="B11" s="24">
        <v>2737</v>
      </c>
      <c r="C11" s="25">
        <f>MemberOfAssemblyAssemblyDistrict71General127[[#This Row],[Part of New York County 
Vote Results]]</f>
        <v>2737</v>
      </c>
      <c r="D11" s="54">
        <f>SUM(MemberOfAssemblyAssemblyDistrict71General127[[#This Row],[Total Votes by Party]])</f>
        <v>2737</v>
      </c>
      <c r="H11" s="55"/>
    </row>
    <row r="12" spans="1:8" s="27" customFormat="1" ht="14.25" customHeight="1" x14ac:dyDescent="0.2">
      <c r="A12" s="23" t="s">
        <v>616</v>
      </c>
      <c r="B12" s="24">
        <v>3178</v>
      </c>
      <c r="C12" s="25">
        <f>MemberOfAssemblyAssemblyDistrict71General127[[#This Row],[Part of New York County 
Vote Results]]</f>
        <v>3178</v>
      </c>
      <c r="D12" s="54">
        <f>SUM(MemberOfAssemblyAssemblyDistrict71General127[[#This Row],[Total Votes by Party]])</f>
        <v>3178</v>
      </c>
      <c r="H12" s="55"/>
    </row>
    <row r="13" spans="1:8" s="27" customFormat="1" ht="14.25" customHeight="1" x14ac:dyDescent="0.2">
      <c r="A13" s="23" t="s">
        <v>615</v>
      </c>
      <c r="B13" s="24">
        <v>3948</v>
      </c>
      <c r="C13" s="25">
        <f>MemberOfAssemblyAssemblyDistrict71General127[[#This Row],[Part of New York County 
Vote Results]]</f>
        <v>3948</v>
      </c>
      <c r="D13" s="54">
        <f>SUM(MemberOfAssemblyAssemblyDistrict71General127[[#This Row],[Total Votes by Party]])</f>
        <v>3948</v>
      </c>
      <c r="H13" s="55"/>
    </row>
    <row r="14" spans="1:8" s="27" customFormat="1" ht="14.25" customHeight="1" x14ac:dyDescent="0.2">
      <c r="A14" s="23" t="s">
        <v>614</v>
      </c>
      <c r="B14" s="24">
        <v>3359</v>
      </c>
      <c r="C14" s="25">
        <f>MemberOfAssemblyAssemblyDistrict71General127[[#This Row],[Part of New York County 
Vote Results]]</f>
        <v>3359</v>
      </c>
      <c r="D14" s="54">
        <f>SUM(MemberOfAssemblyAssemblyDistrict71General127[[#This Row],[Total Votes by Party]])</f>
        <v>3359</v>
      </c>
      <c r="H14" s="55"/>
    </row>
    <row r="15" spans="1:8" s="27" customFormat="1" ht="14.25" customHeight="1" x14ac:dyDescent="0.2">
      <c r="A15" s="23" t="s">
        <v>613</v>
      </c>
      <c r="B15" s="24">
        <v>5671</v>
      </c>
      <c r="C15" s="25">
        <f>MemberOfAssemblyAssemblyDistrict71General127[[#This Row],[Part of New York County 
Vote Results]]</f>
        <v>5671</v>
      </c>
      <c r="D15" s="26">
        <f>SUM(MemberOfAssemblyAssemblyDistrict71General127[[#This Row],[Total Votes by Party]])</f>
        <v>5671</v>
      </c>
      <c r="H15" s="55"/>
    </row>
    <row r="16" spans="1:8" s="27" customFormat="1" ht="14.25" customHeight="1" x14ac:dyDescent="0.2">
      <c r="A16" s="23" t="s">
        <v>612</v>
      </c>
      <c r="B16" s="24">
        <v>7065</v>
      </c>
      <c r="C16" s="25">
        <f>MemberOfAssemblyAssemblyDistrict71General127[[#This Row],[Part of New York County 
Vote Results]]</f>
        <v>7065</v>
      </c>
      <c r="D16" s="26">
        <f>SUM(MemberOfAssemblyAssemblyDistrict71General127[[#This Row],[Total Votes by Party]])</f>
        <v>7065</v>
      </c>
      <c r="H16" s="55"/>
    </row>
    <row r="17" spans="1:8" s="27" customFormat="1" ht="14.25" customHeight="1" x14ac:dyDescent="0.2">
      <c r="A17" s="23" t="s">
        <v>611</v>
      </c>
      <c r="B17" s="24">
        <v>5746</v>
      </c>
      <c r="C17" s="25">
        <f>MemberOfAssemblyAssemblyDistrict71General127[[#This Row],[Part of New York County 
Vote Results]]</f>
        <v>5746</v>
      </c>
      <c r="D17" s="26">
        <f>SUM(MemberOfAssemblyAssemblyDistrict71General127[[#This Row],[Total Votes by Party]])</f>
        <v>5746</v>
      </c>
      <c r="H17" s="55"/>
    </row>
    <row r="18" spans="1:8" s="27" customFormat="1" ht="14.25" customHeight="1" x14ac:dyDescent="0.2">
      <c r="A18" s="23" t="s">
        <v>610</v>
      </c>
      <c r="B18" s="24">
        <v>6072</v>
      </c>
      <c r="C18" s="25">
        <f>MemberOfAssemblyAssemblyDistrict71General127[[#This Row],[Part of New York County 
Vote Results]]</f>
        <v>6072</v>
      </c>
      <c r="D18" s="26">
        <f>SUM(MemberOfAssemblyAssemblyDistrict71General127[[#This Row],[Total Votes by Party]])</f>
        <v>6072</v>
      </c>
    </row>
    <row r="19" spans="1:8" s="27" customFormat="1" ht="14.25" customHeight="1" x14ac:dyDescent="0.2">
      <c r="A19" s="23" t="s">
        <v>609</v>
      </c>
      <c r="B19" s="24">
        <v>4964</v>
      </c>
      <c r="C19" s="25">
        <f>MemberOfAssemblyAssemblyDistrict71General127[[#This Row],[Part of New York County 
Vote Results]]</f>
        <v>4964</v>
      </c>
      <c r="D19" s="54">
        <f>SUM(MemberOfAssemblyAssemblyDistrict71General127[[#This Row],[Total Votes by Party]])</f>
        <v>4964</v>
      </c>
    </row>
    <row r="20" spans="1:8" s="27" customFormat="1" ht="14.25" customHeight="1" x14ac:dyDescent="0.2">
      <c r="A20" s="23" t="s">
        <v>608</v>
      </c>
      <c r="B20" s="24">
        <v>5861</v>
      </c>
      <c r="C20" s="25">
        <f>MemberOfAssemblyAssemblyDistrict71General127[[#This Row],[Part of New York County 
Vote Results]]</f>
        <v>5861</v>
      </c>
      <c r="D20" s="26">
        <f>SUM(MemberOfAssemblyAssemblyDistrict71General127[[#This Row],[Total Votes by Party]])</f>
        <v>5861</v>
      </c>
    </row>
    <row r="21" spans="1:8" s="27" customFormat="1" ht="14.25" customHeight="1" x14ac:dyDescent="0.2">
      <c r="A21" s="23" t="s">
        <v>607</v>
      </c>
      <c r="B21" s="24">
        <v>5983</v>
      </c>
      <c r="C21" s="25">
        <f>MemberOfAssemblyAssemblyDistrict71General127[[#This Row],[Part of New York County 
Vote Results]]</f>
        <v>5983</v>
      </c>
      <c r="D21" s="26">
        <f>SUM(MemberOfAssemblyAssemblyDistrict71General127[[#This Row],[Total Votes by Party]])</f>
        <v>5983</v>
      </c>
    </row>
    <row r="22" spans="1:8" s="27" customFormat="1" ht="14.25" customHeight="1" x14ac:dyDescent="0.2">
      <c r="A22" s="23" t="s">
        <v>606</v>
      </c>
      <c r="B22" s="24">
        <v>3894</v>
      </c>
      <c r="C22" s="25">
        <f>MemberOfAssemblyAssemblyDistrict71General127[[#This Row],[Part of New York County 
Vote Results]]</f>
        <v>3894</v>
      </c>
      <c r="D22" s="54">
        <f>SUM(MemberOfAssemblyAssemblyDistrict71General127[[#This Row],[Total Votes by Party]])</f>
        <v>3894</v>
      </c>
    </row>
    <row r="23" spans="1:8" s="27" customFormat="1" ht="14.25" customHeight="1" x14ac:dyDescent="0.2">
      <c r="A23" s="23" t="s">
        <v>605</v>
      </c>
      <c r="B23" s="24">
        <v>5629</v>
      </c>
      <c r="C23" s="25">
        <f>MemberOfAssemblyAssemblyDistrict71General127[[#This Row],[Part of New York County 
Vote Results]]</f>
        <v>5629</v>
      </c>
      <c r="D23" s="26">
        <f>SUM(MemberOfAssemblyAssemblyDistrict71General127[[#This Row],[Total Votes by Party]])</f>
        <v>5629</v>
      </c>
    </row>
    <row r="24" spans="1:8" s="27" customFormat="1" ht="14.25" customHeight="1" x14ac:dyDescent="0.2">
      <c r="A24" s="23" t="s">
        <v>604</v>
      </c>
      <c r="B24" s="24">
        <v>5198</v>
      </c>
      <c r="C24" s="25">
        <f>MemberOfAssemblyAssemblyDistrict71General127[[#This Row],[Part of New York County 
Vote Results]]</f>
        <v>5198</v>
      </c>
      <c r="D24" s="26">
        <f>SUM(MemberOfAssemblyAssemblyDistrict71General127[[#This Row],[Total Votes by Party]])</f>
        <v>5198</v>
      </c>
    </row>
    <row r="25" spans="1:8" s="27" customFormat="1" ht="14.25" customHeight="1" x14ac:dyDescent="0.2">
      <c r="A25" s="23" t="s">
        <v>603</v>
      </c>
      <c r="B25" s="24">
        <v>5333</v>
      </c>
      <c r="C25" s="25">
        <f>MemberOfAssemblyAssemblyDistrict71General127[[#This Row],[Part of New York County 
Vote Results]]</f>
        <v>5333</v>
      </c>
      <c r="D25" s="26">
        <f>SUM(MemberOfAssemblyAssemblyDistrict71General127[[#This Row],[Total Votes by Party]])</f>
        <v>5333</v>
      </c>
    </row>
    <row r="26" spans="1:8" s="27" customFormat="1" ht="14.25" customHeight="1" x14ac:dyDescent="0.2">
      <c r="A26" s="29" t="s">
        <v>69</v>
      </c>
      <c r="B26" s="24">
        <v>91181</v>
      </c>
      <c r="C26" s="25">
        <f>MemberOfAssemblyAssemblyDistrict71General127[[#This Row],[Part of New York County 
Vote Results]]</f>
        <v>91181</v>
      </c>
      <c r="D26" s="28"/>
    </row>
    <row r="27" spans="1:8" s="27" customFormat="1" ht="14.25" customHeight="1" x14ac:dyDescent="0.2">
      <c r="A27" s="29" t="s">
        <v>70</v>
      </c>
      <c r="B27" s="24"/>
      <c r="C27" s="25">
        <f>MemberOfAssemblyAssemblyDistrict71General127[[#This Row],[Part of New York County 
Vote Results]]</f>
        <v>0</v>
      </c>
      <c r="D27" s="28"/>
    </row>
    <row r="28" spans="1:8" s="27" customFormat="1" ht="14.25" customHeight="1" x14ac:dyDescent="0.2">
      <c r="A28" s="29" t="s">
        <v>71</v>
      </c>
      <c r="B28" s="24">
        <v>611</v>
      </c>
      <c r="C28" s="25">
        <f>MemberOfAssemblyAssemblyDistrict71General127[[#This Row],[Part of New York County 
Vote Results]]</f>
        <v>611</v>
      </c>
      <c r="D28" s="28"/>
    </row>
    <row r="29" spans="1:8" s="27" customFormat="1" ht="14.25" customHeight="1" x14ac:dyDescent="0.2">
      <c r="A29" s="30" t="s">
        <v>1</v>
      </c>
      <c r="B29" s="24">
        <f>SUM(MemberOfAssemblyAssemblyDistrict71General127[Part of New York County 
Vote Results])</f>
        <v>198264</v>
      </c>
      <c r="C29" s="25">
        <f>SUM(MemberOfAssemblyAssemblyDistrict71General127[Total Votes by Party])</f>
        <v>198264</v>
      </c>
      <c r="D29" s="28"/>
    </row>
    <row r="30" spans="1:8" s="27" customFormat="1" ht="14.25" customHeight="1" x14ac:dyDescent="0.2">
      <c r="D30" s="37"/>
    </row>
    <row r="31" spans="1:8" s="27" customFormat="1" ht="14.25" customHeight="1" x14ac:dyDescent="0.2">
      <c r="D31" s="37"/>
    </row>
    <row r="32" spans="1:8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  <row r="44" spans="4:4" s="27" customFormat="1" ht="14.25" customHeight="1" x14ac:dyDescent="0.2">
      <c r="D44" s="37"/>
    </row>
    <row r="45" spans="4:4" s="27" customFormat="1" ht="14.25" customHeight="1" x14ac:dyDescent="0.2">
      <c r="D45" s="37"/>
    </row>
    <row r="46" spans="4:4" s="27" customFormat="1" ht="14.25" customHeight="1" x14ac:dyDescent="0.2">
      <c r="D46" s="37"/>
    </row>
  </sheetData>
  <sortState xmlns:xlrd2="http://schemas.microsoft.com/office/spreadsheetml/2017/richdata2" ref="H7:H29">
    <sortCondition descending="1" ref="H7:H29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25" calculatedColumn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68F0-5E54-4F85-8ED8-F45B81872C80}">
  <sheetPr>
    <pageSetUpPr fitToPage="1"/>
  </sheetPr>
  <dimension ref="A1:E8"/>
  <sheetViews>
    <sheetView workbookViewId="0">
      <selection activeCell="B8" sqref="B8:C8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24.95" customHeight="1" x14ac:dyDescent="0.2">
      <c r="A1" s="17" t="s">
        <v>223</v>
      </c>
    </row>
    <row r="2" spans="1:5" ht="28.5" customHeight="1" x14ac:dyDescent="0.2">
      <c r="A2" s="19" t="s">
        <v>66</v>
      </c>
      <c r="B2" s="20" t="s">
        <v>215</v>
      </c>
      <c r="C2" s="20" t="s">
        <v>216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237</v>
      </c>
      <c r="B3" s="31">
        <v>14464</v>
      </c>
      <c r="C3" s="24">
        <v>15317</v>
      </c>
      <c r="D3" s="25">
        <f>SUM(RepInCongressCongressionalDistrict10General[[#This Row],[Part of Kings County 
Vote Results]:[Part of New York County 
Vote Results]])</f>
        <v>29781</v>
      </c>
      <c r="E3" s="54">
        <f>SUM(RepInCongressCongressionalDistrict10General[[#This Row],[Total Votes by Party]])</f>
        <v>29781</v>
      </c>
    </row>
    <row r="4" spans="1:5" s="27" customFormat="1" ht="14.25" customHeight="1" x14ac:dyDescent="0.2">
      <c r="A4" s="23" t="s">
        <v>238</v>
      </c>
      <c r="B4" s="31">
        <v>38495</v>
      </c>
      <c r="C4" s="24">
        <v>19552</v>
      </c>
      <c r="D4" s="25">
        <f>SUM(RepInCongressCongressionalDistrict10General[[#This Row],[Part of Kings County 
Vote Results]:[Part of New York County 
Vote Results]])</f>
        <v>58047</v>
      </c>
      <c r="E4" s="26">
        <f>SUM(RepInCongressCongressionalDistrict10General[[#This Row],[Total Votes by Party]])</f>
        <v>58047</v>
      </c>
    </row>
    <row r="5" spans="1:5" s="27" customFormat="1" ht="14.25" customHeight="1" x14ac:dyDescent="0.2">
      <c r="A5" s="29" t="s">
        <v>69</v>
      </c>
      <c r="B5" s="31">
        <v>172</v>
      </c>
      <c r="C5" s="24">
        <v>540</v>
      </c>
      <c r="D5" s="25">
        <f>SUM(RepInCongressCongressionalDistrict10General[[#This Row],[Part of Kings County 
Vote Results]:[Part of New York County 
Vote Results]])</f>
        <v>712</v>
      </c>
      <c r="E5" s="28"/>
    </row>
    <row r="6" spans="1:5" s="27" customFormat="1" ht="14.25" customHeight="1" x14ac:dyDescent="0.2">
      <c r="A6" s="29" t="s">
        <v>70</v>
      </c>
      <c r="B6" s="31"/>
      <c r="C6" s="24"/>
      <c r="D6" s="25">
        <f>SUM(RepInCongressCongressionalDistrict10General[[#This Row],[Part of Kings County 
Vote Results]:[Part of New York County 
Vote Results]])</f>
        <v>0</v>
      </c>
      <c r="E6" s="28"/>
    </row>
    <row r="7" spans="1:5" s="27" customFormat="1" ht="14.25" customHeight="1" x14ac:dyDescent="0.2">
      <c r="A7" s="29" t="s">
        <v>71</v>
      </c>
      <c r="B7" s="31">
        <v>108</v>
      </c>
      <c r="C7" s="24">
        <v>57</v>
      </c>
      <c r="D7" s="25">
        <f>SUM(RepInCongressCongressionalDistrict10General[[#This Row],[Part of Kings County 
Vote Results]:[Part of New York County 
Vote Results]])</f>
        <v>165</v>
      </c>
      <c r="E7" s="28"/>
    </row>
    <row r="8" spans="1:5" s="27" customFormat="1" ht="14.25" customHeight="1" x14ac:dyDescent="0.2">
      <c r="A8" s="30" t="s">
        <v>1</v>
      </c>
      <c r="B8" s="24">
        <f>SUM(RepInCongressCongressionalDistrict10General[Part of Kings County 
Vote Results])</f>
        <v>53239</v>
      </c>
      <c r="C8" s="24">
        <f>SUM(RepInCongressCongressionalDistrict10General[Part of New York County 
Vote Results])</f>
        <v>35466</v>
      </c>
      <c r="D8" s="25">
        <f>SUM(RepInCongressCongressionalDistrict10General[Total Votes by Party])</f>
        <v>88705</v>
      </c>
      <c r="E8" s="28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12C7-067F-4944-A1A1-012F64851C01}">
  <sheetPr>
    <pageSetUpPr fitToPage="1"/>
  </sheetPr>
  <dimension ref="A1:G44"/>
  <sheetViews>
    <sheetView workbookViewId="0">
      <selection activeCell="G7" sqref="G7:G27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7" ht="37.5" customHeight="1" x14ac:dyDescent="0.2">
      <c r="A1" s="59" t="s">
        <v>644</v>
      </c>
      <c r="B1" s="59"/>
      <c r="C1" s="59"/>
      <c r="D1" s="59"/>
      <c r="E1" s="59"/>
    </row>
    <row r="2" spans="1:7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7" s="27" customFormat="1" ht="14.25" customHeight="1" x14ac:dyDescent="0.2">
      <c r="A3" s="23" t="s">
        <v>643</v>
      </c>
      <c r="B3" s="24">
        <v>8212</v>
      </c>
      <c r="C3" s="25">
        <f>MemberOfAssemblyAssemblyDistrict72General128[[#This Row],[Part of New York County 
Vote Results]]</f>
        <v>8212</v>
      </c>
      <c r="D3" s="26">
        <f>SUM(MemberOfAssemblyAssemblyDistrict72General128[[#This Row],[Total Votes by Party]])</f>
        <v>8212</v>
      </c>
    </row>
    <row r="4" spans="1:7" s="27" customFormat="1" ht="14.25" customHeight="1" x14ac:dyDescent="0.2">
      <c r="A4" s="23" t="s">
        <v>372</v>
      </c>
      <c r="B4" s="24">
        <v>7143</v>
      </c>
      <c r="C4" s="25">
        <f>MemberOfAssemblyAssemblyDistrict72General128[[#This Row],[Part of New York County 
Vote Results]]</f>
        <v>7143</v>
      </c>
      <c r="D4" s="26">
        <f>SUM(MemberOfAssemblyAssemblyDistrict72General128[[#This Row],[Total Votes by Party]])</f>
        <v>7143</v>
      </c>
    </row>
    <row r="5" spans="1:7" s="27" customFormat="1" ht="14.25" customHeight="1" x14ac:dyDescent="0.2">
      <c r="A5" s="23" t="s">
        <v>642</v>
      </c>
      <c r="B5" s="24">
        <v>4383</v>
      </c>
      <c r="C5" s="25">
        <f>MemberOfAssemblyAssemblyDistrict72General128[[#This Row],[Part of New York County 
Vote Results]]</f>
        <v>4383</v>
      </c>
      <c r="D5" s="26">
        <f>SUM(MemberOfAssemblyAssemblyDistrict72General128[[#This Row],[Total Votes by Party]])</f>
        <v>4383</v>
      </c>
    </row>
    <row r="6" spans="1:7" s="27" customFormat="1" ht="14.25" customHeight="1" x14ac:dyDescent="0.2">
      <c r="A6" s="23" t="s">
        <v>641</v>
      </c>
      <c r="B6" s="24">
        <v>3772</v>
      </c>
      <c r="C6" s="25">
        <f>MemberOfAssemblyAssemblyDistrict72General128[[#This Row],[Part of New York County 
Vote Results]]</f>
        <v>3772</v>
      </c>
      <c r="D6" s="26">
        <f>SUM(MemberOfAssemblyAssemblyDistrict72General128[[#This Row],[Total Votes by Party]])</f>
        <v>3772</v>
      </c>
    </row>
    <row r="7" spans="1:7" s="27" customFormat="1" ht="14.25" customHeight="1" x14ac:dyDescent="0.2">
      <c r="A7" s="23" t="s">
        <v>640</v>
      </c>
      <c r="B7" s="24">
        <v>3721</v>
      </c>
      <c r="C7" s="25">
        <f>MemberOfAssemblyAssemblyDistrict72General128[[#This Row],[Part of New York County 
Vote Results]]</f>
        <v>3721</v>
      </c>
      <c r="D7" s="26">
        <f>SUM(MemberOfAssemblyAssemblyDistrict72General128[[#This Row],[Total Votes by Party]])</f>
        <v>3721</v>
      </c>
      <c r="G7" s="55"/>
    </row>
    <row r="8" spans="1:7" s="27" customFormat="1" ht="14.25" customHeight="1" x14ac:dyDescent="0.2">
      <c r="A8" s="23" t="s">
        <v>639</v>
      </c>
      <c r="B8" s="24">
        <v>3455</v>
      </c>
      <c r="C8" s="25">
        <f>MemberOfAssemblyAssemblyDistrict72General128[[#This Row],[Part of New York County 
Vote Results]]</f>
        <v>3455</v>
      </c>
      <c r="D8" s="26">
        <f>SUM(MemberOfAssemblyAssemblyDistrict72General128[[#This Row],[Total Votes by Party]])</f>
        <v>3455</v>
      </c>
      <c r="G8" s="55"/>
    </row>
    <row r="9" spans="1:7" s="27" customFormat="1" ht="14.25" customHeight="1" x14ac:dyDescent="0.2">
      <c r="A9" s="23" t="s">
        <v>638</v>
      </c>
      <c r="B9" s="24">
        <v>3158</v>
      </c>
      <c r="C9" s="25">
        <f>MemberOfAssemblyAssemblyDistrict72General128[[#This Row],[Part of New York County 
Vote Results]]</f>
        <v>3158</v>
      </c>
      <c r="D9" s="26">
        <f>SUM(MemberOfAssemblyAssemblyDistrict72General128[[#This Row],[Total Votes by Party]])</f>
        <v>3158</v>
      </c>
      <c r="G9" s="55"/>
    </row>
    <row r="10" spans="1:7" s="27" customFormat="1" ht="14.25" customHeight="1" x14ac:dyDescent="0.2">
      <c r="A10" s="23" t="s">
        <v>637</v>
      </c>
      <c r="B10" s="24">
        <v>3368</v>
      </c>
      <c r="C10" s="25">
        <f>MemberOfAssemblyAssemblyDistrict72General128[[#This Row],[Part of New York County 
Vote Results]]</f>
        <v>3368</v>
      </c>
      <c r="D10" s="26">
        <f>SUM(MemberOfAssemblyAssemblyDistrict72General128[[#This Row],[Total Votes by Party]])</f>
        <v>3368</v>
      </c>
      <c r="G10" s="55"/>
    </row>
    <row r="11" spans="1:7" s="27" customFormat="1" ht="14.25" customHeight="1" x14ac:dyDescent="0.2">
      <c r="A11" s="23" t="s">
        <v>636</v>
      </c>
      <c r="B11" s="24">
        <v>1921</v>
      </c>
      <c r="C11" s="25">
        <f>MemberOfAssemblyAssemblyDistrict72General128[[#This Row],[Part of New York County 
Vote Results]]</f>
        <v>1921</v>
      </c>
      <c r="D11" s="54">
        <f>SUM(MemberOfAssemblyAssemblyDistrict72General128[[#This Row],[Total Votes by Party]])</f>
        <v>1921</v>
      </c>
      <c r="G11" s="55"/>
    </row>
    <row r="12" spans="1:7" s="27" customFormat="1" ht="14.25" customHeight="1" x14ac:dyDescent="0.2">
      <c r="A12" s="23" t="s">
        <v>635</v>
      </c>
      <c r="B12" s="24">
        <v>1230</v>
      </c>
      <c r="C12" s="25">
        <f>MemberOfAssemblyAssemblyDistrict72General128[[#This Row],[Part of New York County 
Vote Results]]</f>
        <v>1230</v>
      </c>
      <c r="D12" s="54">
        <f>SUM(MemberOfAssemblyAssemblyDistrict72General128[[#This Row],[Total Votes by Party]])</f>
        <v>1230</v>
      </c>
      <c r="G12" s="55"/>
    </row>
    <row r="13" spans="1:7" s="27" customFormat="1" ht="14.25" customHeight="1" x14ac:dyDescent="0.2">
      <c r="A13" s="23" t="s">
        <v>634</v>
      </c>
      <c r="B13" s="24">
        <v>1037</v>
      </c>
      <c r="C13" s="25">
        <f>MemberOfAssemblyAssemblyDistrict72General128[[#This Row],[Part of New York County 
Vote Results]]</f>
        <v>1037</v>
      </c>
      <c r="D13" s="54">
        <f>SUM(MemberOfAssemblyAssemblyDistrict72General128[[#This Row],[Total Votes by Party]])</f>
        <v>1037</v>
      </c>
      <c r="G13" s="55"/>
    </row>
    <row r="14" spans="1:7" s="27" customFormat="1" ht="14.25" customHeight="1" x14ac:dyDescent="0.2">
      <c r="A14" s="23" t="s">
        <v>371</v>
      </c>
      <c r="B14" s="24">
        <v>2381</v>
      </c>
      <c r="C14" s="25">
        <f>MemberOfAssemblyAssemblyDistrict72General128[[#This Row],[Part of New York County 
Vote Results]]</f>
        <v>2381</v>
      </c>
      <c r="D14" s="54">
        <f>SUM(MemberOfAssemblyAssemblyDistrict72General128[[#This Row],[Total Votes by Party]])</f>
        <v>2381</v>
      </c>
      <c r="G14" s="55"/>
    </row>
    <row r="15" spans="1:7" s="27" customFormat="1" ht="14.25" customHeight="1" x14ac:dyDescent="0.2">
      <c r="A15" s="23" t="s">
        <v>633</v>
      </c>
      <c r="B15" s="24">
        <v>2794</v>
      </c>
      <c r="C15" s="25">
        <f>MemberOfAssemblyAssemblyDistrict72General128[[#This Row],[Part of New York County 
Vote Results]]</f>
        <v>2794</v>
      </c>
      <c r="D15" s="54">
        <f>SUM(MemberOfAssemblyAssemblyDistrict72General128[[#This Row],[Total Votes by Party]])</f>
        <v>2794</v>
      </c>
    </row>
    <row r="16" spans="1:7" s="27" customFormat="1" ht="14.25" customHeight="1" x14ac:dyDescent="0.2">
      <c r="A16" s="23" t="s">
        <v>632</v>
      </c>
      <c r="B16" s="24">
        <v>2414</v>
      </c>
      <c r="C16" s="25">
        <f>MemberOfAssemblyAssemblyDistrict72General128[[#This Row],[Part of New York County 
Vote Results]]</f>
        <v>2414</v>
      </c>
      <c r="D16" s="54">
        <f>SUM(MemberOfAssemblyAssemblyDistrict72General128[[#This Row],[Total Votes by Party]])</f>
        <v>2414</v>
      </c>
    </row>
    <row r="17" spans="1:4" s="27" customFormat="1" ht="14.25" customHeight="1" x14ac:dyDescent="0.2">
      <c r="A17" s="23" t="s">
        <v>631</v>
      </c>
      <c r="B17" s="24">
        <v>2309</v>
      </c>
      <c r="C17" s="25">
        <f>MemberOfAssemblyAssemblyDistrict72General128[[#This Row],[Part of New York County 
Vote Results]]</f>
        <v>2309</v>
      </c>
      <c r="D17" s="54">
        <f>SUM(MemberOfAssemblyAssemblyDistrict72General128[[#This Row],[Total Votes by Party]])</f>
        <v>2309</v>
      </c>
    </row>
    <row r="18" spans="1:4" s="27" customFormat="1" ht="14.25" customHeight="1" x14ac:dyDescent="0.2">
      <c r="A18" s="23" t="s">
        <v>630</v>
      </c>
      <c r="B18" s="24">
        <v>2493</v>
      </c>
      <c r="C18" s="25">
        <f>MemberOfAssemblyAssemblyDistrict72General128[[#This Row],[Part of New York County 
Vote Results]]</f>
        <v>2493</v>
      </c>
      <c r="D18" s="54">
        <f>SUM(MemberOfAssemblyAssemblyDistrict72General128[[#This Row],[Total Votes by Party]])</f>
        <v>2493</v>
      </c>
    </row>
    <row r="19" spans="1:4" s="27" customFormat="1" ht="14.25" customHeight="1" x14ac:dyDescent="0.2">
      <c r="A19" s="23" t="s">
        <v>629</v>
      </c>
      <c r="B19" s="24">
        <v>2392</v>
      </c>
      <c r="C19" s="25">
        <f>MemberOfAssemblyAssemblyDistrict72General128[[#This Row],[Part of New York County 
Vote Results]]</f>
        <v>2392</v>
      </c>
      <c r="D19" s="54">
        <f>SUM(MemberOfAssemblyAssemblyDistrict72General128[[#This Row],[Total Votes by Party]])</f>
        <v>2392</v>
      </c>
    </row>
    <row r="20" spans="1:4" s="27" customFormat="1" ht="14.25" customHeight="1" x14ac:dyDescent="0.2">
      <c r="A20" s="23" t="s">
        <v>628</v>
      </c>
      <c r="B20" s="24">
        <v>2086</v>
      </c>
      <c r="C20" s="25">
        <f>MemberOfAssemblyAssemblyDistrict72General128[[#This Row],[Part of New York County 
Vote Results]]</f>
        <v>2086</v>
      </c>
      <c r="D20" s="54">
        <f>SUM(MemberOfAssemblyAssemblyDistrict72General128[[#This Row],[Total Votes by Party]])</f>
        <v>2086</v>
      </c>
    </row>
    <row r="21" spans="1:4" s="27" customFormat="1" ht="14.25" customHeight="1" x14ac:dyDescent="0.2">
      <c r="A21" s="23" t="s">
        <v>627</v>
      </c>
      <c r="B21" s="24">
        <v>2411</v>
      </c>
      <c r="C21" s="25">
        <f>MemberOfAssemblyAssemblyDistrict72General128[[#This Row],[Part of New York County 
Vote Results]]</f>
        <v>2411</v>
      </c>
      <c r="D21" s="54">
        <f>SUM(MemberOfAssemblyAssemblyDistrict72General128[[#This Row],[Total Votes by Party]])</f>
        <v>2411</v>
      </c>
    </row>
    <row r="22" spans="1:4" s="27" customFormat="1" ht="14.25" customHeight="1" x14ac:dyDescent="0.2">
      <c r="A22" s="23" t="s">
        <v>625</v>
      </c>
      <c r="B22" s="24">
        <v>1917</v>
      </c>
      <c r="C22" s="25">
        <f>MemberOfAssemblyAssemblyDistrict72General128[[#This Row],[Part of New York County 
Vote Results]]</f>
        <v>1917</v>
      </c>
      <c r="D22" s="54">
        <f>SUM(MemberOfAssemblyAssemblyDistrict72General128[[#This Row],[Total Votes by Party]])</f>
        <v>1917</v>
      </c>
    </row>
    <row r="23" spans="1:4" s="27" customFormat="1" ht="14.25" customHeight="1" x14ac:dyDescent="0.2">
      <c r="A23" s="29" t="s">
        <v>69</v>
      </c>
      <c r="B23" s="24">
        <v>46027</v>
      </c>
      <c r="C23" s="25">
        <f>MemberOfAssemblyAssemblyDistrict72General128[[#This Row],[Part of New York County 
Vote Results]]</f>
        <v>46027</v>
      </c>
      <c r="D23" s="28"/>
    </row>
    <row r="24" spans="1:4" s="27" customFormat="1" ht="14.25" customHeight="1" x14ac:dyDescent="0.2">
      <c r="A24" s="29" t="s">
        <v>70</v>
      </c>
      <c r="B24" s="24"/>
      <c r="C24" s="25">
        <f>MemberOfAssemblyAssemblyDistrict72General128[[#This Row],[Part of New York County 
Vote Results]]</f>
        <v>0</v>
      </c>
      <c r="D24" s="28"/>
    </row>
    <row r="25" spans="1:4" s="27" customFormat="1" ht="14.25" customHeight="1" x14ac:dyDescent="0.2">
      <c r="A25" s="29" t="s">
        <v>71</v>
      </c>
      <c r="B25" s="24">
        <v>256</v>
      </c>
      <c r="C25" s="25">
        <f>MemberOfAssemblyAssemblyDistrict72General128[[#This Row],[Part of New York County 
Vote Results]]</f>
        <v>256</v>
      </c>
      <c r="D25" s="28"/>
    </row>
    <row r="26" spans="1:4" s="27" customFormat="1" ht="14.25" customHeight="1" x14ac:dyDescent="0.2">
      <c r="A26" s="30" t="s">
        <v>1</v>
      </c>
      <c r="B26" s="24">
        <f>SUM(MemberOfAssemblyAssemblyDistrict72General128[Part of New York County 
Vote Results])</f>
        <v>108880</v>
      </c>
      <c r="C26" s="25">
        <f>SUM(MemberOfAssemblyAssemblyDistrict72General128[Total Votes by Party])</f>
        <v>108880</v>
      </c>
      <c r="D26" s="28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  <row r="44" spans="4:4" s="27" customFormat="1" ht="14.25" customHeight="1" x14ac:dyDescent="0.2">
      <c r="D44" s="37"/>
    </row>
  </sheetData>
  <sortState xmlns:xlrd2="http://schemas.microsoft.com/office/spreadsheetml/2017/richdata2" ref="G7:G26">
    <sortCondition descending="1" ref="G7:G26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4667-1E06-4667-8BDB-D2ECA4C9CBF6}">
  <sheetPr>
    <pageSetUpPr fitToPage="1"/>
  </sheetPr>
  <dimension ref="A1:H40"/>
  <sheetViews>
    <sheetView workbookViewId="0">
      <selection activeCell="H5" sqref="H5:H20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6.75" customHeight="1" x14ac:dyDescent="0.2">
      <c r="A1" s="59" t="s">
        <v>742</v>
      </c>
      <c r="B1" s="59"/>
      <c r="C1" s="59"/>
      <c r="D1" s="59"/>
      <c r="E1" s="59"/>
      <c r="F1" s="59"/>
    </row>
    <row r="2" spans="1:8" ht="28.5" customHeight="1" x14ac:dyDescent="0.2">
      <c r="A2" s="19" t="s">
        <v>66</v>
      </c>
      <c r="B2" s="20" t="s">
        <v>216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741</v>
      </c>
      <c r="B3" s="24">
        <v>3277</v>
      </c>
      <c r="C3" s="25">
        <f>MemberOfAssemblyAssemblyDistrict72General129[[#This Row],[Part of New York County 
Vote Results]]</f>
        <v>3277</v>
      </c>
      <c r="D3" s="26">
        <f>SUM(MemberOfAssemblyAssemblyDistrict72General129[[#This Row],[Total Votes by Party]])</f>
        <v>3277</v>
      </c>
    </row>
    <row r="4" spans="1:8" s="27" customFormat="1" ht="14.25" customHeight="1" x14ac:dyDescent="0.2">
      <c r="A4" s="23" t="s">
        <v>740</v>
      </c>
      <c r="B4" s="24">
        <v>3506</v>
      </c>
      <c r="C4" s="25">
        <f>MemberOfAssemblyAssemblyDistrict72General129[[#This Row],[Part of New York County 
Vote Results]]</f>
        <v>3506</v>
      </c>
      <c r="D4" s="26">
        <f>SUM(MemberOfAssemblyAssemblyDistrict72General129[[#This Row],[Total Votes by Party]])</f>
        <v>3506</v>
      </c>
    </row>
    <row r="5" spans="1:8" s="27" customFormat="1" ht="14.25" customHeight="1" x14ac:dyDescent="0.2">
      <c r="A5" s="23" t="s">
        <v>739</v>
      </c>
      <c r="B5" s="24">
        <v>3499</v>
      </c>
      <c r="C5" s="25">
        <f>MemberOfAssemblyAssemblyDistrict72General129[[#This Row],[Part of New York County 
Vote Results]]</f>
        <v>3499</v>
      </c>
      <c r="D5" s="26">
        <f>SUM(MemberOfAssemblyAssemblyDistrict72General129[[#This Row],[Total Votes by Party]])</f>
        <v>3499</v>
      </c>
      <c r="H5" s="55"/>
    </row>
    <row r="6" spans="1:8" s="27" customFormat="1" ht="14.25" customHeight="1" x14ac:dyDescent="0.2">
      <c r="A6" s="23" t="s">
        <v>738</v>
      </c>
      <c r="B6" s="24">
        <v>3505</v>
      </c>
      <c r="C6" s="25">
        <f>MemberOfAssemblyAssemblyDistrict72General129[[#This Row],[Part of New York County 
Vote Results]]</f>
        <v>3505</v>
      </c>
      <c r="D6" s="26">
        <f>SUM(MemberOfAssemblyAssemblyDistrict72General129[[#This Row],[Total Votes by Party]])</f>
        <v>3505</v>
      </c>
      <c r="H6" s="55"/>
    </row>
    <row r="7" spans="1:8" s="27" customFormat="1" ht="14.25" customHeight="1" x14ac:dyDescent="0.2">
      <c r="A7" s="23" t="s">
        <v>737</v>
      </c>
      <c r="B7" s="24">
        <v>2937</v>
      </c>
      <c r="C7" s="25">
        <f>MemberOfAssemblyAssemblyDistrict72General129[[#This Row],[Part of New York County 
Vote Results]]</f>
        <v>2937</v>
      </c>
      <c r="D7" s="54">
        <f>SUM(MemberOfAssemblyAssemblyDistrict72General129[[#This Row],[Total Votes by Party]])</f>
        <v>2937</v>
      </c>
      <c r="H7" s="55"/>
    </row>
    <row r="8" spans="1:8" s="27" customFormat="1" ht="14.25" customHeight="1" x14ac:dyDescent="0.2">
      <c r="A8" s="23" t="s">
        <v>736</v>
      </c>
      <c r="B8" s="24">
        <v>3284</v>
      </c>
      <c r="C8" s="25">
        <f>MemberOfAssemblyAssemblyDistrict72General129[[#This Row],[Part of New York County 
Vote Results]]</f>
        <v>3284</v>
      </c>
      <c r="D8" s="26">
        <f>SUM(MemberOfAssemblyAssemblyDistrict72General129[[#This Row],[Total Votes by Party]])</f>
        <v>3284</v>
      </c>
      <c r="H8" s="55"/>
    </row>
    <row r="9" spans="1:8" s="27" customFormat="1" ht="14.25" customHeight="1" x14ac:dyDescent="0.2">
      <c r="A9" s="23" t="s">
        <v>735</v>
      </c>
      <c r="B9" s="24">
        <v>3334</v>
      </c>
      <c r="C9" s="25">
        <f>MemberOfAssemblyAssemblyDistrict72General129[[#This Row],[Part of New York County 
Vote Results]]</f>
        <v>3334</v>
      </c>
      <c r="D9" s="26">
        <f>SUM(MemberOfAssemblyAssemblyDistrict72General129[[#This Row],[Total Votes by Party]])</f>
        <v>3334</v>
      </c>
      <c r="H9" s="55"/>
    </row>
    <row r="10" spans="1:8" s="27" customFormat="1" ht="14.25" customHeight="1" x14ac:dyDescent="0.2">
      <c r="A10" s="23" t="s">
        <v>734</v>
      </c>
      <c r="B10" s="24">
        <v>3645</v>
      </c>
      <c r="C10" s="25">
        <f>MemberOfAssemblyAssemblyDistrict72General129[[#This Row],[Part of New York County 
Vote Results]]</f>
        <v>3645</v>
      </c>
      <c r="D10" s="26">
        <f>SUM(MemberOfAssemblyAssemblyDistrict72General129[[#This Row],[Total Votes by Party]])</f>
        <v>3645</v>
      </c>
      <c r="H10" s="55"/>
    </row>
    <row r="11" spans="1:8" s="27" customFormat="1" ht="14.25" customHeight="1" x14ac:dyDescent="0.2">
      <c r="A11" s="23" t="s">
        <v>733</v>
      </c>
      <c r="B11" s="24">
        <v>3698</v>
      </c>
      <c r="C11" s="25">
        <f>MemberOfAssemblyAssemblyDistrict72General129[[#This Row],[Part of New York County 
Vote Results]]</f>
        <v>3698</v>
      </c>
      <c r="D11" s="26">
        <f>SUM(MemberOfAssemblyAssemblyDistrict72General129[[#This Row],[Total Votes by Party]])</f>
        <v>3698</v>
      </c>
      <c r="H11" s="55"/>
    </row>
    <row r="12" spans="1:8" s="27" customFormat="1" ht="14.25" customHeight="1" x14ac:dyDescent="0.2">
      <c r="A12" s="23" t="s">
        <v>732</v>
      </c>
      <c r="B12" s="24">
        <v>2899</v>
      </c>
      <c r="C12" s="25">
        <f>MemberOfAssemblyAssemblyDistrict72General129[[#This Row],[Part of New York County 
Vote Results]]</f>
        <v>2899</v>
      </c>
      <c r="D12" s="54">
        <f>SUM(MemberOfAssemblyAssemblyDistrict72General129[[#This Row],[Total Votes by Party]])</f>
        <v>2899</v>
      </c>
      <c r="H12" s="55"/>
    </row>
    <row r="13" spans="1:8" s="27" customFormat="1" ht="14.25" customHeight="1" x14ac:dyDescent="0.2">
      <c r="A13" s="23" t="s">
        <v>731</v>
      </c>
      <c r="B13" s="24">
        <v>2743</v>
      </c>
      <c r="C13" s="25">
        <f>MemberOfAssemblyAssemblyDistrict72General129[[#This Row],[Part of New York County 
Vote Results]]</f>
        <v>2743</v>
      </c>
      <c r="D13" s="54">
        <f>SUM(MemberOfAssemblyAssemblyDistrict72General129[[#This Row],[Total Votes by Party]])</f>
        <v>2743</v>
      </c>
    </row>
    <row r="14" spans="1:8" s="27" customFormat="1" ht="14.25" customHeight="1" x14ac:dyDescent="0.2">
      <c r="A14" s="23" t="s">
        <v>730</v>
      </c>
      <c r="B14" s="24">
        <v>2151</v>
      </c>
      <c r="C14" s="25">
        <f>MemberOfAssemblyAssemblyDistrict72General129[[#This Row],[Part of New York County 
Vote Results]]</f>
        <v>2151</v>
      </c>
      <c r="D14" s="54">
        <f>SUM(MemberOfAssemblyAssemblyDistrict72General129[[#This Row],[Total Votes by Party]])</f>
        <v>2151</v>
      </c>
    </row>
    <row r="15" spans="1:8" s="27" customFormat="1" ht="14.25" customHeight="1" x14ac:dyDescent="0.2">
      <c r="A15" s="23" t="s">
        <v>729</v>
      </c>
      <c r="B15" s="24">
        <v>3053</v>
      </c>
      <c r="C15" s="25">
        <f>MemberOfAssemblyAssemblyDistrict72General129[[#This Row],[Part of New York County 
Vote Results]]</f>
        <v>3053</v>
      </c>
      <c r="D15" s="54">
        <f>SUM(MemberOfAssemblyAssemblyDistrict72General129[[#This Row],[Total Votes by Party]])</f>
        <v>3053</v>
      </c>
    </row>
    <row r="16" spans="1:8" s="27" customFormat="1" ht="14.25" customHeight="1" x14ac:dyDescent="0.2">
      <c r="A16" s="23" t="s">
        <v>728</v>
      </c>
      <c r="B16" s="24">
        <v>2136</v>
      </c>
      <c r="C16" s="25">
        <f>MemberOfAssemblyAssemblyDistrict72General129[[#This Row],[Part of New York County 
Vote Results]]</f>
        <v>2136</v>
      </c>
      <c r="D16" s="54">
        <f>SUM(MemberOfAssemblyAssemblyDistrict72General129[[#This Row],[Total Votes by Party]])</f>
        <v>2136</v>
      </c>
    </row>
    <row r="17" spans="1:4" s="27" customFormat="1" ht="14.25" customHeight="1" x14ac:dyDescent="0.2">
      <c r="A17" s="23" t="s">
        <v>727</v>
      </c>
      <c r="B17" s="24">
        <v>2667</v>
      </c>
      <c r="C17" s="25">
        <f>MemberOfAssemblyAssemblyDistrict72General129[[#This Row],[Part of New York County 
Vote Results]]</f>
        <v>2667</v>
      </c>
      <c r="D17" s="54">
        <f>SUM(MemberOfAssemblyAssemblyDistrict72General129[[#This Row],[Total Votes by Party]])</f>
        <v>2667</v>
      </c>
    </row>
    <row r="18" spans="1:4" s="27" customFormat="1" ht="14.25" customHeight="1" x14ac:dyDescent="0.2">
      <c r="A18" s="23" t="s">
        <v>626</v>
      </c>
      <c r="B18" s="24">
        <v>2409</v>
      </c>
      <c r="C18" s="25">
        <f>MemberOfAssemblyAssemblyDistrict72General129[[#This Row],[Part of New York County 
Vote Results]]</f>
        <v>2409</v>
      </c>
      <c r="D18" s="54">
        <f>SUM(MemberOfAssemblyAssemblyDistrict72General129[[#This Row],[Total Votes by Party]])</f>
        <v>2409</v>
      </c>
    </row>
    <row r="19" spans="1:4" s="27" customFormat="1" ht="14.25" customHeight="1" x14ac:dyDescent="0.2">
      <c r="A19" s="29" t="s">
        <v>69</v>
      </c>
      <c r="B19" s="24">
        <v>59961</v>
      </c>
      <c r="C19" s="25">
        <f>MemberOfAssemblyAssemblyDistrict72General129[[#This Row],[Part of New York County 
Vote Results]]</f>
        <v>59961</v>
      </c>
      <c r="D19" s="28"/>
    </row>
    <row r="20" spans="1:4" s="27" customFormat="1" ht="14.25" customHeight="1" x14ac:dyDescent="0.2">
      <c r="A20" s="29" t="s">
        <v>70</v>
      </c>
      <c r="B20" s="24"/>
      <c r="C20" s="25">
        <f>MemberOfAssemblyAssemblyDistrict72General129[[#This Row],[Part of New York County 
Vote Results]]</f>
        <v>0</v>
      </c>
      <c r="D20" s="28"/>
    </row>
    <row r="21" spans="1:4" s="27" customFormat="1" ht="14.25" customHeight="1" x14ac:dyDescent="0.2">
      <c r="A21" s="29" t="s">
        <v>71</v>
      </c>
      <c r="B21" s="24">
        <v>176</v>
      </c>
      <c r="C21" s="25">
        <f>MemberOfAssemblyAssemblyDistrict72General129[[#This Row],[Part of New York County 
Vote Results]]</f>
        <v>176</v>
      </c>
      <c r="D21" s="28"/>
    </row>
    <row r="22" spans="1:4" s="27" customFormat="1" ht="14.25" customHeight="1" x14ac:dyDescent="0.2">
      <c r="A22" s="30" t="s">
        <v>1</v>
      </c>
      <c r="B22" s="24">
        <f>SUM(MemberOfAssemblyAssemblyDistrict72General129[Part of New York County 
Vote Results])</f>
        <v>108880</v>
      </c>
      <c r="C22" s="25">
        <f>SUM(MemberOfAssemblyAssemblyDistrict72General129[Total Votes by Party])</f>
        <v>108880</v>
      </c>
      <c r="D22" s="28"/>
    </row>
    <row r="23" spans="1:4" s="27" customFormat="1" ht="14.25" customHeight="1" x14ac:dyDescent="0.2">
      <c r="D23" s="37"/>
    </row>
    <row r="24" spans="1:4" s="27" customFormat="1" ht="14.25" customHeight="1" x14ac:dyDescent="0.2">
      <c r="D24" s="37"/>
    </row>
    <row r="25" spans="1:4" s="27" customFormat="1" ht="14.25" customHeight="1" x14ac:dyDescent="0.2">
      <c r="D25" s="37"/>
    </row>
    <row r="26" spans="1:4" s="27" customFormat="1" ht="14.25" customHeight="1" x14ac:dyDescent="0.2">
      <c r="D26" s="37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</sheetData>
  <sortState xmlns:xlrd2="http://schemas.microsoft.com/office/spreadsheetml/2017/richdata2" ref="H5:H20">
    <sortCondition descending="1" ref="H5:H20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3A90-AF5C-4D07-A7AE-863667D10BE3}">
  <sheetPr>
    <pageSetUpPr fitToPage="1"/>
  </sheetPr>
  <dimension ref="A1:E29"/>
  <sheetViews>
    <sheetView workbookViewId="0">
      <selection activeCell="J8" sqref="J8:J1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36.75" customHeight="1" x14ac:dyDescent="0.2">
      <c r="A1" s="59" t="s">
        <v>504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5" s="27" customFormat="1" ht="14.25" customHeight="1" x14ac:dyDescent="0.2">
      <c r="A3" s="23" t="s">
        <v>511</v>
      </c>
      <c r="B3" s="31">
        <v>1809</v>
      </c>
      <c r="C3" s="25">
        <f>MemberOfAssemblyAssemblyDistrict54General118[[#This Row],[Part of Kings County 
Vote Results]]</f>
        <v>1809</v>
      </c>
      <c r="D3" s="54">
        <f>MemberOfAssemblyAssemblyDistrict54General118[[#This Row],[Total Votes by Party]]</f>
        <v>1809</v>
      </c>
    </row>
    <row r="4" spans="1:5" s="27" customFormat="1" ht="14.25" customHeight="1" x14ac:dyDescent="0.2">
      <c r="A4" s="23" t="s">
        <v>510</v>
      </c>
      <c r="B4" s="31">
        <v>3485</v>
      </c>
      <c r="C4" s="25">
        <f>MemberOfAssemblyAssemblyDistrict54General118[[#This Row],[Part of Kings County 
Vote Results]]</f>
        <v>3485</v>
      </c>
      <c r="D4" s="26">
        <f>MemberOfAssemblyAssemblyDistrict54General118[[#This Row],[Total Votes by Party]]</f>
        <v>3485</v>
      </c>
    </row>
    <row r="5" spans="1:5" s="27" customFormat="1" ht="14.25" customHeight="1" x14ac:dyDescent="0.2">
      <c r="A5" s="23" t="s">
        <v>509</v>
      </c>
      <c r="B5" s="31">
        <v>3670</v>
      </c>
      <c r="C5" s="25">
        <f>MemberOfAssemblyAssemblyDistrict54General118[[#This Row],[Part of Kings County 
Vote Results]]</f>
        <v>3670</v>
      </c>
      <c r="D5" s="26">
        <f>MemberOfAssemblyAssemblyDistrict54General118[[#This Row],[Total Votes by Party]]</f>
        <v>3670</v>
      </c>
    </row>
    <row r="6" spans="1:5" s="27" customFormat="1" ht="14.25" customHeight="1" x14ac:dyDescent="0.2">
      <c r="A6" s="23" t="s">
        <v>508</v>
      </c>
      <c r="B6" s="31">
        <v>3833</v>
      </c>
      <c r="C6" s="25">
        <f>MemberOfAssemblyAssemblyDistrict54General118[[#This Row],[Part of Kings County 
Vote Results]]</f>
        <v>3833</v>
      </c>
      <c r="D6" s="26">
        <f>MemberOfAssemblyAssemblyDistrict54General118[[#This Row],[Total Votes by Party]]</f>
        <v>3833</v>
      </c>
    </row>
    <row r="7" spans="1:5" s="27" customFormat="1" ht="14.25" customHeight="1" x14ac:dyDescent="0.2">
      <c r="A7" s="23" t="s">
        <v>507</v>
      </c>
      <c r="B7" s="31">
        <v>3361</v>
      </c>
      <c r="C7" s="25">
        <f>MemberOfAssemblyAssemblyDistrict54General118[[#This Row],[Part of Kings County 
Vote Results]]</f>
        <v>3361</v>
      </c>
      <c r="D7" s="26">
        <f>MemberOfAssemblyAssemblyDistrict54General118[[#This Row],[Total Votes by Party]]</f>
        <v>3361</v>
      </c>
    </row>
    <row r="8" spans="1:5" s="27" customFormat="1" ht="14.25" customHeight="1" x14ac:dyDescent="0.2">
      <c r="A8" s="23" t="s">
        <v>506</v>
      </c>
      <c r="B8" s="31">
        <v>3267</v>
      </c>
      <c r="C8" s="25">
        <f>MemberOfAssemblyAssemblyDistrict54General118[[#This Row],[Part of Kings County 
Vote Results]]</f>
        <v>3267</v>
      </c>
      <c r="D8" s="26">
        <f>MemberOfAssemblyAssemblyDistrict54General118[[#This Row],[Total Votes by Party]]</f>
        <v>3267</v>
      </c>
    </row>
    <row r="9" spans="1:5" s="27" customFormat="1" ht="14.25" customHeight="1" x14ac:dyDescent="0.2">
      <c r="A9" s="23" t="s">
        <v>505</v>
      </c>
      <c r="B9" s="31">
        <v>3212</v>
      </c>
      <c r="C9" s="25">
        <f>MemberOfAssemblyAssemblyDistrict54General118[[#This Row],[Part of Kings County 
Vote Results]]</f>
        <v>3212</v>
      </c>
      <c r="D9" s="26">
        <f>MemberOfAssemblyAssemblyDistrict54General118[[#This Row],[Total Votes by Party]]</f>
        <v>3212</v>
      </c>
    </row>
    <row r="10" spans="1:5" s="27" customFormat="1" ht="14.25" customHeight="1" x14ac:dyDescent="0.2">
      <c r="A10" s="29" t="s">
        <v>69</v>
      </c>
      <c r="B10" s="31">
        <v>18924</v>
      </c>
      <c r="C10" s="25">
        <f>MemberOfAssemblyAssemblyDistrict54General118[[#This Row],[Part of Kings County 
Vote Results]]</f>
        <v>18924</v>
      </c>
      <c r="D10" s="28"/>
    </row>
    <row r="11" spans="1:5" s="27" customFormat="1" ht="14.25" customHeight="1" x14ac:dyDescent="0.2">
      <c r="A11" s="29" t="s">
        <v>70</v>
      </c>
      <c r="B11" s="31"/>
      <c r="C11" s="25">
        <f>MemberOfAssemblyAssemblyDistrict54General118[[#This Row],[Part of Kings County 
Vote Results]]</f>
        <v>0</v>
      </c>
      <c r="D11" s="28"/>
    </row>
    <row r="12" spans="1:5" s="27" customFormat="1" ht="14.25" customHeight="1" x14ac:dyDescent="0.2">
      <c r="A12" s="29" t="s">
        <v>71</v>
      </c>
      <c r="B12" s="31">
        <v>229</v>
      </c>
      <c r="C12" s="25">
        <f>MemberOfAssemblyAssemblyDistrict54General118[[#This Row],[Part of Kings County 
Vote Results]]</f>
        <v>229</v>
      </c>
      <c r="D12" s="28"/>
    </row>
    <row r="13" spans="1:5" s="27" customFormat="1" ht="14.25" customHeight="1" x14ac:dyDescent="0.2">
      <c r="A13" s="30" t="s">
        <v>1</v>
      </c>
      <c r="B13" s="24">
        <f>SUM(MemberOfAssemblyAssemblyDistrict54General118[Part of Kings County 
Vote Results])</f>
        <v>41790</v>
      </c>
      <c r="C13" s="25">
        <f>SUM(MemberOfAssemblyAssemblyDistrict54General118[Total Votes by Party])</f>
        <v>41790</v>
      </c>
      <c r="D13" s="28"/>
    </row>
    <row r="14" spans="1:5" s="27" customFormat="1" ht="14.25" customHeight="1" x14ac:dyDescent="0.2">
      <c r="D14" s="37"/>
    </row>
    <row r="15" spans="1:5" s="27" customFormat="1" ht="14.25" customHeight="1" x14ac:dyDescent="0.2">
      <c r="D15" s="37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</sheetData>
  <sortState xmlns:xlrd2="http://schemas.microsoft.com/office/spreadsheetml/2017/richdata2" ref="J8:J14">
    <sortCondition descending="1" ref="J8:J14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7A49-54DA-4163-9338-FFBE36FCF7CA}">
  <sheetPr>
    <pageSetUpPr fitToPage="1"/>
  </sheetPr>
  <dimension ref="A1:I43"/>
  <sheetViews>
    <sheetView zoomScaleNormal="100" workbookViewId="0">
      <selection activeCell="I10" sqref="I9:I29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9" ht="36.75" customHeight="1" x14ac:dyDescent="0.2">
      <c r="A1" s="59" t="s">
        <v>532</v>
      </c>
      <c r="B1" s="59"/>
      <c r="C1" s="59"/>
      <c r="D1" s="59"/>
      <c r="E1" s="59"/>
    </row>
    <row r="2" spans="1:9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9" s="27" customFormat="1" ht="14.25" customHeight="1" x14ac:dyDescent="0.2">
      <c r="A3" s="23" t="s">
        <v>531</v>
      </c>
      <c r="B3" s="31">
        <v>8926</v>
      </c>
      <c r="C3" s="25">
        <f>MemberOfAssemblyAssemblyDistrict57General119[[#This Row],[Part of Kings County 
Vote Results]]</f>
        <v>8926</v>
      </c>
      <c r="D3" s="26">
        <f>SUM(MemberOfAssemblyAssemblyDistrict57General119[[#This Row],[Total Votes by Party]])</f>
        <v>8926</v>
      </c>
    </row>
    <row r="4" spans="1:9" s="27" customFormat="1" ht="14.25" customHeight="1" x14ac:dyDescent="0.2">
      <c r="A4" s="23" t="s">
        <v>530</v>
      </c>
      <c r="B4" s="31">
        <v>9140</v>
      </c>
      <c r="C4" s="25">
        <f>MemberOfAssemblyAssemblyDistrict57General119[[#This Row],[Part of Kings County 
Vote Results]]</f>
        <v>9140</v>
      </c>
      <c r="D4" s="26">
        <f>SUM(MemberOfAssemblyAssemblyDistrict57General119[[#This Row],[Total Votes by Party]])</f>
        <v>9140</v>
      </c>
    </row>
    <row r="5" spans="1:9" s="27" customFormat="1" ht="14.25" customHeight="1" x14ac:dyDescent="0.2">
      <c r="A5" s="23" t="s">
        <v>529</v>
      </c>
      <c r="B5" s="31">
        <v>7159</v>
      </c>
      <c r="C5" s="25">
        <f>MemberOfAssemblyAssemblyDistrict57General119[[#This Row],[Part of Kings County 
Vote Results]]</f>
        <v>7159</v>
      </c>
      <c r="D5" s="26">
        <f>SUM(MemberOfAssemblyAssemblyDistrict57General119[[#This Row],[Total Votes by Party]])</f>
        <v>7159</v>
      </c>
    </row>
    <row r="6" spans="1:9" s="27" customFormat="1" ht="14.25" customHeight="1" x14ac:dyDescent="0.2">
      <c r="A6" s="23" t="s">
        <v>528</v>
      </c>
      <c r="B6" s="31">
        <v>8370</v>
      </c>
      <c r="C6" s="25">
        <f>MemberOfAssemblyAssemblyDistrict57General119[[#This Row],[Part of Kings County 
Vote Results]]</f>
        <v>8370</v>
      </c>
      <c r="D6" s="26">
        <f>SUM(MemberOfAssemblyAssemblyDistrict57General119[[#This Row],[Total Votes by Party]])</f>
        <v>8370</v>
      </c>
    </row>
    <row r="7" spans="1:9" s="27" customFormat="1" ht="14.25" customHeight="1" x14ac:dyDescent="0.2">
      <c r="A7" s="23" t="s">
        <v>527</v>
      </c>
      <c r="B7" s="31">
        <v>6361</v>
      </c>
      <c r="C7" s="25">
        <f>MemberOfAssemblyAssemblyDistrict57General119[[#This Row],[Part of Kings County 
Vote Results]]</f>
        <v>6361</v>
      </c>
      <c r="D7" s="26">
        <f>SUM(MemberOfAssemblyAssemblyDistrict57General119[[#This Row],[Total Votes by Party]])</f>
        <v>6361</v>
      </c>
    </row>
    <row r="8" spans="1:9" s="27" customFormat="1" ht="14.25" customHeight="1" x14ac:dyDescent="0.2">
      <c r="A8" s="23" t="s">
        <v>526</v>
      </c>
      <c r="B8" s="31">
        <v>6819</v>
      </c>
      <c r="C8" s="25">
        <f>MemberOfAssemblyAssemblyDistrict57General119[[#This Row],[Part of Kings County 
Vote Results]]</f>
        <v>6819</v>
      </c>
      <c r="D8" s="26">
        <f>SUM(MemberOfAssemblyAssemblyDistrict57General119[[#This Row],[Total Votes by Party]])</f>
        <v>6819</v>
      </c>
    </row>
    <row r="9" spans="1:9" s="27" customFormat="1" ht="14.25" customHeight="1" x14ac:dyDescent="0.2">
      <c r="A9" s="23" t="s">
        <v>525</v>
      </c>
      <c r="B9" s="31">
        <v>7805</v>
      </c>
      <c r="C9" s="25">
        <f>MemberOfAssemblyAssemblyDistrict57General119[[#This Row],[Part of Kings County 
Vote Results]]</f>
        <v>7805</v>
      </c>
      <c r="D9" s="26">
        <f>SUM(MemberOfAssemblyAssemblyDistrict57General119[[#This Row],[Total Votes by Party]])</f>
        <v>7805</v>
      </c>
      <c r="I9" s="55"/>
    </row>
    <row r="10" spans="1:9" s="27" customFormat="1" ht="14.25" customHeight="1" x14ac:dyDescent="0.2">
      <c r="A10" s="23" t="s">
        <v>524</v>
      </c>
      <c r="B10" s="31">
        <v>10725</v>
      </c>
      <c r="C10" s="25">
        <f>MemberOfAssemblyAssemblyDistrict57General119[[#This Row],[Part of Kings County 
Vote Results]]</f>
        <v>10725</v>
      </c>
      <c r="D10" s="26">
        <f>SUM(MemberOfAssemblyAssemblyDistrict57General119[[#This Row],[Total Votes by Party]])</f>
        <v>10725</v>
      </c>
      <c r="I10" s="55"/>
    </row>
    <row r="11" spans="1:9" s="27" customFormat="1" ht="14.25" customHeight="1" x14ac:dyDescent="0.2">
      <c r="A11" s="23" t="s">
        <v>523</v>
      </c>
      <c r="B11" s="31">
        <v>6298</v>
      </c>
      <c r="C11" s="25">
        <f>MemberOfAssemblyAssemblyDistrict57General119[[#This Row],[Part of Kings County 
Vote Results]]</f>
        <v>6298</v>
      </c>
      <c r="D11" s="26">
        <f>SUM(MemberOfAssemblyAssemblyDistrict57General119[[#This Row],[Total Votes by Party]])</f>
        <v>6298</v>
      </c>
      <c r="I11" s="55"/>
    </row>
    <row r="12" spans="1:9" s="27" customFormat="1" ht="14.25" customHeight="1" x14ac:dyDescent="0.2">
      <c r="A12" s="23" t="s">
        <v>522</v>
      </c>
      <c r="B12" s="31">
        <v>7798</v>
      </c>
      <c r="C12" s="25">
        <f>MemberOfAssemblyAssemblyDistrict57General119[[#This Row],[Part of Kings County 
Vote Results]]</f>
        <v>7798</v>
      </c>
      <c r="D12" s="26">
        <f>SUM(MemberOfAssemblyAssemblyDistrict57General119[[#This Row],[Total Votes by Party]])</f>
        <v>7798</v>
      </c>
      <c r="I12" s="55"/>
    </row>
    <row r="13" spans="1:9" s="27" customFormat="1" ht="14.25" customHeight="1" x14ac:dyDescent="0.2">
      <c r="A13" s="23" t="s">
        <v>521</v>
      </c>
      <c r="B13" s="31">
        <v>8324</v>
      </c>
      <c r="C13" s="25">
        <f>MemberOfAssemblyAssemblyDistrict57General119[[#This Row],[Part of Kings County 
Vote Results]]</f>
        <v>8324</v>
      </c>
      <c r="D13" s="26">
        <f>SUM(MemberOfAssemblyAssemblyDistrict57General119[[#This Row],[Total Votes by Party]])</f>
        <v>8324</v>
      </c>
      <c r="I13" s="55"/>
    </row>
    <row r="14" spans="1:9" s="27" customFormat="1" ht="14.25" customHeight="1" x14ac:dyDescent="0.2">
      <c r="A14" s="23" t="s">
        <v>520</v>
      </c>
      <c r="B14" s="31">
        <v>7618</v>
      </c>
      <c r="C14" s="25">
        <f>MemberOfAssemblyAssemblyDistrict57General119[[#This Row],[Part of Kings County 
Vote Results]]</f>
        <v>7618</v>
      </c>
      <c r="D14" s="26">
        <f>SUM(MemberOfAssemblyAssemblyDistrict57General119[[#This Row],[Total Votes by Party]])</f>
        <v>7618</v>
      </c>
      <c r="I14" s="55"/>
    </row>
    <row r="15" spans="1:9" s="27" customFormat="1" ht="14.25" customHeight="1" x14ac:dyDescent="0.2">
      <c r="A15" s="23" t="s">
        <v>519</v>
      </c>
      <c r="B15" s="31">
        <v>8335</v>
      </c>
      <c r="C15" s="25">
        <f>MemberOfAssemblyAssemblyDistrict57General119[[#This Row],[Part of Kings County 
Vote Results]]</f>
        <v>8335</v>
      </c>
      <c r="D15" s="26">
        <f>SUM(MemberOfAssemblyAssemblyDistrict57General119[[#This Row],[Total Votes by Party]])</f>
        <v>8335</v>
      </c>
      <c r="I15" s="55"/>
    </row>
    <row r="16" spans="1:9" s="27" customFormat="1" ht="14.25" customHeight="1" x14ac:dyDescent="0.2">
      <c r="A16" s="23" t="s">
        <v>518</v>
      </c>
      <c r="B16" s="31">
        <v>2261</v>
      </c>
      <c r="C16" s="25">
        <f>MemberOfAssemblyAssemblyDistrict57General119[[#This Row],[Part of Kings County 
Vote Results]]</f>
        <v>2261</v>
      </c>
      <c r="D16" s="54">
        <f>SUM(MemberOfAssemblyAssemblyDistrict57General119[[#This Row],[Total Votes by Party]])</f>
        <v>2261</v>
      </c>
      <c r="I16" s="55"/>
    </row>
    <row r="17" spans="1:9" s="27" customFormat="1" ht="14.25" customHeight="1" x14ac:dyDescent="0.2">
      <c r="A17" s="23" t="s">
        <v>517</v>
      </c>
      <c r="B17" s="31">
        <v>3335</v>
      </c>
      <c r="C17" s="25">
        <f>MemberOfAssemblyAssemblyDistrict57General119[[#This Row],[Part of Kings County 
Vote Results]]</f>
        <v>3335</v>
      </c>
      <c r="D17" s="54">
        <f>SUM(MemberOfAssemblyAssemblyDistrict57General119[[#This Row],[Total Votes by Party]])</f>
        <v>3335</v>
      </c>
      <c r="I17" s="55"/>
    </row>
    <row r="18" spans="1:9" s="27" customFormat="1" ht="14.25" customHeight="1" x14ac:dyDescent="0.2">
      <c r="A18" s="23" t="s">
        <v>516</v>
      </c>
      <c r="B18" s="31">
        <v>3331</v>
      </c>
      <c r="C18" s="25">
        <f>MemberOfAssemblyAssemblyDistrict57General119[[#This Row],[Part of Kings County 
Vote Results]]</f>
        <v>3331</v>
      </c>
      <c r="D18" s="54">
        <f>SUM(MemberOfAssemblyAssemblyDistrict57General119[[#This Row],[Total Votes by Party]])</f>
        <v>3331</v>
      </c>
      <c r="I18" s="55"/>
    </row>
    <row r="19" spans="1:9" s="27" customFormat="1" ht="14.25" customHeight="1" x14ac:dyDescent="0.2">
      <c r="A19" s="23" t="s">
        <v>515</v>
      </c>
      <c r="B19" s="31">
        <v>2264</v>
      </c>
      <c r="C19" s="25">
        <f>MemberOfAssemblyAssemblyDistrict57General119[[#This Row],[Part of Kings County 
Vote Results]]</f>
        <v>2264</v>
      </c>
      <c r="D19" s="54">
        <f>SUM(MemberOfAssemblyAssemblyDistrict57General119[[#This Row],[Total Votes by Party]])</f>
        <v>2264</v>
      </c>
      <c r="I19" s="55"/>
    </row>
    <row r="20" spans="1:9" s="27" customFormat="1" ht="14.25" customHeight="1" x14ac:dyDescent="0.2">
      <c r="A20" s="23" t="s">
        <v>514</v>
      </c>
      <c r="B20" s="31">
        <v>1880</v>
      </c>
      <c r="C20" s="25">
        <f>MemberOfAssemblyAssemblyDistrict57General119[[#This Row],[Part of Kings County 
Vote Results]]</f>
        <v>1880</v>
      </c>
      <c r="D20" s="54">
        <f>SUM(MemberOfAssemblyAssemblyDistrict57General119[[#This Row],[Total Votes by Party]])</f>
        <v>1880</v>
      </c>
      <c r="I20" s="55"/>
    </row>
    <row r="21" spans="1:9" s="27" customFormat="1" ht="14.25" customHeight="1" x14ac:dyDescent="0.2">
      <c r="A21" s="23" t="s">
        <v>513</v>
      </c>
      <c r="B21" s="31">
        <v>3122</v>
      </c>
      <c r="C21" s="25">
        <f>MemberOfAssemblyAssemblyDistrict57General119[[#This Row],[Part of Kings County 
Vote Results]]</f>
        <v>3122</v>
      </c>
      <c r="D21" s="54">
        <f>SUM(MemberOfAssemblyAssemblyDistrict57General119[[#This Row],[Total Votes by Party]])</f>
        <v>3122</v>
      </c>
      <c r="I21" s="55"/>
    </row>
    <row r="22" spans="1:9" s="27" customFormat="1" ht="14.25" customHeight="1" x14ac:dyDescent="0.2">
      <c r="A22" s="23" t="s">
        <v>512</v>
      </c>
      <c r="B22" s="31">
        <v>3234</v>
      </c>
      <c r="C22" s="25">
        <f>MemberOfAssemblyAssemblyDistrict57General119[[#This Row],[Part of Kings County 
Vote Results]]</f>
        <v>3234</v>
      </c>
      <c r="D22" s="54">
        <f>SUM(MemberOfAssemblyAssemblyDistrict57General119[[#This Row],[Total Votes by Party]])</f>
        <v>3234</v>
      </c>
    </row>
    <row r="23" spans="1:9" s="27" customFormat="1" ht="14.25" customHeight="1" x14ac:dyDescent="0.2">
      <c r="A23" s="29" t="s">
        <v>69</v>
      </c>
      <c r="B23" s="31">
        <v>113445</v>
      </c>
      <c r="C23" s="25">
        <f>MemberOfAssemblyAssemblyDistrict57General119[[#This Row],[Part of Kings County 
Vote Results]]</f>
        <v>113445</v>
      </c>
      <c r="D23" s="28"/>
    </row>
    <row r="24" spans="1:9" s="27" customFormat="1" ht="14.25" customHeight="1" x14ac:dyDescent="0.2">
      <c r="A24" s="29" t="s">
        <v>70</v>
      </c>
      <c r="B24" s="31"/>
      <c r="C24" s="25">
        <f>MemberOfAssemblyAssemblyDistrict57General119[[#This Row],[Part of Kings County 
Vote Results]]</f>
        <v>0</v>
      </c>
      <c r="D24" s="28"/>
    </row>
    <row r="25" spans="1:9" s="27" customFormat="1" ht="14.25" customHeight="1" x14ac:dyDescent="0.2">
      <c r="A25" s="29" t="s">
        <v>71</v>
      </c>
      <c r="B25" s="31">
        <v>544</v>
      </c>
      <c r="C25" s="25">
        <f>MemberOfAssemblyAssemblyDistrict57General119[[#This Row],[Part of Kings County 
Vote Results]]</f>
        <v>544</v>
      </c>
      <c r="D25" s="28"/>
    </row>
    <row r="26" spans="1:9" s="27" customFormat="1" ht="14.25" customHeight="1" x14ac:dyDescent="0.2">
      <c r="A26" s="30" t="s">
        <v>1</v>
      </c>
      <c r="B26" s="24">
        <f>SUM(MemberOfAssemblyAssemblyDistrict57General119[Part of Kings County 
Vote Results])</f>
        <v>237094</v>
      </c>
      <c r="C26" s="25">
        <f>SUM(MemberOfAssemblyAssemblyDistrict57General119[Total Votes by Party])</f>
        <v>237094</v>
      </c>
      <c r="D26" s="28"/>
    </row>
    <row r="27" spans="1:9" s="27" customFormat="1" ht="14.25" customHeight="1" x14ac:dyDescent="0.2">
      <c r="D27" s="37"/>
    </row>
    <row r="28" spans="1:9" s="27" customFormat="1" ht="14.25" customHeight="1" x14ac:dyDescent="0.2">
      <c r="D28" s="37"/>
    </row>
    <row r="29" spans="1:9" s="27" customFormat="1" ht="14.25" customHeight="1" x14ac:dyDescent="0.2">
      <c r="D29" s="37"/>
    </row>
    <row r="30" spans="1:9" s="27" customFormat="1" ht="14.25" customHeight="1" x14ac:dyDescent="0.2">
      <c r="D30" s="37"/>
    </row>
    <row r="31" spans="1:9" s="27" customFormat="1" ht="14.25" customHeight="1" x14ac:dyDescent="0.2">
      <c r="D31" s="37"/>
    </row>
    <row r="32" spans="1:9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</sheetData>
  <sortState xmlns:xlrd2="http://schemas.microsoft.com/office/spreadsheetml/2017/richdata2" ref="I9:I28">
    <sortCondition descending="1" ref="I9:I2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8A2B-79E6-45A7-B2C7-3572B8BB9C8F}">
  <sheetPr>
    <pageSetUpPr fitToPage="1"/>
  </sheetPr>
  <dimension ref="A1:I43"/>
  <sheetViews>
    <sheetView workbookViewId="0">
      <selection activeCell="I3" sqref="I3:I23"/>
    </sheetView>
  </sheetViews>
  <sheetFormatPr defaultRowHeight="12.75" x14ac:dyDescent="0.2"/>
  <cols>
    <col min="1" max="1" width="30.5703125" customWidth="1"/>
    <col min="2" max="3" width="20.5703125" customWidth="1"/>
    <col min="4" max="4" width="20.5703125" style="18" customWidth="1"/>
    <col min="5" max="6" width="23.5703125" customWidth="1"/>
  </cols>
  <sheetData>
    <row r="1" spans="1:9" ht="36.75" customHeight="1" x14ac:dyDescent="0.2">
      <c r="A1" s="59" t="s">
        <v>553</v>
      </c>
      <c r="B1" s="59"/>
      <c r="C1" s="59"/>
      <c r="D1" s="59"/>
      <c r="E1" s="59"/>
    </row>
    <row r="2" spans="1:9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9" s="27" customFormat="1" ht="14.25" customHeight="1" x14ac:dyDescent="0.2">
      <c r="A3" s="23" t="s">
        <v>552</v>
      </c>
      <c r="B3" s="31">
        <v>5134</v>
      </c>
      <c r="C3" s="25">
        <f>MemberOfAssemblyAssemblyDistrict58General121[[#This Row],[Part of Kings County 
Vote Results]]</f>
        <v>5134</v>
      </c>
      <c r="D3" s="26">
        <f>SUM(MemberOfAssemblyAssemblyDistrict58General121[[#This Row],[Total Votes by Party]])</f>
        <v>5134</v>
      </c>
      <c r="I3" s="55"/>
    </row>
    <row r="4" spans="1:9" s="27" customFormat="1" ht="14.25" customHeight="1" x14ac:dyDescent="0.2">
      <c r="A4" s="23" t="s">
        <v>551</v>
      </c>
      <c r="B4" s="31">
        <v>3722</v>
      </c>
      <c r="C4" s="48">
        <f>MemberOfAssemblyAssemblyDistrict58General121[[#This Row],[Part of Kings County 
Vote Results]]</f>
        <v>3722</v>
      </c>
      <c r="D4" s="26">
        <f>SUM(MemberOfAssemblyAssemblyDistrict58General121[[#This Row],[Total Votes by Party]])</f>
        <v>3722</v>
      </c>
      <c r="I4" s="55"/>
    </row>
    <row r="5" spans="1:9" s="27" customFormat="1" ht="14.25" customHeight="1" x14ac:dyDescent="0.2">
      <c r="A5" s="23" t="s">
        <v>550</v>
      </c>
      <c r="B5" s="31">
        <v>2716</v>
      </c>
      <c r="C5" s="48">
        <f>MemberOfAssemblyAssemblyDistrict58General121[[#This Row],[Part of Kings County 
Vote Results]]</f>
        <v>2716</v>
      </c>
      <c r="D5" s="26">
        <f>SUM(MemberOfAssemblyAssemblyDistrict58General121[[#This Row],[Total Votes by Party]])</f>
        <v>2716</v>
      </c>
      <c r="I5" s="55"/>
    </row>
    <row r="6" spans="1:9" s="27" customFormat="1" ht="14.25" customHeight="1" x14ac:dyDescent="0.2">
      <c r="A6" s="23" t="s">
        <v>549</v>
      </c>
      <c r="B6" s="31">
        <v>2961</v>
      </c>
      <c r="C6" s="48">
        <f>MemberOfAssemblyAssemblyDistrict58General121[[#This Row],[Part of Kings County 
Vote Results]]</f>
        <v>2961</v>
      </c>
      <c r="D6" s="26">
        <f>SUM(MemberOfAssemblyAssemblyDistrict58General121[[#This Row],[Total Votes by Party]])</f>
        <v>2961</v>
      </c>
      <c r="I6" s="55"/>
    </row>
    <row r="7" spans="1:9" s="27" customFormat="1" ht="14.25" customHeight="1" x14ac:dyDescent="0.2">
      <c r="A7" s="23" t="s">
        <v>548</v>
      </c>
      <c r="B7" s="31">
        <v>2226</v>
      </c>
      <c r="C7" s="48">
        <f>MemberOfAssemblyAssemblyDistrict58General121[[#This Row],[Part of Kings County 
Vote Results]]</f>
        <v>2226</v>
      </c>
      <c r="D7" s="26">
        <f>SUM(MemberOfAssemblyAssemblyDistrict58General121[[#This Row],[Total Votes by Party]])</f>
        <v>2226</v>
      </c>
      <c r="I7" s="55"/>
    </row>
    <row r="8" spans="1:9" s="27" customFormat="1" ht="14.25" customHeight="1" x14ac:dyDescent="0.2">
      <c r="A8" s="23" t="s">
        <v>547</v>
      </c>
      <c r="B8" s="31">
        <v>2706</v>
      </c>
      <c r="C8" s="48">
        <f>MemberOfAssemblyAssemblyDistrict58General121[[#This Row],[Part of Kings County 
Vote Results]]</f>
        <v>2706</v>
      </c>
      <c r="D8" s="26">
        <f>SUM(MemberOfAssemblyAssemblyDistrict58General121[[#This Row],[Total Votes by Party]])</f>
        <v>2706</v>
      </c>
      <c r="I8" s="55"/>
    </row>
    <row r="9" spans="1:9" s="27" customFormat="1" ht="14.25" customHeight="1" x14ac:dyDescent="0.2">
      <c r="A9" s="23" t="s">
        <v>546</v>
      </c>
      <c r="B9" s="31">
        <v>2518</v>
      </c>
      <c r="C9" s="48">
        <f>MemberOfAssemblyAssemblyDistrict58General121[[#This Row],[Part of Kings County 
Vote Results]]</f>
        <v>2518</v>
      </c>
      <c r="D9" s="26">
        <f>SUM(MemberOfAssemblyAssemblyDistrict58General121[[#This Row],[Total Votes by Party]])</f>
        <v>2518</v>
      </c>
      <c r="I9" s="55"/>
    </row>
    <row r="10" spans="1:9" s="27" customFormat="1" ht="14.25" customHeight="1" x14ac:dyDescent="0.2">
      <c r="A10" s="23" t="s">
        <v>545</v>
      </c>
      <c r="B10" s="31">
        <v>2101</v>
      </c>
      <c r="C10" s="48">
        <f>MemberOfAssemblyAssemblyDistrict58General121[[#This Row],[Part of Kings County 
Vote Results]]</f>
        <v>2101</v>
      </c>
      <c r="D10" s="26">
        <f>SUM(MemberOfAssemblyAssemblyDistrict58General121[[#This Row],[Total Votes by Party]])</f>
        <v>2101</v>
      </c>
      <c r="I10" s="55"/>
    </row>
    <row r="11" spans="1:9" s="27" customFormat="1" ht="14.25" customHeight="1" x14ac:dyDescent="0.2">
      <c r="A11" s="23" t="s">
        <v>544</v>
      </c>
      <c r="B11" s="31">
        <v>1541</v>
      </c>
      <c r="C11" s="48">
        <f>MemberOfAssemblyAssemblyDistrict58General121[[#This Row],[Part of Kings County 
Vote Results]]</f>
        <v>1541</v>
      </c>
      <c r="D11" s="54">
        <f>SUM(MemberOfAssemblyAssemblyDistrict58General121[[#This Row],[Total Votes by Party]])</f>
        <v>1541</v>
      </c>
      <c r="I11" s="55"/>
    </row>
    <row r="12" spans="1:9" s="27" customFormat="1" ht="14.25" customHeight="1" x14ac:dyDescent="0.2">
      <c r="A12" s="23" t="s">
        <v>543</v>
      </c>
      <c r="B12" s="31">
        <v>1592</v>
      </c>
      <c r="C12" s="48">
        <f>MemberOfAssemblyAssemblyDistrict58General121[[#This Row],[Part of Kings County 
Vote Results]]</f>
        <v>1592</v>
      </c>
      <c r="D12" s="54">
        <f>SUM(MemberOfAssemblyAssemblyDistrict58General121[[#This Row],[Total Votes by Party]])</f>
        <v>1592</v>
      </c>
      <c r="I12" s="55"/>
    </row>
    <row r="13" spans="1:9" s="27" customFormat="1" ht="14.25" customHeight="1" x14ac:dyDescent="0.2">
      <c r="A13" s="23" t="s">
        <v>542</v>
      </c>
      <c r="B13" s="31">
        <v>1507</v>
      </c>
      <c r="C13" s="48">
        <f>MemberOfAssemblyAssemblyDistrict58General121[[#This Row],[Part of Kings County 
Vote Results]]</f>
        <v>1507</v>
      </c>
      <c r="D13" s="54">
        <f>SUM(MemberOfAssemblyAssemblyDistrict58General121[[#This Row],[Total Votes by Party]])</f>
        <v>1507</v>
      </c>
    </row>
    <row r="14" spans="1:9" s="27" customFormat="1" ht="14.25" customHeight="1" x14ac:dyDescent="0.2">
      <c r="A14" s="23" t="s">
        <v>541</v>
      </c>
      <c r="B14" s="31">
        <v>1748</v>
      </c>
      <c r="C14" s="48">
        <f>MemberOfAssemblyAssemblyDistrict58General121[[#This Row],[Part of Kings County 
Vote Results]]</f>
        <v>1748</v>
      </c>
      <c r="D14" s="54">
        <f>SUM(MemberOfAssemblyAssemblyDistrict58General121[[#This Row],[Total Votes by Party]])</f>
        <v>1748</v>
      </c>
    </row>
    <row r="15" spans="1:9" s="27" customFormat="1" ht="14.25" customHeight="1" x14ac:dyDescent="0.2">
      <c r="A15" s="23" t="s">
        <v>540</v>
      </c>
      <c r="B15" s="31">
        <v>1001</v>
      </c>
      <c r="C15" s="48">
        <f>MemberOfAssemblyAssemblyDistrict58General121[[#This Row],[Part of Kings County 
Vote Results]]</f>
        <v>1001</v>
      </c>
      <c r="D15" s="54">
        <f>SUM(MemberOfAssemblyAssemblyDistrict58General121[[#This Row],[Total Votes by Party]])</f>
        <v>1001</v>
      </c>
    </row>
    <row r="16" spans="1:9" s="27" customFormat="1" ht="14.25" customHeight="1" x14ac:dyDescent="0.2">
      <c r="A16" s="23" t="s">
        <v>539</v>
      </c>
      <c r="B16" s="31">
        <v>3389</v>
      </c>
      <c r="C16" s="48">
        <f>MemberOfAssemblyAssemblyDistrict58General121[[#This Row],[Part of Kings County 
Vote Results]]</f>
        <v>3389</v>
      </c>
      <c r="D16" s="26">
        <f>SUM(MemberOfAssemblyAssemblyDistrict58General121[[#This Row],[Total Votes by Party]])</f>
        <v>3389</v>
      </c>
    </row>
    <row r="17" spans="1:4" s="27" customFormat="1" ht="14.25" customHeight="1" x14ac:dyDescent="0.2">
      <c r="A17" s="23" t="s">
        <v>538</v>
      </c>
      <c r="B17" s="31">
        <v>2779</v>
      </c>
      <c r="C17" s="48">
        <f>MemberOfAssemblyAssemblyDistrict58General121[[#This Row],[Part of Kings County 
Vote Results]]</f>
        <v>2779</v>
      </c>
      <c r="D17" s="26">
        <f>SUM(MemberOfAssemblyAssemblyDistrict58General121[[#This Row],[Total Votes by Party]])</f>
        <v>2779</v>
      </c>
    </row>
    <row r="18" spans="1:4" s="27" customFormat="1" ht="14.25" customHeight="1" x14ac:dyDescent="0.2">
      <c r="A18" s="23" t="s">
        <v>537</v>
      </c>
      <c r="B18" s="31">
        <v>1501</v>
      </c>
      <c r="C18" s="48">
        <f>MemberOfAssemblyAssemblyDistrict58General121[[#This Row],[Part of Kings County 
Vote Results]]</f>
        <v>1501</v>
      </c>
      <c r="D18" s="54">
        <f>SUM(MemberOfAssemblyAssemblyDistrict58General121[[#This Row],[Total Votes by Party]])</f>
        <v>1501</v>
      </c>
    </row>
    <row r="19" spans="1:4" s="27" customFormat="1" ht="14.25" customHeight="1" x14ac:dyDescent="0.2">
      <c r="A19" s="23" t="s">
        <v>536</v>
      </c>
      <c r="B19" s="31">
        <v>2052</v>
      </c>
      <c r="C19" s="48">
        <f>MemberOfAssemblyAssemblyDistrict58General121[[#This Row],[Part of Kings County 
Vote Results]]</f>
        <v>2052</v>
      </c>
      <c r="D19" s="54">
        <f>SUM(MemberOfAssemblyAssemblyDistrict58General121[[#This Row],[Total Votes by Party]])</f>
        <v>2052</v>
      </c>
    </row>
    <row r="20" spans="1:4" s="27" customFormat="1" ht="14.25" customHeight="1" x14ac:dyDescent="0.2">
      <c r="A20" s="23" t="s">
        <v>535</v>
      </c>
      <c r="B20" s="31">
        <v>2025</v>
      </c>
      <c r="C20" s="48">
        <f>MemberOfAssemblyAssemblyDistrict58General121[[#This Row],[Part of Kings County 
Vote Results]]</f>
        <v>2025</v>
      </c>
      <c r="D20" s="54">
        <f>SUM(MemberOfAssemblyAssemblyDistrict58General121[[#This Row],[Total Votes by Party]])</f>
        <v>2025</v>
      </c>
    </row>
    <row r="21" spans="1:4" s="27" customFormat="1" ht="14.25" customHeight="1" x14ac:dyDescent="0.2">
      <c r="A21" s="23" t="s">
        <v>534</v>
      </c>
      <c r="B21" s="31">
        <v>1836</v>
      </c>
      <c r="C21" s="48">
        <f>MemberOfAssemblyAssemblyDistrict58General121[[#This Row],[Part of Kings County 
Vote Results]]</f>
        <v>1836</v>
      </c>
      <c r="D21" s="54">
        <f>SUM(MemberOfAssemblyAssemblyDistrict58General121[[#This Row],[Total Votes by Party]])</f>
        <v>1836</v>
      </c>
    </row>
    <row r="22" spans="1:4" s="27" customFormat="1" ht="14.25" customHeight="1" x14ac:dyDescent="0.2">
      <c r="A22" s="23" t="s">
        <v>533</v>
      </c>
      <c r="B22" s="31">
        <v>1921</v>
      </c>
      <c r="C22" s="48">
        <f>MemberOfAssemblyAssemblyDistrict58General121[[#This Row],[Part of Kings County 
Vote Results]]</f>
        <v>1921</v>
      </c>
      <c r="D22" s="54">
        <f>SUM(MemberOfAssemblyAssemblyDistrict58General121[[#This Row],[Total Votes by Party]])</f>
        <v>1921</v>
      </c>
    </row>
    <row r="23" spans="1:4" s="27" customFormat="1" ht="14.25" customHeight="1" x14ac:dyDescent="0.2">
      <c r="A23" s="29" t="s">
        <v>69</v>
      </c>
      <c r="B23" s="31">
        <v>20659</v>
      </c>
      <c r="C23" s="25">
        <f>MemberOfAssemblyAssemblyDistrict58General121[[#This Row],[Part of Kings County 
Vote Results]]</f>
        <v>20659</v>
      </c>
      <c r="D23" s="28"/>
    </row>
    <row r="24" spans="1:4" s="27" customFormat="1" ht="14.25" customHeight="1" x14ac:dyDescent="0.2">
      <c r="A24" s="29" t="s">
        <v>70</v>
      </c>
      <c r="B24" s="31"/>
      <c r="C24" s="25">
        <f>MemberOfAssemblyAssemblyDistrict58General121[[#This Row],[Part of Kings County 
Vote Results]]</f>
        <v>0</v>
      </c>
      <c r="D24" s="28"/>
    </row>
    <row r="25" spans="1:4" s="27" customFormat="1" ht="14.25" customHeight="1" x14ac:dyDescent="0.2">
      <c r="A25" s="29" t="s">
        <v>71</v>
      </c>
      <c r="B25" s="31">
        <v>125</v>
      </c>
      <c r="C25" s="25">
        <f>MemberOfAssemblyAssemblyDistrict58General121[[#This Row],[Part of Kings County 
Vote Results]]</f>
        <v>125</v>
      </c>
      <c r="D25" s="28"/>
    </row>
    <row r="26" spans="1:4" s="27" customFormat="1" ht="14.25" customHeight="1" x14ac:dyDescent="0.2">
      <c r="A26" s="30" t="s">
        <v>1</v>
      </c>
      <c r="B26" s="24">
        <f>SUM(MemberOfAssemblyAssemblyDistrict58General121[Part of Kings County 
Vote Results])</f>
        <v>67760</v>
      </c>
      <c r="C26" s="25">
        <f>SUM(MemberOfAssemblyAssemblyDistrict58General121[Total Votes by Party])</f>
        <v>67760</v>
      </c>
      <c r="D26" s="28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</sheetData>
  <sortState xmlns:xlrd2="http://schemas.microsoft.com/office/spreadsheetml/2017/richdata2" ref="I3:I22">
    <sortCondition descending="1" ref="I3:I22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22" calculatedColumn="1"/>
  </ignoredErrors>
  <tableParts count="1">
    <tablePart r:id="rId2"/>
  </tablePart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E0B8-2DA5-4BB4-BC0A-28980422EB85}">
  <sheetPr>
    <pageSetUpPr fitToPage="1"/>
  </sheetPr>
  <dimension ref="A1:H43"/>
  <sheetViews>
    <sheetView zoomScaleNormal="100" workbookViewId="0">
      <selection activeCell="H6" sqref="H6:H25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8" ht="36.75" customHeight="1" x14ac:dyDescent="0.2">
      <c r="A1" s="59" t="s">
        <v>682</v>
      </c>
      <c r="B1" s="59"/>
      <c r="C1" s="59"/>
      <c r="D1" s="59"/>
      <c r="E1" s="59"/>
      <c r="F1" s="59"/>
    </row>
    <row r="2" spans="1:8" ht="28.5" customHeight="1" x14ac:dyDescent="0.2">
      <c r="A2" s="19" t="s">
        <v>66</v>
      </c>
      <c r="B2" s="20" t="s">
        <v>215</v>
      </c>
      <c r="C2" s="21" t="s">
        <v>63</v>
      </c>
      <c r="D2" s="22" t="s">
        <v>64</v>
      </c>
    </row>
    <row r="3" spans="1:8" s="27" customFormat="1" ht="14.25" customHeight="1" x14ac:dyDescent="0.2">
      <c r="A3" s="23" t="s">
        <v>681</v>
      </c>
      <c r="B3" s="31">
        <v>2483</v>
      </c>
      <c r="C3" s="25">
        <f>MemberOfAssemblyAssemblyDistrict58General120[[#This Row],[Part of Kings County 
Vote Results]]</f>
        <v>2483</v>
      </c>
      <c r="D3" s="26">
        <f>SUM(MemberOfAssemblyAssemblyDistrict58General120[[#This Row],[Total Votes by Party]])</f>
        <v>2483</v>
      </c>
    </row>
    <row r="4" spans="1:8" s="27" customFormat="1" ht="14.25" customHeight="1" x14ac:dyDescent="0.2">
      <c r="A4" s="23" t="s">
        <v>680</v>
      </c>
      <c r="B4" s="31">
        <v>2290</v>
      </c>
      <c r="C4" s="48">
        <f>MemberOfAssemblyAssemblyDistrict58General120[[#This Row],[Part of Kings County 
Vote Results]]</f>
        <v>2290</v>
      </c>
      <c r="D4" s="26">
        <f>SUM(MemberOfAssemblyAssemblyDistrict58General120[[#This Row],[Total Votes by Party]])</f>
        <v>2290</v>
      </c>
    </row>
    <row r="5" spans="1:8" s="27" customFormat="1" ht="14.25" customHeight="1" x14ac:dyDescent="0.2">
      <c r="A5" s="23" t="s">
        <v>679</v>
      </c>
      <c r="B5" s="31">
        <v>2543</v>
      </c>
      <c r="C5" s="48">
        <f>MemberOfAssemblyAssemblyDistrict58General120[[#This Row],[Part of Kings County 
Vote Results]]</f>
        <v>2543</v>
      </c>
      <c r="D5" s="26">
        <f>SUM(MemberOfAssemblyAssemblyDistrict58General120[[#This Row],[Total Votes by Party]])</f>
        <v>2543</v>
      </c>
    </row>
    <row r="6" spans="1:8" s="27" customFormat="1" ht="14.25" customHeight="1" x14ac:dyDescent="0.2">
      <c r="A6" s="23" t="s">
        <v>678</v>
      </c>
      <c r="B6" s="31">
        <v>1396</v>
      </c>
      <c r="C6" s="48">
        <f>MemberOfAssemblyAssemblyDistrict58General120[[#This Row],[Part of Kings County 
Vote Results]]</f>
        <v>1396</v>
      </c>
      <c r="D6" s="54">
        <f>SUM(MemberOfAssemblyAssemblyDistrict58General120[[#This Row],[Total Votes by Party]])</f>
        <v>1396</v>
      </c>
      <c r="H6" s="55"/>
    </row>
    <row r="7" spans="1:8" s="27" customFormat="1" ht="14.25" customHeight="1" x14ac:dyDescent="0.2">
      <c r="A7" s="23" t="s">
        <v>677</v>
      </c>
      <c r="B7" s="31">
        <v>1613</v>
      </c>
      <c r="C7" s="48">
        <f>MemberOfAssemblyAssemblyDistrict58General120[[#This Row],[Part of Kings County 
Vote Results]]</f>
        <v>1613</v>
      </c>
      <c r="D7" s="54">
        <f>SUM(MemberOfAssemblyAssemblyDistrict58General120[[#This Row],[Total Votes by Party]])</f>
        <v>1613</v>
      </c>
      <c r="H7" s="55"/>
    </row>
    <row r="8" spans="1:8" s="27" customFormat="1" ht="14.25" customHeight="1" x14ac:dyDescent="0.2">
      <c r="A8" s="23" t="s">
        <v>676</v>
      </c>
      <c r="B8" s="31">
        <v>2757</v>
      </c>
      <c r="C8" s="48">
        <f>MemberOfAssemblyAssemblyDistrict58General120[[#This Row],[Part of Kings County 
Vote Results]]</f>
        <v>2757</v>
      </c>
      <c r="D8" s="26">
        <f>SUM(MemberOfAssemblyAssemblyDistrict58General120[[#This Row],[Total Votes by Party]])</f>
        <v>2757</v>
      </c>
      <c r="H8" s="55"/>
    </row>
    <row r="9" spans="1:8" s="27" customFormat="1" ht="14.25" customHeight="1" x14ac:dyDescent="0.2">
      <c r="A9" s="23" t="s">
        <v>675</v>
      </c>
      <c r="B9" s="31">
        <v>2678</v>
      </c>
      <c r="C9" s="48">
        <f>MemberOfAssemblyAssemblyDistrict58General120[[#This Row],[Part of Kings County 
Vote Results]]</f>
        <v>2678</v>
      </c>
      <c r="D9" s="26">
        <f>SUM(MemberOfAssemblyAssemblyDistrict58General120[[#This Row],[Total Votes by Party]])</f>
        <v>2678</v>
      </c>
      <c r="H9" s="55"/>
    </row>
    <row r="10" spans="1:8" s="27" customFormat="1" ht="14.25" customHeight="1" x14ac:dyDescent="0.2">
      <c r="A10" s="23" t="s">
        <v>674</v>
      </c>
      <c r="B10" s="31">
        <v>1604</v>
      </c>
      <c r="C10" s="48">
        <f>MemberOfAssemblyAssemblyDistrict58General120[[#This Row],[Part of Kings County 
Vote Results]]</f>
        <v>1604</v>
      </c>
      <c r="D10" s="54">
        <f>SUM(MemberOfAssemblyAssemblyDistrict58General120[[#This Row],[Total Votes by Party]])</f>
        <v>1604</v>
      </c>
      <c r="H10" s="55"/>
    </row>
    <row r="11" spans="1:8" s="27" customFormat="1" ht="14.25" customHeight="1" x14ac:dyDescent="0.2">
      <c r="A11" s="23" t="s">
        <v>673</v>
      </c>
      <c r="B11" s="31">
        <v>1763</v>
      </c>
      <c r="C11" s="48">
        <f>MemberOfAssemblyAssemblyDistrict58General120[[#This Row],[Part of Kings County 
Vote Results]]</f>
        <v>1763</v>
      </c>
      <c r="D11" s="26">
        <f>SUM(MemberOfAssemblyAssemblyDistrict58General120[[#This Row],[Total Votes by Party]])</f>
        <v>1763</v>
      </c>
      <c r="H11" s="55"/>
    </row>
    <row r="12" spans="1:8" s="27" customFormat="1" ht="14.25" customHeight="1" x14ac:dyDescent="0.2">
      <c r="A12" s="23" t="s">
        <v>672</v>
      </c>
      <c r="B12" s="31">
        <v>1999</v>
      </c>
      <c r="C12" s="48">
        <f>MemberOfAssemblyAssemblyDistrict58General120[[#This Row],[Part of Kings County 
Vote Results]]</f>
        <v>1999</v>
      </c>
      <c r="D12" s="26">
        <f>SUM(MemberOfAssemblyAssemblyDistrict58General120[[#This Row],[Total Votes by Party]])</f>
        <v>1999</v>
      </c>
      <c r="H12" s="55"/>
    </row>
    <row r="13" spans="1:8" s="27" customFormat="1" ht="14.25" customHeight="1" x14ac:dyDescent="0.2">
      <c r="A13" s="23" t="s">
        <v>671</v>
      </c>
      <c r="B13" s="31">
        <v>2139</v>
      </c>
      <c r="C13" s="48">
        <f>MemberOfAssemblyAssemblyDistrict58General120[[#This Row],[Part of Kings County 
Vote Results]]</f>
        <v>2139</v>
      </c>
      <c r="D13" s="26">
        <f>SUM(MemberOfAssemblyAssemblyDistrict58General120[[#This Row],[Total Votes by Party]])</f>
        <v>2139</v>
      </c>
      <c r="H13" s="55"/>
    </row>
    <row r="14" spans="1:8" s="27" customFormat="1" ht="14.25" customHeight="1" x14ac:dyDescent="0.2">
      <c r="A14" s="23" t="s">
        <v>670</v>
      </c>
      <c r="B14" s="31">
        <v>1733</v>
      </c>
      <c r="C14" s="48">
        <f>MemberOfAssemblyAssemblyDistrict58General120[[#This Row],[Part of Kings County 
Vote Results]]</f>
        <v>1733</v>
      </c>
      <c r="D14" s="54">
        <f>SUM(MemberOfAssemblyAssemblyDistrict58General120[[#This Row],[Total Votes by Party]])</f>
        <v>1733</v>
      </c>
      <c r="H14" s="55"/>
    </row>
    <row r="15" spans="1:8" s="27" customFormat="1" ht="14.25" customHeight="1" x14ac:dyDescent="0.2">
      <c r="A15" s="23" t="s">
        <v>669</v>
      </c>
      <c r="B15" s="31">
        <v>1522</v>
      </c>
      <c r="C15" s="48">
        <f>MemberOfAssemblyAssemblyDistrict58General120[[#This Row],[Part of Kings County 
Vote Results]]</f>
        <v>1522</v>
      </c>
      <c r="D15" s="54">
        <f>SUM(MemberOfAssemblyAssemblyDistrict58General120[[#This Row],[Total Votes by Party]])</f>
        <v>1522</v>
      </c>
      <c r="H15" s="55"/>
    </row>
    <row r="16" spans="1:8" s="27" customFormat="1" ht="14.25" customHeight="1" x14ac:dyDescent="0.2">
      <c r="A16" s="23" t="s">
        <v>668</v>
      </c>
      <c r="B16" s="31">
        <v>1513</v>
      </c>
      <c r="C16" s="48">
        <f>MemberOfAssemblyAssemblyDistrict58General120[[#This Row],[Part of Kings County 
Vote Results]]</f>
        <v>1513</v>
      </c>
      <c r="D16" s="54">
        <f>SUM(MemberOfAssemblyAssemblyDistrict58General120[[#This Row],[Total Votes by Party]])</f>
        <v>1513</v>
      </c>
    </row>
    <row r="17" spans="1:4" s="27" customFormat="1" ht="14.25" customHeight="1" x14ac:dyDescent="0.2">
      <c r="A17" s="23" t="s">
        <v>667</v>
      </c>
      <c r="B17" s="31">
        <v>1482</v>
      </c>
      <c r="C17" s="48">
        <f>MemberOfAssemblyAssemblyDistrict58General120[[#This Row],[Part of Kings County 
Vote Results]]</f>
        <v>1482</v>
      </c>
      <c r="D17" s="54">
        <f>SUM(MemberOfAssemblyAssemblyDistrict58General120[[#This Row],[Total Votes by Party]])</f>
        <v>1482</v>
      </c>
    </row>
    <row r="18" spans="1:4" s="27" customFormat="1" ht="14.25" customHeight="1" x14ac:dyDescent="0.2">
      <c r="A18" s="23" t="s">
        <v>666</v>
      </c>
      <c r="B18" s="31">
        <v>1423</v>
      </c>
      <c r="C18" s="48">
        <f>MemberOfAssemblyAssemblyDistrict58General120[[#This Row],[Part of Kings County 
Vote Results]]</f>
        <v>1423</v>
      </c>
      <c r="D18" s="54">
        <f>SUM(MemberOfAssemblyAssemblyDistrict58General120[[#This Row],[Total Votes by Party]])</f>
        <v>1423</v>
      </c>
    </row>
    <row r="19" spans="1:4" s="27" customFormat="1" ht="14.25" customHeight="1" x14ac:dyDescent="0.2">
      <c r="A19" s="23" t="s">
        <v>665</v>
      </c>
      <c r="B19" s="31">
        <v>909</v>
      </c>
      <c r="C19" s="48">
        <f>MemberOfAssemblyAssemblyDistrict58General120[[#This Row],[Part of Kings County 
Vote Results]]</f>
        <v>909</v>
      </c>
      <c r="D19" s="54">
        <f>SUM(MemberOfAssemblyAssemblyDistrict58General120[[#This Row],[Total Votes by Party]])</f>
        <v>909</v>
      </c>
    </row>
    <row r="20" spans="1:4" s="27" customFormat="1" ht="14.25" customHeight="1" x14ac:dyDescent="0.2">
      <c r="A20" s="23" t="s">
        <v>664</v>
      </c>
      <c r="B20" s="31">
        <v>1417</v>
      </c>
      <c r="C20" s="48">
        <f>MemberOfAssemblyAssemblyDistrict58General120[[#This Row],[Part of Kings County 
Vote Results]]</f>
        <v>1417</v>
      </c>
      <c r="D20" s="54">
        <f>SUM(MemberOfAssemblyAssemblyDistrict58General120[[#This Row],[Total Votes by Party]])</f>
        <v>1417</v>
      </c>
    </row>
    <row r="21" spans="1:4" s="27" customFormat="1" ht="14.25" customHeight="1" x14ac:dyDescent="0.2">
      <c r="A21" s="23" t="s">
        <v>663</v>
      </c>
      <c r="B21" s="31">
        <v>2186</v>
      </c>
      <c r="C21" s="48">
        <f>MemberOfAssemblyAssemblyDistrict58General120[[#This Row],[Part of Kings County 
Vote Results]]</f>
        <v>2186</v>
      </c>
      <c r="D21" s="26">
        <f>SUM(MemberOfAssemblyAssemblyDistrict58General120[[#This Row],[Total Votes by Party]])</f>
        <v>2186</v>
      </c>
    </row>
    <row r="22" spans="1:4" s="27" customFormat="1" ht="14.25" customHeight="1" x14ac:dyDescent="0.2">
      <c r="A22" s="23" t="s">
        <v>662</v>
      </c>
      <c r="B22" s="31">
        <v>1742</v>
      </c>
      <c r="C22" s="48">
        <f>MemberOfAssemblyAssemblyDistrict58General120[[#This Row],[Part of Kings County 
Vote Results]]</f>
        <v>1742</v>
      </c>
      <c r="D22" s="26">
        <f>SUM(MemberOfAssemblyAssemblyDistrict58General120[[#This Row],[Total Votes by Party]])</f>
        <v>1742</v>
      </c>
    </row>
    <row r="23" spans="1:4" s="27" customFormat="1" ht="14.25" customHeight="1" x14ac:dyDescent="0.2">
      <c r="A23" s="29" t="s">
        <v>69</v>
      </c>
      <c r="B23" s="31">
        <v>30222</v>
      </c>
      <c r="C23" s="25">
        <f>MemberOfAssemblyAssemblyDistrict58General120[[#This Row],[Part of Kings County 
Vote Results]]</f>
        <v>30222</v>
      </c>
      <c r="D23" s="28"/>
    </row>
    <row r="24" spans="1:4" s="27" customFormat="1" ht="14.25" customHeight="1" x14ac:dyDescent="0.2">
      <c r="A24" s="29" t="s">
        <v>70</v>
      </c>
      <c r="B24" s="31">
        <v>280</v>
      </c>
      <c r="C24" s="25">
        <f>MemberOfAssemblyAssemblyDistrict58General120[[#This Row],[Part of Kings County 
Vote Results]]</f>
        <v>280</v>
      </c>
      <c r="D24" s="28"/>
    </row>
    <row r="25" spans="1:4" s="27" customFormat="1" ht="14.25" customHeight="1" x14ac:dyDescent="0.2">
      <c r="A25" s="29" t="s">
        <v>71</v>
      </c>
      <c r="B25" s="31">
        <v>46</v>
      </c>
      <c r="C25" s="25">
        <f>MemberOfAssemblyAssemblyDistrict58General120[[#This Row],[Part of Kings County 
Vote Results]]</f>
        <v>46</v>
      </c>
      <c r="D25" s="28"/>
    </row>
    <row r="26" spans="1:4" s="27" customFormat="1" ht="14.25" customHeight="1" x14ac:dyDescent="0.2">
      <c r="A26" s="30" t="s">
        <v>1</v>
      </c>
      <c r="B26" s="24">
        <f>SUM(MemberOfAssemblyAssemblyDistrict58General120[Part of Kings County 
Vote Results])</f>
        <v>67740</v>
      </c>
      <c r="C26" s="25">
        <f>SUM(MemberOfAssemblyAssemblyDistrict58General120[Total Votes by Party])</f>
        <v>67740</v>
      </c>
      <c r="D26" s="28"/>
    </row>
    <row r="27" spans="1:4" s="27" customFormat="1" ht="14.25" customHeight="1" x14ac:dyDescent="0.2">
      <c r="D27" s="37"/>
    </row>
    <row r="28" spans="1:4" s="27" customFormat="1" ht="14.25" customHeight="1" x14ac:dyDescent="0.2">
      <c r="D28" s="37"/>
    </row>
    <row r="29" spans="1:4" s="27" customFormat="1" ht="14.25" customHeight="1" x14ac:dyDescent="0.2">
      <c r="D29" s="37"/>
    </row>
    <row r="30" spans="1:4" s="27" customFormat="1" ht="14.25" customHeight="1" x14ac:dyDescent="0.2">
      <c r="D30" s="37"/>
    </row>
    <row r="31" spans="1:4" s="27" customFormat="1" ht="14.25" customHeight="1" x14ac:dyDescent="0.2">
      <c r="D31" s="37"/>
    </row>
    <row r="32" spans="1:4" s="27" customFormat="1" ht="14.25" customHeight="1" x14ac:dyDescent="0.2">
      <c r="D32" s="37"/>
    </row>
    <row r="33" spans="4:4" s="27" customFormat="1" ht="14.25" customHeight="1" x14ac:dyDescent="0.2">
      <c r="D33" s="37"/>
    </row>
    <row r="34" spans="4:4" s="27" customFormat="1" ht="14.25" customHeight="1" x14ac:dyDescent="0.2">
      <c r="D34" s="37"/>
    </row>
    <row r="35" spans="4:4" s="27" customFormat="1" ht="14.25" customHeight="1" x14ac:dyDescent="0.2">
      <c r="D35" s="37"/>
    </row>
    <row r="36" spans="4:4" s="27" customFormat="1" ht="14.25" customHeight="1" x14ac:dyDescent="0.2">
      <c r="D36" s="37"/>
    </row>
    <row r="37" spans="4:4" s="27" customFormat="1" ht="14.25" customHeight="1" x14ac:dyDescent="0.2">
      <c r="D37" s="37"/>
    </row>
    <row r="38" spans="4:4" s="27" customFormat="1" ht="14.25" customHeight="1" x14ac:dyDescent="0.2">
      <c r="D38" s="37"/>
    </row>
    <row r="39" spans="4:4" s="27" customFormat="1" ht="14.25" customHeight="1" x14ac:dyDescent="0.2">
      <c r="D39" s="37"/>
    </row>
    <row r="40" spans="4:4" s="27" customFormat="1" ht="14.25" customHeight="1" x14ac:dyDescent="0.2">
      <c r="D40" s="37"/>
    </row>
    <row r="41" spans="4:4" s="27" customFormat="1" ht="14.25" customHeight="1" x14ac:dyDescent="0.2">
      <c r="D41" s="37"/>
    </row>
    <row r="42" spans="4:4" s="27" customFormat="1" ht="14.25" customHeight="1" x14ac:dyDescent="0.2">
      <c r="D42" s="37"/>
    </row>
    <row r="43" spans="4:4" s="27" customFormat="1" ht="14.25" customHeight="1" x14ac:dyDescent="0.2">
      <c r="D43" s="37"/>
    </row>
  </sheetData>
  <sortState xmlns:xlrd2="http://schemas.microsoft.com/office/spreadsheetml/2017/richdata2" ref="H6:H25">
    <sortCondition descending="1" ref="H6:H25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22" calculatedColumn="1"/>
  </ignoredErrors>
  <tableParts count="1">
    <tablePart r:id="rId2"/>
  </tablePart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7B6D-5DC4-49A3-96BD-E71A717204CA}">
  <sheetPr>
    <pageSetUpPr fitToPage="1"/>
  </sheetPr>
  <dimension ref="A1:G34"/>
  <sheetViews>
    <sheetView workbookViewId="0">
      <selection activeCell="J1" sqref="J1:J1048576"/>
    </sheetView>
  </sheetViews>
  <sheetFormatPr defaultRowHeight="12.75" x14ac:dyDescent="0.2"/>
  <cols>
    <col min="1" max="1" width="27.85546875" customWidth="1"/>
    <col min="2" max="4" width="20.5703125" customWidth="1"/>
    <col min="5" max="5" width="20.5703125" style="18" customWidth="1"/>
    <col min="6" max="7" width="23.5703125" customWidth="1"/>
  </cols>
  <sheetData>
    <row r="1" spans="1:7" ht="39.75" customHeight="1" x14ac:dyDescent="0.2">
      <c r="A1" s="59" t="s">
        <v>793</v>
      </c>
      <c r="B1" s="59"/>
      <c r="C1" s="59"/>
      <c r="D1" s="59"/>
      <c r="E1" s="59"/>
      <c r="F1" s="52"/>
      <c r="G1" s="52"/>
    </row>
    <row r="2" spans="1:7" ht="28.5" customHeight="1" x14ac:dyDescent="0.2">
      <c r="A2" s="19" t="s">
        <v>66</v>
      </c>
      <c r="B2" s="20" t="s">
        <v>89</v>
      </c>
      <c r="C2" s="20" t="s">
        <v>112</v>
      </c>
      <c r="D2" s="21" t="s">
        <v>63</v>
      </c>
      <c r="E2" s="22" t="s">
        <v>64</v>
      </c>
    </row>
    <row r="3" spans="1:7" s="27" customFormat="1" ht="14.25" customHeight="1" x14ac:dyDescent="0.2">
      <c r="A3" s="23" t="s">
        <v>794</v>
      </c>
      <c r="B3" s="24">
        <v>78</v>
      </c>
      <c r="C3" s="24">
        <v>1207</v>
      </c>
      <c r="D3" s="25">
        <f>SUM(B3,C3)</f>
        <v>1285</v>
      </c>
      <c r="E3" s="26">
        <f>SUM(MemberOfAssemblyAssemblyDistrict120General54[[#This Row],[Total Votes by Party]])</f>
        <v>1285</v>
      </c>
    </row>
    <row r="4" spans="1:7" s="27" customFormat="1" ht="14.25" customHeight="1" x14ac:dyDescent="0.2">
      <c r="A4" s="23" t="s">
        <v>795</v>
      </c>
      <c r="B4" s="24">
        <v>41</v>
      </c>
      <c r="C4" s="24">
        <v>530</v>
      </c>
      <c r="D4" s="25">
        <f t="shared" ref="D4:D18" si="0">SUM(B4,C4)</f>
        <v>571</v>
      </c>
      <c r="E4" s="54">
        <f>SUM(MemberOfAssemblyAssemblyDistrict120General54[[#This Row],[Total Votes by Party]])</f>
        <v>571</v>
      </c>
    </row>
    <row r="5" spans="1:7" s="27" customFormat="1" ht="14.25" customHeight="1" x14ac:dyDescent="0.2">
      <c r="A5" s="23" t="s">
        <v>796</v>
      </c>
      <c r="B5" s="24">
        <v>79</v>
      </c>
      <c r="C5" s="24">
        <v>1015</v>
      </c>
      <c r="D5" s="25">
        <f t="shared" si="0"/>
        <v>1094</v>
      </c>
      <c r="E5" s="26">
        <f>SUM(MemberOfAssemblyAssemblyDistrict120General54[[#This Row],[Total Votes by Party]])</f>
        <v>1094</v>
      </c>
    </row>
    <row r="6" spans="1:7" s="27" customFormat="1" ht="14.25" customHeight="1" x14ac:dyDescent="0.2">
      <c r="A6" s="29" t="s">
        <v>797</v>
      </c>
      <c r="B6" s="24">
        <v>51</v>
      </c>
      <c r="C6" s="24">
        <v>636</v>
      </c>
      <c r="D6" s="25">
        <f t="shared" si="0"/>
        <v>687</v>
      </c>
      <c r="E6" s="54">
        <f>SUM(MemberOfAssemblyAssemblyDistrict120General54[[#This Row],[Total Votes by Party]])</f>
        <v>687</v>
      </c>
    </row>
    <row r="7" spans="1:7" s="27" customFormat="1" ht="14.25" customHeight="1" x14ac:dyDescent="0.2">
      <c r="A7" s="23" t="s">
        <v>798</v>
      </c>
      <c r="B7" s="24">
        <v>53</v>
      </c>
      <c r="C7" s="24">
        <v>785</v>
      </c>
      <c r="D7" s="25">
        <f t="shared" si="0"/>
        <v>838</v>
      </c>
      <c r="E7" s="54">
        <f>SUM(MemberOfAssemblyAssemblyDistrict120General54[[#This Row],[Total Votes by Party]])</f>
        <v>838</v>
      </c>
    </row>
    <row r="8" spans="1:7" s="27" customFormat="1" ht="14.25" customHeight="1" x14ac:dyDescent="0.2">
      <c r="A8" s="23" t="s">
        <v>799</v>
      </c>
      <c r="B8" s="24">
        <v>38</v>
      </c>
      <c r="C8" s="24">
        <v>520</v>
      </c>
      <c r="D8" s="25">
        <f t="shared" si="0"/>
        <v>558</v>
      </c>
      <c r="E8" s="54">
        <f>SUM(MemberOfAssemblyAssemblyDistrict120General54[[#This Row],[Total Votes by Party]])</f>
        <v>558</v>
      </c>
    </row>
    <row r="9" spans="1:7" s="27" customFormat="1" ht="14.25" customHeight="1" x14ac:dyDescent="0.2">
      <c r="A9" s="29" t="s">
        <v>800</v>
      </c>
      <c r="B9" s="24">
        <v>69</v>
      </c>
      <c r="C9" s="24">
        <v>1236</v>
      </c>
      <c r="D9" s="25">
        <f t="shared" si="0"/>
        <v>1305</v>
      </c>
      <c r="E9" s="26">
        <f>SUM(MemberOfAssemblyAssemblyDistrict120General54[[#This Row],[Total Votes by Party]])</f>
        <v>1305</v>
      </c>
    </row>
    <row r="10" spans="1:7" s="27" customFormat="1" ht="14.25" customHeight="1" x14ac:dyDescent="0.2">
      <c r="A10" s="23" t="s">
        <v>801</v>
      </c>
      <c r="B10" s="24">
        <v>43</v>
      </c>
      <c r="C10" s="24">
        <v>905</v>
      </c>
      <c r="D10" s="25">
        <f t="shared" si="0"/>
        <v>948</v>
      </c>
      <c r="E10" s="26">
        <f>SUM(MemberOfAssemblyAssemblyDistrict120General54[[#This Row],[Total Votes by Party]])</f>
        <v>948</v>
      </c>
    </row>
    <row r="11" spans="1:7" s="27" customFormat="1" ht="14.25" customHeight="1" x14ac:dyDescent="0.2">
      <c r="A11" s="23" t="s">
        <v>802</v>
      </c>
      <c r="B11" s="24">
        <v>58</v>
      </c>
      <c r="C11" s="24">
        <v>1011</v>
      </c>
      <c r="D11" s="25">
        <f t="shared" si="0"/>
        <v>1069</v>
      </c>
      <c r="E11" s="26">
        <f>SUM(MemberOfAssemblyAssemblyDistrict120General54[[#This Row],[Total Votes by Party]])</f>
        <v>1069</v>
      </c>
    </row>
    <row r="12" spans="1:7" s="27" customFormat="1" ht="14.25" customHeight="1" x14ac:dyDescent="0.2">
      <c r="A12" s="29" t="s">
        <v>803</v>
      </c>
      <c r="B12" s="24">
        <v>20</v>
      </c>
      <c r="C12" s="24">
        <v>586</v>
      </c>
      <c r="D12" s="25">
        <f t="shared" si="0"/>
        <v>606</v>
      </c>
      <c r="E12" s="54">
        <f>SUM(MemberOfAssemblyAssemblyDistrict120General54[[#This Row],[Total Votes by Party]])</f>
        <v>606</v>
      </c>
    </row>
    <row r="13" spans="1:7" s="27" customFormat="1" ht="14.25" customHeight="1" x14ac:dyDescent="0.2">
      <c r="A13" s="23" t="s">
        <v>804</v>
      </c>
      <c r="B13" s="24">
        <v>52</v>
      </c>
      <c r="C13" s="24">
        <v>940</v>
      </c>
      <c r="D13" s="25">
        <f t="shared" si="0"/>
        <v>992</v>
      </c>
      <c r="E13" s="26">
        <f>SUM(MemberOfAssemblyAssemblyDistrict120General54[[#This Row],[Total Votes by Party]])</f>
        <v>992</v>
      </c>
    </row>
    <row r="14" spans="1:7" s="27" customFormat="1" ht="14.25" customHeight="1" x14ac:dyDescent="0.2">
      <c r="A14" s="23" t="s">
        <v>805</v>
      </c>
      <c r="B14" s="24">
        <v>32</v>
      </c>
      <c r="C14" s="24">
        <v>857</v>
      </c>
      <c r="D14" s="25">
        <f t="shared" si="0"/>
        <v>889</v>
      </c>
      <c r="E14" s="26">
        <f>SUM(MemberOfAssemblyAssemblyDistrict120General54[[#This Row],[Total Votes by Party]])</f>
        <v>889</v>
      </c>
    </row>
    <row r="15" spans="1:7" s="27" customFormat="1" ht="14.25" customHeight="1" x14ac:dyDescent="0.2">
      <c r="A15" s="23" t="s">
        <v>806</v>
      </c>
      <c r="B15" s="24">
        <v>48</v>
      </c>
      <c r="C15" s="24">
        <v>693</v>
      </c>
      <c r="D15" s="25">
        <f t="shared" si="0"/>
        <v>741</v>
      </c>
      <c r="E15" s="54">
        <f>SUM(MemberOfAssemblyAssemblyDistrict120General54[[#This Row],[Total Votes by Party]])</f>
        <v>741</v>
      </c>
    </row>
    <row r="16" spans="1:7" s="27" customFormat="1" ht="14.25" customHeight="1" x14ac:dyDescent="0.2">
      <c r="A16" s="29" t="s">
        <v>69</v>
      </c>
      <c r="B16" s="24">
        <v>346</v>
      </c>
      <c r="C16" s="24">
        <v>4089</v>
      </c>
      <c r="D16" s="25">
        <f t="shared" si="0"/>
        <v>4435</v>
      </c>
      <c r="E16" s="28"/>
    </row>
    <row r="17" spans="1:5" s="27" customFormat="1" ht="14.25" customHeight="1" x14ac:dyDescent="0.2">
      <c r="A17" s="29" t="s">
        <v>70</v>
      </c>
      <c r="B17" s="24">
        <v>7</v>
      </c>
      <c r="C17" s="24">
        <v>35</v>
      </c>
      <c r="D17" s="25">
        <f t="shared" si="0"/>
        <v>42</v>
      </c>
      <c r="E17" s="28"/>
    </row>
    <row r="18" spans="1:5" s="27" customFormat="1" ht="14.25" customHeight="1" x14ac:dyDescent="0.2">
      <c r="A18" s="29" t="s">
        <v>71</v>
      </c>
      <c r="B18" s="24">
        <v>0</v>
      </c>
      <c r="C18" s="24">
        <v>33</v>
      </c>
      <c r="D18" s="25">
        <f t="shared" si="0"/>
        <v>33</v>
      </c>
      <c r="E18" s="28"/>
    </row>
    <row r="19" spans="1:5" s="27" customFormat="1" ht="14.25" customHeight="1" x14ac:dyDescent="0.2">
      <c r="A19" s="30" t="s">
        <v>1</v>
      </c>
      <c r="B19" s="24">
        <f>SUM(MemberOfAssemblyAssemblyDistrict120General54[Part of Jefferson County 
Vote Results])</f>
        <v>1015</v>
      </c>
      <c r="C19" s="24">
        <f>SUM(MemberOfAssemblyAssemblyDistrict120General54[Oswego County 
Vote Results])</f>
        <v>15078</v>
      </c>
      <c r="D19" s="25">
        <f>SUM(MemberOfAssemblyAssemblyDistrict120General54[Total Votes by Party])</f>
        <v>16093</v>
      </c>
      <c r="E19" s="28"/>
    </row>
    <row r="20" spans="1:5" s="27" customFormat="1" ht="14.25" customHeight="1" x14ac:dyDescent="0.2">
      <c r="E20" s="37"/>
    </row>
    <row r="21" spans="1:5" s="27" customFormat="1" ht="14.25" customHeight="1" x14ac:dyDescent="0.2">
      <c r="E21" s="37"/>
    </row>
    <row r="22" spans="1:5" s="27" customFormat="1" ht="14.25" customHeight="1" x14ac:dyDescent="0.2">
      <c r="E22" s="37"/>
    </row>
    <row r="23" spans="1:5" s="27" customFormat="1" ht="14.25" customHeight="1" x14ac:dyDescent="0.2">
      <c r="E23" s="37"/>
    </row>
    <row r="24" spans="1:5" s="27" customFormat="1" ht="14.25" customHeight="1" x14ac:dyDescent="0.2">
      <c r="E24" s="37"/>
    </row>
    <row r="25" spans="1:5" s="27" customFormat="1" ht="14.25" customHeight="1" x14ac:dyDescent="0.2">
      <c r="E25" s="37"/>
    </row>
    <row r="26" spans="1:5" s="27" customFormat="1" ht="14.25" customHeight="1" x14ac:dyDescent="0.2">
      <c r="E26" s="37"/>
    </row>
    <row r="27" spans="1:5" s="27" customFormat="1" ht="14.25" customHeight="1" x14ac:dyDescent="0.2">
      <c r="E27" s="37"/>
    </row>
    <row r="28" spans="1:5" s="27" customFormat="1" ht="14.25" customHeight="1" x14ac:dyDescent="0.2">
      <c r="E28" s="37"/>
    </row>
    <row r="29" spans="1:5" s="27" customFormat="1" ht="14.25" customHeight="1" x14ac:dyDescent="0.2">
      <c r="E29" s="37"/>
    </row>
    <row r="30" spans="1:5" s="27" customFormat="1" ht="14.25" customHeight="1" x14ac:dyDescent="0.2">
      <c r="E30" s="37"/>
    </row>
    <row r="31" spans="1:5" s="27" customFormat="1" ht="14.25" customHeight="1" x14ac:dyDescent="0.2">
      <c r="E31" s="37"/>
    </row>
    <row r="32" spans="1:5" s="27" customFormat="1" ht="14.25" customHeight="1" x14ac:dyDescent="0.2">
      <c r="E32" s="37"/>
    </row>
    <row r="33" spans="5:5" s="27" customFormat="1" ht="14.25" customHeight="1" x14ac:dyDescent="0.2">
      <c r="E33" s="37"/>
    </row>
    <row r="34" spans="5:5" s="27" customFormat="1" ht="14.25" customHeight="1" x14ac:dyDescent="0.2">
      <c r="E34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" calculatedColumn="1"/>
  </ignoredErrors>
  <tableParts count="1">
    <tablePart r:id="rId2"/>
  </tablePart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F7F3-E4C5-4CA5-82D6-CED55F07B453}">
  <sheetPr>
    <pageSetUpPr fitToPage="1"/>
  </sheetPr>
  <dimension ref="A1:F33"/>
  <sheetViews>
    <sheetView workbookViewId="0">
      <selection activeCell="I1" sqref="I1:I1048576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6" ht="43.5" customHeight="1" x14ac:dyDescent="0.2">
      <c r="A1" s="59" t="s">
        <v>807</v>
      </c>
      <c r="B1" s="59"/>
      <c r="C1" s="59"/>
      <c r="D1" s="59"/>
      <c r="E1" s="59"/>
      <c r="F1" s="59"/>
    </row>
    <row r="2" spans="1:6" ht="28.5" customHeight="1" x14ac:dyDescent="0.2">
      <c r="A2" s="19" t="s">
        <v>66</v>
      </c>
      <c r="B2" s="20" t="s">
        <v>89</v>
      </c>
      <c r="C2" s="20" t="s">
        <v>112</v>
      </c>
      <c r="D2" s="21" t="s">
        <v>63</v>
      </c>
      <c r="E2" s="22" t="s">
        <v>64</v>
      </c>
    </row>
    <row r="3" spans="1:6" s="27" customFormat="1" ht="14.25" customHeight="1" x14ac:dyDescent="0.2">
      <c r="A3" s="23" t="s">
        <v>808</v>
      </c>
      <c r="B3" s="24">
        <v>48</v>
      </c>
      <c r="C3" s="24">
        <v>958</v>
      </c>
      <c r="D3" s="25">
        <f>SUM(B3,C3)</f>
        <v>1006</v>
      </c>
      <c r="E3" s="26">
        <f>SUM(MemberOfAssemblyAssemblyDistrict120General100[[#This Row],[Total Votes by Party]])</f>
        <v>1006</v>
      </c>
    </row>
    <row r="4" spans="1:6" s="27" customFormat="1" ht="14.25" customHeight="1" x14ac:dyDescent="0.2">
      <c r="A4" s="23" t="s">
        <v>809</v>
      </c>
      <c r="B4" s="24">
        <v>29</v>
      </c>
      <c r="C4" s="24">
        <v>570</v>
      </c>
      <c r="D4" s="25">
        <f t="shared" ref="D4:D17" si="0">SUM(B4,C4)</f>
        <v>599</v>
      </c>
      <c r="E4" s="54">
        <f>SUM(MemberOfAssemblyAssemblyDistrict120General100[[#This Row],[Total Votes by Party]])</f>
        <v>599</v>
      </c>
    </row>
    <row r="5" spans="1:6" s="27" customFormat="1" ht="14.25" customHeight="1" x14ac:dyDescent="0.2">
      <c r="A5" s="23" t="s">
        <v>810</v>
      </c>
      <c r="B5" s="24">
        <v>85</v>
      </c>
      <c r="C5" s="24">
        <v>1141</v>
      </c>
      <c r="D5" s="25">
        <f t="shared" si="0"/>
        <v>1226</v>
      </c>
      <c r="E5" s="26">
        <f>SUM(MemberOfAssemblyAssemblyDistrict120General100[[#This Row],[Total Votes by Party]])</f>
        <v>1226</v>
      </c>
    </row>
    <row r="6" spans="1:6" s="27" customFormat="1" ht="14.25" customHeight="1" x14ac:dyDescent="0.2">
      <c r="A6" s="29" t="s">
        <v>811</v>
      </c>
      <c r="B6" s="24">
        <v>64</v>
      </c>
      <c r="C6" s="24">
        <v>1207</v>
      </c>
      <c r="D6" s="25">
        <f t="shared" si="0"/>
        <v>1271</v>
      </c>
      <c r="E6" s="26">
        <f>SUM(MemberOfAssemblyAssemblyDistrict120General100[[#This Row],[Total Votes by Party]])</f>
        <v>1271</v>
      </c>
    </row>
    <row r="7" spans="1:6" s="27" customFormat="1" ht="14.25" customHeight="1" x14ac:dyDescent="0.2">
      <c r="A7" s="23" t="s">
        <v>812</v>
      </c>
      <c r="B7" s="24">
        <v>57</v>
      </c>
      <c r="C7" s="24">
        <v>980</v>
      </c>
      <c r="D7" s="25">
        <f t="shared" si="0"/>
        <v>1037</v>
      </c>
      <c r="E7" s="26">
        <f>SUM(MemberOfAssemblyAssemblyDistrict120General100[[#This Row],[Total Votes by Party]])</f>
        <v>1037</v>
      </c>
    </row>
    <row r="8" spans="1:6" s="27" customFormat="1" ht="14.25" customHeight="1" x14ac:dyDescent="0.2">
      <c r="A8" s="23" t="s">
        <v>813</v>
      </c>
      <c r="B8" s="24">
        <v>47</v>
      </c>
      <c r="C8" s="24">
        <v>975</v>
      </c>
      <c r="D8" s="25">
        <f t="shared" si="0"/>
        <v>1022</v>
      </c>
      <c r="E8" s="26">
        <f>SUM(MemberOfAssemblyAssemblyDistrict120General100[[#This Row],[Total Votes by Party]])</f>
        <v>1022</v>
      </c>
    </row>
    <row r="9" spans="1:6" s="27" customFormat="1" ht="14.25" customHeight="1" x14ac:dyDescent="0.2">
      <c r="A9" s="29" t="s">
        <v>814</v>
      </c>
      <c r="B9" s="24">
        <v>84</v>
      </c>
      <c r="C9" s="24">
        <v>1112</v>
      </c>
      <c r="D9" s="25">
        <f t="shared" si="0"/>
        <v>1196</v>
      </c>
      <c r="E9" s="26">
        <f>SUM(MemberOfAssemblyAssemblyDistrict120General100[[#This Row],[Total Votes by Party]])</f>
        <v>1196</v>
      </c>
    </row>
    <row r="10" spans="1:6" s="27" customFormat="1" ht="14.25" customHeight="1" x14ac:dyDescent="0.2">
      <c r="A10" s="23" t="s">
        <v>815</v>
      </c>
      <c r="B10" s="24">
        <v>69</v>
      </c>
      <c r="C10" s="24">
        <v>1026</v>
      </c>
      <c r="D10" s="25">
        <f t="shared" si="0"/>
        <v>1095</v>
      </c>
      <c r="E10" s="26">
        <f>SUM(MemberOfAssemblyAssemblyDistrict120General100[[#This Row],[Total Votes by Party]])</f>
        <v>1095</v>
      </c>
    </row>
    <row r="11" spans="1:6" s="27" customFormat="1" ht="14.25" customHeight="1" x14ac:dyDescent="0.2">
      <c r="A11" s="23" t="s">
        <v>816</v>
      </c>
      <c r="B11" s="24">
        <v>25</v>
      </c>
      <c r="C11" s="24">
        <v>322</v>
      </c>
      <c r="D11" s="25">
        <f t="shared" si="0"/>
        <v>347</v>
      </c>
      <c r="E11" s="54">
        <f>SUM(MemberOfAssemblyAssemblyDistrict120General100[[#This Row],[Total Votes by Party]])</f>
        <v>347</v>
      </c>
    </row>
    <row r="12" spans="1:6" s="27" customFormat="1" ht="14.25" customHeight="1" x14ac:dyDescent="0.2">
      <c r="A12" s="29" t="s">
        <v>817</v>
      </c>
      <c r="B12" s="24">
        <v>54</v>
      </c>
      <c r="C12" s="24">
        <v>892</v>
      </c>
      <c r="D12" s="25">
        <f t="shared" si="0"/>
        <v>946</v>
      </c>
      <c r="E12" s="54">
        <f>SUM(MemberOfAssemblyAssemblyDistrict120General100[[#This Row],[Total Votes by Party]])</f>
        <v>946</v>
      </c>
    </row>
    <row r="13" spans="1:6" s="27" customFormat="1" ht="14.25" customHeight="1" x14ac:dyDescent="0.2">
      <c r="A13" s="23" t="s">
        <v>818</v>
      </c>
      <c r="B13" s="24">
        <v>29</v>
      </c>
      <c r="C13" s="24">
        <v>535</v>
      </c>
      <c r="D13" s="25">
        <f t="shared" si="0"/>
        <v>564</v>
      </c>
      <c r="E13" s="54">
        <f>SUM(MemberOfAssemblyAssemblyDistrict120General100[[#This Row],[Total Votes by Party]])</f>
        <v>564</v>
      </c>
    </row>
    <row r="14" spans="1:6" s="27" customFormat="1" ht="14.25" customHeight="1" x14ac:dyDescent="0.2">
      <c r="A14" s="23" t="s">
        <v>819</v>
      </c>
      <c r="B14" s="24">
        <v>25</v>
      </c>
      <c r="C14" s="24">
        <v>370</v>
      </c>
      <c r="D14" s="25">
        <f t="shared" si="0"/>
        <v>395</v>
      </c>
      <c r="E14" s="54">
        <f>SUM(MemberOfAssemblyAssemblyDistrict120General100[[#This Row],[Total Votes by Party]])</f>
        <v>395</v>
      </c>
    </row>
    <row r="15" spans="1:6" s="27" customFormat="1" ht="14.25" customHeight="1" x14ac:dyDescent="0.2">
      <c r="A15" s="29" t="s">
        <v>69</v>
      </c>
      <c r="B15" s="24">
        <v>399</v>
      </c>
      <c r="C15" s="24">
        <v>4899</v>
      </c>
      <c r="D15" s="25">
        <f t="shared" si="0"/>
        <v>5298</v>
      </c>
      <c r="E15" s="28"/>
    </row>
    <row r="16" spans="1:6" s="27" customFormat="1" ht="14.25" customHeight="1" x14ac:dyDescent="0.2">
      <c r="A16" s="29" t="s">
        <v>70</v>
      </c>
      <c r="B16" s="24">
        <v>0</v>
      </c>
      <c r="C16" s="24">
        <v>42</v>
      </c>
      <c r="D16" s="25">
        <f t="shared" si="0"/>
        <v>42</v>
      </c>
      <c r="E16" s="28"/>
    </row>
    <row r="17" spans="1:5" s="27" customFormat="1" ht="14.25" customHeight="1" x14ac:dyDescent="0.2">
      <c r="A17" s="29" t="s">
        <v>71</v>
      </c>
      <c r="B17" s="24">
        <v>0</v>
      </c>
      <c r="C17" s="24">
        <v>49</v>
      </c>
      <c r="D17" s="25">
        <f t="shared" si="0"/>
        <v>49</v>
      </c>
      <c r="E17" s="28"/>
    </row>
    <row r="18" spans="1:5" s="27" customFormat="1" ht="14.25" customHeight="1" x14ac:dyDescent="0.2">
      <c r="A18" s="30" t="s">
        <v>1</v>
      </c>
      <c r="B18" s="24">
        <f>SUM(MemberOfAssemblyAssemblyDistrict120General100[Part of Jefferson County 
Vote Results])</f>
        <v>1015</v>
      </c>
      <c r="C18" s="24">
        <f>SUM(MemberOfAssemblyAssemblyDistrict120General100[Oswego County 
Vote Results])</f>
        <v>15078</v>
      </c>
      <c r="D18" s="25">
        <f>SUM(MemberOfAssemblyAssemblyDistrict120General100[Total Votes by Party])</f>
        <v>16093</v>
      </c>
      <c r="E18" s="28"/>
    </row>
    <row r="19" spans="1:5" s="27" customFormat="1" ht="14.25" customHeight="1" x14ac:dyDescent="0.2">
      <c r="E19" s="37"/>
    </row>
    <row r="20" spans="1:5" s="27" customFormat="1" ht="14.25" customHeight="1" x14ac:dyDescent="0.2">
      <c r="E20" s="37"/>
    </row>
    <row r="21" spans="1:5" s="27" customFormat="1" ht="14.25" customHeight="1" x14ac:dyDescent="0.2">
      <c r="E21" s="37"/>
    </row>
    <row r="22" spans="1:5" s="27" customFormat="1" ht="14.25" customHeight="1" x14ac:dyDescent="0.2">
      <c r="E22" s="37"/>
    </row>
    <row r="23" spans="1:5" s="27" customFormat="1" ht="14.25" customHeight="1" x14ac:dyDescent="0.2">
      <c r="E23" s="37"/>
    </row>
    <row r="24" spans="1:5" s="27" customFormat="1" ht="14.25" customHeight="1" x14ac:dyDescent="0.2">
      <c r="E24" s="37"/>
    </row>
    <row r="25" spans="1:5" s="27" customFormat="1" ht="14.25" customHeight="1" x14ac:dyDescent="0.2">
      <c r="E25" s="37"/>
    </row>
    <row r="26" spans="1:5" s="27" customFormat="1" ht="14.25" customHeight="1" x14ac:dyDescent="0.2">
      <c r="E26" s="37"/>
    </row>
    <row r="27" spans="1:5" s="27" customFormat="1" ht="14.25" customHeight="1" x14ac:dyDescent="0.2">
      <c r="E27" s="37"/>
    </row>
    <row r="28" spans="1:5" s="27" customFormat="1" ht="14.25" customHeight="1" x14ac:dyDescent="0.2">
      <c r="E28" s="37"/>
    </row>
    <row r="29" spans="1:5" s="27" customFormat="1" ht="14.25" customHeight="1" x14ac:dyDescent="0.2">
      <c r="E29" s="37"/>
    </row>
    <row r="30" spans="1:5" s="27" customFormat="1" ht="14.25" customHeight="1" x14ac:dyDescent="0.2">
      <c r="E30" s="37"/>
    </row>
    <row r="31" spans="1:5" s="27" customFormat="1" ht="14.25" customHeight="1" x14ac:dyDescent="0.2">
      <c r="E31" s="37"/>
    </row>
    <row r="32" spans="1:5" s="27" customFormat="1" ht="14.25" customHeight="1" x14ac:dyDescent="0.2">
      <c r="E32" s="37"/>
    </row>
    <row r="33" spans="5:5" s="27" customFormat="1" ht="14.25" customHeight="1" x14ac:dyDescent="0.2">
      <c r="E33" s="37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" calculatedColumn="1"/>
  </ignoredErrors>
  <tableParts count="1">
    <tablePart r:id="rId2"/>
  </tablePart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8525-EE78-456D-B81A-235105C112A4}">
  <sheetPr>
    <pageSetUpPr fitToPage="1"/>
  </sheetPr>
  <dimension ref="A1:E32"/>
  <sheetViews>
    <sheetView workbookViewId="0">
      <selection activeCell="B14" sqref="B14"/>
    </sheetView>
  </sheetViews>
  <sheetFormatPr defaultRowHeight="12.75" x14ac:dyDescent="0.2"/>
  <cols>
    <col min="1" max="1" width="25.5703125" customWidth="1"/>
    <col min="2" max="3" width="20.5703125" customWidth="1"/>
    <col min="4" max="4" width="20.5703125" style="18" customWidth="1"/>
    <col min="5" max="6" width="23.5703125" customWidth="1"/>
  </cols>
  <sheetData>
    <row r="1" spans="1:5" ht="45" customHeight="1" x14ac:dyDescent="0.2">
      <c r="A1" s="59" t="s">
        <v>824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126</v>
      </c>
      <c r="C2" s="21" t="s">
        <v>63</v>
      </c>
      <c r="D2" s="22" t="s">
        <v>64</v>
      </c>
    </row>
    <row r="3" spans="1:5" s="27" customFormat="1" ht="14.25" customHeight="1" x14ac:dyDescent="0.2">
      <c r="A3" s="39" t="s">
        <v>825</v>
      </c>
      <c r="B3" s="24">
        <v>3168</v>
      </c>
      <c r="C3" s="25">
        <f>MemberOfAssemblyAssemblyDistrict137General111[[#This Row],[Part of Monroe County 
Vote Results]]</f>
        <v>3168</v>
      </c>
      <c r="D3" s="26">
        <f>SUM(MemberOfAssemblyAssemblyDistrict137General111[[#This Row],[Total Votes by Party]])</f>
        <v>3168</v>
      </c>
    </row>
    <row r="4" spans="1:5" s="27" customFormat="1" ht="14.25" customHeight="1" x14ac:dyDescent="0.2">
      <c r="A4" s="39" t="s">
        <v>826</v>
      </c>
      <c r="B4" s="24">
        <v>3679</v>
      </c>
      <c r="C4" s="25">
        <f>MemberOfAssemblyAssemblyDistrict137General111[[#This Row],[Part of Monroe County 
Vote Results]]</f>
        <v>3679</v>
      </c>
      <c r="D4" s="26">
        <f>SUM(MemberOfAssemblyAssemblyDistrict137General111[[#This Row],[Total Votes by Party]])</f>
        <v>3679</v>
      </c>
    </row>
    <row r="5" spans="1:5" s="27" customFormat="1" ht="14.25" customHeight="1" x14ac:dyDescent="0.2">
      <c r="A5" s="39" t="s">
        <v>827</v>
      </c>
      <c r="B5" s="24">
        <v>2641</v>
      </c>
      <c r="C5" s="25">
        <f>MemberOfAssemblyAssemblyDistrict137General111[[#This Row],[Part of Monroe County 
Vote Results]]</f>
        <v>2641</v>
      </c>
      <c r="D5" s="26">
        <f>SUM(MemberOfAssemblyAssemblyDistrict137General111[[#This Row],[Total Votes by Party]])</f>
        <v>2641</v>
      </c>
    </row>
    <row r="6" spans="1:5" s="27" customFormat="1" ht="14.25" customHeight="1" x14ac:dyDescent="0.2">
      <c r="A6" s="23" t="s">
        <v>211</v>
      </c>
      <c r="B6" s="24">
        <v>4931</v>
      </c>
      <c r="C6" s="25">
        <f>MemberOfAssemblyAssemblyDistrict137General111[[#This Row],[Part of Monroe County 
Vote Results]]</f>
        <v>4931</v>
      </c>
      <c r="D6" s="26">
        <f>SUM(MemberOfAssemblyAssemblyDistrict137General111[[#This Row],[Total Votes by Party]])</f>
        <v>4931</v>
      </c>
    </row>
    <row r="7" spans="1:5" s="27" customFormat="1" ht="14.25" customHeight="1" x14ac:dyDescent="0.2">
      <c r="A7" s="39" t="s">
        <v>828</v>
      </c>
      <c r="B7" s="24">
        <v>4336</v>
      </c>
      <c r="C7" s="25">
        <f>MemberOfAssemblyAssemblyDistrict137General111[[#This Row],[Part of Monroe County 
Vote Results]]</f>
        <v>4336</v>
      </c>
      <c r="D7" s="26">
        <f>SUM(MemberOfAssemblyAssemblyDistrict137General111[[#This Row],[Total Votes by Party]])</f>
        <v>4336</v>
      </c>
    </row>
    <row r="8" spans="1:5" s="27" customFormat="1" ht="14.25" customHeight="1" x14ac:dyDescent="0.2">
      <c r="A8" s="39" t="s">
        <v>829</v>
      </c>
      <c r="B8" s="24">
        <v>2608</v>
      </c>
      <c r="C8" s="25">
        <f>MemberOfAssemblyAssemblyDistrict137General111[[#This Row],[Part of Monroe County 
Vote Results]]</f>
        <v>2608</v>
      </c>
      <c r="D8" s="26">
        <f>SUM(MemberOfAssemblyAssemblyDistrict137General111[[#This Row],[Total Votes by Party]])</f>
        <v>2608</v>
      </c>
    </row>
    <row r="9" spans="1:5" s="27" customFormat="1" ht="14.25" customHeight="1" x14ac:dyDescent="0.2">
      <c r="A9" s="39" t="s">
        <v>830</v>
      </c>
      <c r="B9" s="24">
        <v>3281</v>
      </c>
      <c r="C9" s="25">
        <f>MemberOfAssemblyAssemblyDistrict137General111[[#This Row],[Part of Monroe County 
Vote Results]]</f>
        <v>3281</v>
      </c>
      <c r="D9" s="26">
        <f>SUM(MemberOfAssemblyAssemblyDistrict137General111[[#This Row],[Total Votes by Party]])</f>
        <v>3281</v>
      </c>
    </row>
    <row r="10" spans="1:5" s="27" customFormat="1" ht="14.25" customHeight="1" x14ac:dyDescent="0.2">
      <c r="A10" s="39" t="s">
        <v>831</v>
      </c>
      <c r="B10" s="24">
        <v>3106</v>
      </c>
      <c r="C10" s="25">
        <f>MemberOfAssemblyAssemblyDistrict137General111[[#This Row],[Part of Monroe County 
Vote Results]]</f>
        <v>3106</v>
      </c>
      <c r="D10" s="26">
        <f>SUM(MemberOfAssemblyAssemblyDistrict137General111[[#This Row],[Total Votes by Party]])</f>
        <v>3106</v>
      </c>
    </row>
    <row r="11" spans="1:5" s="27" customFormat="1" ht="14.25" customHeight="1" x14ac:dyDescent="0.2">
      <c r="A11" s="39" t="s">
        <v>832</v>
      </c>
      <c r="B11" s="24">
        <v>1990</v>
      </c>
      <c r="C11" s="25">
        <f>MemberOfAssemblyAssemblyDistrict137General111[[#This Row],[Part of Monroe County 
Vote Results]]</f>
        <v>1990</v>
      </c>
      <c r="D11" s="54">
        <f>SUM(MemberOfAssemblyAssemblyDistrict137General111[[#This Row],[Total Votes by Party]])</f>
        <v>1990</v>
      </c>
    </row>
    <row r="12" spans="1:5" s="27" customFormat="1" ht="14.25" customHeight="1" x14ac:dyDescent="0.2">
      <c r="A12" s="29" t="s">
        <v>69</v>
      </c>
      <c r="B12" s="24">
        <v>19060</v>
      </c>
      <c r="C12" s="25">
        <f>MemberOfAssemblyAssemblyDistrict137General111[[#This Row],[Part of Monroe County 
Vote Results]]</f>
        <v>19060</v>
      </c>
      <c r="D12" s="28"/>
    </row>
    <row r="13" spans="1:5" s="27" customFormat="1" ht="14.25" customHeight="1" x14ac:dyDescent="0.2">
      <c r="A13" s="29" t="s">
        <v>70</v>
      </c>
      <c r="B13" s="24">
        <v>56</v>
      </c>
      <c r="C13" s="25">
        <f>MemberOfAssemblyAssemblyDistrict137General111[[#This Row],[Part of Monroe County 
Vote Results]]</f>
        <v>56</v>
      </c>
      <c r="D13" s="28"/>
    </row>
    <row r="14" spans="1:5" s="27" customFormat="1" ht="14.25" customHeight="1" x14ac:dyDescent="0.2">
      <c r="A14" s="29" t="s">
        <v>71</v>
      </c>
      <c r="B14" s="24">
        <v>96</v>
      </c>
      <c r="C14" s="25">
        <f>MemberOfAssemblyAssemblyDistrict137General111[[#This Row],[Part of Monroe County 
Vote Results]]</f>
        <v>96</v>
      </c>
      <c r="D14" s="28"/>
    </row>
    <row r="15" spans="1:5" s="27" customFormat="1" ht="14.25" customHeight="1" x14ac:dyDescent="0.2">
      <c r="A15" s="30" t="s">
        <v>1</v>
      </c>
      <c r="B15" s="24">
        <f>SUM(MemberOfAssemblyAssemblyDistrict137General111[Part of Monroe County 
Vote Results])</f>
        <v>48952</v>
      </c>
      <c r="C15" s="25">
        <f>SUM(MemberOfAssemblyAssemblyDistrict137General111[Total Votes by Party])</f>
        <v>48952</v>
      </c>
      <c r="D15" s="28"/>
    </row>
    <row r="16" spans="1:5" s="27" customFormat="1" ht="14.25" customHeight="1" x14ac:dyDescent="0.2">
      <c r="D16" s="37"/>
    </row>
    <row r="17" spans="4:4" s="27" customFormat="1" ht="14.25" customHeight="1" x14ac:dyDescent="0.2">
      <c r="D17" s="37"/>
    </row>
    <row r="18" spans="4:4" s="27" customFormat="1" ht="14.25" customHeight="1" x14ac:dyDescent="0.2">
      <c r="D18" s="37"/>
    </row>
    <row r="19" spans="4:4" s="27" customFormat="1" ht="14.25" customHeight="1" x14ac:dyDescent="0.2">
      <c r="D19" s="37"/>
    </row>
    <row r="20" spans="4:4" s="27" customFormat="1" ht="14.25" customHeight="1" x14ac:dyDescent="0.2">
      <c r="D20" s="37"/>
    </row>
    <row r="21" spans="4:4" s="27" customFormat="1" ht="14.25" customHeight="1" x14ac:dyDescent="0.2">
      <c r="D21" s="37"/>
    </row>
    <row r="22" spans="4:4" s="27" customFormat="1" ht="14.25" customHeight="1" x14ac:dyDescent="0.2">
      <c r="D22" s="37"/>
    </row>
    <row r="23" spans="4:4" s="27" customFormat="1" ht="14.25" customHeight="1" x14ac:dyDescent="0.2">
      <c r="D23" s="37"/>
    </row>
    <row r="24" spans="4:4" s="27" customFormat="1" ht="14.25" customHeight="1" x14ac:dyDescent="0.2">
      <c r="D24" s="37"/>
    </row>
    <row r="25" spans="4:4" s="27" customFormat="1" ht="14.25" customHeight="1" x14ac:dyDescent="0.2">
      <c r="D25" s="37"/>
    </row>
    <row r="26" spans="4:4" s="27" customFormat="1" ht="14.25" customHeight="1" x14ac:dyDescent="0.2">
      <c r="D26" s="37"/>
    </row>
    <row r="27" spans="4:4" s="27" customFormat="1" ht="14.25" customHeight="1" x14ac:dyDescent="0.2">
      <c r="D27" s="37"/>
    </row>
    <row r="28" spans="4:4" s="27" customFormat="1" ht="14.25" customHeight="1" x14ac:dyDescent="0.2">
      <c r="D28" s="37"/>
    </row>
    <row r="29" spans="4:4" s="27" customFormat="1" ht="14.25" customHeight="1" x14ac:dyDescent="0.2">
      <c r="D29" s="37"/>
    </row>
    <row r="30" spans="4:4" s="27" customFormat="1" ht="14.25" customHeight="1" x14ac:dyDescent="0.2">
      <c r="D30" s="37"/>
    </row>
    <row r="31" spans="4:4" s="27" customFormat="1" ht="14.25" customHeight="1" x14ac:dyDescent="0.2">
      <c r="D31" s="37"/>
    </row>
    <row r="32" spans="4:4" s="27" customFormat="1" ht="14.25" customHeight="1" x14ac:dyDescent="0.2">
      <c r="D32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11" calculatedColumn="1"/>
  </ignoredErrors>
  <tableParts count="1">
    <tablePart r:id="rId2"/>
  </tablePart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3BC3-A288-4C36-BA1E-138D3138DB6D}">
  <sheetPr>
    <pageSetUpPr fitToPage="1"/>
  </sheetPr>
  <dimension ref="A1:E22"/>
  <sheetViews>
    <sheetView workbookViewId="0">
      <selection activeCell="D28" sqref="D28"/>
    </sheetView>
  </sheetViews>
  <sheetFormatPr defaultRowHeight="12.75" x14ac:dyDescent="0.2"/>
  <cols>
    <col min="1" max="1" width="25.5703125" customWidth="1"/>
    <col min="2" max="4" width="20.5703125" customWidth="1"/>
    <col min="5" max="5" width="20.5703125" style="18" customWidth="1"/>
    <col min="6" max="7" width="23.5703125" customWidth="1"/>
  </cols>
  <sheetData>
    <row r="1" spans="1:5" ht="36.75" customHeight="1" x14ac:dyDescent="0.2">
      <c r="A1" s="59" t="s">
        <v>833</v>
      </c>
      <c r="B1" s="59"/>
      <c r="C1" s="59"/>
      <c r="D1" s="59"/>
      <c r="E1" s="59"/>
    </row>
    <row r="2" spans="1:5" ht="28.5" customHeight="1" x14ac:dyDescent="0.2">
      <c r="A2" s="19" t="s">
        <v>66</v>
      </c>
      <c r="B2" s="20" t="s">
        <v>120</v>
      </c>
      <c r="C2" s="20" t="s">
        <v>136</v>
      </c>
      <c r="D2" s="21" t="s">
        <v>63</v>
      </c>
      <c r="E2" s="22" t="s">
        <v>64</v>
      </c>
    </row>
    <row r="3" spans="1:5" s="27" customFormat="1" ht="14.25" customHeight="1" x14ac:dyDescent="0.2">
      <c r="A3" s="23" t="s">
        <v>834</v>
      </c>
      <c r="B3" s="24">
        <v>439</v>
      </c>
      <c r="C3" s="24">
        <v>0</v>
      </c>
      <c r="D3" s="25">
        <f>SUM(MemberOfAssemblyAssemblyDistrict99General[[#This Row],[Part of Orange County 
Vote Results]:[Part of Rockland County 
Vote Results]])</f>
        <v>439</v>
      </c>
      <c r="E3" s="26">
        <f>SUM(MemberOfAssemblyAssemblyDistrict99General[[#This Row],[Total Votes by Party]])</f>
        <v>439</v>
      </c>
    </row>
    <row r="4" spans="1:5" s="27" customFormat="1" ht="14.25" customHeight="1" x14ac:dyDescent="0.2">
      <c r="A4" s="23" t="s">
        <v>835</v>
      </c>
      <c r="B4" s="24">
        <v>434</v>
      </c>
      <c r="C4" s="24">
        <v>0</v>
      </c>
      <c r="D4" s="25">
        <f>SUM(MemberOfAssemblyAssemblyDistrict99General[[#This Row],[Part of Orange County 
Vote Results]:[Part of Rockland County 
Vote Results]])</f>
        <v>434</v>
      </c>
      <c r="E4" s="26">
        <f>SUM(MemberOfAssemblyAssemblyDistrict99General[[#This Row],[Total Votes by Party]])</f>
        <v>434</v>
      </c>
    </row>
    <row r="5" spans="1:5" s="27" customFormat="1" ht="14.25" customHeight="1" x14ac:dyDescent="0.2">
      <c r="A5" s="23" t="s">
        <v>836</v>
      </c>
      <c r="B5" s="24">
        <v>33</v>
      </c>
      <c r="C5" s="24">
        <v>2</v>
      </c>
      <c r="D5" s="25">
        <f>SUM(MemberOfAssemblyAssemblyDistrict99General[[#This Row],[Part of Orange County 
Vote Results]:[Part of Rockland County 
Vote Results]])</f>
        <v>35</v>
      </c>
      <c r="E5" s="54">
        <f>SUM(MemberOfAssemblyAssemblyDistrict99General[[#This Row],[Total Votes by Party]])</f>
        <v>35</v>
      </c>
    </row>
    <row r="6" spans="1:5" s="27" customFormat="1" ht="14.25" customHeight="1" x14ac:dyDescent="0.2">
      <c r="A6" s="23" t="s">
        <v>837</v>
      </c>
      <c r="B6" s="24">
        <v>43</v>
      </c>
      <c r="C6" s="24">
        <v>2</v>
      </c>
      <c r="D6" s="25">
        <f>SUM(MemberOfAssemblyAssemblyDistrict99General[[#This Row],[Part of Orange County 
Vote Results]:[Part of Rockland County 
Vote Results]])</f>
        <v>45</v>
      </c>
      <c r="E6" s="54">
        <f>SUM(MemberOfAssemblyAssemblyDistrict99General[[#This Row],[Total Votes by Party]])</f>
        <v>45</v>
      </c>
    </row>
    <row r="7" spans="1:5" s="27" customFormat="1" ht="14.25" customHeight="1" x14ac:dyDescent="0.2">
      <c r="A7" s="29" t="s">
        <v>69</v>
      </c>
      <c r="B7" s="24">
        <v>33</v>
      </c>
      <c r="C7" s="24">
        <v>0</v>
      </c>
      <c r="D7" s="25">
        <f>SUM(MemberOfAssemblyAssemblyDistrict99General[[#This Row],[Part of Orange County 
Vote Results]:[Part of Rockland County 
Vote Results]])</f>
        <v>33</v>
      </c>
      <c r="E7" s="28"/>
    </row>
    <row r="8" spans="1:5" s="27" customFormat="1" ht="14.25" customHeight="1" x14ac:dyDescent="0.2">
      <c r="A8" s="29" t="s">
        <v>70</v>
      </c>
      <c r="B8" s="24">
        <v>8</v>
      </c>
      <c r="C8" s="24">
        <v>2</v>
      </c>
      <c r="D8" s="25">
        <f>SUM(MemberOfAssemblyAssemblyDistrict99General[[#This Row],[Part of Orange County 
Vote Results]:[Part of Rockland County 
Vote Results]])</f>
        <v>10</v>
      </c>
      <c r="E8" s="28"/>
    </row>
    <row r="9" spans="1:5" s="27" customFormat="1" ht="14.25" customHeight="1" x14ac:dyDescent="0.2">
      <c r="A9" s="29" t="s">
        <v>71</v>
      </c>
      <c r="B9" s="24">
        <v>4</v>
      </c>
      <c r="C9" s="24">
        <v>0</v>
      </c>
      <c r="D9" s="25">
        <f>SUM(MemberOfAssemblyAssemblyDistrict99General[[#This Row],[Part of Orange County 
Vote Results]:[Part of Rockland County 
Vote Results]])</f>
        <v>4</v>
      </c>
      <c r="E9" s="28"/>
    </row>
    <row r="10" spans="1:5" s="27" customFormat="1" ht="14.25" customHeight="1" x14ac:dyDescent="0.2">
      <c r="A10" s="30" t="s">
        <v>1</v>
      </c>
      <c r="B10" s="24">
        <f>SUM(MemberOfAssemblyAssemblyDistrict99General[Part of Orange County 
Vote Results])</f>
        <v>994</v>
      </c>
      <c r="C10" s="24">
        <f>SUM(MemberOfAssemblyAssemblyDistrict99General[Part of Rockland County 
Vote Results])</f>
        <v>6</v>
      </c>
      <c r="D10" s="25">
        <f>SUM(MemberOfAssemblyAssemblyDistrict99General[Total Votes by Party])</f>
        <v>1000</v>
      </c>
      <c r="E10" s="28"/>
    </row>
    <row r="11" spans="1:5" s="27" customFormat="1" ht="14.25" customHeight="1" x14ac:dyDescent="0.2">
      <c r="E11" s="37"/>
    </row>
    <row r="12" spans="1:5" s="27" customFormat="1" ht="14.25" customHeight="1" x14ac:dyDescent="0.2">
      <c r="E12" s="37"/>
    </row>
    <row r="13" spans="1:5" s="27" customFormat="1" ht="14.25" customHeight="1" x14ac:dyDescent="0.2">
      <c r="E13" s="37"/>
    </row>
    <row r="14" spans="1:5" s="27" customFormat="1" ht="14.25" customHeight="1" x14ac:dyDescent="0.2">
      <c r="E14" s="37"/>
    </row>
    <row r="15" spans="1:5" s="27" customFormat="1" ht="14.25" customHeight="1" x14ac:dyDescent="0.2">
      <c r="E15" s="37"/>
    </row>
    <row r="16" spans="1:5" s="27" customFormat="1" ht="14.25" customHeight="1" x14ac:dyDescent="0.2">
      <c r="E16" s="37"/>
    </row>
    <row r="17" spans="5:5" s="27" customFormat="1" ht="14.25" customHeight="1" x14ac:dyDescent="0.2">
      <c r="E17" s="37"/>
    </row>
    <row r="18" spans="5:5" s="27" customFormat="1" ht="14.25" customHeight="1" x14ac:dyDescent="0.2">
      <c r="E18" s="37"/>
    </row>
    <row r="19" spans="5:5" s="27" customFormat="1" ht="14.25" customHeight="1" x14ac:dyDescent="0.2">
      <c r="E19" s="37"/>
    </row>
    <row r="20" spans="5:5" s="27" customFormat="1" ht="14.25" customHeight="1" x14ac:dyDescent="0.2">
      <c r="E20" s="37"/>
    </row>
    <row r="21" spans="5:5" s="27" customFormat="1" ht="14.25" customHeight="1" x14ac:dyDescent="0.2">
      <c r="E21" s="37"/>
    </row>
    <row r="22" spans="5:5" s="27" customFormat="1" ht="14.25" customHeight="1" x14ac:dyDescent="0.2">
      <c r="E22" s="37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123</vt:i4>
      </vt:variant>
      <vt:variant>
        <vt:lpstr>Named Ranges</vt:lpstr>
      </vt:variant>
      <vt:variant>
        <vt:i4>3</vt:i4>
      </vt:variant>
    </vt:vector>
  </HeadingPairs>
  <TitlesOfParts>
    <vt:vector size="126" baseType="lpstr">
      <vt:lpstr>Comptroller DEM</vt:lpstr>
      <vt:lpstr>1st CD DEM</vt:lpstr>
      <vt:lpstr>3rd CD DEM</vt:lpstr>
      <vt:lpstr>3rd CD REP</vt:lpstr>
      <vt:lpstr>4th CD REP</vt:lpstr>
      <vt:lpstr>6th CD DEM</vt:lpstr>
      <vt:lpstr>7th CD DEM</vt:lpstr>
      <vt:lpstr>9th CD DEM</vt:lpstr>
      <vt:lpstr>10th CD DEM</vt:lpstr>
      <vt:lpstr>11th CD DEM</vt:lpstr>
      <vt:lpstr>12th CD DEM</vt:lpstr>
      <vt:lpstr>13th CD DEM</vt:lpstr>
      <vt:lpstr>14th CD DEM</vt:lpstr>
      <vt:lpstr>15th CD DEM</vt:lpstr>
      <vt:lpstr>17th CD DEM</vt:lpstr>
      <vt:lpstr>19th CD REP</vt:lpstr>
      <vt:lpstr>21st CD DEM</vt:lpstr>
      <vt:lpstr>21st CD REP</vt:lpstr>
      <vt:lpstr>23rd CD DEM</vt:lpstr>
      <vt:lpstr>24th CD DEM</vt:lpstr>
      <vt:lpstr>25th CD DEM</vt:lpstr>
      <vt:lpstr>12th SD DEM</vt:lpstr>
      <vt:lpstr>13th SD DEM</vt:lpstr>
      <vt:lpstr>15th SD DEM</vt:lpstr>
      <vt:lpstr>22nd SD REP</vt:lpstr>
      <vt:lpstr>23rd SD DEM</vt:lpstr>
      <vt:lpstr>25th SD DEM</vt:lpstr>
      <vt:lpstr>27th SD DEM</vt:lpstr>
      <vt:lpstr>29th SD DEM</vt:lpstr>
      <vt:lpstr>31st SD DEM</vt:lpstr>
      <vt:lpstr>38th SD WOR</vt:lpstr>
      <vt:lpstr>39th SD DEM</vt:lpstr>
      <vt:lpstr>42nd SD CON</vt:lpstr>
      <vt:lpstr>44th SD DEM</vt:lpstr>
      <vt:lpstr>51st SD REP</vt:lpstr>
      <vt:lpstr>54th SD DEM</vt:lpstr>
      <vt:lpstr>61st SD DEM </vt:lpstr>
      <vt:lpstr>23rd AD DEM</vt:lpstr>
      <vt:lpstr>26th AD REP</vt:lpstr>
      <vt:lpstr>28th AD DEM</vt:lpstr>
      <vt:lpstr>30th AD DEM</vt:lpstr>
      <vt:lpstr>32nd AD DEM</vt:lpstr>
      <vt:lpstr>33rd AD DEM</vt:lpstr>
      <vt:lpstr>34th AD DEM</vt:lpstr>
      <vt:lpstr>36th AD DEM</vt:lpstr>
      <vt:lpstr>37th AD DEM</vt:lpstr>
      <vt:lpstr>38th AD DEM</vt:lpstr>
      <vt:lpstr>39th AD DEM</vt:lpstr>
      <vt:lpstr>43rd AD DEM</vt:lpstr>
      <vt:lpstr>46th AD DEM</vt:lpstr>
      <vt:lpstr>50th AD DEM</vt:lpstr>
      <vt:lpstr>52nd AD DEM</vt:lpstr>
      <vt:lpstr>54th AD DEM</vt:lpstr>
      <vt:lpstr>56th AD DEM</vt:lpstr>
      <vt:lpstr>57th AD DEM</vt:lpstr>
      <vt:lpstr>59th AD DEM</vt:lpstr>
      <vt:lpstr>65th AD DEM</vt:lpstr>
      <vt:lpstr>66th AD DEM</vt:lpstr>
      <vt:lpstr>68th AD DEM</vt:lpstr>
      <vt:lpstr>69th AD DEM</vt:lpstr>
      <vt:lpstr>70th AD DEM</vt:lpstr>
      <vt:lpstr>71st AD DEM</vt:lpstr>
      <vt:lpstr>72nd AD DEM</vt:lpstr>
      <vt:lpstr>75th AD DEM</vt:lpstr>
      <vt:lpstr>81st AD DEM</vt:lpstr>
      <vt:lpstr>82nd AD DEM</vt:lpstr>
      <vt:lpstr>84th AD DEM</vt:lpstr>
      <vt:lpstr>86th AD REP</vt:lpstr>
      <vt:lpstr>87th AD DEM</vt:lpstr>
      <vt:lpstr>90th AD DEM</vt:lpstr>
      <vt:lpstr>96th AD DEM</vt:lpstr>
      <vt:lpstr>97th AD CON</vt:lpstr>
      <vt:lpstr>102nd AD DEM</vt:lpstr>
      <vt:lpstr>106th AD DEM</vt:lpstr>
      <vt:lpstr>118th AD REP</vt:lpstr>
      <vt:lpstr>119th AD DEM</vt:lpstr>
      <vt:lpstr>119th AD REP</vt:lpstr>
      <vt:lpstr>120th AD DEM</vt:lpstr>
      <vt:lpstr>123rd AD DEM</vt:lpstr>
      <vt:lpstr>129th AD DEM</vt:lpstr>
      <vt:lpstr>130th AD DEM</vt:lpstr>
      <vt:lpstr>130th AD REP</vt:lpstr>
      <vt:lpstr>137th AD DEM</vt:lpstr>
      <vt:lpstr>149th AD DEM</vt:lpstr>
      <vt:lpstr>1st JD 66th AD DEM</vt:lpstr>
      <vt:lpstr>1st Alt JD 66th AD DEM</vt:lpstr>
      <vt:lpstr>1st JD 68th AD DEM</vt:lpstr>
      <vt:lpstr>1st Alt JD 68th AD DEM</vt:lpstr>
      <vt:lpstr>1st JD 71st AD DEM</vt:lpstr>
      <vt:lpstr>1st JD 72nd AD DEM</vt:lpstr>
      <vt:lpstr>1st Alt JD 72nd AD DEM</vt:lpstr>
      <vt:lpstr>2nd JD 54th AD DEM</vt:lpstr>
      <vt:lpstr>2nd JD 57th AD DEM</vt:lpstr>
      <vt:lpstr>2nd JD 58th AD DEM</vt:lpstr>
      <vt:lpstr>2nd Alt JD 58th AD DEM</vt:lpstr>
      <vt:lpstr>5th JD 120th AD DEM</vt:lpstr>
      <vt:lpstr>5th Alt JD 120th AD DEM</vt:lpstr>
      <vt:lpstr>7th JD 137th AD DEM</vt:lpstr>
      <vt:lpstr>9th JD 99th AD CON</vt:lpstr>
      <vt:lpstr>9th Alt JD 99th AD CON</vt:lpstr>
      <vt:lpstr>11th JD 24th AD DEM</vt:lpstr>
      <vt:lpstr>11th JD 28th AD DEM</vt:lpstr>
      <vt:lpstr>11th JD 33rd AD DEM</vt:lpstr>
      <vt:lpstr>12th JD 81st AD DEM</vt:lpstr>
      <vt:lpstr>12th Alt JD 81st AD DEM </vt:lpstr>
      <vt:lpstr>State Comm 24th AD DEM</vt:lpstr>
      <vt:lpstr>State Comm 34th AD DEM</vt:lpstr>
      <vt:lpstr>State Comm 35th AD DEM</vt:lpstr>
      <vt:lpstr>State Comm 39th AD DEM</vt:lpstr>
      <vt:lpstr>State Comm 43rd AD DEM</vt:lpstr>
      <vt:lpstr>State Comm 54th AD DEM</vt:lpstr>
      <vt:lpstr>State Comm 56th AD DEM</vt:lpstr>
      <vt:lpstr>State Comm 57th AD DEM</vt:lpstr>
      <vt:lpstr>State Comm 58th AD DEM</vt:lpstr>
      <vt:lpstr>State Comm 59th AD DEM</vt:lpstr>
      <vt:lpstr>State Comm 65th AD DEM</vt:lpstr>
      <vt:lpstr>State Comm 68th AD DEM</vt:lpstr>
      <vt:lpstr>State Comm 71st AD DEM</vt:lpstr>
      <vt:lpstr>State Comm 72nd AD DEM</vt:lpstr>
      <vt:lpstr>State Comm 81st AD DEM</vt:lpstr>
      <vt:lpstr>State Comm 120th AD DEM</vt:lpstr>
      <vt:lpstr>State Comm Female 137th AD DEM</vt:lpstr>
      <vt:lpstr>State Comm  Male 137th AD DEM</vt:lpstr>
      <vt:lpstr>'1st CD DEM'!Print_Area</vt:lpstr>
      <vt:lpstr>'Comptroller DEM'!Print_Area</vt:lpstr>
      <vt:lpstr>'Comptroller DEM'!Print_Titles</vt:lpstr>
    </vt:vector>
  </TitlesOfParts>
  <Manager/>
  <Company>NYSBOE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pjorczak</dc:creator>
  <cp:keywords/>
  <dc:description/>
  <cp:lastModifiedBy>McGrath, Kathleen  (ELECTIONS)</cp:lastModifiedBy>
  <cp:revision/>
  <cp:lastPrinted>2020-12-03T12:42:43Z</cp:lastPrinted>
  <dcterms:created xsi:type="dcterms:W3CDTF">2008-10-28T18:22:21Z</dcterms:created>
  <dcterms:modified xsi:type="dcterms:W3CDTF">2026-08-31T18:32:40Z</dcterms:modified>
  <cp:category/>
  <cp:contentStatus/>
</cp:coreProperties>
</file>