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KMcGrath\Downloads\"/>
    </mc:Choice>
  </mc:AlternateContent>
  <xr:revisionPtr revIDLastSave="0" documentId="8_{2BBCD183-E7E1-4F79-BCC0-93985662D84C}" xr6:coauthVersionLast="47" xr6:coauthVersionMax="47" xr10:uidLastSave="{00000000-0000-0000-0000-000000000000}"/>
  <bookViews>
    <workbookView xWindow="3285" yWindow="4305" windowWidth="24720" windowHeight="15225" xr2:uid="{00000000-000D-0000-FFFF-FFFF00000000}"/>
  </bookViews>
  <sheets>
    <sheet name="Rep Pres by County" sheetId="2" r:id="rId1"/>
    <sheet name="Rep Pres by CD" sheetId="3" r:id="rId2"/>
    <sheet name="Revision History" sheetId="4" r:id="rId3"/>
  </sheets>
  <definedNames>
    <definedName name="_xlnm.Print_Area" localSheetId="1">'Rep Pres by CD'!$A$1:$J$217</definedName>
    <definedName name="_xlnm.Print_Area" localSheetId="0">'Rep Pres by County'!$A$1:$G$69</definedName>
    <definedName name="_xlnm.Print_Titles" localSheetId="0">'Rep Pres by County'!$4:$4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C18" i="2"/>
  <c r="B32" i="2"/>
  <c r="B33" i="2"/>
  <c r="J19" i="3"/>
  <c r="J12" i="3"/>
  <c r="K201" i="3"/>
  <c r="F62" i="2"/>
  <c r="B69" i="2"/>
  <c r="C68" i="2"/>
  <c r="E32" i="2"/>
  <c r="D32" i="2"/>
  <c r="D17" i="2"/>
  <c r="F59" i="2"/>
  <c r="E59" i="2"/>
  <c r="D59" i="2"/>
  <c r="C59" i="2"/>
  <c r="B59" i="2"/>
  <c r="E33" i="2"/>
  <c r="D33" i="2"/>
  <c r="C33" i="2"/>
  <c r="F17" i="2"/>
  <c r="E17" i="2"/>
  <c r="C17" i="2"/>
  <c r="F55" i="2"/>
  <c r="E55" i="2"/>
  <c r="D55" i="2"/>
  <c r="C55" i="2"/>
  <c r="B55" i="2"/>
  <c r="F51" i="2"/>
  <c r="E51" i="2"/>
  <c r="D51" i="2"/>
  <c r="C51" i="2"/>
  <c r="B51" i="2"/>
  <c r="F18" i="2"/>
  <c r="D18" i="2"/>
  <c r="B18" i="2"/>
  <c r="F40" i="2"/>
  <c r="E40" i="2"/>
  <c r="D40" i="2"/>
  <c r="C40" i="2"/>
  <c r="B40" i="2"/>
  <c r="D39" i="2"/>
  <c r="E39" i="2"/>
  <c r="C39" i="2"/>
  <c r="F32" i="2" l="1"/>
  <c r="C32" i="2"/>
  <c r="J152" i="3"/>
  <c r="F42" i="2"/>
  <c r="E42" i="2"/>
  <c r="D42" i="2"/>
  <c r="C42" i="2"/>
  <c r="B42" i="2"/>
  <c r="E26" i="2"/>
  <c r="F26" i="2"/>
  <c r="D26" i="2"/>
  <c r="C26" i="2"/>
  <c r="B26" i="2"/>
  <c r="C62" i="2" l="1"/>
  <c r="C69" i="2" s="1"/>
  <c r="G23" i="2"/>
  <c r="J170" i="3"/>
  <c r="C170" i="3" s="1"/>
  <c r="I170" i="3"/>
  <c r="E170" i="3"/>
  <c r="K208" i="3"/>
  <c r="H208" i="3"/>
  <c r="F208" i="3"/>
  <c r="D208" i="3"/>
  <c r="B208" i="3"/>
  <c r="J207" i="3"/>
  <c r="C207" i="3" s="1"/>
  <c r="E207" i="3"/>
  <c r="J190" i="3"/>
  <c r="I190" i="3" s="1"/>
  <c r="J191" i="3"/>
  <c r="I191" i="3" s="1"/>
  <c r="J192" i="3"/>
  <c r="I192" i="3" s="1"/>
  <c r="J193" i="3"/>
  <c r="L193" i="3" s="1"/>
  <c r="G193" i="3" s="1"/>
  <c r="J194" i="3"/>
  <c r="C194" i="3" s="1"/>
  <c r="J195" i="3"/>
  <c r="I195" i="3" s="1"/>
  <c r="J196" i="3"/>
  <c r="I196" i="3" s="1"/>
  <c r="J197" i="3"/>
  <c r="I197" i="3" s="1"/>
  <c r="J153" i="3"/>
  <c r="E153" i="3" s="1"/>
  <c r="J154" i="3"/>
  <c r="I154" i="3" s="1"/>
  <c r="J155" i="3"/>
  <c r="L155" i="3" s="1"/>
  <c r="G155" i="3" s="1"/>
  <c r="J107" i="3"/>
  <c r="I107" i="3" s="1"/>
  <c r="J108" i="3"/>
  <c r="I108" i="3" s="1"/>
  <c r="J214" i="3"/>
  <c r="J213" i="3"/>
  <c r="J206" i="3"/>
  <c r="J198" i="3"/>
  <c r="J199" i="3"/>
  <c r="J200" i="3"/>
  <c r="J189" i="3"/>
  <c r="J178" i="3"/>
  <c r="J179" i="3"/>
  <c r="J180" i="3"/>
  <c r="J181" i="3"/>
  <c r="J182" i="3"/>
  <c r="J183" i="3"/>
  <c r="J177" i="3"/>
  <c r="J168" i="3"/>
  <c r="J169" i="3"/>
  <c r="J171" i="3"/>
  <c r="J149" i="3"/>
  <c r="J150" i="3"/>
  <c r="J151" i="3"/>
  <c r="J156" i="3"/>
  <c r="J157" i="3"/>
  <c r="J158" i="3"/>
  <c r="J159" i="3"/>
  <c r="J160" i="3"/>
  <c r="J161" i="3"/>
  <c r="J162" i="3"/>
  <c r="C162" i="3" s="1"/>
  <c r="J148" i="3"/>
  <c r="J140" i="3"/>
  <c r="J141" i="3"/>
  <c r="J142" i="3"/>
  <c r="J139" i="3"/>
  <c r="J124" i="3"/>
  <c r="J125" i="3"/>
  <c r="J126" i="3"/>
  <c r="J127" i="3"/>
  <c r="J128" i="3"/>
  <c r="J129" i="3"/>
  <c r="J130" i="3"/>
  <c r="J131" i="3"/>
  <c r="J132" i="3"/>
  <c r="J133" i="3"/>
  <c r="J123" i="3"/>
  <c r="C123" i="3" s="1"/>
  <c r="J116" i="3"/>
  <c r="J117" i="3"/>
  <c r="J115" i="3"/>
  <c r="J109" i="3"/>
  <c r="J106" i="3"/>
  <c r="J100" i="3"/>
  <c r="J99" i="3"/>
  <c r="J94" i="3"/>
  <c r="J88" i="3"/>
  <c r="J87" i="3"/>
  <c r="J81" i="3"/>
  <c r="J80" i="3"/>
  <c r="J74" i="3"/>
  <c r="J68" i="3"/>
  <c r="J67" i="3"/>
  <c r="J61" i="3"/>
  <c r="J60" i="3"/>
  <c r="J55" i="3"/>
  <c r="J49" i="3"/>
  <c r="J43" i="3"/>
  <c r="J42" i="3"/>
  <c r="J37" i="3"/>
  <c r="J31" i="3"/>
  <c r="J26" i="3"/>
  <c r="J20" i="3"/>
  <c r="J13" i="3"/>
  <c r="L170" i="3" l="1"/>
  <c r="G170" i="3" s="1"/>
  <c r="I207" i="3"/>
  <c r="J208" i="3"/>
  <c r="L208" i="3" s="1"/>
  <c r="G208" i="3" s="1"/>
  <c r="L207" i="3"/>
  <c r="G207" i="3" s="1"/>
  <c r="E190" i="3"/>
  <c r="C196" i="3"/>
  <c r="C195" i="3"/>
  <c r="E197" i="3"/>
  <c r="E196" i="3"/>
  <c r="E195" i="3"/>
  <c r="L197" i="3"/>
  <c r="G197" i="3" s="1"/>
  <c r="L196" i="3"/>
  <c r="G196" i="3" s="1"/>
  <c r="L195" i="3"/>
  <c r="G195" i="3" s="1"/>
  <c r="L190" i="3"/>
  <c r="G190" i="3" s="1"/>
  <c r="I194" i="3"/>
  <c r="E194" i="3"/>
  <c r="I193" i="3"/>
  <c r="L194" i="3"/>
  <c r="G194" i="3" s="1"/>
  <c r="C193" i="3"/>
  <c r="L192" i="3"/>
  <c r="G192" i="3" s="1"/>
  <c r="E193" i="3"/>
  <c r="E192" i="3"/>
  <c r="E191" i="3"/>
  <c r="L191" i="3"/>
  <c r="G191" i="3" s="1"/>
  <c r="C192" i="3"/>
  <c r="C191" i="3"/>
  <c r="C190" i="3"/>
  <c r="C197" i="3"/>
  <c r="C155" i="3"/>
  <c r="C154" i="3"/>
  <c r="C153" i="3"/>
  <c r="E155" i="3"/>
  <c r="I155" i="3"/>
  <c r="I153" i="3"/>
  <c r="L154" i="3"/>
  <c r="G154" i="3" s="1"/>
  <c r="L153" i="3"/>
  <c r="G153" i="3" s="1"/>
  <c r="E154" i="3"/>
  <c r="L108" i="3"/>
  <c r="G108" i="3" s="1"/>
  <c r="L107" i="3"/>
  <c r="G107" i="3" s="1"/>
  <c r="C108" i="3"/>
  <c r="C107" i="3"/>
  <c r="E108" i="3"/>
  <c r="E107" i="3"/>
  <c r="C208" i="3" l="1"/>
  <c r="E208" i="3"/>
  <c r="I208" i="3"/>
  <c r="J7" i="3" l="1"/>
  <c r="E7" i="3" s="1"/>
  <c r="F215" i="3"/>
  <c r="F201" i="3"/>
  <c r="F184" i="3"/>
  <c r="F172" i="3"/>
  <c r="F163" i="3"/>
  <c r="F143" i="3"/>
  <c r="F134" i="3"/>
  <c r="F118" i="3"/>
  <c r="F110" i="3"/>
  <c r="F101" i="3"/>
  <c r="F89" i="3"/>
  <c r="F82" i="3"/>
  <c r="F75" i="3"/>
  <c r="F69" i="3"/>
  <c r="F62" i="3"/>
  <c r="F50" i="3"/>
  <c r="F44" i="3"/>
  <c r="F32" i="3"/>
  <c r="F21" i="3"/>
  <c r="F14" i="3"/>
  <c r="G64" i="2"/>
  <c r="G65" i="2"/>
  <c r="G66" i="2"/>
  <c r="G67" i="2"/>
  <c r="G63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5" i="2"/>
  <c r="F68" i="2"/>
  <c r="L182" i="3"/>
  <c r="G182" i="3" s="1"/>
  <c r="L181" i="3"/>
  <c r="G181" i="3" s="1"/>
  <c r="L133" i="3"/>
  <c r="G133" i="3" s="1"/>
  <c r="L132" i="3"/>
  <c r="G132" i="3" s="1"/>
  <c r="L60" i="3"/>
  <c r="G60" i="3" s="1"/>
  <c r="L55" i="3"/>
  <c r="G55" i="3" s="1"/>
  <c r="L42" i="3"/>
  <c r="G42" i="3" s="1"/>
  <c r="L37" i="3"/>
  <c r="G37" i="3" s="1"/>
  <c r="K215" i="3"/>
  <c r="K184" i="3"/>
  <c r="K172" i="3"/>
  <c r="K163" i="3"/>
  <c r="K143" i="3"/>
  <c r="K134" i="3"/>
  <c r="K118" i="3"/>
  <c r="K110" i="3"/>
  <c r="K101" i="3"/>
  <c r="K89" i="3"/>
  <c r="K82" i="3"/>
  <c r="K75" i="3"/>
  <c r="K69" i="3"/>
  <c r="K62" i="3"/>
  <c r="K50" i="3"/>
  <c r="K44" i="3"/>
  <c r="K32" i="3"/>
  <c r="K21" i="3"/>
  <c r="K14" i="3"/>
  <c r="I13" i="3"/>
  <c r="L20" i="3"/>
  <c r="G20" i="3" s="1"/>
  <c r="L26" i="3"/>
  <c r="G26" i="3" s="1"/>
  <c r="E31" i="3"/>
  <c r="C37" i="3"/>
  <c r="E42" i="3"/>
  <c r="I49" i="3"/>
  <c r="C55" i="3"/>
  <c r="I60" i="3"/>
  <c r="I67" i="3"/>
  <c r="C67" i="3"/>
  <c r="E68" i="3"/>
  <c r="C74" i="3"/>
  <c r="C80" i="3"/>
  <c r="I80" i="3"/>
  <c r="E81" i="3"/>
  <c r="I81" i="3"/>
  <c r="C87" i="3"/>
  <c r="C88" i="3"/>
  <c r="E94" i="3"/>
  <c r="I100" i="3"/>
  <c r="L106" i="3"/>
  <c r="G106" i="3" s="1"/>
  <c r="E106" i="3"/>
  <c r="C109" i="3"/>
  <c r="L115" i="3"/>
  <c r="G115" i="3" s="1"/>
  <c r="I117" i="3"/>
  <c r="I123" i="3"/>
  <c r="I124" i="3"/>
  <c r="E125" i="3"/>
  <c r="E126" i="3"/>
  <c r="C126" i="3"/>
  <c r="L127" i="3"/>
  <c r="G127" i="3" s="1"/>
  <c r="I127" i="3"/>
  <c r="L128" i="3"/>
  <c r="G128" i="3" s="1"/>
  <c r="L129" i="3"/>
  <c r="G129" i="3" s="1"/>
  <c r="C129" i="3"/>
  <c r="C130" i="3"/>
  <c r="L131" i="3"/>
  <c r="G131" i="3" s="1"/>
  <c r="E131" i="3"/>
  <c r="I132" i="3"/>
  <c r="C133" i="3"/>
  <c r="E133" i="3"/>
  <c r="E139" i="3"/>
  <c r="I139" i="3"/>
  <c r="E140" i="3"/>
  <c r="I141" i="3"/>
  <c r="I142" i="3"/>
  <c r="L148" i="3"/>
  <c r="G148" i="3" s="1"/>
  <c r="E148" i="3"/>
  <c r="E149" i="3"/>
  <c r="L150" i="3"/>
  <c r="G150" i="3" s="1"/>
  <c r="I150" i="3"/>
  <c r="E151" i="3"/>
  <c r="E157" i="3"/>
  <c r="C157" i="3"/>
  <c r="C158" i="3"/>
  <c r="I158" i="3"/>
  <c r="C160" i="3"/>
  <c r="L162" i="3"/>
  <c r="G162" i="3" s="1"/>
  <c r="I168" i="3"/>
  <c r="E169" i="3"/>
  <c r="L171" i="3"/>
  <c r="G171" i="3" s="1"/>
  <c r="I171" i="3"/>
  <c r="C177" i="3"/>
  <c r="C179" i="3"/>
  <c r="L180" i="3"/>
  <c r="G180" i="3" s="1"/>
  <c r="C180" i="3"/>
  <c r="E181" i="3"/>
  <c r="C182" i="3"/>
  <c r="E182" i="3"/>
  <c r="I189" i="3"/>
  <c r="C199" i="3"/>
  <c r="E199" i="3"/>
  <c r="C200" i="3"/>
  <c r="C206" i="3"/>
  <c r="E206" i="3"/>
  <c r="I213" i="3"/>
  <c r="E213" i="3"/>
  <c r="I214" i="3"/>
  <c r="D62" i="2"/>
  <c r="E62" i="2"/>
  <c r="H118" i="3"/>
  <c r="D118" i="3"/>
  <c r="B118" i="3"/>
  <c r="H21" i="3"/>
  <c r="D215" i="3"/>
  <c r="D201" i="3"/>
  <c r="D184" i="3"/>
  <c r="D172" i="3"/>
  <c r="D163" i="3"/>
  <c r="D143" i="3"/>
  <c r="D134" i="3"/>
  <c r="D110" i="3"/>
  <c r="D101" i="3"/>
  <c r="D89" i="3"/>
  <c r="D82" i="3"/>
  <c r="D75" i="3"/>
  <c r="D69" i="3"/>
  <c r="D62" i="3"/>
  <c r="D50" i="3"/>
  <c r="D44" i="3"/>
  <c r="D32" i="3"/>
  <c r="D21" i="3"/>
  <c r="D14" i="3"/>
  <c r="H201" i="3"/>
  <c r="B184" i="3"/>
  <c r="H184" i="3"/>
  <c r="H134" i="3"/>
  <c r="H101" i="3"/>
  <c r="B101" i="3"/>
  <c r="B69" i="3"/>
  <c r="H69" i="3"/>
  <c r="B62" i="3"/>
  <c r="H62" i="3"/>
  <c r="D68" i="2"/>
  <c r="H215" i="3"/>
  <c r="B215" i="3"/>
  <c r="B201" i="3"/>
  <c r="H172" i="3"/>
  <c r="B172" i="3"/>
  <c r="H163" i="3"/>
  <c r="B163" i="3"/>
  <c r="H143" i="3"/>
  <c r="B143" i="3"/>
  <c r="B134" i="3"/>
  <c r="H110" i="3"/>
  <c r="B110" i="3"/>
  <c r="H89" i="3"/>
  <c r="B89" i="3"/>
  <c r="H82" i="3"/>
  <c r="B82" i="3"/>
  <c r="H75" i="3"/>
  <c r="B75" i="3"/>
  <c r="H50" i="3"/>
  <c r="B50" i="3"/>
  <c r="H44" i="3"/>
  <c r="B44" i="3"/>
  <c r="H32" i="3"/>
  <c r="B32" i="3"/>
  <c r="B21" i="3"/>
  <c r="H14" i="3"/>
  <c r="B14" i="3"/>
  <c r="E68" i="2"/>
  <c r="B68" i="2"/>
  <c r="B62" i="2"/>
  <c r="E129" i="3"/>
  <c r="I129" i="3"/>
  <c r="I125" i="3"/>
  <c r="C181" i="3"/>
  <c r="C161" i="3"/>
  <c r="C148" i="3"/>
  <c r="E100" i="3"/>
  <c r="C100" i="3"/>
  <c r="I200" i="3"/>
  <c r="I182" i="3"/>
  <c r="E74" i="3"/>
  <c r="E49" i="3"/>
  <c r="C171" i="3"/>
  <c r="C60" i="3"/>
  <c r="E60" i="3"/>
  <c r="I55" i="3"/>
  <c r="C42" i="3"/>
  <c r="E20" i="3"/>
  <c r="I42" i="3"/>
  <c r="C94" i="3"/>
  <c r="C106" i="3"/>
  <c r="E200" i="3"/>
  <c r="I157" i="3"/>
  <c r="E189" i="3"/>
  <c r="E160" i="3"/>
  <c r="I37" i="3"/>
  <c r="C131" i="3"/>
  <c r="I131" i="3"/>
  <c r="G68" i="2" l="1"/>
  <c r="F69" i="2"/>
  <c r="E69" i="2"/>
  <c r="J75" i="3"/>
  <c r="L75" i="3" s="1"/>
  <c r="G75" i="3" s="1"/>
  <c r="J50" i="3"/>
  <c r="I50" i="3" s="1"/>
  <c r="J69" i="3"/>
  <c r="I69" i="3" s="1"/>
  <c r="J82" i="3"/>
  <c r="I82" i="3" s="1"/>
  <c r="J14" i="3"/>
  <c r="C14" i="3" s="1"/>
  <c r="J184" i="3"/>
  <c r="I184" i="3" s="1"/>
  <c r="J118" i="3"/>
  <c r="L118" i="3" s="1"/>
  <c r="G118" i="3" s="1"/>
  <c r="J21" i="3"/>
  <c r="I21" i="3" s="1"/>
  <c r="J32" i="3"/>
  <c r="L32" i="3" s="1"/>
  <c r="G32" i="3" s="1"/>
  <c r="J44" i="3"/>
  <c r="L44" i="3" s="1"/>
  <c r="G44" i="3" s="1"/>
  <c r="J62" i="3"/>
  <c r="E62" i="3" s="1"/>
  <c r="J89" i="3"/>
  <c r="L89" i="3" s="1"/>
  <c r="G89" i="3" s="1"/>
  <c r="J101" i="3"/>
  <c r="E101" i="3" s="1"/>
  <c r="J110" i="3"/>
  <c r="C110" i="3" s="1"/>
  <c r="J134" i="3"/>
  <c r="E134" i="3" s="1"/>
  <c r="J143" i="3"/>
  <c r="I143" i="3" s="1"/>
  <c r="J163" i="3"/>
  <c r="E163" i="3" s="1"/>
  <c r="J172" i="3"/>
  <c r="I172" i="3" s="1"/>
  <c r="J201" i="3"/>
  <c r="E201" i="3" s="1"/>
  <c r="J215" i="3"/>
  <c r="I215" i="3" s="1"/>
  <c r="I99" i="3"/>
  <c r="C99" i="3"/>
  <c r="L19" i="3"/>
  <c r="G19" i="3" s="1"/>
  <c r="I19" i="3"/>
  <c r="C19" i="3"/>
  <c r="L198" i="3"/>
  <c r="G198" i="3" s="1"/>
  <c r="I198" i="3"/>
  <c r="L189" i="3"/>
  <c r="G189" i="3" s="1"/>
  <c r="C189" i="3"/>
  <c r="L123" i="3"/>
  <c r="G123" i="3" s="1"/>
  <c r="E123" i="3"/>
  <c r="I61" i="3"/>
  <c r="C61" i="3"/>
  <c r="L142" i="3"/>
  <c r="G142" i="3" s="1"/>
  <c r="E142" i="3"/>
  <c r="E37" i="3"/>
  <c r="E180" i="3"/>
  <c r="L156" i="3"/>
  <c r="G156" i="3" s="1"/>
  <c r="I156" i="3"/>
  <c r="E156" i="3"/>
  <c r="L31" i="3"/>
  <c r="G31" i="3" s="1"/>
  <c r="C31" i="3"/>
  <c r="I31" i="3"/>
  <c r="I94" i="3"/>
  <c r="E152" i="3"/>
  <c r="C152" i="3"/>
  <c r="I180" i="3"/>
  <c r="C214" i="3"/>
  <c r="E99" i="3"/>
  <c r="C13" i="3"/>
  <c r="E19" i="3"/>
  <c r="E55" i="3"/>
  <c r="I106" i="3"/>
  <c r="E116" i="3"/>
  <c r="D69" i="2"/>
  <c r="C139" i="3"/>
  <c r="L179" i="3"/>
  <c r="G179" i="3" s="1"/>
  <c r="L61" i="3"/>
  <c r="G61" i="3" s="1"/>
  <c r="L80" i="3"/>
  <c r="G80" i="3" s="1"/>
  <c r="I149" i="3"/>
  <c r="I88" i="3"/>
  <c r="C149" i="3"/>
  <c r="I152" i="3"/>
  <c r="C142" i="3"/>
  <c r="L88" i="3"/>
  <c r="G88" i="3" s="1"/>
  <c r="L152" i="3"/>
  <c r="G152" i="3" s="1"/>
  <c r="L200" i="3"/>
  <c r="G200" i="3" s="1"/>
  <c r="I133" i="3"/>
  <c r="E179" i="3"/>
  <c r="L149" i="3"/>
  <c r="G149" i="3" s="1"/>
  <c r="C81" i="3"/>
  <c r="I151" i="3"/>
  <c r="C213" i="3"/>
  <c r="E117" i="3"/>
  <c r="I162" i="3"/>
  <c r="I206" i="3"/>
  <c r="C156" i="3"/>
  <c r="I7" i="3"/>
  <c r="E198" i="3"/>
  <c r="I181" i="3"/>
  <c r="E162" i="3"/>
  <c r="E130" i="3"/>
  <c r="L94" i="3"/>
  <c r="G94" i="3" s="1"/>
  <c r="L206" i="3"/>
  <c r="G206" i="3" s="1"/>
  <c r="I179" i="3"/>
  <c r="I148" i="3"/>
  <c r="L13" i="3"/>
  <c r="G13" i="3" s="1"/>
  <c r="L157" i="3"/>
  <c r="G157" i="3" s="1"/>
  <c r="E13" i="3"/>
  <c r="L117" i="3"/>
  <c r="G117" i="3" s="1"/>
  <c r="L214" i="3"/>
  <c r="G214" i="3" s="1"/>
  <c r="E88" i="3"/>
  <c r="L213" i="3"/>
  <c r="G213" i="3" s="1"/>
  <c r="C198" i="3"/>
  <c r="E128" i="3"/>
  <c r="I128" i="3"/>
  <c r="E171" i="3"/>
  <c r="E127" i="3"/>
  <c r="E214" i="3"/>
  <c r="I20" i="3"/>
  <c r="L116" i="3"/>
  <c r="G116" i="3" s="1"/>
  <c r="C132" i="3"/>
  <c r="C128" i="3"/>
  <c r="E183" i="3"/>
  <c r="C183" i="3"/>
  <c r="L183" i="3"/>
  <c r="G183" i="3" s="1"/>
  <c r="I87" i="3"/>
  <c r="C151" i="3"/>
  <c r="L151" i="3"/>
  <c r="G151" i="3" s="1"/>
  <c r="I12" i="3"/>
  <c r="L12" i="3"/>
  <c r="G12" i="3" s="1"/>
  <c r="L199" i="3"/>
  <c r="G199" i="3" s="1"/>
  <c r="L141" i="3"/>
  <c r="G141" i="3" s="1"/>
  <c r="E141" i="3"/>
  <c r="I116" i="3"/>
  <c r="C141" i="3"/>
  <c r="C150" i="3"/>
  <c r="E150" i="3"/>
  <c r="C12" i="3"/>
  <c r="I199" i="3"/>
  <c r="L178" i="3"/>
  <c r="G178" i="3" s="1"/>
  <c r="C178" i="3"/>
  <c r="I178" i="3"/>
  <c r="E178" i="3"/>
  <c r="I169" i="3"/>
  <c r="L169" i="3"/>
  <c r="G169" i="3" s="1"/>
  <c r="C169" i="3"/>
  <c r="L160" i="3"/>
  <c r="G160" i="3" s="1"/>
  <c r="I160" i="3"/>
  <c r="C140" i="3"/>
  <c r="I140" i="3"/>
  <c r="L140" i="3"/>
  <c r="G140" i="3" s="1"/>
  <c r="G62" i="2"/>
  <c r="L130" i="3"/>
  <c r="G130" i="3" s="1"/>
  <c r="C115" i="3"/>
  <c r="I115" i="3"/>
  <c r="E115" i="3"/>
  <c r="C43" i="3"/>
  <c r="I43" i="3"/>
  <c r="L43" i="3"/>
  <c r="G43" i="3" s="1"/>
  <c r="C124" i="3"/>
  <c r="L124" i="3"/>
  <c r="G124" i="3" s="1"/>
  <c r="E124" i="3"/>
  <c r="E161" i="3"/>
  <c r="I161" i="3"/>
  <c r="L161" i="3"/>
  <c r="G161" i="3" s="1"/>
  <c r="I130" i="3"/>
  <c r="I177" i="3"/>
  <c r="E159" i="3"/>
  <c r="C159" i="3"/>
  <c r="I159" i="3"/>
  <c r="L159" i="3"/>
  <c r="G159" i="3" s="1"/>
  <c r="L49" i="3"/>
  <c r="G49" i="3" s="1"/>
  <c r="C49" i="3"/>
  <c r="I26" i="3"/>
  <c r="E26" i="3"/>
  <c r="C26" i="3"/>
  <c r="L81" i="3"/>
  <c r="G81" i="3" s="1"/>
  <c r="E12" i="3"/>
  <c r="I183" i="3"/>
  <c r="C168" i="3"/>
  <c r="E168" i="3"/>
  <c r="L168" i="3"/>
  <c r="G168" i="3" s="1"/>
  <c r="E87" i="3"/>
  <c r="I68" i="3"/>
  <c r="L68" i="3"/>
  <c r="G68" i="3" s="1"/>
  <c r="C68" i="3"/>
  <c r="E43" i="3"/>
  <c r="L177" i="3"/>
  <c r="G177" i="3" s="1"/>
  <c r="E177" i="3"/>
  <c r="L87" i="3"/>
  <c r="G87" i="3" s="1"/>
  <c r="L67" i="3"/>
  <c r="G67" i="3" s="1"/>
  <c r="E67" i="3"/>
  <c r="C7" i="3"/>
  <c r="L7" i="3"/>
  <c r="G7" i="3" s="1"/>
  <c r="L109" i="3"/>
  <c r="G109" i="3" s="1"/>
  <c r="E109" i="3"/>
  <c r="I109" i="3"/>
  <c r="C116" i="3"/>
  <c r="C125" i="3"/>
  <c r="L125" i="3"/>
  <c r="G125" i="3" s="1"/>
  <c r="L139" i="3"/>
  <c r="G139" i="3" s="1"/>
  <c r="L99" i="3"/>
  <c r="G99" i="3" s="1"/>
  <c r="L158" i="3"/>
  <c r="G158" i="3" s="1"/>
  <c r="E61" i="3"/>
  <c r="C127" i="3"/>
  <c r="E158" i="3"/>
  <c r="E80" i="3"/>
  <c r="E132" i="3"/>
  <c r="I126" i="3"/>
  <c r="C117" i="3"/>
  <c r="I74" i="3"/>
  <c r="L100" i="3"/>
  <c r="G100" i="3" s="1"/>
  <c r="C20" i="3"/>
  <c r="L74" i="3"/>
  <c r="G74" i="3" s="1"/>
  <c r="L126" i="3"/>
  <c r="G126" i="3" s="1"/>
  <c r="L50" i="3" l="1"/>
  <c r="G50" i="3" s="1"/>
  <c r="L69" i="3"/>
  <c r="G69" i="3" s="1"/>
  <c r="E14" i="3"/>
  <c r="E50" i="3"/>
  <c r="C50" i="3"/>
  <c r="E143" i="3"/>
  <c r="C184" i="3"/>
  <c r="E215" i="3"/>
  <c r="L14" i="3"/>
  <c r="G14" i="3" s="1"/>
  <c r="I14" i="3"/>
  <c r="E184" i="3"/>
  <c r="L215" i="3"/>
  <c r="G215" i="3" s="1"/>
  <c r="I62" i="3"/>
  <c r="C62" i="3"/>
  <c r="C215" i="3"/>
  <c r="I110" i="3"/>
  <c r="I89" i="3"/>
  <c r="L62" i="3"/>
  <c r="G62" i="3" s="1"/>
  <c r="L184" i="3"/>
  <c r="G184" i="3" s="1"/>
  <c r="E89" i="3"/>
  <c r="L143" i="3"/>
  <c r="G143" i="3" s="1"/>
  <c r="C143" i="3"/>
  <c r="C89" i="3"/>
  <c r="I163" i="3"/>
  <c r="C134" i="3"/>
  <c r="C75" i="3"/>
  <c r="C69" i="3"/>
  <c r="E69" i="3"/>
  <c r="I134" i="3"/>
  <c r="L134" i="3"/>
  <c r="G134" i="3" s="1"/>
  <c r="G69" i="2"/>
  <c r="L82" i="3"/>
  <c r="G82" i="3" s="1"/>
  <c r="I118" i="3"/>
  <c r="E44" i="3"/>
  <c r="E118" i="3"/>
  <c r="E82" i="3"/>
  <c r="I75" i="3"/>
  <c r="E75" i="3"/>
  <c r="I201" i="3"/>
  <c r="C82" i="3"/>
  <c r="C118" i="3"/>
  <c r="L101" i="3"/>
  <c r="G101" i="3" s="1"/>
  <c r="I101" i="3"/>
  <c r="I44" i="3"/>
  <c r="E32" i="3"/>
  <c r="L172" i="3"/>
  <c r="G172" i="3" s="1"/>
  <c r="E172" i="3"/>
  <c r="C172" i="3"/>
  <c r="L110" i="3"/>
  <c r="G110" i="3" s="1"/>
  <c r="E110" i="3"/>
  <c r="C21" i="3"/>
  <c r="E21" i="3"/>
  <c r="L21" i="3"/>
  <c r="G21" i="3" s="1"/>
  <c r="I32" i="3"/>
  <c r="L201" i="3"/>
  <c r="G201" i="3" s="1"/>
  <c r="C201" i="3"/>
  <c r="C163" i="3"/>
  <c r="L163" i="3"/>
  <c r="G163" i="3" s="1"/>
  <c r="C101" i="3"/>
  <c r="C44" i="3"/>
  <c r="C32" i="3"/>
</calcChain>
</file>

<file path=xl/sharedStrings.xml><?xml version="1.0" encoding="utf-8"?>
<sst xmlns="http://schemas.openxmlformats.org/spreadsheetml/2006/main" count="604" uniqueCount="134">
  <si>
    <t>Total</t>
  </si>
  <si>
    <t>Putnam</t>
  </si>
  <si>
    <t>Columbia</t>
  </si>
  <si>
    <t>Greene</t>
  </si>
  <si>
    <t>Warren</t>
  </si>
  <si>
    <t>Washington</t>
  </si>
  <si>
    <t>Albany</t>
  </si>
  <si>
    <t>Montgomery</t>
  </si>
  <si>
    <t>Schenectady</t>
  </si>
  <si>
    <t>Schoharie</t>
  </si>
  <si>
    <t>Sullivan</t>
  </si>
  <si>
    <t>Ulster</t>
  </si>
  <si>
    <t>Clinton</t>
  </si>
  <si>
    <t>Franklin</t>
  </si>
  <si>
    <t>Hamilton</t>
  </si>
  <si>
    <t>Jefferson</t>
  </si>
  <si>
    <t>Lewis</t>
  </si>
  <si>
    <t>Madison</t>
  </si>
  <si>
    <t>Oswego</t>
  </si>
  <si>
    <t>St. Lawrence</t>
  </si>
  <si>
    <t>Chenango</t>
  </si>
  <si>
    <t>Cortland</t>
  </si>
  <si>
    <t>Herkimer</t>
  </si>
  <si>
    <t>Seneca</t>
  </si>
  <si>
    <t>Onondaga</t>
  </si>
  <si>
    <t>Wayne</t>
  </si>
  <si>
    <t>Genesee</t>
  </si>
  <si>
    <t>Livingston</t>
  </si>
  <si>
    <t>Wyoming</t>
  </si>
  <si>
    <t>Chautauqua</t>
  </si>
  <si>
    <t>Allegany</t>
  </si>
  <si>
    <t>Cattaraugus</t>
  </si>
  <si>
    <t>Chemung</t>
  </si>
  <si>
    <t>Schuyler</t>
  </si>
  <si>
    <t>Steuben</t>
  </si>
  <si>
    <t>Yates</t>
  </si>
  <si>
    <t>Broome</t>
  </si>
  <si>
    <t>Cayuga</t>
  </si>
  <si>
    <t>Delaware</t>
  </si>
  <si>
    <t>Dutchess</t>
  </si>
  <si>
    <t>Erie</t>
  </si>
  <si>
    <t>Essex</t>
  </si>
  <si>
    <t>Fulton</t>
  </si>
  <si>
    <t>Monroe</t>
  </si>
  <si>
    <t>Nassau</t>
  </si>
  <si>
    <t>Niagara</t>
  </si>
  <si>
    <t>Oneida</t>
  </si>
  <si>
    <t>Ontario</t>
  </si>
  <si>
    <t>Orange</t>
  </si>
  <si>
    <t>Orleans</t>
  </si>
  <si>
    <t>Otsego</t>
  </si>
  <si>
    <t>Rensselaer</t>
  </si>
  <si>
    <t>Rockland</t>
  </si>
  <si>
    <t>Saratoga</t>
  </si>
  <si>
    <t>Suffolk</t>
  </si>
  <si>
    <t>Tioga</t>
  </si>
  <si>
    <t>Tompkins</t>
  </si>
  <si>
    <t>Westchester</t>
  </si>
  <si>
    <t>Bronx</t>
  </si>
  <si>
    <t>Kings</t>
  </si>
  <si>
    <t>New York</t>
  </si>
  <si>
    <t>Queens</t>
  </si>
  <si>
    <t>Richmond</t>
  </si>
  <si>
    <t>Total NYC</t>
  </si>
  <si>
    <t>1st Congressional District</t>
  </si>
  <si>
    <t>Part of Suffolk</t>
  </si>
  <si>
    <t>2nd Congressional District</t>
  </si>
  <si>
    <t>Part of Nassau</t>
  </si>
  <si>
    <t>3rd Congressional District</t>
  </si>
  <si>
    <t>4th Congressional District</t>
  </si>
  <si>
    <t>5th Congressional District</t>
  </si>
  <si>
    <t>Part of Queens</t>
  </si>
  <si>
    <t>6th Congressional District</t>
  </si>
  <si>
    <t>7th Congressional District</t>
  </si>
  <si>
    <t>Part of Bronx</t>
  </si>
  <si>
    <t>8th Congressional District</t>
  </si>
  <si>
    <t>Part of Kings</t>
  </si>
  <si>
    <t>Part of New York</t>
  </si>
  <si>
    <t>9th Congressional District</t>
  </si>
  <si>
    <t>10th Congressional District</t>
  </si>
  <si>
    <t>11th Congressional District</t>
  </si>
  <si>
    <t>12th Congressional District</t>
  </si>
  <si>
    <t>13th Congressional District</t>
  </si>
  <si>
    <t>14th Congressional District</t>
  </si>
  <si>
    <t>15th Congressional District</t>
  </si>
  <si>
    <t>16th Congressional District</t>
  </si>
  <si>
    <t>17th Congressional District</t>
  </si>
  <si>
    <t>Part of Westchester</t>
  </si>
  <si>
    <t>18th Congressional District</t>
  </si>
  <si>
    <t>19th Congressional District</t>
  </si>
  <si>
    <t>Part of Dutchess</t>
  </si>
  <si>
    <t>20th Congressional District</t>
  </si>
  <si>
    <t>Part of Rensselaer</t>
  </si>
  <si>
    <t>21st Congressional District</t>
  </si>
  <si>
    <t>22nd Congressional District</t>
  </si>
  <si>
    <t>23rd Congressional District</t>
  </si>
  <si>
    <t>24th Congressional District</t>
  </si>
  <si>
    <t>25th Congressional District</t>
  </si>
  <si>
    <t>26th Congressional District</t>
  </si>
  <si>
    <t>Part of Erie</t>
  </si>
  <si>
    <t>Part of Niagara</t>
  </si>
  <si>
    <t>County</t>
  </si>
  <si>
    <t>Grand Total</t>
  </si>
  <si>
    <t>Republican Presidential Primary by County</t>
  </si>
  <si>
    <t>Republican Presidential Primary by CD</t>
  </si>
  <si>
    <t>Donald J. Trump</t>
  </si>
  <si>
    <t>Part of Oswego</t>
  </si>
  <si>
    <t>Donald J.</t>
  </si>
  <si>
    <t>Trump</t>
  </si>
  <si>
    <t>Trump %</t>
  </si>
  <si>
    <t>Blank, Void</t>
  </si>
  <si>
    <t>Blank &amp; Void</t>
  </si>
  <si>
    <t>Total with Blanks/Voids</t>
  </si>
  <si>
    <t>Total W/O Blanks/Voids</t>
  </si>
  <si>
    <t>Vivek Ramaswamy</t>
  </si>
  <si>
    <t>Chris Christie</t>
  </si>
  <si>
    <t>Nikki R. Haley</t>
  </si>
  <si>
    <t>Vivek</t>
  </si>
  <si>
    <t>Chris</t>
  </si>
  <si>
    <t>Nikki R.</t>
  </si>
  <si>
    <t>Ramaswamy</t>
  </si>
  <si>
    <t>Ramaswamy %</t>
  </si>
  <si>
    <t>Christie</t>
  </si>
  <si>
    <t>Christie %</t>
  </si>
  <si>
    <t>Haley</t>
  </si>
  <si>
    <t>Haley %</t>
  </si>
  <si>
    <t>Part of Ulster</t>
  </si>
  <si>
    <t>Part of Otsego</t>
  </si>
  <si>
    <t>Part of Jefferson</t>
  </si>
  <si>
    <t>Part of Orleans</t>
  </si>
  <si>
    <t>Revision History</t>
  </si>
  <si>
    <t>Date</t>
  </si>
  <si>
    <t>Description of changes</t>
  </si>
  <si>
    <t>Christie (REP) -12; Haley (REP) -22; Trump (REP) -473; Blank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</si>
</sst>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0.0%"/>
    <numFmt numFmtId="166" formatCode="m/d/yyyy;@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b/>
      <sz val="8.5"/>
      <color theme="1"/>
      <name val="Arial"/>
      <family val="2"/>
    </font>
    <font>
      <sz val="10"/>
      <name val="Arial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textRotation="45"/>
    </xf>
    <xf numFmtId="0" fontId="2" fillId="0" borderId="0" xfId="0" applyFont="1" applyAlignment="1" applyProtection="1">
      <alignment textRotation="45"/>
    </xf>
    <xf numFmtId="38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38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right" indent="1"/>
    </xf>
    <xf numFmtId="0" fontId="2" fillId="0" borderId="1" xfId="0" applyFont="1" applyFill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3" xfId="0" applyFont="1" applyBorder="1" applyAlignment="1">
      <alignment horizontal="right" inden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9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5" xfId="0" applyFont="1" applyBorder="1" applyAlignment="1">
      <alignment wrapText="1"/>
    </xf>
    <xf numFmtId="3" fontId="6" fillId="0" borderId="5" xfId="0" applyNumberFormat="1" applyFont="1" applyBorder="1" applyAlignment="1" applyProtection="1">
      <alignment wrapText="1"/>
      <protection locked="0"/>
    </xf>
    <xf numFmtId="3" fontId="5" fillId="0" borderId="7" xfId="0" applyNumberFormat="1" applyFont="1" applyFill="1" applyBorder="1" applyAlignment="1">
      <alignment wrapText="1"/>
    </xf>
    <xf numFmtId="3" fontId="5" fillId="0" borderId="7" xfId="0" applyNumberFormat="1" applyFont="1" applyBorder="1" applyAlignment="1">
      <alignment wrapText="1"/>
    </xf>
    <xf numFmtId="0" fontId="5" fillId="0" borderId="4" xfId="0" applyFont="1" applyBorder="1" applyAlignment="1">
      <alignment wrapText="1"/>
    </xf>
    <xf numFmtId="3" fontId="6" fillId="0" borderId="4" xfId="0" applyNumberFormat="1" applyFont="1" applyBorder="1" applyAlignment="1" applyProtection="1">
      <alignment wrapText="1"/>
      <protection locked="0"/>
    </xf>
    <xf numFmtId="3" fontId="5" fillId="0" borderId="4" xfId="0" applyNumberFormat="1" applyFont="1" applyBorder="1" applyAlignment="1">
      <alignment horizontal="right" indent="1"/>
    </xf>
    <xf numFmtId="0" fontId="5" fillId="0" borderId="8" xfId="0" applyFont="1" applyBorder="1" applyAlignment="1">
      <alignment horizontal="right" wrapText="1"/>
    </xf>
    <xf numFmtId="3" fontId="5" fillId="0" borderId="8" xfId="0" applyNumberFormat="1" applyFont="1" applyFill="1" applyBorder="1" applyAlignment="1">
      <alignment wrapText="1"/>
    </xf>
    <xf numFmtId="3" fontId="5" fillId="0" borderId="8" xfId="0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10" fillId="0" borderId="5" xfId="0" applyFont="1" applyBorder="1"/>
    <xf numFmtId="0" fontId="6" fillId="0" borderId="5" xfId="0" applyFont="1" applyBorder="1"/>
    <xf numFmtId="3" fontId="6" fillId="0" borderId="5" xfId="0" applyNumberFormat="1" applyFont="1" applyBorder="1"/>
    <xf numFmtId="3" fontId="5" fillId="0" borderId="5" xfId="0" applyNumberFormat="1" applyFont="1" applyBorder="1"/>
    <xf numFmtId="0" fontId="2" fillId="2" borderId="5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textRotation="45" wrapText="1"/>
    </xf>
    <xf numFmtId="0" fontId="2" fillId="2" borderId="5" xfId="0" applyFont="1" applyFill="1" applyBorder="1" applyAlignment="1" applyProtection="1">
      <alignment horizontal="center"/>
    </xf>
    <xf numFmtId="3" fontId="2" fillId="0" borderId="0" xfId="0" applyNumberFormat="1" applyFont="1" applyFill="1" applyBorder="1"/>
    <xf numFmtId="3" fontId="6" fillId="0" borderId="0" xfId="0" applyNumberFormat="1" applyFont="1" applyBorder="1" applyAlignment="1" applyProtection="1">
      <alignment wrapText="1"/>
      <protection locked="0"/>
    </xf>
    <xf numFmtId="3" fontId="6" fillId="0" borderId="0" xfId="0" applyNumberFormat="1" applyFont="1" applyBorder="1"/>
    <xf numFmtId="9" fontId="6" fillId="0" borderId="0" xfId="1" applyFont="1"/>
    <xf numFmtId="9" fontId="6" fillId="0" borderId="5" xfId="1" applyFont="1" applyBorder="1"/>
    <xf numFmtId="9" fontId="3" fillId="0" borderId="0" xfId="1" applyFont="1"/>
    <xf numFmtId="0" fontId="10" fillId="2" borderId="5" xfId="0" applyFont="1" applyFill="1" applyBorder="1" applyAlignment="1">
      <alignment horizontal="center"/>
    </xf>
    <xf numFmtId="9" fontId="10" fillId="2" borderId="5" xfId="1" applyFont="1" applyFill="1" applyBorder="1" applyAlignment="1">
      <alignment horizontal="center"/>
    </xf>
    <xf numFmtId="0" fontId="5" fillId="2" borderId="5" xfId="0" applyFont="1" applyFill="1" applyBorder="1"/>
    <xf numFmtId="0" fontId="10" fillId="2" borderId="5" xfId="0" applyFont="1" applyFill="1" applyBorder="1" applyAlignment="1">
      <alignment horizontal="center" wrapText="1"/>
    </xf>
    <xf numFmtId="3" fontId="6" fillId="0" borderId="5" xfId="0" applyNumberFormat="1" applyFont="1" applyBorder="1" applyAlignment="1"/>
    <xf numFmtId="165" fontId="6" fillId="0" borderId="5" xfId="1" applyNumberFormat="1" applyFont="1" applyBorder="1"/>
    <xf numFmtId="3" fontId="6" fillId="0" borderId="9" xfId="0" applyNumberFormat="1" applyFont="1" applyBorder="1"/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7" fillId="0" borderId="0" xfId="0" applyFont="1"/>
    <xf numFmtId="0" fontId="11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3" fontId="8" fillId="0" borderId="5" xfId="0" applyNumberFormat="1" applyFont="1" applyBorder="1"/>
    <xf numFmtId="0" fontId="8" fillId="2" borderId="5" xfId="0" applyFont="1" applyFill="1" applyBorder="1"/>
    <xf numFmtId="3" fontId="3" fillId="0" borderId="5" xfId="0" applyNumberFormat="1" applyFont="1" applyFill="1" applyBorder="1"/>
    <xf numFmtId="0" fontId="5" fillId="0" borderId="9" xfId="0" applyFont="1" applyBorder="1" applyAlignment="1">
      <alignment wrapText="1"/>
    </xf>
    <xf numFmtId="0" fontId="5" fillId="0" borderId="12" xfId="0" applyFont="1" applyBorder="1" applyAlignment="1">
      <alignment horizontal="right" wrapText="1"/>
    </xf>
    <xf numFmtId="3" fontId="5" fillId="0" borderId="13" xfId="0" applyNumberFormat="1" applyFont="1" applyBorder="1" applyAlignment="1">
      <alignment horizontal="right"/>
    </xf>
    <xf numFmtId="3" fontId="6" fillId="0" borderId="9" xfId="0" applyNumberFormat="1" applyFont="1" applyBorder="1" applyAlignment="1" applyProtection="1">
      <alignment wrapText="1"/>
      <protection locked="0"/>
    </xf>
    <xf numFmtId="3" fontId="5" fillId="0" borderId="13" xfId="0" applyNumberFormat="1" applyFont="1" applyBorder="1" applyAlignment="1">
      <alignment horizontal="right" indent="1"/>
    </xf>
    <xf numFmtId="0" fontId="6" fillId="0" borderId="14" xfId="0" applyFont="1" applyBorder="1"/>
    <xf numFmtId="0" fontId="12" fillId="0" borderId="0" xfId="2" applyAlignment="1">
      <alignment vertical="top"/>
    </xf>
    <xf numFmtId="166" fontId="14" fillId="0" borderId="0" xfId="2" applyNumberFormat="1" applyFont="1" applyAlignment="1">
      <alignment vertical="top"/>
    </xf>
    <xf numFmtId="0" fontId="14" fillId="0" borderId="0" xfId="2" applyFont="1" applyAlignment="1">
      <alignment vertical="top"/>
    </xf>
    <xf numFmtId="166" fontId="15" fillId="0" borderId="0" xfId="2" applyNumberFormat="1" applyFont="1" applyAlignment="1">
      <alignment vertical="top"/>
    </xf>
    <xf numFmtId="0" fontId="6" fillId="0" borderId="0" xfId="2" applyFont="1" applyAlignment="1">
      <alignment vertical="top"/>
    </xf>
    <xf numFmtId="0" fontId="15" fillId="0" borderId="0" xfId="2" applyFont="1" applyAlignment="1">
      <alignment vertical="top"/>
    </xf>
    <xf numFmtId="166" fontId="12" fillId="0" borderId="0" xfId="2" applyNumberFormat="1" applyAlignment="1">
      <alignment vertical="top"/>
    </xf>
    <xf numFmtId="0" fontId="2" fillId="0" borderId="0" xfId="2" applyFont="1" applyAlignment="1">
      <alignment vertical="top"/>
    </xf>
    <xf numFmtId="166" fontId="12" fillId="0" borderId="10" xfId="2" applyNumberFormat="1" applyBorder="1" applyAlignment="1">
      <alignment vertical="top"/>
    </xf>
    <xf numFmtId="0" fontId="12" fillId="0" borderId="10" xfId="2" applyBorder="1" applyAlignment="1">
      <alignment vertical="top"/>
    </xf>
    <xf numFmtId="0" fontId="1" fillId="0" borderId="10" xfId="2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0" fillId="0" borderId="0" xfId="0" applyAlignment="1"/>
    <xf numFmtId="16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2" applyFont="1" applyAlignment="1">
      <alignment horizontal="left" vertical="top"/>
    </xf>
  </cellXfs>
  <cellStyles count="3">
    <cellStyle name="Normal" xfId="0" builtinId="0"/>
    <cellStyle name="Normal 2" xfId="2" xr:uid="{52C942CC-B53C-4115-BDE3-396E4AB7E9D3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4"/>
  <sheetViews>
    <sheetView tabSelected="1" zoomScaleNormal="100" zoomScaleSheetLayoutView="100" workbookViewId="0">
      <pane ySplit="4" topLeftCell="A12" activePane="bottomLeft" state="frozen"/>
      <selection pane="bottomLeft" activeCell="G25" sqref="G25"/>
    </sheetView>
  </sheetViews>
  <sheetFormatPr defaultRowHeight="12.75" x14ac:dyDescent="0.2"/>
  <cols>
    <col min="1" max="1" width="12" style="14" customWidth="1"/>
    <col min="2" max="5" width="9.7109375" style="13" customWidth="1"/>
    <col min="6" max="6" width="7.85546875" style="54" customWidth="1"/>
    <col min="7" max="7" width="15" style="11" customWidth="1"/>
    <col min="8" max="8" width="17.28515625" style="2" customWidth="1"/>
    <col min="9" max="9" width="12" style="2" customWidth="1"/>
    <col min="10" max="10" width="11" style="2" customWidth="1"/>
    <col min="11" max="28" width="9.140625" style="2"/>
    <col min="29" max="16384" width="9.140625" style="1"/>
  </cols>
  <sheetData>
    <row r="1" spans="1:28" s="20" customFormat="1" ht="20.25" x14ac:dyDescent="0.3">
      <c r="A1" s="78" t="s">
        <v>103</v>
      </c>
      <c r="B1" s="79"/>
      <c r="C1" s="79"/>
      <c r="D1" s="79"/>
      <c r="E1" s="79"/>
      <c r="F1" s="79"/>
      <c r="G1" s="79"/>
    </row>
    <row r="2" spans="1:28" s="20" customFormat="1" ht="20.25" x14ac:dyDescent="0.3">
      <c r="A2" s="80">
        <v>45384</v>
      </c>
      <c r="B2" s="81"/>
      <c r="C2" s="81"/>
      <c r="D2" s="81"/>
      <c r="E2" s="81"/>
      <c r="F2" s="81"/>
      <c r="G2" s="81"/>
    </row>
    <row r="3" spans="1:28" s="20" customFormat="1" ht="20.25" x14ac:dyDescent="0.3">
      <c r="A3" s="18"/>
      <c r="B3" s="19"/>
      <c r="C3" s="19"/>
      <c r="D3" s="19"/>
      <c r="E3" s="19"/>
      <c r="F3" s="19"/>
    </row>
    <row r="4" spans="1:28" s="4" customFormat="1" ht="55.5" customHeight="1" x14ac:dyDescent="0.2">
      <c r="A4" s="37" t="s">
        <v>101</v>
      </c>
      <c r="B4" s="38" t="s">
        <v>114</v>
      </c>
      <c r="C4" s="38" t="s">
        <v>115</v>
      </c>
      <c r="D4" s="38" t="s">
        <v>116</v>
      </c>
      <c r="E4" s="38" t="s">
        <v>105</v>
      </c>
      <c r="F4" s="38" t="s">
        <v>111</v>
      </c>
      <c r="G4" s="39" t="s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0.100000000000001" customHeight="1" x14ac:dyDescent="0.2">
      <c r="A5" s="25" t="s">
        <v>6</v>
      </c>
      <c r="B5" s="22">
        <v>37</v>
      </c>
      <c r="C5" s="22">
        <v>146</v>
      </c>
      <c r="D5" s="22">
        <v>372</v>
      </c>
      <c r="E5" s="22">
        <v>1791</v>
      </c>
      <c r="F5" s="22">
        <v>15</v>
      </c>
      <c r="G5" s="27">
        <f>SUM(B5:F5)</f>
        <v>2361</v>
      </c>
    </row>
    <row r="6" spans="1:28" ht="20.100000000000001" customHeight="1" x14ac:dyDescent="0.2">
      <c r="A6" s="21" t="s">
        <v>30</v>
      </c>
      <c r="B6" s="22">
        <v>18</v>
      </c>
      <c r="C6" s="22">
        <v>31</v>
      </c>
      <c r="D6" s="22">
        <v>144</v>
      </c>
      <c r="E6" s="22">
        <v>909</v>
      </c>
      <c r="F6" s="22">
        <v>17</v>
      </c>
      <c r="G6" s="27">
        <f t="shared" ref="G6:G61" si="0">SUM(B6:F6)</f>
        <v>1119</v>
      </c>
    </row>
    <row r="7" spans="1:28" ht="20.100000000000001" customHeight="1" x14ac:dyDescent="0.2">
      <c r="A7" s="21" t="s">
        <v>36</v>
      </c>
      <c r="B7" s="22">
        <v>30</v>
      </c>
      <c r="C7" s="22">
        <v>202</v>
      </c>
      <c r="D7" s="22">
        <v>566</v>
      </c>
      <c r="E7" s="22">
        <v>3109</v>
      </c>
      <c r="F7" s="22">
        <v>23</v>
      </c>
      <c r="G7" s="27">
        <f t="shared" si="0"/>
        <v>3930</v>
      </c>
    </row>
    <row r="8" spans="1:28" ht="20.100000000000001" customHeight="1" x14ac:dyDescent="0.2">
      <c r="A8" s="21" t="s">
        <v>31</v>
      </c>
      <c r="B8" s="22">
        <v>19</v>
      </c>
      <c r="C8" s="22">
        <v>58</v>
      </c>
      <c r="D8" s="22">
        <v>173</v>
      </c>
      <c r="E8" s="22">
        <v>1201</v>
      </c>
      <c r="F8" s="22">
        <v>2</v>
      </c>
      <c r="G8" s="27">
        <f t="shared" si="0"/>
        <v>1453</v>
      </c>
    </row>
    <row r="9" spans="1:28" ht="20.100000000000001" customHeight="1" x14ac:dyDescent="0.2">
      <c r="A9" s="21" t="s">
        <v>37</v>
      </c>
      <c r="B9" s="22">
        <v>6</v>
      </c>
      <c r="C9" s="22">
        <v>49</v>
      </c>
      <c r="D9" s="22">
        <v>164</v>
      </c>
      <c r="E9" s="22">
        <v>795</v>
      </c>
      <c r="F9" s="22">
        <v>10</v>
      </c>
      <c r="G9" s="27">
        <f t="shared" si="0"/>
        <v>1024</v>
      </c>
    </row>
    <row r="10" spans="1:28" ht="20.100000000000001" customHeight="1" x14ac:dyDescent="0.2">
      <c r="A10" s="21" t="s">
        <v>29</v>
      </c>
      <c r="B10" s="22">
        <v>24</v>
      </c>
      <c r="C10" s="22">
        <v>74</v>
      </c>
      <c r="D10" s="22">
        <v>309</v>
      </c>
      <c r="E10" s="22">
        <v>1541</v>
      </c>
      <c r="F10" s="22">
        <v>17</v>
      </c>
      <c r="G10" s="27">
        <f t="shared" si="0"/>
        <v>1965</v>
      </c>
    </row>
    <row r="11" spans="1:28" ht="20.100000000000001" customHeight="1" x14ac:dyDescent="0.2">
      <c r="A11" s="21" t="s">
        <v>32</v>
      </c>
      <c r="B11" s="35">
        <v>29</v>
      </c>
      <c r="C11" s="35">
        <v>87</v>
      </c>
      <c r="D11" s="50">
        <v>258</v>
      </c>
      <c r="E11" s="50">
        <v>1362</v>
      </c>
      <c r="F11" s="22">
        <v>7</v>
      </c>
      <c r="G11" s="27">
        <f t="shared" si="0"/>
        <v>1743</v>
      </c>
    </row>
    <row r="12" spans="1:28" ht="20.100000000000001" customHeight="1" x14ac:dyDescent="0.2">
      <c r="A12" s="21" t="s">
        <v>20</v>
      </c>
      <c r="B12" s="22">
        <v>7</v>
      </c>
      <c r="C12" s="22">
        <v>48</v>
      </c>
      <c r="D12" s="22">
        <v>161</v>
      </c>
      <c r="E12" s="22">
        <v>741</v>
      </c>
      <c r="F12" s="22">
        <v>7</v>
      </c>
      <c r="G12" s="27">
        <f t="shared" si="0"/>
        <v>964</v>
      </c>
    </row>
    <row r="13" spans="1:28" ht="20.100000000000001" customHeight="1" x14ac:dyDescent="0.2">
      <c r="A13" s="21" t="s">
        <v>12</v>
      </c>
      <c r="B13" s="22">
        <v>9</v>
      </c>
      <c r="C13" s="22">
        <v>22</v>
      </c>
      <c r="D13" s="22">
        <v>129</v>
      </c>
      <c r="E13" s="22">
        <v>577</v>
      </c>
      <c r="F13" s="22">
        <v>9</v>
      </c>
      <c r="G13" s="27">
        <f t="shared" si="0"/>
        <v>746</v>
      </c>
    </row>
    <row r="14" spans="1:28" ht="20.100000000000001" customHeight="1" x14ac:dyDescent="0.2">
      <c r="A14" s="21" t="s">
        <v>2</v>
      </c>
      <c r="B14" s="22">
        <v>8</v>
      </c>
      <c r="C14" s="22">
        <v>33</v>
      </c>
      <c r="D14" s="22">
        <v>128</v>
      </c>
      <c r="E14" s="22">
        <v>672</v>
      </c>
      <c r="F14" s="22">
        <v>7</v>
      </c>
      <c r="G14" s="27">
        <f t="shared" si="0"/>
        <v>848</v>
      </c>
    </row>
    <row r="15" spans="1:28" ht="20.100000000000001" customHeight="1" x14ac:dyDescent="0.2">
      <c r="A15" s="21" t="s">
        <v>21</v>
      </c>
      <c r="B15" s="22">
        <v>10</v>
      </c>
      <c r="C15" s="22">
        <v>26</v>
      </c>
      <c r="D15" s="22">
        <v>134</v>
      </c>
      <c r="E15" s="22">
        <v>550</v>
      </c>
      <c r="F15" s="22">
        <v>7</v>
      </c>
      <c r="G15" s="27">
        <f t="shared" si="0"/>
        <v>727</v>
      </c>
    </row>
    <row r="16" spans="1:28" ht="20.100000000000001" customHeight="1" x14ac:dyDescent="0.2">
      <c r="A16" s="21" t="s">
        <v>38</v>
      </c>
      <c r="B16" s="35">
        <v>9</v>
      </c>
      <c r="C16" s="35">
        <v>25</v>
      </c>
      <c r="D16" s="35">
        <v>154</v>
      </c>
      <c r="E16" s="35">
        <v>873</v>
      </c>
      <c r="F16" s="35">
        <v>8</v>
      </c>
      <c r="G16" s="27">
        <f t="shared" si="0"/>
        <v>1069</v>
      </c>
    </row>
    <row r="17" spans="1:16" ht="20.100000000000001" customHeight="1" x14ac:dyDescent="0.2">
      <c r="A17" s="21" t="s">
        <v>39</v>
      </c>
      <c r="B17" s="60">
        <v>27</v>
      </c>
      <c r="C17" s="60">
        <f>23+115</f>
        <v>138</v>
      </c>
      <c r="D17" s="60">
        <f>58+328</f>
        <v>386</v>
      </c>
      <c r="E17" s="60">
        <f>638+2129</f>
        <v>2767</v>
      </c>
      <c r="F17" s="60">
        <f>3+17+6</f>
        <v>26</v>
      </c>
      <c r="G17" s="27">
        <f t="shared" si="0"/>
        <v>3344</v>
      </c>
      <c r="I17" s="41"/>
      <c r="J17" s="41"/>
      <c r="K17" s="41"/>
      <c r="L17" s="41"/>
      <c r="M17" s="41"/>
      <c r="N17" s="41"/>
    </row>
    <row r="18" spans="1:16" ht="20.100000000000001" customHeight="1" x14ac:dyDescent="0.2">
      <c r="A18" s="21" t="s">
        <v>40</v>
      </c>
      <c r="B18" s="22">
        <f>57+78</f>
        <v>135</v>
      </c>
      <c r="C18" s="22">
        <f>240+275</f>
        <v>515</v>
      </c>
      <c r="D18" s="22">
        <f>692+670</f>
        <v>1362</v>
      </c>
      <c r="E18" s="22">
        <f>3787+2756</f>
        <v>6543</v>
      </c>
      <c r="F18" s="22">
        <f>40+34</f>
        <v>74</v>
      </c>
      <c r="G18" s="27">
        <f t="shared" si="0"/>
        <v>8629</v>
      </c>
      <c r="I18" s="42"/>
      <c r="J18" s="42"/>
      <c r="K18" s="42"/>
      <c r="L18" s="42"/>
      <c r="M18" s="42"/>
      <c r="N18" s="42"/>
    </row>
    <row r="19" spans="1:16" ht="20.100000000000001" customHeight="1" x14ac:dyDescent="0.2">
      <c r="A19" s="21" t="s">
        <v>41</v>
      </c>
      <c r="B19" s="22">
        <v>8</v>
      </c>
      <c r="C19" s="22">
        <v>25</v>
      </c>
      <c r="D19" s="22">
        <v>149</v>
      </c>
      <c r="E19" s="22">
        <v>515</v>
      </c>
      <c r="F19" s="22">
        <v>11</v>
      </c>
      <c r="G19" s="27">
        <f t="shared" si="0"/>
        <v>708</v>
      </c>
      <c r="I19" s="40"/>
      <c r="J19" s="40"/>
      <c r="K19" s="40"/>
      <c r="L19" s="40"/>
      <c r="M19" s="40"/>
      <c r="N19" s="40"/>
      <c r="P19" s="40"/>
    </row>
    <row r="20" spans="1:16" ht="20.100000000000001" customHeight="1" x14ac:dyDescent="0.2">
      <c r="A20" s="21" t="s">
        <v>13</v>
      </c>
      <c r="B20" s="22">
        <v>9</v>
      </c>
      <c r="C20" s="22">
        <v>25</v>
      </c>
      <c r="D20" s="22">
        <v>67</v>
      </c>
      <c r="E20" s="22">
        <v>379</v>
      </c>
      <c r="F20" s="22">
        <v>6</v>
      </c>
      <c r="G20" s="27">
        <f t="shared" si="0"/>
        <v>486</v>
      </c>
    </row>
    <row r="21" spans="1:16" ht="20.100000000000001" customHeight="1" x14ac:dyDescent="0.2">
      <c r="A21" s="21" t="s">
        <v>42</v>
      </c>
      <c r="B21" s="22">
        <v>19</v>
      </c>
      <c r="C21" s="22">
        <v>37</v>
      </c>
      <c r="D21" s="22">
        <v>160</v>
      </c>
      <c r="E21" s="22">
        <v>1092</v>
      </c>
      <c r="F21" s="22">
        <v>3</v>
      </c>
      <c r="G21" s="27">
        <f t="shared" si="0"/>
        <v>1311</v>
      </c>
    </row>
    <row r="22" spans="1:16" ht="20.100000000000001" customHeight="1" x14ac:dyDescent="0.2">
      <c r="A22" s="21" t="s">
        <v>26</v>
      </c>
      <c r="B22" s="22">
        <v>9</v>
      </c>
      <c r="C22" s="22">
        <v>36</v>
      </c>
      <c r="D22" s="22">
        <v>135</v>
      </c>
      <c r="E22" s="22">
        <v>821</v>
      </c>
      <c r="F22" s="22">
        <v>9</v>
      </c>
      <c r="G22" s="27">
        <f t="shared" si="0"/>
        <v>1010</v>
      </c>
    </row>
    <row r="23" spans="1:16" ht="20.100000000000001" customHeight="1" x14ac:dyDescent="0.2">
      <c r="A23" s="21" t="s">
        <v>3</v>
      </c>
      <c r="B23" s="22">
        <v>11</v>
      </c>
      <c r="C23" s="22">
        <v>28</v>
      </c>
      <c r="D23" s="22">
        <v>90</v>
      </c>
      <c r="E23" s="22">
        <v>850</v>
      </c>
      <c r="F23" s="22">
        <v>5</v>
      </c>
      <c r="G23" s="27">
        <f t="shared" si="0"/>
        <v>984</v>
      </c>
    </row>
    <row r="24" spans="1:16" ht="20.100000000000001" customHeight="1" x14ac:dyDescent="0.2">
      <c r="A24" s="21" t="s">
        <v>14</v>
      </c>
      <c r="B24" s="22">
        <v>3</v>
      </c>
      <c r="C24" s="22">
        <v>8</v>
      </c>
      <c r="D24" s="22">
        <v>46</v>
      </c>
      <c r="E24" s="22">
        <v>253</v>
      </c>
      <c r="F24" s="22">
        <v>1</v>
      </c>
      <c r="G24" s="27">
        <f t="shared" si="0"/>
        <v>311</v>
      </c>
    </row>
    <row r="25" spans="1:16" ht="20.100000000000001" customHeight="1" x14ac:dyDescent="0.2">
      <c r="A25" s="21" t="s">
        <v>22</v>
      </c>
      <c r="B25" s="22">
        <v>13</v>
      </c>
      <c r="C25" s="22">
        <v>46</v>
      </c>
      <c r="D25" s="22">
        <v>205</v>
      </c>
      <c r="E25" s="22">
        <v>1215</v>
      </c>
      <c r="F25" s="22">
        <v>11</v>
      </c>
      <c r="G25" s="27">
        <f t="shared" si="0"/>
        <v>1490</v>
      </c>
    </row>
    <row r="26" spans="1:16" ht="20.100000000000001" customHeight="1" x14ac:dyDescent="0.2">
      <c r="A26" s="21" t="s">
        <v>15</v>
      </c>
      <c r="B26" s="22">
        <f>1+13</f>
        <v>14</v>
      </c>
      <c r="C26" s="22">
        <f>7+35</f>
        <v>42</v>
      </c>
      <c r="D26" s="22">
        <f>51+173</f>
        <v>224</v>
      </c>
      <c r="E26" s="22">
        <f>232+964</f>
        <v>1196</v>
      </c>
      <c r="F26" s="22">
        <f>1+12+3</f>
        <v>16</v>
      </c>
      <c r="G26" s="27">
        <f t="shared" si="0"/>
        <v>1492</v>
      </c>
    </row>
    <row r="27" spans="1:16" ht="20.100000000000001" customHeight="1" x14ac:dyDescent="0.2">
      <c r="A27" s="21" t="s">
        <v>16</v>
      </c>
      <c r="B27" s="22">
        <v>7</v>
      </c>
      <c r="C27" s="22">
        <v>14</v>
      </c>
      <c r="D27" s="22">
        <v>96</v>
      </c>
      <c r="E27" s="22">
        <v>448</v>
      </c>
      <c r="F27" s="22">
        <v>11</v>
      </c>
      <c r="G27" s="27">
        <f t="shared" si="0"/>
        <v>576</v>
      </c>
    </row>
    <row r="28" spans="1:16" ht="20.100000000000001" customHeight="1" x14ac:dyDescent="0.2">
      <c r="A28" s="21" t="s">
        <v>27</v>
      </c>
      <c r="B28" s="22">
        <v>9</v>
      </c>
      <c r="C28" s="22">
        <v>74</v>
      </c>
      <c r="D28" s="22">
        <v>194</v>
      </c>
      <c r="E28" s="22">
        <v>964</v>
      </c>
      <c r="F28" s="22">
        <v>6</v>
      </c>
      <c r="G28" s="27">
        <f t="shared" si="0"/>
        <v>1247</v>
      </c>
    </row>
    <row r="29" spans="1:16" ht="20.100000000000001" customHeight="1" x14ac:dyDescent="0.2">
      <c r="A29" s="21" t="s">
        <v>17</v>
      </c>
      <c r="B29" s="22">
        <v>22</v>
      </c>
      <c r="C29" s="22">
        <v>73</v>
      </c>
      <c r="D29" s="22">
        <v>201</v>
      </c>
      <c r="E29" s="22">
        <v>915</v>
      </c>
      <c r="F29" s="22">
        <v>9</v>
      </c>
      <c r="G29" s="27">
        <f t="shared" si="0"/>
        <v>1220</v>
      </c>
    </row>
    <row r="30" spans="1:16" ht="20.100000000000001" customHeight="1" x14ac:dyDescent="0.2">
      <c r="A30" s="21" t="s">
        <v>43</v>
      </c>
      <c r="B30" s="22">
        <v>145</v>
      </c>
      <c r="C30" s="22">
        <v>542</v>
      </c>
      <c r="D30" s="22">
        <v>1921</v>
      </c>
      <c r="E30" s="22">
        <v>7687</v>
      </c>
      <c r="F30" s="22">
        <v>83</v>
      </c>
      <c r="G30" s="27">
        <f t="shared" si="0"/>
        <v>10378</v>
      </c>
    </row>
    <row r="31" spans="1:16" ht="20.100000000000001" customHeight="1" x14ac:dyDescent="0.2">
      <c r="A31" s="21" t="s">
        <v>7</v>
      </c>
      <c r="B31" s="22">
        <v>6</v>
      </c>
      <c r="C31" s="22">
        <v>27</v>
      </c>
      <c r="D31" s="22">
        <v>73</v>
      </c>
      <c r="E31" s="22">
        <v>600</v>
      </c>
      <c r="F31" s="22">
        <v>6</v>
      </c>
      <c r="G31" s="27">
        <f t="shared" si="0"/>
        <v>712</v>
      </c>
    </row>
    <row r="32" spans="1:16" ht="19.5" customHeight="1" x14ac:dyDescent="0.2">
      <c r="A32" s="21" t="s">
        <v>44</v>
      </c>
      <c r="B32" s="35">
        <f>2+47+53</f>
        <v>102</v>
      </c>
      <c r="C32" s="35">
        <f>12+257+308</f>
        <v>577</v>
      </c>
      <c r="D32" s="35">
        <f>26+637+703</f>
        <v>1366</v>
      </c>
      <c r="E32" s="35">
        <f>485+5291+6060</f>
        <v>11836</v>
      </c>
      <c r="F32" s="35">
        <f>5+43+63</f>
        <v>111</v>
      </c>
      <c r="G32" s="27">
        <f t="shared" si="0"/>
        <v>13992</v>
      </c>
    </row>
    <row r="33" spans="1:7" ht="20.100000000000001" customHeight="1" x14ac:dyDescent="0.2">
      <c r="A33" s="21" t="s">
        <v>45</v>
      </c>
      <c r="B33" s="22">
        <f>10+20</f>
        <v>30</v>
      </c>
      <c r="C33" s="22">
        <f>24+70</f>
        <v>94</v>
      </c>
      <c r="D33" s="22">
        <f>153+212</f>
        <v>365</v>
      </c>
      <c r="E33" s="22">
        <f>742+1266</f>
        <v>2008</v>
      </c>
      <c r="F33" s="22">
        <v>7</v>
      </c>
      <c r="G33" s="27">
        <f t="shared" si="0"/>
        <v>2504</v>
      </c>
    </row>
    <row r="34" spans="1:7" ht="20.100000000000001" customHeight="1" x14ac:dyDescent="0.2">
      <c r="A34" s="21" t="s">
        <v>46</v>
      </c>
      <c r="B34" s="22">
        <v>41</v>
      </c>
      <c r="C34" s="22">
        <v>168</v>
      </c>
      <c r="D34" s="22">
        <v>512</v>
      </c>
      <c r="E34" s="22">
        <v>3011</v>
      </c>
      <c r="F34" s="22">
        <v>21</v>
      </c>
      <c r="G34" s="27">
        <f t="shared" si="0"/>
        <v>3753</v>
      </c>
    </row>
    <row r="35" spans="1:7" ht="20.100000000000001" customHeight="1" x14ac:dyDescent="0.2">
      <c r="A35" s="21" t="s">
        <v>24</v>
      </c>
      <c r="B35" s="22">
        <v>57</v>
      </c>
      <c r="C35" s="22">
        <v>250</v>
      </c>
      <c r="D35" s="22">
        <v>921</v>
      </c>
      <c r="E35" s="22">
        <v>3455</v>
      </c>
      <c r="F35" s="22">
        <v>37</v>
      </c>
      <c r="G35" s="27">
        <f t="shared" si="0"/>
        <v>4720</v>
      </c>
    </row>
    <row r="36" spans="1:7" ht="20.100000000000001" customHeight="1" x14ac:dyDescent="0.2">
      <c r="A36" s="21" t="s">
        <v>47</v>
      </c>
      <c r="B36" s="22">
        <v>23</v>
      </c>
      <c r="C36" s="22">
        <v>117</v>
      </c>
      <c r="D36" s="22">
        <v>402</v>
      </c>
      <c r="E36" s="22">
        <v>1615</v>
      </c>
      <c r="F36" s="22">
        <v>13</v>
      </c>
      <c r="G36" s="27">
        <f t="shared" si="0"/>
        <v>2170</v>
      </c>
    </row>
    <row r="37" spans="1:7" ht="20.100000000000001" customHeight="1" x14ac:dyDescent="0.2">
      <c r="A37" s="21" t="s">
        <v>48</v>
      </c>
      <c r="B37" s="22">
        <v>25</v>
      </c>
      <c r="C37" s="22">
        <v>110</v>
      </c>
      <c r="D37" s="22">
        <v>333</v>
      </c>
      <c r="E37" s="22">
        <v>2995</v>
      </c>
      <c r="F37" s="22">
        <v>20</v>
      </c>
      <c r="G37" s="27">
        <f t="shared" si="0"/>
        <v>3483</v>
      </c>
    </row>
    <row r="38" spans="1:7" ht="20.100000000000001" customHeight="1" x14ac:dyDescent="0.2">
      <c r="A38" s="21" t="s">
        <v>49</v>
      </c>
      <c r="B38" s="22">
        <v>7</v>
      </c>
      <c r="C38" s="22">
        <v>26</v>
      </c>
      <c r="D38" s="22">
        <v>96</v>
      </c>
      <c r="E38" s="22">
        <v>797</v>
      </c>
      <c r="F38" s="22">
        <v>0</v>
      </c>
      <c r="G38" s="27">
        <f t="shared" si="0"/>
        <v>926</v>
      </c>
    </row>
    <row r="39" spans="1:7" ht="20.100000000000001" customHeight="1" x14ac:dyDescent="0.2">
      <c r="A39" s="21" t="s">
        <v>18</v>
      </c>
      <c r="B39" s="22">
        <v>17</v>
      </c>
      <c r="C39" s="22">
        <f>87+1</f>
        <v>88</v>
      </c>
      <c r="D39" s="22">
        <f>274+1</f>
        <v>275</v>
      </c>
      <c r="E39" s="22">
        <f>1752+14</f>
        <v>1766</v>
      </c>
      <c r="F39" s="22">
        <v>16</v>
      </c>
      <c r="G39" s="27">
        <f t="shared" si="0"/>
        <v>2162</v>
      </c>
    </row>
    <row r="40" spans="1:7" ht="20.100000000000001" customHeight="1" x14ac:dyDescent="0.2">
      <c r="A40" s="21" t="s">
        <v>50</v>
      </c>
      <c r="B40" s="22">
        <f>4+2</f>
        <v>6</v>
      </c>
      <c r="C40" s="22">
        <f>20+18</f>
        <v>38</v>
      </c>
      <c r="D40" s="22">
        <f>78+84</f>
        <v>162</v>
      </c>
      <c r="E40" s="22">
        <f>479+422</f>
        <v>901</v>
      </c>
      <c r="F40" s="22">
        <f>2+1+6</f>
        <v>9</v>
      </c>
      <c r="G40" s="27">
        <f t="shared" si="0"/>
        <v>1116</v>
      </c>
    </row>
    <row r="41" spans="1:7" ht="20.100000000000001" customHeight="1" x14ac:dyDescent="0.2">
      <c r="A41" s="21" t="s">
        <v>1</v>
      </c>
      <c r="B41" s="22">
        <v>6</v>
      </c>
      <c r="C41" s="22">
        <v>35</v>
      </c>
      <c r="D41" s="22">
        <v>136</v>
      </c>
      <c r="E41" s="22">
        <v>1212</v>
      </c>
      <c r="F41" s="22">
        <v>3</v>
      </c>
      <c r="G41" s="27">
        <f t="shared" si="0"/>
        <v>1392</v>
      </c>
    </row>
    <row r="42" spans="1:7" ht="20.100000000000001" customHeight="1" x14ac:dyDescent="0.2">
      <c r="A42" s="21" t="s">
        <v>51</v>
      </c>
      <c r="B42" s="22">
        <f>7+21</f>
        <v>28</v>
      </c>
      <c r="C42" s="22">
        <f>22+67</f>
        <v>89</v>
      </c>
      <c r="D42" s="22">
        <f>47+203</f>
        <v>250</v>
      </c>
      <c r="E42" s="22">
        <f>269+1228</f>
        <v>1497</v>
      </c>
      <c r="F42" s="22">
        <f>2+6</f>
        <v>8</v>
      </c>
      <c r="G42" s="27">
        <f t="shared" si="0"/>
        <v>1872</v>
      </c>
    </row>
    <row r="43" spans="1:7" ht="20.100000000000001" customHeight="1" x14ac:dyDescent="0.2">
      <c r="A43" s="21" t="s">
        <v>52</v>
      </c>
      <c r="B43" s="22">
        <v>16</v>
      </c>
      <c r="C43" s="22">
        <v>81</v>
      </c>
      <c r="D43" s="22">
        <v>188</v>
      </c>
      <c r="E43" s="22">
        <v>1852</v>
      </c>
      <c r="F43" s="22">
        <v>6</v>
      </c>
      <c r="G43" s="27">
        <f t="shared" si="0"/>
        <v>2143</v>
      </c>
    </row>
    <row r="44" spans="1:7" ht="20.100000000000001" customHeight="1" x14ac:dyDescent="0.2">
      <c r="A44" s="21" t="s">
        <v>19</v>
      </c>
      <c r="B44" s="22">
        <v>24</v>
      </c>
      <c r="C44" s="22">
        <v>55</v>
      </c>
      <c r="D44" s="22">
        <v>228</v>
      </c>
      <c r="E44" s="22">
        <v>1129</v>
      </c>
      <c r="F44" s="22">
        <v>7</v>
      </c>
      <c r="G44" s="27">
        <f t="shared" si="0"/>
        <v>1443</v>
      </c>
    </row>
    <row r="45" spans="1:7" ht="20.100000000000001" customHeight="1" x14ac:dyDescent="0.2">
      <c r="A45" s="21" t="s">
        <v>53</v>
      </c>
      <c r="B45" s="22">
        <v>37</v>
      </c>
      <c r="C45" s="22">
        <v>170</v>
      </c>
      <c r="D45" s="22">
        <v>628</v>
      </c>
      <c r="E45" s="22">
        <v>2738</v>
      </c>
      <c r="F45" s="22">
        <v>21</v>
      </c>
      <c r="G45" s="27">
        <f t="shared" si="0"/>
        <v>3594</v>
      </c>
    </row>
    <row r="46" spans="1:7" ht="20.100000000000001" customHeight="1" x14ac:dyDescent="0.2">
      <c r="A46" s="21" t="s">
        <v>8</v>
      </c>
      <c r="B46" s="22">
        <v>20</v>
      </c>
      <c r="C46" s="22">
        <v>81</v>
      </c>
      <c r="D46" s="22">
        <v>222</v>
      </c>
      <c r="E46" s="22">
        <v>1224</v>
      </c>
      <c r="F46" s="22">
        <v>5</v>
      </c>
      <c r="G46" s="27">
        <f t="shared" si="0"/>
        <v>1552</v>
      </c>
    </row>
    <row r="47" spans="1:7" ht="20.100000000000001" customHeight="1" x14ac:dyDescent="0.2">
      <c r="A47" s="21" t="s">
        <v>9</v>
      </c>
      <c r="B47" s="22">
        <v>8</v>
      </c>
      <c r="C47" s="22">
        <v>27</v>
      </c>
      <c r="D47" s="22">
        <v>77</v>
      </c>
      <c r="E47" s="22">
        <v>537</v>
      </c>
      <c r="F47" s="22">
        <v>3</v>
      </c>
      <c r="G47" s="27">
        <f t="shared" si="0"/>
        <v>652</v>
      </c>
    </row>
    <row r="48" spans="1:7" ht="20.100000000000001" customHeight="1" x14ac:dyDescent="0.2">
      <c r="A48" s="21" t="s">
        <v>33</v>
      </c>
      <c r="B48" s="22">
        <v>3</v>
      </c>
      <c r="C48" s="22">
        <v>17</v>
      </c>
      <c r="D48" s="22">
        <v>61</v>
      </c>
      <c r="E48" s="22">
        <v>406</v>
      </c>
      <c r="F48" s="22">
        <v>1</v>
      </c>
      <c r="G48" s="27">
        <f t="shared" si="0"/>
        <v>488</v>
      </c>
    </row>
    <row r="49" spans="1:28" ht="20.100000000000001" customHeight="1" x14ac:dyDescent="0.2">
      <c r="A49" s="21" t="s">
        <v>23</v>
      </c>
      <c r="B49" s="22">
        <v>6</v>
      </c>
      <c r="C49" s="22">
        <v>22</v>
      </c>
      <c r="D49" s="22">
        <v>86</v>
      </c>
      <c r="E49" s="22">
        <v>400</v>
      </c>
      <c r="F49" s="22">
        <v>3</v>
      </c>
      <c r="G49" s="27">
        <f t="shared" si="0"/>
        <v>517</v>
      </c>
    </row>
    <row r="50" spans="1:28" ht="20.100000000000001" customHeight="1" x14ac:dyDescent="0.2">
      <c r="A50" s="21" t="s">
        <v>34</v>
      </c>
      <c r="B50" s="22">
        <v>17</v>
      </c>
      <c r="C50" s="22">
        <v>81</v>
      </c>
      <c r="D50" s="22">
        <v>256</v>
      </c>
      <c r="E50" s="22">
        <v>1923</v>
      </c>
      <c r="F50" s="22">
        <v>9</v>
      </c>
      <c r="G50" s="27">
        <f t="shared" si="0"/>
        <v>2286</v>
      </c>
    </row>
    <row r="51" spans="1:28" ht="20.100000000000001" customHeight="1" x14ac:dyDescent="0.2">
      <c r="A51" s="21" t="s">
        <v>54</v>
      </c>
      <c r="B51" s="22">
        <f>50+40</f>
        <v>90</v>
      </c>
      <c r="C51" s="22">
        <f>309+226</f>
        <v>535</v>
      </c>
      <c r="D51" s="22">
        <f>918+563</f>
        <v>1481</v>
      </c>
      <c r="E51" s="22">
        <f>7909+6347</f>
        <v>14256</v>
      </c>
      <c r="F51" s="22">
        <f>30+26</f>
        <v>56</v>
      </c>
      <c r="G51" s="27">
        <f t="shared" si="0"/>
        <v>16418</v>
      </c>
    </row>
    <row r="52" spans="1:28" ht="20.100000000000001" customHeight="1" x14ac:dyDescent="0.2">
      <c r="A52" s="21" t="s">
        <v>10</v>
      </c>
      <c r="B52" s="22">
        <v>7</v>
      </c>
      <c r="C52" s="22">
        <v>33</v>
      </c>
      <c r="D52" s="22">
        <v>94</v>
      </c>
      <c r="E52" s="22">
        <v>710</v>
      </c>
      <c r="F52" s="22">
        <v>11</v>
      </c>
      <c r="G52" s="27">
        <f t="shared" si="0"/>
        <v>855</v>
      </c>
    </row>
    <row r="53" spans="1:28" ht="20.100000000000001" customHeight="1" x14ac:dyDescent="0.2">
      <c r="A53" s="21" t="s">
        <v>55</v>
      </c>
      <c r="B53" s="22">
        <v>21</v>
      </c>
      <c r="C53" s="22">
        <v>56</v>
      </c>
      <c r="D53" s="22">
        <v>168</v>
      </c>
      <c r="E53" s="22">
        <v>955</v>
      </c>
      <c r="F53" s="22">
        <v>3</v>
      </c>
      <c r="G53" s="27">
        <f t="shared" si="0"/>
        <v>1203</v>
      </c>
    </row>
    <row r="54" spans="1:28" ht="20.100000000000001" customHeight="1" x14ac:dyDescent="0.2">
      <c r="A54" s="21" t="s">
        <v>56</v>
      </c>
      <c r="B54" s="22">
        <v>10</v>
      </c>
      <c r="C54" s="22">
        <v>52</v>
      </c>
      <c r="D54" s="22">
        <v>159</v>
      </c>
      <c r="E54" s="22">
        <v>437</v>
      </c>
      <c r="F54" s="22">
        <v>12</v>
      </c>
      <c r="G54" s="27">
        <f t="shared" si="0"/>
        <v>670</v>
      </c>
    </row>
    <row r="55" spans="1:28" ht="20.100000000000001" customHeight="1" x14ac:dyDescent="0.2">
      <c r="A55" s="21" t="s">
        <v>11</v>
      </c>
      <c r="B55" s="22">
        <f>5+12</f>
        <v>17</v>
      </c>
      <c r="C55" s="22">
        <f>33+51</f>
        <v>84</v>
      </c>
      <c r="D55" s="22">
        <f>103+146</f>
        <v>249</v>
      </c>
      <c r="E55" s="22">
        <f>545+883</f>
        <v>1428</v>
      </c>
      <c r="F55" s="22">
        <f>3+9</f>
        <v>12</v>
      </c>
      <c r="G55" s="27">
        <f t="shared" si="0"/>
        <v>1790</v>
      </c>
    </row>
    <row r="56" spans="1:28" ht="20.100000000000001" customHeight="1" x14ac:dyDescent="0.2">
      <c r="A56" s="21" t="s">
        <v>4</v>
      </c>
      <c r="B56" s="22">
        <v>11</v>
      </c>
      <c r="C56" s="22">
        <v>63</v>
      </c>
      <c r="D56" s="22">
        <v>293</v>
      </c>
      <c r="E56" s="22">
        <v>1010</v>
      </c>
      <c r="F56" s="22">
        <v>7</v>
      </c>
      <c r="G56" s="27">
        <f t="shared" si="0"/>
        <v>1384</v>
      </c>
    </row>
    <row r="57" spans="1:28" ht="20.100000000000001" customHeight="1" x14ac:dyDescent="0.2">
      <c r="A57" s="21" t="s">
        <v>5</v>
      </c>
      <c r="B57" s="22">
        <v>7</v>
      </c>
      <c r="C57" s="22">
        <v>42</v>
      </c>
      <c r="D57" s="22">
        <v>144</v>
      </c>
      <c r="E57" s="22">
        <v>749</v>
      </c>
      <c r="F57" s="22">
        <v>13</v>
      </c>
      <c r="G57" s="27">
        <f t="shared" si="0"/>
        <v>955</v>
      </c>
    </row>
    <row r="58" spans="1:28" ht="20.100000000000001" customHeight="1" x14ac:dyDescent="0.2">
      <c r="A58" s="21" t="s">
        <v>25</v>
      </c>
      <c r="B58" s="22">
        <v>20</v>
      </c>
      <c r="C58" s="22">
        <v>66</v>
      </c>
      <c r="D58" s="22">
        <v>255</v>
      </c>
      <c r="E58" s="22">
        <v>1280</v>
      </c>
      <c r="F58" s="22">
        <v>14</v>
      </c>
      <c r="G58" s="27">
        <f t="shared" si="0"/>
        <v>1635</v>
      </c>
    </row>
    <row r="59" spans="1:28" ht="20.100000000000001" customHeight="1" x14ac:dyDescent="0.2">
      <c r="A59" s="21" t="s">
        <v>57</v>
      </c>
      <c r="B59" s="22">
        <f>28+23</f>
        <v>51</v>
      </c>
      <c r="C59" s="22">
        <f>120+83</f>
        <v>203</v>
      </c>
      <c r="D59" s="22">
        <f>406+343</f>
        <v>749</v>
      </c>
      <c r="E59" s="22">
        <f>2467+2153</f>
        <v>4620</v>
      </c>
      <c r="F59" s="22">
        <f>79+33</f>
        <v>112</v>
      </c>
      <c r="G59" s="27">
        <f t="shared" si="0"/>
        <v>5735</v>
      </c>
    </row>
    <row r="60" spans="1:28" ht="20.100000000000001" customHeight="1" x14ac:dyDescent="0.2">
      <c r="A60" s="21" t="s">
        <v>28</v>
      </c>
      <c r="B60" s="22">
        <v>7</v>
      </c>
      <c r="C60" s="22">
        <v>21</v>
      </c>
      <c r="D60" s="22">
        <v>89</v>
      </c>
      <c r="E60" s="22">
        <v>592</v>
      </c>
      <c r="F60" s="22">
        <v>4</v>
      </c>
      <c r="G60" s="27">
        <f t="shared" si="0"/>
        <v>713</v>
      </c>
    </row>
    <row r="61" spans="1:28" ht="20.100000000000001" customHeight="1" thickBot="1" x14ac:dyDescent="0.25">
      <c r="A61" s="61" t="s">
        <v>35</v>
      </c>
      <c r="B61" s="52">
        <v>9</v>
      </c>
      <c r="C61" s="52">
        <v>33</v>
      </c>
      <c r="D61" s="52">
        <v>117</v>
      </c>
      <c r="E61" s="52">
        <v>392</v>
      </c>
      <c r="F61" s="52">
        <v>2</v>
      </c>
      <c r="G61" s="27">
        <f t="shared" si="0"/>
        <v>553</v>
      </c>
    </row>
    <row r="62" spans="1:28" s="17" customFormat="1" ht="20.100000000000001" customHeight="1" thickBot="1" x14ac:dyDescent="0.25">
      <c r="A62" s="62" t="s">
        <v>0</v>
      </c>
      <c r="B62" s="23">
        <f t="shared" ref="B62:G62" si="1">SUM(B5:B61)</f>
        <v>1366</v>
      </c>
      <c r="C62" s="23">
        <f t="shared" si="1"/>
        <v>5745</v>
      </c>
      <c r="D62" s="24">
        <f t="shared" si="1"/>
        <v>18363</v>
      </c>
      <c r="E62" s="24">
        <f t="shared" si="1"/>
        <v>108097</v>
      </c>
      <c r="F62" s="23">
        <f>SUM(F5:F61)</f>
        <v>952</v>
      </c>
      <c r="G62" s="63">
        <f t="shared" si="1"/>
        <v>134523</v>
      </c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ht="20.100000000000001" customHeight="1" x14ac:dyDescent="0.2">
      <c r="A63" s="25" t="s">
        <v>58</v>
      </c>
      <c r="B63" s="26">
        <v>41</v>
      </c>
      <c r="C63" s="26">
        <v>91</v>
      </c>
      <c r="D63" s="26">
        <v>195</v>
      </c>
      <c r="E63" s="26">
        <v>2138</v>
      </c>
      <c r="F63" s="26">
        <v>66</v>
      </c>
      <c r="G63" s="27">
        <f>SUM(B63:F63)</f>
        <v>2531</v>
      </c>
    </row>
    <row r="64" spans="1:28" ht="20.100000000000001" customHeight="1" x14ac:dyDescent="0.2">
      <c r="A64" s="21" t="s">
        <v>59</v>
      </c>
      <c r="B64" s="22">
        <v>75</v>
      </c>
      <c r="C64" s="22">
        <v>192</v>
      </c>
      <c r="D64" s="22">
        <v>562</v>
      </c>
      <c r="E64" s="22">
        <v>5318</v>
      </c>
      <c r="F64" s="22">
        <v>99</v>
      </c>
      <c r="G64" s="27">
        <f t="shared" ref="G64:G67" si="2">SUM(B64:F64)</f>
        <v>6246</v>
      </c>
    </row>
    <row r="65" spans="1:28" ht="20.100000000000001" customHeight="1" x14ac:dyDescent="0.2">
      <c r="A65" s="21" t="s">
        <v>60</v>
      </c>
      <c r="B65" s="22">
        <v>70</v>
      </c>
      <c r="C65" s="22">
        <v>262</v>
      </c>
      <c r="D65" s="22">
        <v>988</v>
      </c>
      <c r="E65" s="22">
        <v>3080</v>
      </c>
      <c r="F65" s="22">
        <v>79</v>
      </c>
      <c r="G65" s="27">
        <f t="shared" si="2"/>
        <v>4479</v>
      </c>
    </row>
    <row r="66" spans="1:28" ht="20.100000000000001" customHeight="1" x14ac:dyDescent="0.2">
      <c r="A66" s="21" t="s">
        <v>61</v>
      </c>
      <c r="B66" s="22">
        <v>90</v>
      </c>
      <c r="C66" s="22">
        <v>262</v>
      </c>
      <c r="D66" s="22">
        <v>694</v>
      </c>
      <c r="E66" s="22">
        <v>7537</v>
      </c>
      <c r="F66" s="22">
        <v>92</v>
      </c>
      <c r="G66" s="27">
        <f t="shared" si="2"/>
        <v>8675</v>
      </c>
    </row>
    <row r="67" spans="1:28" ht="20.100000000000001" customHeight="1" thickBot="1" x14ac:dyDescent="0.25">
      <c r="A67" s="61" t="s">
        <v>62</v>
      </c>
      <c r="B67" s="64">
        <v>25</v>
      </c>
      <c r="C67" s="64">
        <v>115</v>
      </c>
      <c r="D67" s="64">
        <v>321</v>
      </c>
      <c r="E67" s="64">
        <v>6055</v>
      </c>
      <c r="F67" s="64">
        <v>22</v>
      </c>
      <c r="G67" s="27">
        <f t="shared" si="2"/>
        <v>6538</v>
      </c>
    </row>
    <row r="68" spans="1:28" s="17" customFormat="1" ht="20.100000000000001" customHeight="1" thickBot="1" x14ac:dyDescent="0.25">
      <c r="A68" s="62" t="s">
        <v>63</v>
      </c>
      <c r="B68" s="23">
        <f>SUM(B63:B67)</f>
        <v>301</v>
      </c>
      <c r="C68" s="23">
        <f>SUM(C63:C67)</f>
        <v>922</v>
      </c>
      <c r="D68" s="24">
        <f>SUM(D63:D67)</f>
        <v>2760</v>
      </c>
      <c r="E68" s="24">
        <f>SUM(E63:E67)</f>
        <v>24128</v>
      </c>
      <c r="F68" s="24">
        <f>SUM(F63:F67)</f>
        <v>358</v>
      </c>
      <c r="G68" s="65">
        <f>SUM(B68:F68)</f>
        <v>28469</v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s="17" customFormat="1" ht="20.100000000000001" customHeight="1" thickBot="1" x14ac:dyDescent="0.25">
      <c r="A69" s="28" t="s">
        <v>102</v>
      </c>
      <c r="B69" s="29">
        <f>SUM(B68)+(B62)</f>
        <v>1667</v>
      </c>
      <c r="C69" s="29">
        <f>SUM(C68)+(C62)</f>
        <v>6667</v>
      </c>
      <c r="D69" s="29">
        <f>SUM(D68)+(D62)</f>
        <v>21123</v>
      </c>
      <c r="E69" s="29">
        <f>SUM(E68)+(E62)</f>
        <v>132225</v>
      </c>
      <c r="F69" s="29">
        <f>SUM(F62+F68)</f>
        <v>1310</v>
      </c>
      <c r="G69" s="30">
        <f>SUM(G68)+(G62)</f>
        <v>162992</v>
      </c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s="2" customFormat="1" ht="13.5" thickTop="1" x14ac:dyDescent="0.2">
      <c r="A70" s="15"/>
      <c r="B70" s="5"/>
      <c r="C70" s="5"/>
      <c r="D70" s="5"/>
      <c r="E70" s="5"/>
      <c r="F70" s="5"/>
      <c r="G70" s="7"/>
    </row>
    <row r="71" spans="1:28" s="2" customFormat="1" x14ac:dyDescent="0.2">
      <c r="A71" s="15"/>
      <c r="B71" s="5"/>
      <c r="C71" s="5"/>
      <c r="D71" s="5"/>
      <c r="E71" s="5"/>
      <c r="F71" s="5"/>
      <c r="G71" s="7"/>
    </row>
    <row r="72" spans="1:28" s="2" customFormat="1" x14ac:dyDescent="0.2">
      <c r="A72" s="15"/>
      <c r="B72" s="5"/>
      <c r="C72" s="5"/>
      <c r="D72" s="5"/>
      <c r="E72" s="5"/>
      <c r="F72" s="5"/>
      <c r="G72" s="7"/>
    </row>
    <row r="73" spans="1:28" s="2" customFormat="1" x14ac:dyDescent="0.2">
      <c r="A73" s="15"/>
      <c r="B73" s="5"/>
      <c r="C73" s="5"/>
      <c r="D73" s="5"/>
      <c r="E73" s="5"/>
      <c r="F73" s="5"/>
      <c r="G73" s="7"/>
    </row>
    <row r="74" spans="1:28" s="2" customFormat="1" x14ac:dyDescent="0.2">
      <c r="A74" s="15"/>
      <c r="B74" s="5"/>
      <c r="C74" s="5"/>
      <c r="D74" s="5"/>
      <c r="E74" s="5"/>
      <c r="F74" s="5"/>
      <c r="G74" s="7"/>
    </row>
    <row r="75" spans="1:28" s="2" customFormat="1" x14ac:dyDescent="0.2">
      <c r="A75" s="15"/>
      <c r="B75" s="6"/>
      <c r="C75" s="6"/>
      <c r="D75" s="6"/>
      <c r="E75" s="6"/>
      <c r="F75" s="6"/>
      <c r="G75" s="8"/>
    </row>
    <row r="76" spans="1:28" x14ac:dyDescent="0.2">
      <c r="A76" s="15"/>
      <c r="B76" s="6"/>
      <c r="C76" s="6"/>
      <c r="D76" s="6"/>
      <c r="E76" s="6"/>
      <c r="F76" s="6"/>
      <c r="G76" s="8"/>
    </row>
    <row r="77" spans="1:28" x14ac:dyDescent="0.2">
      <c r="A77" s="15"/>
      <c r="B77" s="6"/>
      <c r="C77" s="6"/>
      <c r="D77" s="6"/>
      <c r="E77" s="6"/>
      <c r="F77" s="6"/>
      <c r="G77" s="8"/>
    </row>
    <row r="78" spans="1:28" x14ac:dyDescent="0.2">
      <c r="A78" s="15"/>
      <c r="B78" s="6"/>
      <c r="C78" s="6"/>
      <c r="D78" s="6"/>
      <c r="E78" s="6"/>
      <c r="F78" s="6"/>
      <c r="G78" s="8"/>
    </row>
    <row r="79" spans="1:28" x14ac:dyDescent="0.2">
      <c r="A79" s="15"/>
      <c r="B79" s="6"/>
      <c r="C79" s="6"/>
      <c r="D79" s="6"/>
      <c r="E79" s="6"/>
      <c r="F79" s="6"/>
      <c r="G79" s="8"/>
    </row>
    <row r="80" spans="1:28" x14ac:dyDescent="0.2">
      <c r="A80" s="15"/>
      <c r="B80" s="6"/>
      <c r="C80" s="6"/>
      <c r="D80" s="6"/>
      <c r="E80" s="6"/>
      <c r="F80" s="6"/>
      <c r="G80" s="8"/>
    </row>
    <row r="81" spans="1:7" x14ac:dyDescent="0.2">
      <c r="A81" s="15"/>
      <c r="B81" s="6"/>
      <c r="C81" s="6"/>
      <c r="D81" s="6"/>
      <c r="E81" s="6"/>
      <c r="F81" s="6"/>
      <c r="G81" s="8"/>
    </row>
    <row r="82" spans="1:7" x14ac:dyDescent="0.2">
      <c r="A82" s="15"/>
      <c r="B82" s="6"/>
      <c r="C82" s="6"/>
      <c r="D82" s="6"/>
      <c r="E82" s="6"/>
      <c r="F82" s="6"/>
      <c r="G82" s="8"/>
    </row>
    <row r="83" spans="1:7" x14ac:dyDescent="0.2">
      <c r="A83" s="15"/>
      <c r="B83" s="6"/>
      <c r="C83" s="6"/>
      <c r="D83" s="6"/>
      <c r="E83" s="6"/>
      <c r="F83" s="6"/>
      <c r="G83" s="8"/>
    </row>
    <row r="84" spans="1:7" x14ac:dyDescent="0.2">
      <c r="A84" s="15"/>
      <c r="B84" s="6"/>
      <c r="C84" s="6"/>
      <c r="D84" s="6"/>
      <c r="E84" s="6"/>
      <c r="F84" s="6"/>
      <c r="G84" s="8"/>
    </row>
    <row r="85" spans="1:7" x14ac:dyDescent="0.2">
      <c r="A85" s="15"/>
      <c r="B85" s="6"/>
      <c r="C85" s="6"/>
      <c r="D85" s="6"/>
      <c r="E85" s="6"/>
      <c r="F85" s="6"/>
      <c r="G85" s="8"/>
    </row>
    <row r="86" spans="1:7" x14ac:dyDescent="0.2">
      <c r="A86" s="15"/>
      <c r="B86" s="6"/>
      <c r="C86" s="6"/>
      <c r="D86" s="6"/>
      <c r="E86" s="6"/>
      <c r="F86" s="6"/>
      <c r="G86" s="8"/>
    </row>
    <row r="87" spans="1:7" x14ac:dyDescent="0.2">
      <c r="A87" s="15"/>
      <c r="B87" s="6"/>
      <c r="C87" s="6"/>
      <c r="D87" s="6"/>
      <c r="E87" s="6"/>
      <c r="F87" s="6"/>
      <c r="G87" s="8"/>
    </row>
    <row r="88" spans="1:7" x14ac:dyDescent="0.2">
      <c r="A88" s="15"/>
      <c r="B88" s="6"/>
      <c r="C88" s="6"/>
      <c r="D88" s="6"/>
      <c r="E88" s="6"/>
      <c r="F88" s="6"/>
      <c r="G88" s="8"/>
    </row>
    <row r="89" spans="1:7" x14ac:dyDescent="0.2">
      <c r="A89" s="15"/>
      <c r="B89" s="6"/>
      <c r="C89" s="6"/>
      <c r="D89" s="6"/>
      <c r="E89" s="6"/>
      <c r="F89" s="6"/>
      <c r="G89" s="8"/>
    </row>
    <row r="90" spans="1:7" x14ac:dyDescent="0.2">
      <c r="A90" s="15"/>
      <c r="B90" s="6"/>
      <c r="C90" s="6"/>
      <c r="D90" s="6"/>
      <c r="E90" s="6"/>
      <c r="F90" s="6"/>
      <c r="G90" s="8"/>
    </row>
    <row r="91" spans="1:7" x14ac:dyDescent="0.2">
      <c r="A91" s="15"/>
      <c r="B91" s="6"/>
      <c r="C91" s="6"/>
      <c r="D91" s="6"/>
      <c r="E91" s="6"/>
      <c r="F91" s="6"/>
      <c r="G91" s="8"/>
    </row>
    <row r="92" spans="1:7" x14ac:dyDescent="0.2">
      <c r="A92" s="15"/>
      <c r="B92" s="6"/>
      <c r="C92" s="6"/>
      <c r="D92" s="6"/>
      <c r="E92" s="6"/>
      <c r="F92" s="6"/>
      <c r="G92" s="8"/>
    </row>
    <row r="93" spans="1:7" x14ac:dyDescent="0.2">
      <c r="A93" s="15"/>
      <c r="B93" s="6"/>
      <c r="C93" s="6"/>
      <c r="D93" s="6"/>
      <c r="E93" s="6"/>
      <c r="F93" s="6"/>
      <c r="G93" s="8"/>
    </row>
    <row r="94" spans="1:7" x14ac:dyDescent="0.2">
      <c r="A94" s="15"/>
      <c r="B94" s="6"/>
      <c r="C94" s="6"/>
      <c r="D94" s="6"/>
      <c r="E94" s="6"/>
      <c r="F94" s="6"/>
      <c r="G94" s="8"/>
    </row>
    <row r="95" spans="1:7" x14ac:dyDescent="0.2">
      <c r="A95" s="15"/>
      <c r="B95" s="6"/>
      <c r="C95" s="6"/>
      <c r="D95" s="6"/>
      <c r="E95" s="6"/>
      <c r="F95" s="6"/>
      <c r="G95" s="8"/>
    </row>
    <row r="96" spans="1:7" x14ac:dyDescent="0.2">
      <c r="A96" s="15"/>
      <c r="B96" s="6"/>
      <c r="C96" s="6"/>
      <c r="D96" s="6"/>
      <c r="E96" s="6"/>
      <c r="F96" s="6"/>
      <c r="G96" s="8"/>
    </row>
    <row r="97" spans="1:7" x14ac:dyDescent="0.2">
      <c r="A97" s="15"/>
      <c r="B97" s="6"/>
      <c r="C97" s="6"/>
      <c r="D97" s="6"/>
      <c r="E97" s="6"/>
      <c r="F97" s="6"/>
      <c r="G97" s="8"/>
    </row>
    <row r="98" spans="1:7" x14ac:dyDescent="0.2">
      <c r="A98" s="15"/>
      <c r="B98" s="6"/>
      <c r="C98" s="6"/>
      <c r="D98" s="6"/>
      <c r="E98" s="6"/>
      <c r="F98" s="6"/>
      <c r="G98" s="8"/>
    </row>
    <row r="99" spans="1:7" x14ac:dyDescent="0.2">
      <c r="A99" s="15"/>
      <c r="B99" s="6"/>
      <c r="C99" s="6"/>
      <c r="D99" s="6"/>
      <c r="E99" s="6"/>
      <c r="F99" s="6"/>
      <c r="G99" s="8"/>
    </row>
    <row r="100" spans="1:7" x14ac:dyDescent="0.2">
      <c r="A100" s="15"/>
      <c r="B100" s="6"/>
      <c r="C100" s="6"/>
      <c r="D100" s="6"/>
      <c r="E100" s="6"/>
      <c r="F100" s="6"/>
      <c r="G100" s="8"/>
    </row>
    <row r="101" spans="1:7" x14ac:dyDescent="0.2">
      <c r="A101" s="15"/>
      <c r="B101" s="6"/>
      <c r="C101" s="6"/>
      <c r="D101" s="6"/>
      <c r="E101" s="6"/>
      <c r="F101" s="6"/>
      <c r="G101" s="9"/>
    </row>
    <row r="102" spans="1:7" x14ac:dyDescent="0.2">
      <c r="A102" s="15"/>
      <c r="B102" s="6"/>
      <c r="C102" s="6"/>
      <c r="D102" s="6"/>
      <c r="E102" s="6"/>
      <c r="F102" s="6"/>
      <c r="G102" s="9"/>
    </row>
    <row r="103" spans="1:7" x14ac:dyDescent="0.2">
      <c r="A103" s="15"/>
      <c r="B103" s="6"/>
      <c r="C103" s="6"/>
      <c r="D103" s="6"/>
      <c r="E103" s="6"/>
      <c r="F103" s="6"/>
      <c r="G103" s="9"/>
    </row>
    <row r="104" spans="1:7" x14ac:dyDescent="0.2">
      <c r="A104" s="15"/>
      <c r="B104" s="6"/>
      <c r="C104" s="6"/>
      <c r="D104" s="6"/>
      <c r="E104" s="6"/>
      <c r="F104" s="6"/>
      <c r="G104" s="9"/>
    </row>
    <row r="105" spans="1:7" x14ac:dyDescent="0.2">
      <c r="A105" s="15"/>
      <c r="B105" s="6"/>
      <c r="C105" s="6"/>
      <c r="D105" s="6"/>
      <c r="E105" s="6"/>
      <c r="F105" s="6"/>
      <c r="G105" s="9"/>
    </row>
    <row r="106" spans="1:7" x14ac:dyDescent="0.2">
      <c r="A106" s="15"/>
      <c r="B106" s="6"/>
      <c r="C106" s="6"/>
      <c r="D106" s="6"/>
      <c r="E106" s="6"/>
      <c r="F106" s="6"/>
      <c r="G106" s="9"/>
    </row>
    <row r="107" spans="1:7" x14ac:dyDescent="0.2">
      <c r="A107" s="15"/>
      <c r="B107" s="6"/>
      <c r="C107" s="6"/>
      <c r="D107" s="6"/>
      <c r="E107" s="6"/>
      <c r="F107" s="6"/>
      <c r="G107" s="9"/>
    </row>
    <row r="108" spans="1:7" x14ac:dyDescent="0.2">
      <c r="A108" s="15"/>
      <c r="B108" s="6"/>
      <c r="C108" s="6"/>
      <c r="D108" s="6"/>
      <c r="E108" s="6"/>
      <c r="F108" s="6"/>
      <c r="G108" s="9"/>
    </row>
    <row r="109" spans="1:7" x14ac:dyDescent="0.2">
      <c r="A109" s="15"/>
      <c r="B109" s="6"/>
      <c r="C109" s="6"/>
      <c r="D109" s="6"/>
      <c r="E109" s="6"/>
      <c r="F109" s="6"/>
      <c r="G109" s="9"/>
    </row>
    <row r="110" spans="1:7" x14ac:dyDescent="0.2">
      <c r="A110" s="15"/>
      <c r="B110" s="6"/>
      <c r="C110" s="6"/>
      <c r="D110" s="6"/>
      <c r="E110" s="6"/>
      <c r="F110" s="6"/>
      <c r="G110" s="9"/>
    </row>
    <row r="111" spans="1:7" x14ac:dyDescent="0.2">
      <c r="A111" s="15"/>
      <c r="B111" s="6"/>
      <c r="C111" s="6"/>
      <c r="D111" s="6"/>
      <c r="E111" s="6"/>
      <c r="F111" s="6"/>
      <c r="G111" s="9"/>
    </row>
    <row r="112" spans="1:7" x14ac:dyDescent="0.2">
      <c r="A112" s="15"/>
      <c r="B112" s="6"/>
      <c r="C112" s="6"/>
      <c r="D112" s="6"/>
      <c r="E112" s="6"/>
      <c r="F112" s="6"/>
      <c r="G112" s="9"/>
    </row>
    <row r="113" spans="1:7" x14ac:dyDescent="0.2">
      <c r="A113" s="15"/>
      <c r="B113" s="6"/>
      <c r="C113" s="6"/>
      <c r="D113" s="6"/>
      <c r="E113" s="6"/>
      <c r="F113" s="6"/>
      <c r="G113" s="9"/>
    </row>
    <row r="114" spans="1:7" x14ac:dyDescent="0.2">
      <c r="A114" s="15"/>
      <c r="B114" s="6"/>
      <c r="C114" s="6"/>
      <c r="D114" s="6"/>
      <c r="E114" s="6"/>
      <c r="F114" s="6"/>
      <c r="G114" s="9"/>
    </row>
    <row r="115" spans="1:7" x14ac:dyDescent="0.2">
      <c r="A115" s="15"/>
      <c r="B115" s="6"/>
      <c r="C115" s="6"/>
      <c r="D115" s="6"/>
      <c r="E115" s="6"/>
      <c r="F115" s="6"/>
      <c r="G115" s="9"/>
    </row>
    <row r="116" spans="1:7" x14ac:dyDescent="0.2">
      <c r="A116" s="15"/>
      <c r="B116" s="6"/>
      <c r="C116" s="6"/>
      <c r="D116" s="6"/>
      <c r="E116" s="6"/>
      <c r="F116" s="6"/>
      <c r="G116" s="9"/>
    </row>
    <row r="117" spans="1:7" x14ac:dyDescent="0.2">
      <c r="A117" s="15"/>
      <c r="B117" s="6"/>
      <c r="C117" s="6"/>
      <c r="D117" s="6"/>
      <c r="E117" s="6"/>
      <c r="F117" s="6"/>
      <c r="G117" s="9"/>
    </row>
    <row r="118" spans="1:7" x14ac:dyDescent="0.2">
      <c r="A118" s="15"/>
      <c r="B118" s="6"/>
      <c r="C118" s="6"/>
      <c r="D118" s="6"/>
      <c r="E118" s="6"/>
      <c r="F118" s="6"/>
      <c r="G118" s="9"/>
    </row>
    <row r="119" spans="1:7" x14ac:dyDescent="0.2">
      <c r="A119" s="15"/>
      <c r="B119" s="6"/>
      <c r="C119" s="6"/>
      <c r="D119" s="6"/>
      <c r="E119" s="6"/>
      <c r="F119" s="6"/>
      <c r="G119" s="9"/>
    </row>
    <row r="120" spans="1:7" x14ac:dyDescent="0.2">
      <c r="A120" s="15"/>
      <c r="B120" s="6"/>
      <c r="C120" s="6"/>
      <c r="D120" s="6"/>
      <c r="E120" s="6"/>
      <c r="F120" s="6"/>
      <c r="G120" s="9"/>
    </row>
    <row r="121" spans="1:7" x14ac:dyDescent="0.2">
      <c r="A121" s="15"/>
      <c r="B121" s="6"/>
      <c r="C121" s="6"/>
      <c r="D121" s="6"/>
      <c r="E121" s="6"/>
      <c r="F121" s="6"/>
      <c r="G121" s="9"/>
    </row>
    <row r="122" spans="1:7" x14ac:dyDescent="0.2">
      <c r="A122" s="15"/>
      <c r="B122" s="6"/>
      <c r="C122" s="6"/>
      <c r="D122" s="6"/>
      <c r="E122" s="6"/>
      <c r="F122" s="6"/>
      <c r="G122" s="9"/>
    </row>
    <row r="123" spans="1:7" x14ac:dyDescent="0.2">
      <c r="A123" s="15"/>
      <c r="B123" s="6"/>
      <c r="C123" s="6"/>
      <c r="D123" s="6"/>
      <c r="E123" s="6"/>
      <c r="F123" s="6"/>
      <c r="G123" s="9"/>
    </row>
    <row r="124" spans="1:7" x14ac:dyDescent="0.2">
      <c r="A124" s="15"/>
      <c r="B124" s="6"/>
      <c r="C124" s="6"/>
      <c r="D124" s="6"/>
      <c r="E124" s="6"/>
      <c r="F124" s="6"/>
      <c r="G124" s="9"/>
    </row>
    <row r="125" spans="1:7" x14ac:dyDescent="0.2">
      <c r="A125" s="15"/>
      <c r="B125" s="6"/>
      <c r="C125" s="6"/>
      <c r="D125" s="6"/>
      <c r="E125" s="6"/>
      <c r="F125" s="6"/>
      <c r="G125" s="9"/>
    </row>
    <row r="126" spans="1:7" x14ac:dyDescent="0.2">
      <c r="A126" s="15"/>
      <c r="B126" s="6"/>
      <c r="C126" s="6"/>
      <c r="D126" s="6"/>
      <c r="E126" s="6"/>
      <c r="F126" s="6"/>
      <c r="G126" s="9"/>
    </row>
    <row r="127" spans="1:7" x14ac:dyDescent="0.2">
      <c r="A127" s="15"/>
      <c r="B127" s="6"/>
      <c r="C127" s="6"/>
      <c r="D127" s="6"/>
      <c r="E127" s="6"/>
      <c r="F127" s="6"/>
      <c r="G127" s="9"/>
    </row>
    <row r="128" spans="1:7" x14ac:dyDescent="0.2">
      <c r="A128" s="15"/>
      <c r="B128" s="6"/>
      <c r="C128" s="6"/>
      <c r="D128" s="6"/>
      <c r="E128" s="6"/>
      <c r="F128" s="6"/>
      <c r="G128" s="9"/>
    </row>
    <row r="129" spans="1:7" x14ac:dyDescent="0.2">
      <c r="A129" s="15"/>
      <c r="B129" s="6"/>
      <c r="C129" s="6"/>
      <c r="D129" s="6"/>
      <c r="E129" s="6"/>
      <c r="F129" s="6"/>
      <c r="G129" s="9"/>
    </row>
    <row r="130" spans="1:7" x14ac:dyDescent="0.2">
      <c r="A130" s="15"/>
      <c r="B130" s="6"/>
      <c r="C130" s="6"/>
      <c r="D130" s="6"/>
      <c r="E130" s="6"/>
      <c r="F130" s="6"/>
      <c r="G130" s="9"/>
    </row>
    <row r="131" spans="1:7" x14ac:dyDescent="0.2">
      <c r="A131" s="15"/>
      <c r="B131" s="6"/>
      <c r="C131" s="6"/>
      <c r="D131" s="6"/>
      <c r="E131" s="6"/>
      <c r="F131" s="6"/>
      <c r="G131" s="9"/>
    </row>
    <row r="132" spans="1:7" x14ac:dyDescent="0.2">
      <c r="A132" s="15"/>
      <c r="B132" s="6"/>
      <c r="C132" s="6"/>
      <c r="D132" s="6"/>
      <c r="E132" s="6"/>
      <c r="F132" s="6"/>
      <c r="G132" s="9"/>
    </row>
    <row r="133" spans="1:7" x14ac:dyDescent="0.2">
      <c r="A133" s="15"/>
      <c r="B133" s="6"/>
      <c r="C133" s="6"/>
      <c r="D133" s="6"/>
      <c r="E133" s="6"/>
      <c r="F133" s="6"/>
      <c r="G133" s="9"/>
    </row>
    <row r="134" spans="1:7" x14ac:dyDescent="0.2">
      <c r="B134" s="12"/>
      <c r="C134" s="12"/>
      <c r="D134" s="12"/>
      <c r="E134" s="12"/>
      <c r="F134" s="53"/>
      <c r="G134" s="10"/>
    </row>
  </sheetData>
  <sheetProtection selectLockedCells="1"/>
  <mergeCells count="2">
    <mergeCell ref="A1:G1"/>
    <mergeCell ref="A2:G2"/>
  </mergeCells>
  <phoneticPr fontId="4" type="noConversion"/>
  <printOptions horizontalCentered="1"/>
  <pageMargins left="0.25" right="0.25" top="0.75" bottom="0.5" header="0.5" footer="0.25"/>
  <pageSetup paperSize="5" orientation="portrait" r:id="rId1"/>
  <headerFooter alignWithMargins="0">
    <oddFooter>Page &amp;P of &amp;N</oddFooter>
  </headerFooter>
  <rowBreaks count="1" manualBreakCount="1">
    <brk id="37" max="9" man="1"/>
  </rowBreaks>
  <colBreaks count="1" manualBreakCount="1">
    <brk id="7" max="71" man="1"/>
  </colBreaks>
  <ignoredErrors>
    <ignoredError sqref="B5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17"/>
  <sheetViews>
    <sheetView topLeftCell="A147" zoomScaleNormal="100" workbookViewId="0">
      <selection activeCell="L153" sqref="L153"/>
    </sheetView>
  </sheetViews>
  <sheetFormatPr defaultRowHeight="12.75" x14ac:dyDescent="0.2"/>
  <cols>
    <col min="1" max="1" width="23.85546875" style="20" customWidth="1"/>
    <col min="2" max="2" width="12.7109375" style="20" customWidth="1"/>
    <col min="3" max="3" width="12.7109375" style="45" customWidth="1"/>
    <col min="4" max="4" width="12.7109375" style="20" customWidth="1"/>
    <col min="5" max="5" width="12.7109375" style="45" customWidth="1"/>
    <col min="6" max="6" width="12.7109375" style="20" customWidth="1"/>
    <col min="7" max="7" width="12.7109375" style="45" customWidth="1"/>
    <col min="8" max="8" width="12.7109375" style="20" customWidth="1"/>
    <col min="9" max="9" width="12.7109375" style="45" customWidth="1"/>
    <col min="10" max="10" width="17" style="20" bestFit="1" customWidth="1"/>
    <col min="11" max="11" width="9.42578125" style="20" customWidth="1"/>
    <col min="12" max="12" width="17" style="55" bestFit="1" customWidth="1"/>
    <col min="13" max="16384" width="9.140625" style="20"/>
  </cols>
  <sheetData>
    <row r="1" spans="1:18" ht="20.25" x14ac:dyDescent="0.3">
      <c r="A1" s="78" t="s">
        <v>104</v>
      </c>
      <c r="B1" s="79"/>
      <c r="C1" s="79"/>
      <c r="D1" s="79"/>
      <c r="E1" s="79"/>
      <c r="F1" s="79"/>
      <c r="G1" s="79"/>
      <c r="H1" s="79"/>
      <c r="I1" s="79"/>
      <c r="J1" s="79"/>
      <c r="L1" s="20"/>
    </row>
    <row r="2" spans="1:18" ht="20.25" x14ac:dyDescent="0.3">
      <c r="A2" s="80">
        <v>45384</v>
      </c>
      <c r="B2" s="81"/>
      <c r="C2" s="81"/>
      <c r="D2" s="81"/>
      <c r="E2" s="81"/>
      <c r="F2" s="81"/>
      <c r="G2" s="81"/>
      <c r="H2" s="81"/>
      <c r="I2" s="81"/>
      <c r="J2" s="81"/>
      <c r="L2" s="20"/>
    </row>
    <row r="3" spans="1:18" s="31" customFormat="1" ht="12" x14ac:dyDescent="0.2">
      <c r="C3" s="43"/>
      <c r="E3" s="43"/>
      <c r="G3" s="43"/>
      <c r="I3" s="43"/>
      <c r="L3" s="55"/>
    </row>
    <row r="4" spans="1:18" s="31" customFormat="1" ht="12" x14ac:dyDescent="0.2">
      <c r="C4" s="43"/>
      <c r="E4" s="43"/>
      <c r="G4" s="43"/>
      <c r="I4" s="43"/>
      <c r="L4" s="55"/>
    </row>
    <row r="5" spans="1:18" s="31" customFormat="1" ht="12" x14ac:dyDescent="0.2">
      <c r="A5" s="34"/>
      <c r="B5" s="46" t="s">
        <v>117</v>
      </c>
      <c r="C5" s="47"/>
      <c r="D5" s="46" t="s">
        <v>118</v>
      </c>
      <c r="E5" s="47"/>
      <c r="F5" s="46" t="s">
        <v>119</v>
      </c>
      <c r="G5" s="47"/>
      <c r="H5" s="46" t="s">
        <v>107</v>
      </c>
      <c r="I5" s="47"/>
      <c r="J5" s="48"/>
      <c r="K5" s="46"/>
      <c r="L5" s="56"/>
    </row>
    <row r="6" spans="1:18" s="31" customFormat="1" ht="24" x14ac:dyDescent="0.2">
      <c r="A6" s="33" t="s">
        <v>64</v>
      </c>
      <c r="B6" s="46" t="s">
        <v>120</v>
      </c>
      <c r="C6" s="46" t="s">
        <v>121</v>
      </c>
      <c r="D6" s="46" t="s">
        <v>122</v>
      </c>
      <c r="E6" s="46" t="s">
        <v>123</v>
      </c>
      <c r="F6" s="46" t="s">
        <v>124</v>
      </c>
      <c r="G6" s="46" t="s">
        <v>125</v>
      </c>
      <c r="H6" s="46" t="s">
        <v>108</v>
      </c>
      <c r="I6" s="46" t="s">
        <v>109</v>
      </c>
      <c r="J6" s="57" t="s">
        <v>113</v>
      </c>
      <c r="K6" s="49" t="s">
        <v>110</v>
      </c>
      <c r="L6" s="57" t="s">
        <v>112</v>
      </c>
    </row>
    <row r="7" spans="1:18" s="31" customFormat="1" ht="12" x14ac:dyDescent="0.2">
      <c r="A7" s="34" t="s">
        <v>65</v>
      </c>
      <c r="B7" s="35">
        <v>50</v>
      </c>
      <c r="C7" s="51">
        <f>B7/J7</f>
        <v>5.4430655345090355E-3</v>
      </c>
      <c r="D7" s="35">
        <v>309</v>
      </c>
      <c r="E7" s="51">
        <f>D7/J7</f>
        <v>3.363814500326584E-2</v>
      </c>
      <c r="F7" s="35">
        <v>918</v>
      </c>
      <c r="G7" s="51">
        <f>F7/L7</f>
        <v>9.9609375E-2</v>
      </c>
      <c r="H7" s="35">
        <v>7909</v>
      </c>
      <c r="I7" s="51">
        <f>H7/J7</f>
        <v>0.86098410624863919</v>
      </c>
      <c r="J7" s="36">
        <f>SUM(B7+D7+F7+H7)</f>
        <v>9186</v>
      </c>
      <c r="K7" s="36">
        <v>30</v>
      </c>
      <c r="L7" s="58">
        <f>J7+K7</f>
        <v>9216</v>
      </c>
    </row>
    <row r="8" spans="1:18" s="31" customFormat="1" ht="12" x14ac:dyDescent="0.2">
      <c r="A8" s="34"/>
      <c r="B8" s="34"/>
      <c r="C8" s="44"/>
      <c r="D8" s="34"/>
      <c r="E8" s="44"/>
      <c r="F8" s="34"/>
      <c r="G8" s="44"/>
      <c r="H8" s="34"/>
      <c r="I8" s="44"/>
      <c r="J8" s="36"/>
      <c r="K8" s="35"/>
      <c r="L8" s="58"/>
    </row>
    <row r="9" spans="1:18" s="31" customFormat="1" ht="12" x14ac:dyDescent="0.2">
      <c r="A9" s="34"/>
      <c r="B9" s="34"/>
      <c r="C9" s="44"/>
      <c r="D9" s="34"/>
      <c r="E9" s="44"/>
      <c r="F9" s="34"/>
      <c r="G9" s="44"/>
      <c r="H9" s="34"/>
      <c r="I9" s="44"/>
      <c r="J9" s="36"/>
      <c r="K9" s="35"/>
      <c r="L9" s="58"/>
    </row>
    <row r="10" spans="1:18" s="31" customFormat="1" ht="12" x14ac:dyDescent="0.2">
      <c r="A10" s="34"/>
      <c r="B10" s="46" t="s">
        <v>117</v>
      </c>
      <c r="C10" s="47"/>
      <c r="D10" s="46" t="s">
        <v>118</v>
      </c>
      <c r="E10" s="47"/>
      <c r="F10" s="46" t="s">
        <v>119</v>
      </c>
      <c r="G10" s="47"/>
      <c r="H10" s="46" t="s">
        <v>107</v>
      </c>
      <c r="I10" s="47"/>
      <c r="J10" s="48"/>
      <c r="K10" s="46"/>
      <c r="L10" s="59"/>
    </row>
    <row r="11" spans="1:18" s="31" customFormat="1" ht="24" x14ac:dyDescent="0.2">
      <c r="A11" s="33" t="s">
        <v>66</v>
      </c>
      <c r="B11" s="46" t="s">
        <v>120</v>
      </c>
      <c r="C11" s="46" t="s">
        <v>121</v>
      </c>
      <c r="D11" s="46" t="s">
        <v>122</v>
      </c>
      <c r="E11" s="46" t="s">
        <v>123</v>
      </c>
      <c r="F11" s="46" t="s">
        <v>124</v>
      </c>
      <c r="G11" s="46" t="s">
        <v>125</v>
      </c>
      <c r="H11" s="46" t="s">
        <v>108</v>
      </c>
      <c r="I11" s="46" t="s">
        <v>109</v>
      </c>
      <c r="J11" s="57" t="s">
        <v>113</v>
      </c>
      <c r="K11" s="49" t="s">
        <v>110</v>
      </c>
      <c r="L11" s="57" t="s">
        <v>112</v>
      </c>
      <c r="M11" s="32"/>
      <c r="N11" s="32"/>
      <c r="O11" s="32"/>
      <c r="P11" s="32"/>
      <c r="Q11" s="32"/>
      <c r="R11" s="32"/>
    </row>
    <row r="12" spans="1:18" s="31" customFormat="1" ht="12" x14ac:dyDescent="0.2">
      <c r="A12" s="34" t="s">
        <v>67</v>
      </c>
      <c r="B12" s="35">
        <v>2</v>
      </c>
      <c r="C12" s="51">
        <f>B12/J12</f>
        <v>3.8095238095238095E-3</v>
      </c>
      <c r="D12" s="35">
        <v>12</v>
      </c>
      <c r="E12" s="51">
        <f>D12/J12</f>
        <v>2.2857142857142857E-2</v>
      </c>
      <c r="F12" s="35">
        <v>26</v>
      </c>
      <c r="G12" s="51">
        <f>F12/L12</f>
        <v>4.9056603773584909E-2</v>
      </c>
      <c r="H12" s="35">
        <v>485</v>
      </c>
      <c r="I12" s="51">
        <f>H12/J12</f>
        <v>0.92380952380952386</v>
      </c>
      <c r="J12" s="36">
        <f>SUM(B12+D12+F12+H12)</f>
        <v>525</v>
      </c>
      <c r="K12" s="35">
        <v>5</v>
      </c>
      <c r="L12" s="58">
        <f>J12+K12</f>
        <v>530</v>
      </c>
      <c r="M12" s="42"/>
      <c r="N12" s="42"/>
      <c r="O12" s="42"/>
      <c r="P12" s="42"/>
      <c r="Q12" s="42"/>
      <c r="R12" s="42"/>
    </row>
    <row r="13" spans="1:18" s="31" customFormat="1" ht="12" x14ac:dyDescent="0.2">
      <c r="A13" s="34" t="s">
        <v>65</v>
      </c>
      <c r="B13" s="35">
        <v>40</v>
      </c>
      <c r="C13" s="51">
        <f>B13/J13</f>
        <v>5.5741360089186179E-3</v>
      </c>
      <c r="D13" s="35">
        <v>226</v>
      </c>
      <c r="E13" s="51">
        <f>D13/J13</f>
        <v>3.1493868450390192E-2</v>
      </c>
      <c r="F13" s="35">
        <v>563</v>
      </c>
      <c r="G13" s="51">
        <f>F13/L13</f>
        <v>7.8172729797278531E-2</v>
      </c>
      <c r="H13" s="35">
        <v>6347</v>
      </c>
      <c r="I13" s="51">
        <f>H13/J13</f>
        <v>0.88447603121516161</v>
      </c>
      <c r="J13" s="36">
        <f>SUM(B13+D13+F13+H13)</f>
        <v>7176</v>
      </c>
      <c r="K13" s="35">
        <v>26</v>
      </c>
      <c r="L13" s="58">
        <f>J13+K13</f>
        <v>7202</v>
      </c>
      <c r="M13" s="42"/>
      <c r="N13" s="42"/>
      <c r="O13" s="42"/>
      <c r="P13" s="42"/>
      <c r="Q13" s="42"/>
      <c r="R13" s="42"/>
    </row>
    <row r="14" spans="1:18" s="31" customFormat="1" ht="12" x14ac:dyDescent="0.2">
      <c r="A14" s="33" t="s">
        <v>0</v>
      </c>
      <c r="B14" s="36">
        <f>SUM(B12:B13)</f>
        <v>42</v>
      </c>
      <c r="C14" s="51">
        <f>B14/J14</f>
        <v>5.4538371640046749E-3</v>
      </c>
      <c r="D14" s="36">
        <f>SUM(D12:D13)</f>
        <v>238</v>
      </c>
      <c r="E14" s="51">
        <f>D14/J14</f>
        <v>3.0905077262693158E-2</v>
      </c>
      <c r="F14" s="36">
        <f>SUM(F12:F13)</f>
        <v>589</v>
      </c>
      <c r="G14" s="51">
        <f>F14/L14</f>
        <v>7.6176927056389038E-2</v>
      </c>
      <c r="H14" s="36">
        <f>SUM(H12:H13)</f>
        <v>6832</v>
      </c>
      <c r="I14" s="51">
        <f>H14/J14</f>
        <v>0.88715751201142712</v>
      </c>
      <c r="J14" s="36">
        <f>SUM(B14+D14+F14+H14)</f>
        <v>7701</v>
      </c>
      <c r="K14" s="36">
        <f>SUM(K12:K13)</f>
        <v>31</v>
      </c>
      <c r="L14" s="58">
        <f>J14+K14</f>
        <v>7732</v>
      </c>
      <c r="M14" s="42"/>
      <c r="N14" s="42"/>
      <c r="O14" s="42"/>
      <c r="P14" s="42"/>
      <c r="Q14" s="42"/>
      <c r="R14" s="42"/>
    </row>
    <row r="15" spans="1:18" s="31" customFormat="1" ht="12" x14ac:dyDescent="0.2">
      <c r="A15" s="34"/>
      <c r="B15" s="34"/>
      <c r="C15" s="44"/>
      <c r="D15" s="34"/>
      <c r="E15" s="44"/>
      <c r="F15" s="34"/>
      <c r="G15" s="44"/>
      <c r="H15" s="34"/>
      <c r="I15" s="44"/>
      <c r="J15" s="36"/>
      <c r="K15" s="35"/>
      <c r="L15" s="58"/>
      <c r="M15" s="42"/>
      <c r="N15" s="42"/>
      <c r="O15" s="42"/>
      <c r="P15" s="42"/>
      <c r="Q15" s="42"/>
      <c r="R15" s="42"/>
    </row>
    <row r="16" spans="1:18" s="31" customFormat="1" ht="12" x14ac:dyDescent="0.2">
      <c r="A16" s="34"/>
      <c r="B16" s="34"/>
      <c r="C16" s="44"/>
      <c r="D16" s="34"/>
      <c r="E16" s="44"/>
      <c r="F16" s="34"/>
      <c r="G16" s="44"/>
      <c r="H16" s="34"/>
      <c r="I16" s="44"/>
      <c r="J16" s="36"/>
      <c r="K16" s="35"/>
      <c r="L16" s="58"/>
      <c r="M16" s="42"/>
      <c r="N16" s="42"/>
      <c r="O16" s="42"/>
      <c r="P16" s="42"/>
      <c r="Q16" s="42"/>
      <c r="R16" s="42"/>
    </row>
    <row r="17" spans="1:18" s="31" customFormat="1" ht="12" x14ac:dyDescent="0.2">
      <c r="A17" s="34"/>
      <c r="B17" s="46" t="s">
        <v>117</v>
      </c>
      <c r="C17" s="47"/>
      <c r="D17" s="46" t="s">
        <v>118</v>
      </c>
      <c r="E17" s="47"/>
      <c r="F17" s="46" t="s">
        <v>119</v>
      </c>
      <c r="G17" s="47"/>
      <c r="H17" s="46" t="s">
        <v>107</v>
      </c>
      <c r="I17" s="47"/>
      <c r="J17" s="48"/>
      <c r="K17" s="46"/>
      <c r="L17" s="59"/>
      <c r="M17" s="32"/>
      <c r="N17" s="32"/>
      <c r="O17" s="32"/>
      <c r="P17" s="32"/>
      <c r="Q17" s="32"/>
      <c r="R17" s="32"/>
    </row>
    <row r="18" spans="1:18" s="31" customFormat="1" ht="24" x14ac:dyDescent="0.2">
      <c r="A18" s="33" t="s">
        <v>68</v>
      </c>
      <c r="B18" s="46" t="s">
        <v>120</v>
      </c>
      <c r="C18" s="46" t="s">
        <v>121</v>
      </c>
      <c r="D18" s="46" t="s">
        <v>122</v>
      </c>
      <c r="E18" s="46" t="s">
        <v>123</v>
      </c>
      <c r="F18" s="46" t="s">
        <v>124</v>
      </c>
      <c r="G18" s="46" t="s">
        <v>125</v>
      </c>
      <c r="H18" s="46" t="s">
        <v>108</v>
      </c>
      <c r="I18" s="46" t="s">
        <v>109</v>
      </c>
      <c r="J18" s="57" t="s">
        <v>113</v>
      </c>
      <c r="K18" s="49" t="s">
        <v>110</v>
      </c>
      <c r="L18" s="57" t="s">
        <v>112</v>
      </c>
      <c r="M18" s="32"/>
      <c r="N18" s="32"/>
      <c r="O18" s="32"/>
      <c r="P18" s="32"/>
      <c r="Q18" s="32"/>
      <c r="R18" s="32"/>
    </row>
    <row r="19" spans="1:18" s="31" customFormat="1" ht="12" x14ac:dyDescent="0.2">
      <c r="A19" s="34" t="s">
        <v>67</v>
      </c>
      <c r="B19" s="35">
        <v>47</v>
      </c>
      <c r="C19" s="51">
        <f>B19/J19</f>
        <v>7.5417201540436459E-3</v>
      </c>
      <c r="D19" s="35">
        <v>257</v>
      </c>
      <c r="E19" s="51">
        <f>D19/J19</f>
        <v>4.1238767650834403E-2</v>
      </c>
      <c r="F19" s="35">
        <v>637</v>
      </c>
      <c r="G19" s="51">
        <f>F19/L19</f>
        <v>0.10151394422310757</v>
      </c>
      <c r="H19" s="35">
        <v>5291</v>
      </c>
      <c r="I19" s="51">
        <f>H19/J19</f>
        <v>0.84900513478818995</v>
      </c>
      <c r="J19" s="36">
        <f>SUM(B19+D19+F19+H19)</f>
        <v>6232</v>
      </c>
      <c r="K19" s="35">
        <v>43</v>
      </c>
      <c r="L19" s="58">
        <f>J19+K19</f>
        <v>6275</v>
      </c>
    </row>
    <row r="20" spans="1:18" s="31" customFormat="1" ht="12" x14ac:dyDescent="0.2">
      <c r="A20" s="34" t="s">
        <v>71</v>
      </c>
      <c r="B20" s="35">
        <v>6</v>
      </c>
      <c r="C20" s="51">
        <f>B20/J20</f>
        <v>3.9840637450199202E-3</v>
      </c>
      <c r="D20" s="35">
        <v>40</v>
      </c>
      <c r="E20" s="51">
        <f>D20/J20</f>
        <v>2.6560424966799469E-2</v>
      </c>
      <c r="F20" s="35">
        <v>136</v>
      </c>
      <c r="G20" s="51">
        <f>F20/L20</f>
        <v>8.9650626235992084E-2</v>
      </c>
      <c r="H20" s="35">
        <v>1324</v>
      </c>
      <c r="I20" s="51">
        <f>H20/J20</f>
        <v>0.87915006640106241</v>
      </c>
      <c r="J20" s="36">
        <f t="shared" ref="J20:J21" si="0">SUM(B20+D20+F20+H20)</f>
        <v>1506</v>
      </c>
      <c r="K20" s="35">
        <v>11</v>
      </c>
      <c r="L20" s="58">
        <f>J20+K20</f>
        <v>1517</v>
      </c>
    </row>
    <row r="21" spans="1:18" s="31" customFormat="1" ht="12" x14ac:dyDescent="0.2">
      <c r="A21" s="33" t="s">
        <v>0</v>
      </c>
      <c r="B21" s="36">
        <f>SUM(B19:B20)</f>
        <v>53</v>
      </c>
      <c r="C21" s="51">
        <f>B21/J21</f>
        <v>6.8493150684931503E-3</v>
      </c>
      <c r="D21" s="36">
        <f>SUM(D19:D20)</f>
        <v>297</v>
      </c>
      <c r="E21" s="51">
        <f>D21/J21</f>
        <v>3.838201085551822E-2</v>
      </c>
      <c r="F21" s="36">
        <f>SUM(F19:F20)</f>
        <v>773</v>
      </c>
      <c r="G21" s="51">
        <f>F21/L21</f>
        <v>9.9204312114989729E-2</v>
      </c>
      <c r="H21" s="36">
        <f>SUM(H19:H20)</f>
        <v>6615</v>
      </c>
      <c r="I21" s="51">
        <f>H21/J21</f>
        <v>0.85487205996381499</v>
      </c>
      <c r="J21" s="36">
        <f t="shared" si="0"/>
        <v>7738</v>
      </c>
      <c r="K21" s="36">
        <f>SUM(K19:K20)</f>
        <v>54</v>
      </c>
      <c r="L21" s="58">
        <f>J21+K21</f>
        <v>7792</v>
      </c>
    </row>
    <row r="22" spans="1:18" s="31" customFormat="1" ht="12" x14ac:dyDescent="0.2">
      <c r="A22" s="34"/>
      <c r="B22" s="34"/>
      <c r="C22" s="44"/>
      <c r="D22" s="34"/>
      <c r="E22" s="44"/>
      <c r="F22" s="34"/>
      <c r="G22" s="44"/>
      <c r="H22" s="34"/>
      <c r="I22" s="44"/>
      <c r="J22" s="36"/>
      <c r="K22" s="35"/>
      <c r="L22" s="58"/>
    </row>
    <row r="23" spans="1:18" s="31" customFormat="1" ht="12" x14ac:dyDescent="0.2">
      <c r="A23" s="34"/>
      <c r="B23" s="34"/>
      <c r="C23" s="44"/>
      <c r="D23" s="34"/>
      <c r="E23" s="44"/>
      <c r="F23" s="34"/>
      <c r="G23" s="44"/>
      <c r="H23" s="34"/>
      <c r="I23" s="44"/>
      <c r="J23" s="36"/>
      <c r="K23" s="35"/>
      <c r="L23" s="58"/>
    </row>
    <row r="24" spans="1:18" s="31" customFormat="1" ht="12" x14ac:dyDescent="0.2">
      <c r="A24" s="34"/>
      <c r="B24" s="46" t="s">
        <v>117</v>
      </c>
      <c r="C24" s="47"/>
      <c r="D24" s="46" t="s">
        <v>118</v>
      </c>
      <c r="E24" s="47"/>
      <c r="F24" s="46" t="s">
        <v>119</v>
      </c>
      <c r="G24" s="47"/>
      <c r="H24" s="46" t="s">
        <v>107</v>
      </c>
      <c r="I24" s="47"/>
      <c r="J24" s="48"/>
      <c r="K24" s="46"/>
      <c r="L24" s="59"/>
    </row>
    <row r="25" spans="1:18" s="31" customFormat="1" ht="24" x14ac:dyDescent="0.2">
      <c r="A25" s="33" t="s">
        <v>69</v>
      </c>
      <c r="B25" s="46" t="s">
        <v>120</v>
      </c>
      <c r="C25" s="46" t="s">
        <v>121</v>
      </c>
      <c r="D25" s="46" t="s">
        <v>122</v>
      </c>
      <c r="E25" s="46" t="s">
        <v>123</v>
      </c>
      <c r="F25" s="46" t="s">
        <v>124</v>
      </c>
      <c r="G25" s="46" t="s">
        <v>125</v>
      </c>
      <c r="H25" s="46" t="s">
        <v>108</v>
      </c>
      <c r="I25" s="46" t="s">
        <v>109</v>
      </c>
      <c r="J25" s="57" t="s">
        <v>113</v>
      </c>
      <c r="K25" s="49" t="s">
        <v>110</v>
      </c>
      <c r="L25" s="57" t="s">
        <v>112</v>
      </c>
    </row>
    <row r="26" spans="1:18" s="31" customFormat="1" ht="12" x14ac:dyDescent="0.2">
      <c r="A26" s="34" t="s">
        <v>67</v>
      </c>
      <c r="B26" s="35">
        <v>53</v>
      </c>
      <c r="C26" s="51">
        <f>B26/J26</f>
        <v>7.4396406513194836E-3</v>
      </c>
      <c r="D26" s="35">
        <v>308</v>
      </c>
      <c r="E26" s="51">
        <f>D26/J26</f>
        <v>4.3234138124649074E-2</v>
      </c>
      <c r="F26" s="35">
        <v>703</v>
      </c>
      <c r="G26" s="51">
        <f>F26/L26</f>
        <v>9.7815500208710174E-2</v>
      </c>
      <c r="H26" s="35">
        <v>6060</v>
      </c>
      <c r="I26" s="51">
        <f>H26/J26</f>
        <v>0.8506457046603032</v>
      </c>
      <c r="J26" s="36">
        <f>SUM(B26+D26+F26+H26)</f>
        <v>7124</v>
      </c>
      <c r="K26" s="36">
        <v>63</v>
      </c>
      <c r="L26" s="58">
        <f>J26+K26</f>
        <v>7187</v>
      </c>
    </row>
    <row r="27" spans="1:18" s="31" customFormat="1" ht="12" x14ac:dyDescent="0.2">
      <c r="A27" s="34"/>
      <c r="B27" s="34"/>
      <c r="C27" s="44"/>
      <c r="D27" s="34"/>
      <c r="E27" s="44"/>
      <c r="F27" s="34"/>
      <c r="G27" s="44"/>
      <c r="H27" s="34"/>
      <c r="I27" s="44"/>
      <c r="J27" s="36"/>
      <c r="K27" s="35"/>
      <c r="L27" s="58"/>
    </row>
    <row r="28" spans="1:18" s="31" customFormat="1" ht="12" x14ac:dyDescent="0.2">
      <c r="A28" s="34"/>
      <c r="B28" s="34"/>
      <c r="C28" s="44"/>
      <c r="D28" s="34"/>
      <c r="E28" s="44"/>
      <c r="F28" s="34"/>
      <c r="G28" s="44"/>
      <c r="H28" s="34"/>
      <c r="I28" s="44"/>
      <c r="J28" s="36"/>
      <c r="K28" s="35"/>
      <c r="L28" s="58"/>
    </row>
    <row r="29" spans="1:18" s="31" customFormat="1" ht="12" x14ac:dyDescent="0.2">
      <c r="A29" s="34"/>
      <c r="B29" s="46" t="s">
        <v>117</v>
      </c>
      <c r="C29" s="47"/>
      <c r="D29" s="46" t="s">
        <v>118</v>
      </c>
      <c r="E29" s="47"/>
      <c r="F29" s="46" t="s">
        <v>119</v>
      </c>
      <c r="G29" s="47"/>
      <c r="H29" s="46" t="s">
        <v>107</v>
      </c>
      <c r="I29" s="47"/>
      <c r="J29" s="48"/>
      <c r="K29" s="46"/>
      <c r="L29" s="59"/>
    </row>
    <row r="30" spans="1:18" s="31" customFormat="1" ht="24" x14ac:dyDescent="0.2">
      <c r="A30" s="33" t="s">
        <v>70</v>
      </c>
      <c r="B30" s="46" t="s">
        <v>120</v>
      </c>
      <c r="C30" s="46" t="s">
        <v>121</v>
      </c>
      <c r="D30" s="46" t="s">
        <v>122</v>
      </c>
      <c r="E30" s="46" t="s">
        <v>123</v>
      </c>
      <c r="F30" s="46" t="s">
        <v>124</v>
      </c>
      <c r="G30" s="46" t="s">
        <v>125</v>
      </c>
      <c r="H30" s="46" t="s">
        <v>108</v>
      </c>
      <c r="I30" s="46" t="s">
        <v>109</v>
      </c>
      <c r="J30" s="57" t="s">
        <v>113</v>
      </c>
      <c r="K30" s="49" t="s">
        <v>110</v>
      </c>
      <c r="L30" s="57" t="s">
        <v>112</v>
      </c>
    </row>
    <row r="31" spans="1:18" s="31" customFormat="1" ht="12" x14ac:dyDescent="0.2">
      <c r="A31" s="34" t="s">
        <v>71</v>
      </c>
      <c r="B31" s="35">
        <v>28</v>
      </c>
      <c r="C31" s="51">
        <f>B31/J31</f>
        <v>1.3157894736842105E-2</v>
      </c>
      <c r="D31" s="35">
        <v>58</v>
      </c>
      <c r="E31" s="51">
        <f>D31/J31</f>
        <v>2.7255639097744359E-2</v>
      </c>
      <c r="F31" s="35">
        <v>163</v>
      </c>
      <c r="G31" s="51">
        <f>F31/L31</f>
        <v>7.5323475046210717E-2</v>
      </c>
      <c r="H31" s="35">
        <v>1879</v>
      </c>
      <c r="I31" s="51">
        <f>H31/J31</f>
        <v>0.88298872180451127</v>
      </c>
      <c r="J31" s="36">
        <f t="shared" ref="J31:J32" si="1">SUM(B31+D31+F31+H31)</f>
        <v>2128</v>
      </c>
      <c r="K31" s="35">
        <v>36</v>
      </c>
      <c r="L31" s="58">
        <f>J31+K31</f>
        <v>2164</v>
      </c>
    </row>
    <row r="32" spans="1:18" s="31" customFormat="1" ht="12" x14ac:dyDescent="0.2">
      <c r="A32" s="33" t="s">
        <v>0</v>
      </c>
      <c r="B32" s="36">
        <f>SUM(B31:B31)</f>
        <v>28</v>
      </c>
      <c r="C32" s="51">
        <f>B32/J32</f>
        <v>1.3157894736842105E-2</v>
      </c>
      <c r="D32" s="36">
        <f>SUM(D31:D31)</f>
        <v>58</v>
      </c>
      <c r="E32" s="51">
        <f>D32/J32</f>
        <v>2.7255639097744359E-2</v>
      </c>
      <c r="F32" s="36">
        <f>SUM(F31:F31)</f>
        <v>163</v>
      </c>
      <c r="G32" s="51">
        <f>F32/L32</f>
        <v>7.5323475046210717E-2</v>
      </c>
      <c r="H32" s="36">
        <f>SUM(H31:H31)</f>
        <v>1879</v>
      </c>
      <c r="I32" s="51">
        <f>H32/J32</f>
        <v>0.88298872180451127</v>
      </c>
      <c r="J32" s="36">
        <f t="shared" si="1"/>
        <v>2128</v>
      </c>
      <c r="K32" s="36">
        <f>SUM(K31:K31)</f>
        <v>36</v>
      </c>
      <c r="L32" s="58">
        <f>J32+K32</f>
        <v>2164</v>
      </c>
    </row>
    <row r="33" spans="1:12" s="31" customFormat="1" ht="12" x14ac:dyDescent="0.2">
      <c r="A33" s="34"/>
      <c r="B33" s="34"/>
      <c r="C33" s="44"/>
      <c r="D33" s="34"/>
      <c r="E33" s="44"/>
      <c r="F33" s="34"/>
      <c r="G33" s="44"/>
      <c r="H33" s="34"/>
      <c r="I33" s="44"/>
      <c r="J33" s="36"/>
      <c r="K33" s="35"/>
      <c r="L33" s="58"/>
    </row>
    <row r="34" spans="1:12" s="31" customFormat="1" ht="12" x14ac:dyDescent="0.2">
      <c r="A34" s="34"/>
      <c r="B34" s="34"/>
      <c r="C34" s="44"/>
      <c r="D34" s="34"/>
      <c r="E34" s="44"/>
      <c r="F34" s="34"/>
      <c r="G34" s="44"/>
      <c r="H34" s="34"/>
      <c r="I34" s="44"/>
      <c r="J34" s="36"/>
      <c r="K34" s="35"/>
      <c r="L34" s="58"/>
    </row>
    <row r="35" spans="1:12" s="31" customFormat="1" ht="12" x14ac:dyDescent="0.2">
      <c r="A35" s="34"/>
      <c r="B35" s="46" t="s">
        <v>117</v>
      </c>
      <c r="C35" s="47"/>
      <c r="D35" s="46" t="s">
        <v>118</v>
      </c>
      <c r="E35" s="47"/>
      <c r="F35" s="46" t="s">
        <v>119</v>
      </c>
      <c r="G35" s="47"/>
      <c r="H35" s="46" t="s">
        <v>107</v>
      </c>
      <c r="I35" s="47"/>
      <c r="J35" s="48"/>
      <c r="K35" s="46"/>
      <c r="L35" s="59"/>
    </row>
    <row r="36" spans="1:12" s="31" customFormat="1" ht="24" x14ac:dyDescent="0.2">
      <c r="A36" s="33" t="s">
        <v>72</v>
      </c>
      <c r="B36" s="46" t="s">
        <v>120</v>
      </c>
      <c r="C36" s="46" t="s">
        <v>121</v>
      </c>
      <c r="D36" s="46" t="s">
        <v>122</v>
      </c>
      <c r="E36" s="46" t="s">
        <v>123</v>
      </c>
      <c r="F36" s="46" t="s">
        <v>124</v>
      </c>
      <c r="G36" s="46" t="s">
        <v>125</v>
      </c>
      <c r="H36" s="46" t="s">
        <v>108</v>
      </c>
      <c r="I36" s="46" t="s">
        <v>109</v>
      </c>
      <c r="J36" s="57" t="s">
        <v>113</v>
      </c>
      <c r="K36" s="49" t="s">
        <v>110</v>
      </c>
      <c r="L36" s="57" t="s">
        <v>112</v>
      </c>
    </row>
    <row r="37" spans="1:12" s="31" customFormat="1" ht="12" x14ac:dyDescent="0.2">
      <c r="A37" s="34" t="s">
        <v>71</v>
      </c>
      <c r="B37" s="35">
        <v>34</v>
      </c>
      <c r="C37" s="51">
        <f>B37/J37</f>
        <v>1.1132940406024885E-2</v>
      </c>
      <c r="D37" s="35">
        <v>107</v>
      </c>
      <c r="E37" s="51">
        <f>D37/J37</f>
        <v>3.503601833660773E-2</v>
      </c>
      <c r="F37" s="35">
        <v>247</v>
      </c>
      <c r="G37" s="51">
        <f>F37/L37</f>
        <v>8.0194805194805194E-2</v>
      </c>
      <c r="H37" s="35">
        <v>2666</v>
      </c>
      <c r="I37" s="51">
        <f>H37/J37</f>
        <v>0.87295350360183366</v>
      </c>
      <c r="J37" s="36">
        <f>SUM(B37+D37+F37+H37)</f>
        <v>3054</v>
      </c>
      <c r="K37" s="36">
        <v>26</v>
      </c>
      <c r="L37" s="58">
        <f>J37+K37</f>
        <v>3080</v>
      </c>
    </row>
    <row r="38" spans="1:12" s="31" customFormat="1" ht="12" x14ac:dyDescent="0.2">
      <c r="A38" s="34"/>
      <c r="B38" s="34"/>
      <c r="C38" s="44"/>
      <c r="D38" s="34"/>
      <c r="E38" s="44"/>
      <c r="F38" s="34"/>
      <c r="G38" s="44"/>
      <c r="H38" s="34"/>
      <c r="I38" s="44"/>
      <c r="J38" s="36"/>
      <c r="K38" s="35"/>
      <c r="L38" s="58"/>
    </row>
    <row r="39" spans="1:12" s="31" customFormat="1" ht="12" x14ac:dyDescent="0.2">
      <c r="A39" s="34"/>
      <c r="B39" s="34"/>
      <c r="C39" s="44"/>
      <c r="D39" s="34"/>
      <c r="E39" s="44"/>
      <c r="F39" s="34"/>
      <c r="G39" s="44"/>
      <c r="H39" s="34"/>
      <c r="I39" s="44"/>
      <c r="J39" s="36"/>
      <c r="K39" s="35"/>
      <c r="L39" s="58"/>
    </row>
    <row r="40" spans="1:12" s="31" customFormat="1" ht="12" x14ac:dyDescent="0.2">
      <c r="A40" s="34"/>
      <c r="B40" s="46" t="s">
        <v>117</v>
      </c>
      <c r="C40" s="47"/>
      <c r="D40" s="46" t="s">
        <v>118</v>
      </c>
      <c r="E40" s="47"/>
      <c r="F40" s="46" t="s">
        <v>119</v>
      </c>
      <c r="G40" s="47"/>
      <c r="H40" s="46" t="s">
        <v>107</v>
      </c>
      <c r="I40" s="47"/>
      <c r="J40" s="48"/>
      <c r="K40" s="46"/>
      <c r="L40" s="59"/>
    </row>
    <row r="41" spans="1:12" s="31" customFormat="1" ht="24" x14ac:dyDescent="0.2">
      <c r="A41" s="33" t="s">
        <v>73</v>
      </c>
      <c r="B41" s="46" t="s">
        <v>120</v>
      </c>
      <c r="C41" s="46" t="s">
        <v>121</v>
      </c>
      <c r="D41" s="46" t="s">
        <v>122</v>
      </c>
      <c r="E41" s="46" t="s">
        <v>123</v>
      </c>
      <c r="F41" s="46" t="s">
        <v>124</v>
      </c>
      <c r="G41" s="46" t="s">
        <v>125</v>
      </c>
      <c r="H41" s="46" t="s">
        <v>108</v>
      </c>
      <c r="I41" s="46" t="s">
        <v>109</v>
      </c>
      <c r="J41" s="57" t="s">
        <v>113</v>
      </c>
      <c r="K41" s="49" t="s">
        <v>110</v>
      </c>
      <c r="L41" s="57" t="s">
        <v>112</v>
      </c>
    </row>
    <row r="42" spans="1:12" s="31" customFormat="1" ht="12" x14ac:dyDescent="0.2">
      <c r="A42" s="34" t="s">
        <v>76</v>
      </c>
      <c r="B42" s="35">
        <v>15</v>
      </c>
      <c r="C42" s="51">
        <f>B42/J42</f>
        <v>3.2537960954446853E-2</v>
      </c>
      <c r="D42" s="35">
        <v>19</v>
      </c>
      <c r="E42" s="51">
        <f>D42/J42</f>
        <v>4.1214750542299353E-2</v>
      </c>
      <c r="F42" s="35">
        <v>56</v>
      </c>
      <c r="G42" s="51">
        <f>F42/L42</f>
        <v>0.11740041928721175</v>
      </c>
      <c r="H42" s="35">
        <v>371</v>
      </c>
      <c r="I42" s="51">
        <f>H42/J42</f>
        <v>0.8047722342733189</v>
      </c>
      <c r="J42" s="36">
        <f>SUM(B42+D42+F42+H42)</f>
        <v>461</v>
      </c>
      <c r="K42" s="35">
        <v>16</v>
      </c>
      <c r="L42" s="58">
        <f>J42+K42</f>
        <v>477</v>
      </c>
    </row>
    <row r="43" spans="1:12" s="31" customFormat="1" ht="12" x14ac:dyDescent="0.2">
      <c r="A43" s="34" t="s">
        <v>71</v>
      </c>
      <c r="B43" s="35">
        <v>15</v>
      </c>
      <c r="C43" s="51">
        <f>B43/J43</f>
        <v>1.4409221902017291E-2</v>
      </c>
      <c r="D43" s="35">
        <v>33</v>
      </c>
      <c r="E43" s="51">
        <f>D43/J43</f>
        <v>3.1700288184438041E-2</v>
      </c>
      <c r="F43" s="35">
        <v>83</v>
      </c>
      <c r="G43" s="51">
        <f>F43/L43</f>
        <v>7.9047619047619047E-2</v>
      </c>
      <c r="H43" s="35">
        <v>910</v>
      </c>
      <c r="I43" s="51">
        <f>H43/J43</f>
        <v>0.87415946205571571</v>
      </c>
      <c r="J43" s="36">
        <f t="shared" ref="J43:J44" si="2">SUM(B43+D43+F43+H43)</f>
        <v>1041</v>
      </c>
      <c r="K43" s="35">
        <v>9</v>
      </c>
      <c r="L43" s="58">
        <f>J43+K43</f>
        <v>1050</v>
      </c>
    </row>
    <row r="44" spans="1:12" s="31" customFormat="1" ht="12" x14ac:dyDescent="0.2">
      <c r="A44" s="33" t="s">
        <v>0</v>
      </c>
      <c r="B44" s="36">
        <f>SUM(B42:B43)</f>
        <v>30</v>
      </c>
      <c r="C44" s="51">
        <f>B44/J44</f>
        <v>1.9973368841544607E-2</v>
      </c>
      <c r="D44" s="36">
        <f>SUM(D42:D43)</f>
        <v>52</v>
      </c>
      <c r="E44" s="51">
        <f>D44/J44</f>
        <v>3.462050599201065E-2</v>
      </c>
      <c r="F44" s="36">
        <f>SUM(F42:F43)</f>
        <v>139</v>
      </c>
      <c r="G44" s="51">
        <f>F44/L44</f>
        <v>9.1028159790438767E-2</v>
      </c>
      <c r="H44" s="36">
        <f>SUM(H42:H43)</f>
        <v>1281</v>
      </c>
      <c r="I44" s="51">
        <f>H44/J44</f>
        <v>0.85286284953395475</v>
      </c>
      <c r="J44" s="36">
        <f t="shared" si="2"/>
        <v>1502</v>
      </c>
      <c r="K44" s="36">
        <f>SUM(K42:K43)</f>
        <v>25</v>
      </c>
      <c r="L44" s="58">
        <f>J44+K44</f>
        <v>1527</v>
      </c>
    </row>
    <row r="45" spans="1:12" s="31" customFormat="1" ht="12" x14ac:dyDescent="0.2">
      <c r="A45" s="34"/>
      <c r="B45" s="34"/>
      <c r="C45" s="44"/>
      <c r="D45" s="34"/>
      <c r="E45" s="44"/>
      <c r="F45" s="34"/>
      <c r="G45" s="44"/>
      <c r="H45" s="34"/>
      <c r="I45" s="44"/>
      <c r="J45" s="36"/>
      <c r="K45" s="35"/>
      <c r="L45" s="58"/>
    </row>
    <row r="46" spans="1:12" s="31" customFormat="1" ht="12" x14ac:dyDescent="0.2">
      <c r="A46" s="34"/>
      <c r="B46" s="34"/>
      <c r="C46" s="44"/>
      <c r="D46" s="34"/>
      <c r="E46" s="44"/>
      <c r="F46" s="34"/>
      <c r="G46" s="44"/>
      <c r="H46" s="34"/>
      <c r="I46" s="44"/>
      <c r="J46" s="36"/>
      <c r="K46" s="35"/>
      <c r="L46" s="58"/>
    </row>
    <row r="47" spans="1:12" s="31" customFormat="1" ht="12" x14ac:dyDescent="0.2">
      <c r="A47" s="34"/>
      <c r="B47" s="46" t="s">
        <v>117</v>
      </c>
      <c r="C47" s="47"/>
      <c r="D47" s="46" t="s">
        <v>118</v>
      </c>
      <c r="E47" s="47"/>
      <c r="F47" s="46" t="s">
        <v>119</v>
      </c>
      <c r="G47" s="47"/>
      <c r="H47" s="46" t="s">
        <v>107</v>
      </c>
      <c r="I47" s="47"/>
      <c r="J47" s="48"/>
      <c r="K47" s="46"/>
      <c r="L47" s="59"/>
    </row>
    <row r="48" spans="1:12" s="31" customFormat="1" ht="24" x14ac:dyDescent="0.2">
      <c r="A48" s="33" t="s">
        <v>75</v>
      </c>
      <c r="B48" s="46" t="s">
        <v>120</v>
      </c>
      <c r="C48" s="46" t="s">
        <v>121</v>
      </c>
      <c r="D48" s="46" t="s">
        <v>122</v>
      </c>
      <c r="E48" s="46" t="s">
        <v>123</v>
      </c>
      <c r="F48" s="46" t="s">
        <v>124</v>
      </c>
      <c r="G48" s="46" t="s">
        <v>125</v>
      </c>
      <c r="H48" s="46" t="s">
        <v>108</v>
      </c>
      <c r="I48" s="46" t="s">
        <v>109</v>
      </c>
      <c r="J48" s="57" t="s">
        <v>113</v>
      </c>
      <c r="K48" s="49" t="s">
        <v>110</v>
      </c>
      <c r="L48" s="57" t="s">
        <v>112</v>
      </c>
    </row>
    <row r="49" spans="1:12" s="31" customFormat="1" ht="12" x14ac:dyDescent="0.2">
      <c r="A49" s="34" t="s">
        <v>76</v>
      </c>
      <c r="B49" s="35">
        <v>21</v>
      </c>
      <c r="C49" s="51">
        <f>B49/J49</f>
        <v>9.3875726419311578E-3</v>
      </c>
      <c r="D49" s="35">
        <v>61</v>
      </c>
      <c r="E49" s="51">
        <f>D49/J49</f>
        <v>2.7268663388466695E-2</v>
      </c>
      <c r="F49" s="35">
        <v>145</v>
      </c>
      <c r="G49" s="51">
        <f>F49/L49</f>
        <v>6.3989408649602827E-2</v>
      </c>
      <c r="H49" s="35">
        <v>2010</v>
      </c>
      <c r="I49" s="51">
        <f>H49/J49</f>
        <v>0.89852481001341078</v>
      </c>
      <c r="J49" s="36">
        <f>SUM(B49+D49+F49+H49)</f>
        <v>2237</v>
      </c>
      <c r="K49" s="35">
        <v>29</v>
      </c>
      <c r="L49" s="58">
        <f>J49+K49</f>
        <v>2266</v>
      </c>
    </row>
    <row r="50" spans="1:12" s="31" customFormat="1" ht="12" x14ac:dyDescent="0.2">
      <c r="A50" s="33" t="s">
        <v>0</v>
      </c>
      <c r="B50" s="36">
        <f>SUM(B49:B49)</f>
        <v>21</v>
      </c>
      <c r="C50" s="51">
        <f>B50/J50</f>
        <v>9.3875726419311578E-3</v>
      </c>
      <c r="D50" s="36">
        <f>SUM(D49:D49)</f>
        <v>61</v>
      </c>
      <c r="E50" s="51">
        <f>D50/J50</f>
        <v>2.7268663388466695E-2</v>
      </c>
      <c r="F50" s="36">
        <f>SUM(F49:F49)</f>
        <v>145</v>
      </c>
      <c r="G50" s="51">
        <f>F50/L50</f>
        <v>6.3989408649602827E-2</v>
      </c>
      <c r="H50" s="36">
        <f>SUM(H49:H49)</f>
        <v>2010</v>
      </c>
      <c r="I50" s="51">
        <f>H50/J50</f>
        <v>0.89852481001341078</v>
      </c>
      <c r="J50" s="36">
        <f t="shared" ref="J50" si="3">SUM(B50+D50+F50+H50)</f>
        <v>2237</v>
      </c>
      <c r="K50" s="36">
        <f>SUM(K49:K49)</f>
        <v>29</v>
      </c>
      <c r="L50" s="58">
        <f>J50+K50</f>
        <v>2266</v>
      </c>
    </row>
    <row r="51" spans="1:12" s="31" customFormat="1" ht="12" x14ac:dyDescent="0.2">
      <c r="A51" s="34"/>
      <c r="B51" s="34"/>
      <c r="C51" s="44"/>
      <c r="D51" s="34"/>
      <c r="E51" s="44"/>
      <c r="F51" s="34"/>
      <c r="G51" s="44"/>
      <c r="H51" s="34"/>
      <c r="I51" s="44"/>
      <c r="J51" s="36"/>
      <c r="K51" s="35"/>
      <c r="L51" s="58"/>
    </row>
    <row r="52" spans="1:12" s="31" customFormat="1" ht="12" x14ac:dyDescent="0.2">
      <c r="A52" s="34"/>
      <c r="B52" s="34"/>
      <c r="C52" s="44"/>
      <c r="D52" s="34"/>
      <c r="E52" s="44"/>
      <c r="F52" s="34"/>
      <c r="G52" s="44"/>
      <c r="H52" s="34"/>
      <c r="I52" s="44"/>
      <c r="J52" s="36"/>
      <c r="K52" s="35"/>
      <c r="L52" s="58"/>
    </row>
    <row r="53" spans="1:12" s="31" customFormat="1" ht="12" x14ac:dyDescent="0.2">
      <c r="A53" s="34"/>
      <c r="B53" s="46" t="s">
        <v>117</v>
      </c>
      <c r="C53" s="47"/>
      <c r="D53" s="46" t="s">
        <v>118</v>
      </c>
      <c r="E53" s="47"/>
      <c r="F53" s="46" t="s">
        <v>119</v>
      </c>
      <c r="G53" s="47"/>
      <c r="H53" s="46" t="s">
        <v>107</v>
      </c>
      <c r="I53" s="47"/>
      <c r="J53" s="48"/>
      <c r="K53" s="46"/>
      <c r="L53" s="59"/>
    </row>
    <row r="54" spans="1:12" s="31" customFormat="1" ht="24" x14ac:dyDescent="0.2">
      <c r="A54" s="33" t="s">
        <v>78</v>
      </c>
      <c r="B54" s="46" t="s">
        <v>120</v>
      </c>
      <c r="C54" s="46" t="s">
        <v>121</v>
      </c>
      <c r="D54" s="46" t="s">
        <v>122</v>
      </c>
      <c r="E54" s="46" t="s">
        <v>123</v>
      </c>
      <c r="F54" s="46" t="s">
        <v>124</v>
      </c>
      <c r="G54" s="46" t="s">
        <v>125</v>
      </c>
      <c r="H54" s="46" t="s">
        <v>108</v>
      </c>
      <c r="I54" s="46" t="s">
        <v>109</v>
      </c>
      <c r="J54" s="57" t="s">
        <v>113</v>
      </c>
      <c r="K54" s="49" t="s">
        <v>110</v>
      </c>
      <c r="L54" s="57" t="s">
        <v>112</v>
      </c>
    </row>
    <row r="55" spans="1:12" s="31" customFormat="1" ht="12" x14ac:dyDescent="0.2">
      <c r="A55" s="34" t="s">
        <v>76</v>
      </c>
      <c r="B55" s="35">
        <v>20</v>
      </c>
      <c r="C55" s="51">
        <f>B55/J55</f>
        <v>1.8552875695732839E-2</v>
      </c>
      <c r="D55" s="35">
        <v>43</v>
      </c>
      <c r="E55" s="51">
        <f>D55/J55</f>
        <v>3.9888682745825604E-2</v>
      </c>
      <c r="F55" s="35">
        <v>110</v>
      </c>
      <c r="G55" s="51">
        <f>F55/L55</f>
        <v>9.8920863309352514E-2</v>
      </c>
      <c r="H55" s="35">
        <v>905</v>
      </c>
      <c r="I55" s="51">
        <f>H55/J55</f>
        <v>0.83951762523191098</v>
      </c>
      <c r="J55" s="36">
        <f>SUM(B55+D55+F55+H55)</f>
        <v>1078</v>
      </c>
      <c r="K55" s="36">
        <v>34</v>
      </c>
      <c r="L55" s="58">
        <f>J55+K55</f>
        <v>1112</v>
      </c>
    </row>
    <row r="56" spans="1:12" s="31" customFormat="1" ht="12" x14ac:dyDescent="0.2">
      <c r="A56" s="34"/>
      <c r="B56" s="34"/>
      <c r="C56" s="44"/>
      <c r="D56" s="34"/>
      <c r="E56" s="44"/>
      <c r="F56" s="34"/>
      <c r="G56" s="44"/>
      <c r="H56" s="34"/>
      <c r="I56" s="44"/>
      <c r="J56" s="36"/>
      <c r="K56" s="35"/>
      <c r="L56" s="58"/>
    </row>
    <row r="57" spans="1:12" s="31" customFormat="1" ht="12" x14ac:dyDescent="0.2">
      <c r="A57" s="34"/>
      <c r="B57" s="34"/>
      <c r="C57" s="44"/>
      <c r="D57" s="34"/>
      <c r="E57" s="44"/>
      <c r="F57" s="34"/>
      <c r="G57" s="44"/>
      <c r="H57" s="34"/>
      <c r="I57" s="44"/>
      <c r="J57" s="36"/>
      <c r="K57" s="35"/>
      <c r="L57" s="58"/>
    </row>
    <row r="58" spans="1:12" s="31" customFormat="1" ht="12" x14ac:dyDescent="0.2">
      <c r="A58" s="34"/>
      <c r="B58" s="46" t="s">
        <v>117</v>
      </c>
      <c r="C58" s="47"/>
      <c r="D58" s="46" t="s">
        <v>118</v>
      </c>
      <c r="E58" s="47"/>
      <c r="F58" s="46" t="s">
        <v>119</v>
      </c>
      <c r="G58" s="47"/>
      <c r="H58" s="46" t="s">
        <v>107</v>
      </c>
      <c r="I58" s="47"/>
      <c r="J58" s="48"/>
      <c r="K58" s="46"/>
      <c r="L58" s="59"/>
    </row>
    <row r="59" spans="1:12" s="31" customFormat="1" ht="24" x14ac:dyDescent="0.2">
      <c r="A59" s="33" t="s">
        <v>79</v>
      </c>
      <c r="B59" s="46" t="s">
        <v>120</v>
      </c>
      <c r="C59" s="46" t="s">
        <v>121</v>
      </c>
      <c r="D59" s="46" t="s">
        <v>122</v>
      </c>
      <c r="E59" s="46" t="s">
        <v>123</v>
      </c>
      <c r="F59" s="46" t="s">
        <v>124</v>
      </c>
      <c r="G59" s="46" t="s">
        <v>125</v>
      </c>
      <c r="H59" s="46" t="s">
        <v>108</v>
      </c>
      <c r="I59" s="46" t="s">
        <v>109</v>
      </c>
      <c r="J59" s="57" t="s">
        <v>113</v>
      </c>
      <c r="K59" s="49" t="s">
        <v>110</v>
      </c>
      <c r="L59" s="57" t="s">
        <v>112</v>
      </c>
    </row>
    <row r="60" spans="1:12" s="31" customFormat="1" ht="12" x14ac:dyDescent="0.2">
      <c r="A60" s="34" t="s">
        <v>76</v>
      </c>
      <c r="B60" s="35">
        <v>11</v>
      </c>
      <c r="C60" s="51">
        <f>B60/J60</f>
        <v>1.5151515151515152E-2</v>
      </c>
      <c r="D60" s="35">
        <v>30</v>
      </c>
      <c r="E60" s="51">
        <f>D60/J60</f>
        <v>4.1322314049586778E-2</v>
      </c>
      <c r="F60" s="35">
        <v>129</v>
      </c>
      <c r="G60" s="51">
        <f>F60/L60</f>
        <v>0.17527173913043478</v>
      </c>
      <c r="H60" s="35">
        <v>556</v>
      </c>
      <c r="I60" s="51">
        <f>H60/J60</f>
        <v>0.7658402203856749</v>
      </c>
      <c r="J60" s="36">
        <f>SUM(B60+D60+F60+H60)</f>
        <v>726</v>
      </c>
      <c r="K60" s="35">
        <v>10</v>
      </c>
      <c r="L60" s="58">
        <f>J60+K60</f>
        <v>736</v>
      </c>
    </row>
    <row r="61" spans="1:12" s="31" customFormat="1" ht="12" x14ac:dyDescent="0.2">
      <c r="A61" s="34" t="s">
        <v>77</v>
      </c>
      <c r="B61" s="35">
        <v>13</v>
      </c>
      <c r="C61" s="51">
        <f>B61/J61</f>
        <v>1.7473118279569891E-2</v>
      </c>
      <c r="D61" s="35">
        <v>35</v>
      </c>
      <c r="E61" s="51">
        <f>D61/J61</f>
        <v>4.7043010752688172E-2</v>
      </c>
      <c r="F61" s="35">
        <v>152</v>
      </c>
      <c r="G61" s="51">
        <f>F61/L61</f>
        <v>0.20079260237780713</v>
      </c>
      <c r="H61" s="35">
        <v>544</v>
      </c>
      <c r="I61" s="51">
        <f>H61/J61</f>
        <v>0.73118279569892475</v>
      </c>
      <c r="J61" s="36">
        <f t="shared" ref="J61:J62" si="4">SUM(B61+D61+F61+H61)</f>
        <v>744</v>
      </c>
      <c r="K61" s="35">
        <v>13</v>
      </c>
      <c r="L61" s="58">
        <f>J61+K61</f>
        <v>757</v>
      </c>
    </row>
    <row r="62" spans="1:12" s="31" customFormat="1" ht="12" x14ac:dyDescent="0.2">
      <c r="A62" s="33" t="s">
        <v>0</v>
      </c>
      <c r="B62" s="36">
        <f>SUM(B60:B61)</f>
        <v>24</v>
      </c>
      <c r="C62" s="51">
        <f>B62/J62</f>
        <v>1.6326530612244899E-2</v>
      </c>
      <c r="D62" s="36">
        <f>SUM(D60:D61)</f>
        <v>65</v>
      </c>
      <c r="E62" s="51">
        <f>D62/J62</f>
        <v>4.4217687074829932E-2</v>
      </c>
      <c r="F62" s="36">
        <f>SUM(F60:F61)</f>
        <v>281</v>
      </c>
      <c r="G62" s="51">
        <f>F62/L62</f>
        <v>0.18821165438713999</v>
      </c>
      <c r="H62" s="36">
        <f>SUM(H60:H61)</f>
        <v>1100</v>
      </c>
      <c r="I62" s="51">
        <f>H62/J62</f>
        <v>0.74829931972789121</v>
      </c>
      <c r="J62" s="36">
        <f t="shared" si="4"/>
        <v>1470</v>
      </c>
      <c r="K62" s="36">
        <f>SUM(K60:K61)</f>
        <v>23</v>
      </c>
      <c r="L62" s="58">
        <f>J62+K62</f>
        <v>1493</v>
      </c>
    </row>
    <row r="63" spans="1:12" s="31" customFormat="1" ht="12" x14ac:dyDescent="0.2">
      <c r="A63" s="34"/>
      <c r="B63" s="34"/>
      <c r="C63" s="44"/>
      <c r="D63" s="34"/>
      <c r="E63" s="44"/>
      <c r="F63" s="34"/>
      <c r="G63" s="44"/>
      <c r="H63" s="34"/>
      <c r="I63" s="44"/>
      <c r="J63" s="36"/>
      <c r="K63" s="35"/>
      <c r="L63" s="58"/>
    </row>
    <row r="64" spans="1:12" s="31" customFormat="1" ht="12" x14ac:dyDescent="0.2">
      <c r="A64" s="34"/>
      <c r="B64" s="34"/>
      <c r="C64" s="44"/>
      <c r="D64" s="34"/>
      <c r="E64" s="44"/>
      <c r="F64" s="34"/>
      <c r="G64" s="44"/>
      <c r="H64" s="34"/>
      <c r="I64" s="44"/>
      <c r="J64" s="36"/>
      <c r="K64" s="35"/>
      <c r="L64" s="58"/>
    </row>
    <row r="65" spans="1:12" s="31" customFormat="1" ht="12" x14ac:dyDescent="0.2">
      <c r="A65" s="34"/>
      <c r="B65" s="46" t="s">
        <v>117</v>
      </c>
      <c r="C65" s="47"/>
      <c r="D65" s="46" t="s">
        <v>118</v>
      </c>
      <c r="E65" s="47"/>
      <c r="F65" s="46" t="s">
        <v>119</v>
      </c>
      <c r="G65" s="47"/>
      <c r="H65" s="46" t="s">
        <v>107</v>
      </c>
      <c r="I65" s="47"/>
      <c r="J65" s="48"/>
      <c r="K65" s="46"/>
      <c r="L65" s="59"/>
    </row>
    <row r="66" spans="1:12" s="31" customFormat="1" ht="24" x14ac:dyDescent="0.2">
      <c r="A66" s="33" t="s">
        <v>80</v>
      </c>
      <c r="B66" s="46" t="s">
        <v>120</v>
      </c>
      <c r="C66" s="46" t="s">
        <v>121</v>
      </c>
      <c r="D66" s="46" t="s">
        <v>122</v>
      </c>
      <c r="E66" s="46" t="s">
        <v>123</v>
      </c>
      <c r="F66" s="46" t="s">
        <v>124</v>
      </c>
      <c r="G66" s="46" t="s">
        <v>125</v>
      </c>
      <c r="H66" s="46" t="s">
        <v>108</v>
      </c>
      <c r="I66" s="46" t="s">
        <v>109</v>
      </c>
      <c r="J66" s="57" t="s">
        <v>113</v>
      </c>
      <c r="K66" s="49" t="s">
        <v>110</v>
      </c>
      <c r="L66" s="57" t="s">
        <v>112</v>
      </c>
    </row>
    <row r="67" spans="1:12" s="31" customFormat="1" ht="12" x14ac:dyDescent="0.2">
      <c r="A67" s="34" t="s">
        <v>76</v>
      </c>
      <c r="B67" s="35">
        <v>8</v>
      </c>
      <c r="C67" s="51">
        <f>B67/J67</f>
        <v>4.8632218844984806E-3</v>
      </c>
      <c r="D67" s="35">
        <v>39</v>
      </c>
      <c r="E67" s="51">
        <f>D67/J67</f>
        <v>2.3708206686930092E-2</v>
      </c>
      <c r="F67" s="35">
        <v>122</v>
      </c>
      <c r="G67" s="51">
        <f>F67/L67</f>
        <v>7.371601208459215E-2</v>
      </c>
      <c r="H67" s="35">
        <v>1476</v>
      </c>
      <c r="I67" s="51">
        <f>H67/J67</f>
        <v>0.89726443768996955</v>
      </c>
      <c r="J67" s="36">
        <f>SUM(B67+D67+F67+H67)</f>
        <v>1645</v>
      </c>
      <c r="K67" s="35">
        <v>10</v>
      </c>
      <c r="L67" s="58">
        <f>J67+K67</f>
        <v>1655</v>
      </c>
    </row>
    <row r="68" spans="1:12" s="31" customFormat="1" ht="12" x14ac:dyDescent="0.2">
      <c r="A68" s="34" t="s">
        <v>62</v>
      </c>
      <c r="B68" s="35">
        <v>25</v>
      </c>
      <c r="C68" s="51">
        <f>B68/J68</f>
        <v>3.8367096378146104E-3</v>
      </c>
      <c r="D68" s="35">
        <v>115</v>
      </c>
      <c r="E68" s="51">
        <f>D68/J68</f>
        <v>1.7648864333947207E-2</v>
      </c>
      <c r="F68" s="35">
        <v>321</v>
      </c>
      <c r="G68" s="51">
        <f>F68/L68</f>
        <v>4.9097583358825331E-2</v>
      </c>
      <c r="H68" s="35">
        <v>6055</v>
      </c>
      <c r="I68" s="51">
        <f>H68/J68</f>
        <v>0.92925107427869857</v>
      </c>
      <c r="J68" s="36">
        <f t="shared" ref="J68:J69" si="5">SUM(B68+D68+F68+H68)</f>
        <v>6516</v>
      </c>
      <c r="K68" s="35">
        <v>22</v>
      </c>
      <c r="L68" s="58">
        <f>J68+K68</f>
        <v>6538</v>
      </c>
    </row>
    <row r="69" spans="1:12" s="31" customFormat="1" ht="12" x14ac:dyDescent="0.2">
      <c r="A69" s="33" t="s">
        <v>0</v>
      </c>
      <c r="B69" s="36">
        <f>SUM(B67:B68)</f>
        <v>33</v>
      </c>
      <c r="C69" s="51">
        <f>B69/J69</f>
        <v>4.043622105134175E-3</v>
      </c>
      <c r="D69" s="36">
        <f>SUM(D67:D68)</f>
        <v>154</v>
      </c>
      <c r="E69" s="51">
        <f>D69/J69</f>
        <v>1.8870236490626149E-2</v>
      </c>
      <c r="F69" s="36">
        <f>SUM(F67:F68)</f>
        <v>443</v>
      </c>
      <c r="G69" s="51">
        <f>F69/L69</f>
        <v>5.4070548028805079E-2</v>
      </c>
      <c r="H69" s="36">
        <f>SUM(H67:H68)</f>
        <v>7531</v>
      </c>
      <c r="I69" s="51">
        <f>H69/J69</f>
        <v>0.92280357799289303</v>
      </c>
      <c r="J69" s="36">
        <f t="shared" si="5"/>
        <v>8161</v>
      </c>
      <c r="K69" s="36">
        <f>SUM(K67:K68)</f>
        <v>32</v>
      </c>
      <c r="L69" s="58">
        <f>J69+K69</f>
        <v>8193</v>
      </c>
    </row>
    <row r="70" spans="1:12" s="31" customFormat="1" ht="12" x14ac:dyDescent="0.2">
      <c r="A70" s="34"/>
      <c r="B70" s="34"/>
      <c r="C70" s="44"/>
      <c r="D70" s="34"/>
      <c r="E70" s="44"/>
      <c r="F70" s="34"/>
      <c r="G70" s="44"/>
      <c r="H70" s="34"/>
      <c r="I70" s="44"/>
      <c r="J70" s="36"/>
      <c r="K70" s="35"/>
      <c r="L70" s="58"/>
    </row>
    <row r="71" spans="1:12" s="31" customFormat="1" ht="12" x14ac:dyDescent="0.2">
      <c r="A71" s="34"/>
      <c r="B71" s="34"/>
      <c r="C71" s="44"/>
      <c r="D71" s="34"/>
      <c r="E71" s="44"/>
      <c r="F71" s="34"/>
      <c r="G71" s="44"/>
      <c r="H71" s="34"/>
      <c r="I71" s="44"/>
      <c r="J71" s="36"/>
      <c r="K71" s="35"/>
      <c r="L71" s="58"/>
    </row>
    <row r="72" spans="1:12" s="31" customFormat="1" ht="12" x14ac:dyDescent="0.2">
      <c r="A72" s="34"/>
      <c r="B72" s="46" t="s">
        <v>117</v>
      </c>
      <c r="C72" s="47"/>
      <c r="D72" s="46" t="s">
        <v>118</v>
      </c>
      <c r="E72" s="47"/>
      <c r="F72" s="46" t="s">
        <v>119</v>
      </c>
      <c r="G72" s="47"/>
      <c r="H72" s="46" t="s">
        <v>107</v>
      </c>
      <c r="I72" s="47"/>
      <c r="J72" s="48"/>
      <c r="K72" s="46"/>
      <c r="L72" s="59"/>
    </row>
    <row r="73" spans="1:12" s="31" customFormat="1" ht="24" x14ac:dyDescent="0.2">
      <c r="A73" s="33" t="s">
        <v>81</v>
      </c>
      <c r="B73" s="46" t="s">
        <v>120</v>
      </c>
      <c r="C73" s="46" t="s">
        <v>121</v>
      </c>
      <c r="D73" s="46" t="s">
        <v>122</v>
      </c>
      <c r="E73" s="46" t="s">
        <v>123</v>
      </c>
      <c r="F73" s="46" t="s">
        <v>124</v>
      </c>
      <c r="G73" s="46" t="s">
        <v>125</v>
      </c>
      <c r="H73" s="46" t="s">
        <v>108</v>
      </c>
      <c r="I73" s="46" t="s">
        <v>109</v>
      </c>
      <c r="J73" s="57" t="s">
        <v>113</v>
      </c>
      <c r="K73" s="49" t="s">
        <v>110</v>
      </c>
      <c r="L73" s="57" t="s">
        <v>112</v>
      </c>
    </row>
    <row r="74" spans="1:12" s="31" customFormat="1" ht="12" x14ac:dyDescent="0.2">
      <c r="A74" s="34" t="s">
        <v>77</v>
      </c>
      <c r="B74" s="35">
        <v>42</v>
      </c>
      <c r="C74" s="51">
        <f>B74/J74</f>
        <v>1.411764705882353E-2</v>
      </c>
      <c r="D74" s="35">
        <v>172</v>
      </c>
      <c r="E74" s="51">
        <f>D74/J74</f>
        <v>5.7815126050420169E-2</v>
      </c>
      <c r="F74" s="35">
        <v>724</v>
      </c>
      <c r="G74" s="51">
        <f>F74/L74</f>
        <v>0.23997348359297316</v>
      </c>
      <c r="H74" s="35">
        <v>2037</v>
      </c>
      <c r="I74" s="51">
        <f>H74/J74</f>
        <v>0.68470588235294116</v>
      </c>
      <c r="J74" s="36">
        <f t="shared" ref="J74:J75" si="6">SUM(B74+D74+F74+H74)</f>
        <v>2975</v>
      </c>
      <c r="K74" s="35">
        <v>42</v>
      </c>
      <c r="L74" s="58">
        <f>J74+K74</f>
        <v>3017</v>
      </c>
    </row>
    <row r="75" spans="1:12" s="31" customFormat="1" ht="12" x14ac:dyDescent="0.2">
      <c r="A75" s="33" t="s">
        <v>0</v>
      </c>
      <c r="B75" s="36">
        <f>SUM(B74:B74)</f>
        <v>42</v>
      </c>
      <c r="C75" s="51">
        <f>B75/J75</f>
        <v>1.411764705882353E-2</v>
      </c>
      <c r="D75" s="36">
        <f>SUM(D74:D74)</f>
        <v>172</v>
      </c>
      <c r="E75" s="51">
        <f>D75/J75</f>
        <v>5.7815126050420169E-2</v>
      </c>
      <c r="F75" s="36">
        <f>SUM(F74:F74)</f>
        <v>724</v>
      </c>
      <c r="G75" s="51">
        <f>F75/L75</f>
        <v>0.23997348359297316</v>
      </c>
      <c r="H75" s="36">
        <f>SUM(H74:H74)</f>
        <v>2037</v>
      </c>
      <c r="I75" s="51">
        <f>H75/J75</f>
        <v>0.68470588235294116</v>
      </c>
      <c r="J75" s="36">
        <f t="shared" si="6"/>
        <v>2975</v>
      </c>
      <c r="K75" s="36">
        <f>SUM(K74:K74)</f>
        <v>42</v>
      </c>
      <c r="L75" s="58">
        <f>J75+K75</f>
        <v>3017</v>
      </c>
    </row>
    <row r="76" spans="1:12" s="31" customFormat="1" ht="12" x14ac:dyDescent="0.2">
      <c r="A76" s="34"/>
      <c r="B76" s="34"/>
      <c r="C76" s="44"/>
      <c r="D76" s="34"/>
      <c r="E76" s="44"/>
      <c r="F76" s="34"/>
      <c r="G76" s="44"/>
      <c r="H76" s="34"/>
      <c r="I76" s="44"/>
      <c r="J76" s="36"/>
      <c r="K76" s="35"/>
      <c r="L76" s="58"/>
    </row>
    <row r="77" spans="1:12" s="31" customFormat="1" ht="12" x14ac:dyDescent="0.2">
      <c r="A77" s="34"/>
      <c r="B77" s="34"/>
      <c r="C77" s="44"/>
      <c r="D77" s="34"/>
      <c r="E77" s="44"/>
      <c r="F77" s="34"/>
      <c r="G77" s="44"/>
      <c r="H77" s="34"/>
      <c r="I77" s="44"/>
      <c r="J77" s="36"/>
      <c r="K77" s="35"/>
      <c r="L77" s="58"/>
    </row>
    <row r="78" spans="1:12" s="31" customFormat="1" ht="12" x14ac:dyDescent="0.2">
      <c r="A78" s="34"/>
      <c r="B78" s="46" t="s">
        <v>117</v>
      </c>
      <c r="C78" s="47"/>
      <c r="D78" s="46" t="s">
        <v>118</v>
      </c>
      <c r="E78" s="47"/>
      <c r="F78" s="46" t="s">
        <v>119</v>
      </c>
      <c r="G78" s="47"/>
      <c r="H78" s="46" t="s">
        <v>107</v>
      </c>
      <c r="I78" s="47"/>
      <c r="J78" s="48"/>
      <c r="K78" s="46"/>
      <c r="L78" s="59"/>
    </row>
    <row r="79" spans="1:12" s="31" customFormat="1" ht="24" x14ac:dyDescent="0.2">
      <c r="A79" s="33" t="s">
        <v>82</v>
      </c>
      <c r="B79" s="46" t="s">
        <v>120</v>
      </c>
      <c r="C79" s="46" t="s">
        <v>121</v>
      </c>
      <c r="D79" s="46" t="s">
        <v>122</v>
      </c>
      <c r="E79" s="46" t="s">
        <v>123</v>
      </c>
      <c r="F79" s="46" t="s">
        <v>124</v>
      </c>
      <c r="G79" s="46" t="s">
        <v>125</v>
      </c>
      <c r="H79" s="46" t="s">
        <v>108</v>
      </c>
      <c r="I79" s="46" t="s">
        <v>109</v>
      </c>
      <c r="J79" s="57" t="s">
        <v>113</v>
      </c>
      <c r="K79" s="49" t="s">
        <v>110</v>
      </c>
      <c r="L79" s="57" t="s">
        <v>112</v>
      </c>
    </row>
    <row r="80" spans="1:12" s="31" customFormat="1" ht="12" x14ac:dyDescent="0.2">
      <c r="A80" s="34" t="s">
        <v>74</v>
      </c>
      <c r="B80" s="35">
        <v>4</v>
      </c>
      <c r="C80" s="51">
        <f>B80/J80</f>
        <v>1.8264840182648401E-2</v>
      </c>
      <c r="D80" s="35">
        <v>7</v>
      </c>
      <c r="E80" s="51">
        <f>D80/J80</f>
        <v>3.1963470319634701E-2</v>
      </c>
      <c r="F80" s="35">
        <v>17</v>
      </c>
      <c r="G80" s="51">
        <f>F80/L80</f>
        <v>7.5892857142857137E-2</v>
      </c>
      <c r="H80" s="35">
        <v>191</v>
      </c>
      <c r="I80" s="51">
        <f>H80/J80</f>
        <v>0.87214611872146119</v>
      </c>
      <c r="J80" s="36">
        <f>SUM(B80+D80+F80+H80)</f>
        <v>219</v>
      </c>
      <c r="K80" s="35">
        <v>5</v>
      </c>
      <c r="L80" s="58">
        <f>J80+K80</f>
        <v>224</v>
      </c>
    </row>
    <row r="81" spans="1:12" s="31" customFormat="1" ht="12" x14ac:dyDescent="0.2">
      <c r="A81" s="34" t="s">
        <v>77</v>
      </c>
      <c r="B81" s="35">
        <v>15</v>
      </c>
      <c r="C81" s="51">
        <f>B81/J81</f>
        <v>2.2026431718061675E-2</v>
      </c>
      <c r="D81" s="35">
        <v>55</v>
      </c>
      <c r="E81" s="51">
        <f>D81/J81</f>
        <v>8.0763582966226141E-2</v>
      </c>
      <c r="F81" s="35">
        <v>112</v>
      </c>
      <c r="G81" s="51">
        <f>F81/L81</f>
        <v>0.15886524822695036</v>
      </c>
      <c r="H81" s="35">
        <v>499</v>
      </c>
      <c r="I81" s="51">
        <f>H81/J81</f>
        <v>0.73274596182085172</v>
      </c>
      <c r="J81" s="36">
        <f t="shared" ref="J81:J82" si="7">SUM(B81+D81+F81+H81)</f>
        <v>681</v>
      </c>
      <c r="K81" s="35">
        <v>24</v>
      </c>
      <c r="L81" s="58">
        <f>J81+K81</f>
        <v>705</v>
      </c>
    </row>
    <row r="82" spans="1:12" s="31" customFormat="1" ht="12" x14ac:dyDescent="0.2">
      <c r="A82" s="33" t="s">
        <v>0</v>
      </c>
      <c r="B82" s="36">
        <f>SUM(B80:B81)</f>
        <v>19</v>
      </c>
      <c r="C82" s="51">
        <f>B82/J82</f>
        <v>2.1111111111111112E-2</v>
      </c>
      <c r="D82" s="36">
        <f>SUM(D80:D81)</f>
        <v>62</v>
      </c>
      <c r="E82" s="51">
        <f>D82/J82</f>
        <v>6.8888888888888888E-2</v>
      </c>
      <c r="F82" s="36">
        <f>SUM(F80:F81)</f>
        <v>129</v>
      </c>
      <c r="G82" s="51">
        <f>F82/L82</f>
        <v>0.13885898815931108</v>
      </c>
      <c r="H82" s="36">
        <f>SUM(H80:H81)</f>
        <v>690</v>
      </c>
      <c r="I82" s="51">
        <f>H82/J82</f>
        <v>0.76666666666666672</v>
      </c>
      <c r="J82" s="36">
        <f t="shared" si="7"/>
        <v>900</v>
      </c>
      <c r="K82" s="36">
        <f>SUM(K80:K81)</f>
        <v>29</v>
      </c>
      <c r="L82" s="58">
        <f>J82+K82</f>
        <v>929</v>
      </c>
    </row>
    <row r="83" spans="1:12" s="31" customFormat="1" ht="12" x14ac:dyDescent="0.2">
      <c r="A83" s="34"/>
      <c r="B83" s="34"/>
      <c r="C83" s="44"/>
      <c r="D83" s="34"/>
      <c r="E83" s="44"/>
      <c r="F83" s="34"/>
      <c r="G83" s="44"/>
      <c r="H83" s="34"/>
      <c r="I83" s="44"/>
      <c r="J83" s="36"/>
      <c r="K83" s="35"/>
      <c r="L83" s="58"/>
    </row>
    <row r="84" spans="1:12" s="31" customFormat="1" ht="12" x14ac:dyDescent="0.2">
      <c r="A84" s="34"/>
      <c r="B84" s="34"/>
      <c r="C84" s="44"/>
      <c r="D84" s="34"/>
      <c r="E84" s="44"/>
      <c r="F84" s="34"/>
      <c r="G84" s="44"/>
      <c r="H84" s="34"/>
      <c r="I84" s="44"/>
      <c r="J84" s="36"/>
      <c r="K84" s="35"/>
      <c r="L84" s="58"/>
    </row>
    <row r="85" spans="1:12" s="31" customFormat="1" ht="12" x14ac:dyDescent="0.2">
      <c r="A85" s="34"/>
      <c r="B85" s="46" t="s">
        <v>117</v>
      </c>
      <c r="C85" s="47"/>
      <c r="D85" s="46" t="s">
        <v>118</v>
      </c>
      <c r="E85" s="47"/>
      <c r="F85" s="46" t="s">
        <v>119</v>
      </c>
      <c r="G85" s="47"/>
      <c r="H85" s="46" t="s">
        <v>107</v>
      </c>
      <c r="I85" s="47"/>
      <c r="J85" s="48"/>
      <c r="K85" s="46"/>
      <c r="L85" s="59"/>
    </row>
    <row r="86" spans="1:12" s="31" customFormat="1" ht="24" x14ac:dyDescent="0.2">
      <c r="A86" s="33" t="s">
        <v>83</v>
      </c>
      <c r="B86" s="46" t="s">
        <v>120</v>
      </c>
      <c r="C86" s="46" t="s">
        <v>121</v>
      </c>
      <c r="D86" s="46" t="s">
        <v>122</v>
      </c>
      <c r="E86" s="46" t="s">
        <v>123</v>
      </c>
      <c r="F86" s="46" t="s">
        <v>124</v>
      </c>
      <c r="G86" s="46" t="s">
        <v>125</v>
      </c>
      <c r="H86" s="46" t="s">
        <v>108</v>
      </c>
      <c r="I86" s="46" t="s">
        <v>109</v>
      </c>
      <c r="J86" s="57" t="s">
        <v>113</v>
      </c>
      <c r="K86" s="49" t="s">
        <v>110</v>
      </c>
      <c r="L86" s="57" t="s">
        <v>112</v>
      </c>
    </row>
    <row r="87" spans="1:12" s="31" customFormat="1" ht="12" x14ac:dyDescent="0.2">
      <c r="A87" s="34" t="s">
        <v>74</v>
      </c>
      <c r="B87" s="35">
        <v>18</v>
      </c>
      <c r="C87" s="51">
        <f>B87/J87</f>
        <v>1.5985790408525755E-2</v>
      </c>
      <c r="D87" s="35">
        <v>29</v>
      </c>
      <c r="E87" s="51">
        <f>D87/J87</f>
        <v>2.5754884547069271E-2</v>
      </c>
      <c r="F87" s="35">
        <v>72</v>
      </c>
      <c r="G87" s="51">
        <f>F87/L87</f>
        <v>6.2554300608166816E-2</v>
      </c>
      <c r="H87" s="35">
        <v>1007</v>
      </c>
      <c r="I87" s="51">
        <f>H87/J87</f>
        <v>0.89431616341030196</v>
      </c>
      <c r="J87" s="36">
        <f>SUM(B87+D87+F87+H87)</f>
        <v>1126</v>
      </c>
      <c r="K87" s="35">
        <v>25</v>
      </c>
      <c r="L87" s="58">
        <f>J87+K87</f>
        <v>1151</v>
      </c>
    </row>
    <row r="88" spans="1:12" s="31" customFormat="1" ht="12" x14ac:dyDescent="0.2">
      <c r="A88" s="34" t="s">
        <v>71</v>
      </c>
      <c r="B88" s="35">
        <v>7</v>
      </c>
      <c r="C88" s="51">
        <f>B88/J88</f>
        <v>8.1967213114754103E-3</v>
      </c>
      <c r="D88" s="35">
        <v>24</v>
      </c>
      <c r="E88" s="51">
        <f>D88/J88</f>
        <v>2.8103044496487119E-2</v>
      </c>
      <c r="F88" s="35">
        <v>65</v>
      </c>
      <c r="G88" s="51">
        <f>F88/L88</f>
        <v>7.5231481481481483E-2</v>
      </c>
      <c r="H88" s="35">
        <v>758</v>
      </c>
      <c r="I88" s="51">
        <f>H88/J88</f>
        <v>0.88758782201405151</v>
      </c>
      <c r="J88" s="36">
        <f t="shared" ref="J88:J89" si="8">SUM(B88+D88+F88+H88)</f>
        <v>854</v>
      </c>
      <c r="K88" s="35">
        <v>10</v>
      </c>
      <c r="L88" s="58">
        <f>J88+K88</f>
        <v>864</v>
      </c>
    </row>
    <row r="89" spans="1:12" s="31" customFormat="1" ht="12" x14ac:dyDescent="0.2">
      <c r="A89" s="33" t="s">
        <v>0</v>
      </c>
      <c r="B89" s="36">
        <f>SUM(B87:B88)</f>
        <v>25</v>
      </c>
      <c r="C89" s="51">
        <f>B89/J89</f>
        <v>1.2626262626262626E-2</v>
      </c>
      <c r="D89" s="36">
        <f>SUM(D87:D88)</f>
        <v>53</v>
      </c>
      <c r="E89" s="51">
        <f>D89/J89</f>
        <v>2.6767676767676767E-2</v>
      </c>
      <c r="F89" s="36">
        <f>SUM(F87:F88)</f>
        <v>137</v>
      </c>
      <c r="G89" s="51">
        <f>F89/L89</f>
        <v>6.7990074441687351E-2</v>
      </c>
      <c r="H89" s="36">
        <f>SUM(H87:H88)</f>
        <v>1765</v>
      </c>
      <c r="I89" s="51">
        <f>H89/J89</f>
        <v>0.89141414141414144</v>
      </c>
      <c r="J89" s="36">
        <f t="shared" si="8"/>
        <v>1980</v>
      </c>
      <c r="K89" s="36">
        <f>SUM(K87:K88)</f>
        <v>35</v>
      </c>
      <c r="L89" s="58">
        <f>J89+K89</f>
        <v>2015</v>
      </c>
    </row>
    <row r="90" spans="1:12" s="31" customFormat="1" ht="12" x14ac:dyDescent="0.2">
      <c r="A90" s="34"/>
      <c r="B90" s="34"/>
      <c r="C90" s="44"/>
      <c r="D90" s="34"/>
      <c r="E90" s="44"/>
      <c r="F90" s="34"/>
      <c r="G90" s="44"/>
      <c r="H90" s="34"/>
      <c r="I90" s="44"/>
      <c r="J90" s="36"/>
      <c r="K90" s="35"/>
      <c r="L90" s="58"/>
    </row>
    <row r="91" spans="1:12" s="31" customFormat="1" ht="12" x14ac:dyDescent="0.2">
      <c r="A91" s="34"/>
      <c r="B91" s="34"/>
      <c r="C91" s="44"/>
      <c r="D91" s="34"/>
      <c r="E91" s="44"/>
      <c r="F91" s="34"/>
      <c r="G91" s="44"/>
      <c r="H91" s="34"/>
      <c r="I91" s="44"/>
      <c r="J91" s="36"/>
      <c r="K91" s="35"/>
      <c r="L91" s="58"/>
    </row>
    <row r="92" spans="1:12" s="31" customFormat="1" ht="12" x14ac:dyDescent="0.2">
      <c r="A92" s="34"/>
      <c r="B92" s="46" t="s">
        <v>117</v>
      </c>
      <c r="C92" s="47"/>
      <c r="D92" s="46" t="s">
        <v>118</v>
      </c>
      <c r="E92" s="47"/>
      <c r="F92" s="46" t="s">
        <v>119</v>
      </c>
      <c r="G92" s="47"/>
      <c r="H92" s="46" t="s">
        <v>107</v>
      </c>
      <c r="I92" s="47"/>
      <c r="J92" s="48"/>
      <c r="K92" s="46"/>
      <c r="L92" s="59"/>
    </row>
    <row r="93" spans="1:12" s="31" customFormat="1" ht="24" x14ac:dyDescent="0.2">
      <c r="A93" s="33" t="s">
        <v>84</v>
      </c>
      <c r="B93" s="46" t="s">
        <v>120</v>
      </c>
      <c r="C93" s="46" t="s">
        <v>121</v>
      </c>
      <c r="D93" s="46" t="s">
        <v>122</v>
      </c>
      <c r="E93" s="46" t="s">
        <v>123</v>
      </c>
      <c r="F93" s="46" t="s">
        <v>124</v>
      </c>
      <c r="G93" s="46" t="s">
        <v>125</v>
      </c>
      <c r="H93" s="46" t="s">
        <v>108</v>
      </c>
      <c r="I93" s="46" t="s">
        <v>109</v>
      </c>
      <c r="J93" s="57" t="s">
        <v>113</v>
      </c>
      <c r="K93" s="49" t="s">
        <v>110</v>
      </c>
      <c r="L93" s="57" t="s">
        <v>112</v>
      </c>
    </row>
    <row r="94" spans="1:12" s="31" customFormat="1" ht="12" x14ac:dyDescent="0.2">
      <c r="A94" s="34" t="s">
        <v>74</v>
      </c>
      <c r="B94" s="35">
        <v>19</v>
      </c>
      <c r="C94" s="51">
        <f>B94/J94</f>
        <v>1.780693533270853E-2</v>
      </c>
      <c r="D94" s="35">
        <v>50</v>
      </c>
      <c r="E94" s="51">
        <f>D94/J94</f>
        <v>4.6860356138706656E-2</v>
      </c>
      <c r="F94" s="35">
        <v>100</v>
      </c>
      <c r="G94" s="51">
        <f>F94/L94</f>
        <v>9.0991810737033663E-2</v>
      </c>
      <c r="H94" s="35">
        <v>898</v>
      </c>
      <c r="I94" s="51">
        <f>H94/J94</f>
        <v>0.84161199625117156</v>
      </c>
      <c r="J94" s="36">
        <f>SUM(B94+D94+F94+H94)</f>
        <v>1067</v>
      </c>
      <c r="K94" s="36">
        <v>32</v>
      </c>
      <c r="L94" s="58">
        <f>J94+K94</f>
        <v>1099</v>
      </c>
    </row>
    <row r="95" spans="1:12" s="31" customFormat="1" ht="12" x14ac:dyDescent="0.2">
      <c r="A95" s="34"/>
      <c r="B95" s="34"/>
      <c r="C95" s="44"/>
      <c r="D95" s="34"/>
      <c r="E95" s="44"/>
      <c r="F95" s="34"/>
      <c r="G95" s="44"/>
      <c r="H95" s="34"/>
      <c r="I95" s="44"/>
      <c r="J95" s="36"/>
      <c r="K95" s="35"/>
      <c r="L95" s="58"/>
    </row>
    <row r="96" spans="1:12" s="31" customFormat="1" ht="12" x14ac:dyDescent="0.2">
      <c r="A96" s="34"/>
      <c r="B96" s="34"/>
      <c r="C96" s="44"/>
      <c r="D96" s="34"/>
      <c r="E96" s="44"/>
      <c r="F96" s="34"/>
      <c r="G96" s="44"/>
      <c r="H96" s="34"/>
      <c r="I96" s="44"/>
      <c r="J96" s="36"/>
      <c r="K96" s="35"/>
      <c r="L96" s="58"/>
    </row>
    <row r="97" spans="1:12" s="31" customFormat="1" ht="12" x14ac:dyDescent="0.2">
      <c r="A97" s="34"/>
      <c r="B97" s="46" t="s">
        <v>117</v>
      </c>
      <c r="C97" s="47"/>
      <c r="D97" s="46" t="s">
        <v>118</v>
      </c>
      <c r="E97" s="47"/>
      <c r="F97" s="46" t="s">
        <v>119</v>
      </c>
      <c r="G97" s="47"/>
      <c r="H97" s="46" t="s">
        <v>107</v>
      </c>
      <c r="I97" s="47"/>
      <c r="J97" s="48"/>
      <c r="K97" s="46"/>
      <c r="L97" s="59"/>
    </row>
    <row r="98" spans="1:12" s="31" customFormat="1" ht="24" x14ac:dyDescent="0.2">
      <c r="A98" s="33" t="s">
        <v>85</v>
      </c>
      <c r="B98" s="46" t="s">
        <v>120</v>
      </c>
      <c r="C98" s="46" t="s">
        <v>121</v>
      </c>
      <c r="D98" s="46" t="s">
        <v>122</v>
      </c>
      <c r="E98" s="46" t="s">
        <v>123</v>
      </c>
      <c r="F98" s="46" t="s">
        <v>124</v>
      </c>
      <c r="G98" s="46" t="s">
        <v>125</v>
      </c>
      <c r="H98" s="46" t="s">
        <v>108</v>
      </c>
      <c r="I98" s="46" t="s">
        <v>109</v>
      </c>
      <c r="J98" s="57" t="s">
        <v>113</v>
      </c>
      <c r="K98" s="49" t="s">
        <v>110</v>
      </c>
      <c r="L98" s="57" t="s">
        <v>112</v>
      </c>
    </row>
    <row r="99" spans="1:12" s="31" customFormat="1" ht="12" x14ac:dyDescent="0.2">
      <c r="A99" s="34" t="s">
        <v>74</v>
      </c>
      <c r="B99" s="35">
        <v>0</v>
      </c>
      <c r="C99" s="51">
        <f>B99/J99</f>
        <v>0</v>
      </c>
      <c r="D99" s="35">
        <v>5</v>
      </c>
      <c r="E99" s="51">
        <f>D99/J99</f>
        <v>9.4339622641509441E-2</v>
      </c>
      <c r="F99" s="35">
        <v>6</v>
      </c>
      <c r="G99" s="51">
        <f>F99/L99</f>
        <v>0.10526315789473684</v>
      </c>
      <c r="H99" s="35">
        <v>42</v>
      </c>
      <c r="I99" s="51">
        <f>H99/J99</f>
        <v>0.79245283018867929</v>
      </c>
      <c r="J99" s="36">
        <f>SUM(B99+D99+F99+H99)</f>
        <v>53</v>
      </c>
      <c r="K99" s="35">
        <v>4</v>
      </c>
      <c r="L99" s="58">
        <f>J99+K99</f>
        <v>57</v>
      </c>
    </row>
    <row r="100" spans="1:12" s="31" customFormat="1" ht="12" x14ac:dyDescent="0.2">
      <c r="A100" s="34" t="s">
        <v>87</v>
      </c>
      <c r="B100" s="35">
        <v>28</v>
      </c>
      <c r="C100" s="51">
        <f>B100/J100</f>
        <v>9.2684541542535585E-3</v>
      </c>
      <c r="D100" s="35">
        <v>120</v>
      </c>
      <c r="E100" s="51">
        <f>D100/J100</f>
        <v>3.9721946375372394E-2</v>
      </c>
      <c r="F100" s="35">
        <v>406</v>
      </c>
      <c r="G100" s="51">
        <f>F100/L100</f>
        <v>0.13096774193548388</v>
      </c>
      <c r="H100" s="35">
        <v>2467</v>
      </c>
      <c r="I100" s="51">
        <f>H100/J100</f>
        <v>0.81661701423369748</v>
      </c>
      <c r="J100" s="36">
        <f t="shared" ref="J100:J101" si="9">SUM(B100+D100+F100+H100)</f>
        <v>3021</v>
      </c>
      <c r="K100" s="35">
        <v>79</v>
      </c>
      <c r="L100" s="58">
        <f>J100+K100</f>
        <v>3100</v>
      </c>
    </row>
    <row r="101" spans="1:12" s="31" customFormat="1" ht="12" x14ac:dyDescent="0.2">
      <c r="A101" s="33" t="s">
        <v>0</v>
      </c>
      <c r="B101" s="36">
        <f>SUM(B99:B100)</f>
        <v>28</v>
      </c>
      <c r="C101" s="51">
        <f>B101/J101</f>
        <v>9.108653220559532E-3</v>
      </c>
      <c r="D101" s="36">
        <f>SUM(D99:D100)</f>
        <v>125</v>
      </c>
      <c r="E101" s="51">
        <f>D101/J101</f>
        <v>4.0663630448926479E-2</v>
      </c>
      <c r="F101" s="36">
        <f>SUM(F99:F100)</f>
        <v>412</v>
      </c>
      <c r="G101" s="51">
        <f>F101/L101</f>
        <v>0.13050364269876466</v>
      </c>
      <c r="H101" s="36">
        <f>SUM(H99:H100)</f>
        <v>2509</v>
      </c>
      <c r="I101" s="51">
        <f>H101/J101</f>
        <v>0.81620039037085235</v>
      </c>
      <c r="J101" s="36">
        <f t="shared" si="9"/>
        <v>3074</v>
      </c>
      <c r="K101" s="36">
        <f>SUM(K99:K100)</f>
        <v>83</v>
      </c>
      <c r="L101" s="58">
        <f>J101+K101</f>
        <v>3157</v>
      </c>
    </row>
    <row r="102" spans="1:12" s="31" customFormat="1" ht="12" x14ac:dyDescent="0.2">
      <c r="A102" s="34"/>
      <c r="B102" s="34"/>
      <c r="C102" s="44"/>
      <c r="D102" s="34"/>
      <c r="E102" s="44"/>
      <c r="F102" s="34"/>
      <c r="G102" s="44"/>
      <c r="H102" s="34"/>
      <c r="I102" s="44"/>
      <c r="J102" s="36"/>
      <c r="K102" s="35"/>
      <c r="L102" s="58"/>
    </row>
    <row r="103" spans="1:12" s="31" customFormat="1" ht="12" x14ac:dyDescent="0.2">
      <c r="A103" s="34"/>
      <c r="B103" s="34"/>
      <c r="C103" s="44"/>
      <c r="D103" s="34"/>
      <c r="E103" s="44"/>
      <c r="F103" s="34"/>
      <c r="G103" s="44"/>
      <c r="H103" s="34"/>
      <c r="I103" s="44"/>
      <c r="J103" s="36"/>
      <c r="K103" s="35"/>
      <c r="L103" s="58"/>
    </row>
    <row r="104" spans="1:12" s="31" customFormat="1" ht="12" x14ac:dyDescent="0.2">
      <c r="A104" s="34"/>
      <c r="B104" s="46" t="s">
        <v>117</v>
      </c>
      <c r="C104" s="47"/>
      <c r="D104" s="46" t="s">
        <v>118</v>
      </c>
      <c r="E104" s="47"/>
      <c r="F104" s="46" t="s">
        <v>119</v>
      </c>
      <c r="G104" s="47"/>
      <c r="H104" s="46" t="s">
        <v>107</v>
      </c>
      <c r="I104" s="47"/>
      <c r="J104" s="48"/>
      <c r="K104" s="46"/>
      <c r="L104" s="59"/>
    </row>
    <row r="105" spans="1:12" s="31" customFormat="1" ht="24" x14ac:dyDescent="0.2">
      <c r="A105" s="33" t="s">
        <v>86</v>
      </c>
      <c r="B105" s="46" t="s">
        <v>120</v>
      </c>
      <c r="C105" s="46" t="s">
        <v>121</v>
      </c>
      <c r="D105" s="46" t="s">
        <v>122</v>
      </c>
      <c r="E105" s="46" t="s">
        <v>123</v>
      </c>
      <c r="F105" s="46" t="s">
        <v>124</v>
      </c>
      <c r="G105" s="46" t="s">
        <v>125</v>
      </c>
      <c r="H105" s="46" t="s">
        <v>108</v>
      </c>
      <c r="I105" s="46" t="s">
        <v>109</v>
      </c>
      <c r="J105" s="57" t="s">
        <v>113</v>
      </c>
      <c r="K105" s="49" t="s">
        <v>110</v>
      </c>
      <c r="L105" s="57" t="s">
        <v>112</v>
      </c>
    </row>
    <row r="106" spans="1:12" s="31" customFormat="1" ht="12" x14ac:dyDescent="0.2">
      <c r="A106" s="31" t="s">
        <v>90</v>
      </c>
      <c r="B106" s="35">
        <v>3</v>
      </c>
      <c r="C106" s="51">
        <f>B106/J106</f>
        <v>4.1551246537396124E-3</v>
      </c>
      <c r="D106" s="35">
        <v>23</v>
      </c>
      <c r="E106" s="51">
        <f>D106/J106</f>
        <v>3.1855955678670361E-2</v>
      </c>
      <c r="F106" s="35">
        <v>58</v>
      </c>
      <c r="G106" s="51">
        <f>F106/L106</f>
        <v>0.08</v>
      </c>
      <c r="H106" s="35">
        <v>638</v>
      </c>
      <c r="I106" s="51">
        <f>H106/J106</f>
        <v>0.88365650969529086</v>
      </c>
      <c r="J106" s="36">
        <f>SUM(B106+D106+F106+H106)</f>
        <v>722</v>
      </c>
      <c r="K106" s="35">
        <v>3</v>
      </c>
      <c r="L106" s="58">
        <f>J106+K106</f>
        <v>725</v>
      </c>
    </row>
    <row r="107" spans="1:12" s="31" customFormat="1" ht="12" x14ac:dyDescent="0.2">
      <c r="A107" s="34" t="s">
        <v>1</v>
      </c>
      <c r="B107" s="35">
        <v>6</v>
      </c>
      <c r="C107" s="51">
        <f t="shared" ref="C107:C108" si="10">B107/J107</f>
        <v>4.3196544276457886E-3</v>
      </c>
      <c r="D107" s="35">
        <v>35</v>
      </c>
      <c r="E107" s="51">
        <f t="shared" ref="E107:E108" si="11">D107/J107</f>
        <v>2.51979841612671E-2</v>
      </c>
      <c r="F107" s="35">
        <v>136</v>
      </c>
      <c r="G107" s="51">
        <f t="shared" ref="G107:G108" si="12">F107/L107</f>
        <v>9.7701149425287362E-2</v>
      </c>
      <c r="H107" s="35">
        <v>1212</v>
      </c>
      <c r="I107" s="51">
        <f t="shared" ref="I107:I108" si="13">H107/J107</f>
        <v>0.87257019438444927</v>
      </c>
      <c r="J107" s="36">
        <f t="shared" ref="J107:J108" si="14">SUM(B107+D107+F107+H107)</f>
        <v>1389</v>
      </c>
      <c r="K107" s="35">
        <v>3</v>
      </c>
      <c r="L107" s="58">
        <f t="shared" ref="L107:L108" si="15">J107+K107</f>
        <v>1392</v>
      </c>
    </row>
    <row r="108" spans="1:12" s="31" customFormat="1" ht="12" x14ac:dyDescent="0.2">
      <c r="A108" s="34" t="s">
        <v>52</v>
      </c>
      <c r="B108" s="35">
        <v>16</v>
      </c>
      <c r="C108" s="51">
        <f t="shared" si="10"/>
        <v>7.4871314927468418E-3</v>
      </c>
      <c r="D108" s="35">
        <v>81</v>
      </c>
      <c r="E108" s="51">
        <f t="shared" si="11"/>
        <v>3.7903603182030884E-2</v>
      </c>
      <c r="F108" s="35">
        <v>188</v>
      </c>
      <c r="G108" s="51">
        <f t="shared" si="12"/>
        <v>8.772748483434438E-2</v>
      </c>
      <c r="H108" s="35">
        <v>1852</v>
      </c>
      <c r="I108" s="51">
        <f t="shared" si="13"/>
        <v>0.86663547028544685</v>
      </c>
      <c r="J108" s="36">
        <f t="shared" si="14"/>
        <v>2137</v>
      </c>
      <c r="K108" s="35">
        <v>6</v>
      </c>
      <c r="L108" s="58">
        <f t="shared" si="15"/>
        <v>2143</v>
      </c>
    </row>
    <row r="109" spans="1:12" s="31" customFormat="1" ht="12" x14ac:dyDescent="0.2">
      <c r="A109" s="34" t="s">
        <v>87</v>
      </c>
      <c r="B109" s="35">
        <v>23</v>
      </c>
      <c r="C109" s="51">
        <f>B109/J109</f>
        <v>8.8393543428132212E-3</v>
      </c>
      <c r="D109" s="35">
        <v>83</v>
      </c>
      <c r="E109" s="51">
        <f>D109/J109</f>
        <v>3.1898539584934667E-2</v>
      </c>
      <c r="F109" s="35">
        <v>343</v>
      </c>
      <c r="G109" s="51">
        <f>F109/L109</f>
        <v>0.13017077798861479</v>
      </c>
      <c r="H109" s="35">
        <v>2153</v>
      </c>
      <c r="I109" s="51">
        <f>H109/J109</f>
        <v>0.82744043043812454</v>
      </c>
      <c r="J109" s="36">
        <f t="shared" ref="J109:J110" si="16">SUM(B109+D109+F109+H109)</f>
        <v>2602</v>
      </c>
      <c r="K109" s="35">
        <v>33</v>
      </c>
      <c r="L109" s="58">
        <f>J109+K109</f>
        <v>2635</v>
      </c>
    </row>
    <row r="110" spans="1:12" s="31" customFormat="1" ht="12" x14ac:dyDescent="0.2">
      <c r="A110" s="33" t="s">
        <v>0</v>
      </c>
      <c r="B110" s="36">
        <f>SUM(B106:B109)</f>
        <v>48</v>
      </c>
      <c r="C110" s="51">
        <f>B110/J110</f>
        <v>7.0072992700729924E-3</v>
      </c>
      <c r="D110" s="36">
        <f>SUM(D106:D109)</f>
        <v>222</v>
      </c>
      <c r="E110" s="51">
        <f>D110/J110</f>
        <v>3.240875912408759E-2</v>
      </c>
      <c r="F110" s="36">
        <f>SUM(F106:F109)</f>
        <v>725</v>
      </c>
      <c r="G110" s="51">
        <f>F110/L110</f>
        <v>0.10514865844815083</v>
      </c>
      <c r="H110" s="36">
        <f>SUM(H106:H109)</f>
        <v>5855</v>
      </c>
      <c r="I110" s="51">
        <f>H110/J110</f>
        <v>0.85474452554744529</v>
      </c>
      <c r="J110" s="36">
        <f t="shared" si="16"/>
        <v>6850</v>
      </c>
      <c r="K110" s="36">
        <f>SUM(K106:K109)</f>
        <v>45</v>
      </c>
      <c r="L110" s="58">
        <f>J110+K110</f>
        <v>6895</v>
      </c>
    </row>
    <row r="111" spans="1:12" s="31" customFormat="1" ht="12" x14ac:dyDescent="0.2">
      <c r="A111" s="34"/>
      <c r="B111" s="34"/>
      <c r="C111" s="44"/>
      <c r="D111" s="34"/>
      <c r="E111" s="44"/>
      <c r="F111" s="34"/>
      <c r="G111" s="44"/>
      <c r="H111" s="34"/>
      <c r="I111" s="44"/>
      <c r="J111" s="36"/>
      <c r="K111" s="35"/>
      <c r="L111" s="58"/>
    </row>
    <row r="112" spans="1:12" s="31" customFormat="1" ht="12" x14ac:dyDescent="0.2">
      <c r="A112" s="34"/>
      <c r="B112" s="34"/>
      <c r="C112" s="44"/>
      <c r="D112" s="34"/>
      <c r="E112" s="44"/>
      <c r="F112" s="34"/>
      <c r="G112" s="44"/>
      <c r="H112" s="34"/>
      <c r="I112" s="44"/>
      <c r="J112" s="36"/>
      <c r="K112" s="35"/>
      <c r="L112" s="58"/>
    </row>
    <row r="113" spans="1:12" s="31" customFormat="1" ht="12" x14ac:dyDescent="0.2">
      <c r="A113" s="34"/>
      <c r="B113" s="46" t="s">
        <v>117</v>
      </c>
      <c r="C113" s="47"/>
      <c r="D113" s="46" t="s">
        <v>118</v>
      </c>
      <c r="E113" s="47"/>
      <c r="F113" s="46" t="s">
        <v>119</v>
      </c>
      <c r="G113" s="47"/>
      <c r="H113" s="46" t="s">
        <v>107</v>
      </c>
      <c r="I113" s="47"/>
      <c r="J113" s="48"/>
      <c r="K113" s="46"/>
      <c r="L113" s="59"/>
    </row>
    <row r="114" spans="1:12" s="31" customFormat="1" ht="24" x14ac:dyDescent="0.2">
      <c r="A114" s="33" t="s">
        <v>88</v>
      </c>
      <c r="B114" s="46" t="s">
        <v>120</v>
      </c>
      <c r="C114" s="46" t="s">
        <v>121</v>
      </c>
      <c r="D114" s="46" t="s">
        <v>122</v>
      </c>
      <c r="E114" s="46" t="s">
        <v>123</v>
      </c>
      <c r="F114" s="46" t="s">
        <v>124</v>
      </c>
      <c r="G114" s="46" t="s">
        <v>125</v>
      </c>
      <c r="H114" s="46" t="s">
        <v>108</v>
      </c>
      <c r="I114" s="46" t="s">
        <v>109</v>
      </c>
      <c r="J114" s="57" t="s">
        <v>113</v>
      </c>
      <c r="K114" s="49" t="s">
        <v>110</v>
      </c>
      <c r="L114" s="57" t="s">
        <v>112</v>
      </c>
    </row>
    <row r="115" spans="1:12" s="31" customFormat="1" ht="12" x14ac:dyDescent="0.2">
      <c r="A115" s="34" t="s">
        <v>90</v>
      </c>
      <c r="B115" s="22">
        <v>24</v>
      </c>
      <c r="C115" s="51">
        <f>B115/J115</f>
        <v>9.2449922958397542E-3</v>
      </c>
      <c r="D115" s="22">
        <v>115</v>
      </c>
      <c r="E115" s="51">
        <f>D115/J115</f>
        <v>4.4298921417565487E-2</v>
      </c>
      <c r="F115" s="22">
        <v>328</v>
      </c>
      <c r="G115" s="51">
        <f>F115/L115</f>
        <v>0.12523864070255822</v>
      </c>
      <c r="H115" s="22">
        <v>2129</v>
      </c>
      <c r="I115" s="51">
        <f>H115/J115</f>
        <v>0.82010785824345145</v>
      </c>
      <c r="J115" s="36">
        <f>SUM(B115+D115+F115+H115)</f>
        <v>2596</v>
      </c>
      <c r="K115" s="35">
        <v>23</v>
      </c>
      <c r="L115" s="58">
        <f>J115+K115</f>
        <v>2619</v>
      </c>
    </row>
    <row r="116" spans="1:12" s="31" customFormat="1" ht="12" x14ac:dyDescent="0.2">
      <c r="A116" s="34" t="s">
        <v>48</v>
      </c>
      <c r="B116" s="35">
        <v>25</v>
      </c>
      <c r="C116" s="51">
        <f>B116/J116</f>
        <v>7.2191741264799308E-3</v>
      </c>
      <c r="D116" s="35">
        <v>110</v>
      </c>
      <c r="E116" s="51">
        <f>D116/J116</f>
        <v>3.1764366156511695E-2</v>
      </c>
      <c r="F116" s="35">
        <v>333</v>
      </c>
      <c r="G116" s="51">
        <f>F116/L116</f>
        <v>9.5607235142118857E-2</v>
      </c>
      <c r="H116" s="35">
        <v>2995</v>
      </c>
      <c r="I116" s="51">
        <f>H116/J116</f>
        <v>0.8648570603522957</v>
      </c>
      <c r="J116" s="36">
        <f t="shared" ref="J116:J118" si="17">SUM(B116+D116+F116+H116)</f>
        <v>3463</v>
      </c>
      <c r="K116" s="35">
        <v>20</v>
      </c>
      <c r="L116" s="58">
        <f>J116+K116</f>
        <v>3483</v>
      </c>
    </row>
    <row r="117" spans="1:12" s="31" customFormat="1" ht="12" x14ac:dyDescent="0.2">
      <c r="A117" s="31" t="s">
        <v>126</v>
      </c>
      <c r="B117" s="22">
        <v>12</v>
      </c>
      <c r="C117" s="51">
        <f>B117/J117</f>
        <v>1.098901098901099E-2</v>
      </c>
      <c r="D117" s="22">
        <v>51</v>
      </c>
      <c r="E117" s="51">
        <f>D117/J117</f>
        <v>4.6703296703296704E-2</v>
      </c>
      <c r="F117" s="22">
        <v>146</v>
      </c>
      <c r="G117" s="51">
        <f>F117/L117</f>
        <v>0.13260672116257946</v>
      </c>
      <c r="H117" s="22">
        <v>883</v>
      </c>
      <c r="I117" s="51">
        <f>H117/J117</f>
        <v>0.80860805860805862</v>
      </c>
      <c r="J117" s="36">
        <f t="shared" si="17"/>
        <v>1092</v>
      </c>
      <c r="K117" s="35">
        <v>9</v>
      </c>
      <c r="L117" s="58">
        <f>J117+K117</f>
        <v>1101</v>
      </c>
    </row>
    <row r="118" spans="1:12" s="31" customFormat="1" ht="12" x14ac:dyDescent="0.2">
      <c r="A118" s="33" t="s">
        <v>0</v>
      </c>
      <c r="B118" s="36">
        <f>SUM(B115:B117)</f>
        <v>61</v>
      </c>
      <c r="C118" s="51">
        <f>B118/J118</f>
        <v>8.5302754859460216E-3</v>
      </c>
      <c r="D118" s="36">
        <f>SUM(D115:D117)</f>
        <v>276</v>
      </c>
      <c r="E118" s="51">
        <f>D118/J118</f>
        <v>3.8596000559362326E-2</v>
      </c>
      <c r="F118" s="36">
        <f>SUM(F115:F117)</f>
        <v>807</v>
      </c>
      <c r="G118" s="51">
        <f>F118/L118</f>
        <v>0.11203665139525198</v>
      </c>
      <c r="H118" s="36">
        <f>SUM(H115:H117)</f>
        <v>6007</v>
      </c>
      <c r="I118" s="51">
        <f>H118/J118</f>
        <v>0.84002237449307793</v>
      </c>
      <c r="J118" s="36">
        <f t="shared" si="17"/>
        <v>7151</v>
      </c>
      <c r="K118" s="36">
        <f>SUM(K115:K117)</f>
        <v>52</v>
      </c>
      <c r="L118" s="58">
        <f>J118+K118</f>
        <v>7203</v>
      </c>
    </row>
    <row r="119" spans="1:12" s="31" customFormat="1" ht="12" x14ac:dyDescent="0.2">
      <c r="A119" s="34"/>
      <c r="B119" s="34"/>
      <c r="C119" s="44"/>
      <c r="D119" s="34"/>
      <c r="E119" s="44"/>
      <c r="F119" s="34"/>
      <c r="G119" s="44"/>
      <c r="H119" s="34"/>
      <c r="I119" s="44"/>
      <c r="J119" s="36"/>
      <c r="K119" s="35"/>
      <c r="L119" s="58"/>
    </row>
    <row r="120" spans="1:12" s="31" customFormat="1" ht="12" x14ac:dyDescent="0.2">
      <c r="A120" s="34"/>
      <c r="B120" s="34"/>
      <c r="C120" s="44"/>
      <c r="D120" s="34"/>
      <c r="E120" s="44"/>
      <c r="F120" s="34"/>
      <c r="G120" s="44"/>
      <c r="H120" s="34"/>
      <c r="I120" s="44"/>
      <c r="J120" s="36"/>
      <c r="K120" s="35"/>
      <c r="L120" s="58"/>
    </row>
    <row r="121" spans="1:12" s="31" customFormat="1" ht="12" x14ac:dyDescent="0.2">
      <c r="A121" s="34"/>
      <c r="B121" s="46" t="s">
        <v>117</v>
      </c>
      <c r="C121" s="47"/>
      <c r="D121" s="46" t="s">
        <v>118</v>
      </c>
      <c r="E121" s="47"/>
      <c r="F121" s="46" t="s">
        <v>119</v>
      </c>
      <c r="G121" s="47"/>
      <c r="H121" s="46" t="s">
        <v>107</v>
      </c>
      <c r="I121" s="47"/>
      <c r="J121" s="48"/>
      <c r="K121" s="46"/>
      <c r="L121" s="59"/>
    </row>
    <row r="122" spans="1:12" s="31" customFormat="1" ht="24" x14ac:dyDescent="0.2">
      <c r="A122" s="33" t="s">
        <v>89</v>
      </c>
      <c r="B122" s="46" t="s">
        <v>120</v>
      </c>
      <c r="C122" s="46" t="s">
        <v>121</v>
      </c>
      <c r="D122" s="46" t="s">
        <v>122</v>
      </c>
      <c r="E122" s="46" t="s">
        <v>123</v>
      </c>
      <c r="F122" s="46" t="s">
        <v>124</v>
      </c>
      <c r="G122" s="46" t="s">
        <v>125</v>
      </c>
      <c r="H122" s="46" t="s">
        <v>108</v>
      </c>
      <c r="I122" s="46" t="s">
        <v>109</v>
      </c>
      <c r="J122" s="57" t="s">
        <v>113</v>
      </c>
      <c r="K122" s="49" t="s">
        <v>110</v>
      </c>
      <c r="L122" s="57" t="s">
        <v>112</v>
      </c>
    </row>
    <row r="123" spans="1:12" s="31" customFormat="1" ht="12" x14ac:dyDescent="0.2">
      <c r="A123" s="34" t="s">
        <v>36</v>
      </c>
      <c r="B123" s="35">
        <v>30</v>
      </c>
      <c r="C123" s="51">
        <f t="shared" ref="C123:C134" si="18">B123/J123</f>
        <v>7.678525723061172E-3</v>
      </c>
      <c r="D123" s="35">
        <v>202</v>
      </c>
      <c r="E123" s="51">
        <f t="shared" ref="E123:E134" si="19">D123/J123</f>
        <v>5.1702073201945226E-2</v>
      </c>
      <c r="F123" s="35">
        <v>566</v>
      </c>
      <c r="G123" s="51">
        <f t="shared" ref="G123:G134" si="20">F123/L123</f>
        <v>0.1440203562340967</v>
      </c>
      <c r="H123" s="35">
        <v>3109</v>
      </c>
      <c r="I123" s="51">
        <f t="shared" ref="I123:I134" si="21">H123/J123</f>
        <v>0.79575121576657282</v>
      </c>
      <c r="J123" s="36">
        <f>SUM(B123+D123+F123+H123)</f>
        <v>3907</v>
      </c>
      <c r="K123" s="35">
        <v>23</v>
      </c>
      <c r="L123" s="58">
        <f t="shared" ref="L123:L134" si="22">J123+K123</f>
        <v>3930</v>
      </c>
    </row>
    <row r="124" spans="1:12" s="31" customFormat="1" ht="12" x14ac:dyDescent="0.2">
      <c r="A124" s="31" t="s">
        <v>20</v>
      </c>
      <c r="B124" s="35">
        <v>7</v>
      </c>
      <c r="C124" s="51">
        <f t="shared" si="18"/>
        <v>7.3145245559038665E-3</v>
      </c>
      <c r="D124" s="35">
        <v>48</v>
      </c>
      <c r="E124" s="51">
        <f t="shared" si="19"/>
        <v>5.0156739811912224E-2</v>
      </c>
      <c r="F124" s="35">
        <v>161</v>
      </c>
      <c r="G124" s="51">
        <f t="shared" si="20"/>
        <v>0.16701244813278007</v>
      </c>
      <c r="H124" s="35">
        <v>741</v>
      </c>
      <c r="I124" s="51">
        <f t="shared" si="21"/>
        <v>0.77429467084639503</v>
      </c>
      <c r="J124" s="36">
        <f t="shared" ref="J124:J134" si="23">SUM(B124+D124+F124+H124)</f>
        <v>957</v>
      </c>
      <c r="K124" s="35">
        <v>7</v>
      </c>
      <c r="L124" s="58">
        <f t="shared" si="22"/>
        <v>964</v>
      </c>
    </row>
    <row r="125" spans="1:12" s="31" customFormat="1" ht="12" x14ac:dyDescent="0.2">
      <c r="A125" s="34" t="s">
        <v>2</v>
      </c>
      <c r="B125" s="35">
        <v>8</v>
      </c>
      <c r="C125" s="51">
        <f t="shared" si="18"/>
        <v>9.512485136741973E-3</v>
      </c>
      <c r="D125" s="35">
        <v>33</v>
      </c>
      <c r="E125" s="51">
        <f t="shared" si="19"/>
        <v>3.9239001189060645E-2</v>
      </c>
      <c r="F125" s="35">
        <v>128</v>
      </c>
      <c r="G125" s="51">
        <f t="shared" si="20"/>
        <v>0.15094339622641509</v>
      </c>
      <c r="H125" s="35">
        <v>672</v>
      </c>
      <c r="I125" s="51">
        <f t="shared" si="21"/>
        <v>0.79904875148632581</v>
      </c>
      <c r="J125" s="36">
        <f t="shared" si="23"/>
        <v>841</v>
      </c>
      <c r="K125" s="35">
        <v>7</v>
      </c>
      <c r="L125" s="58">
        <f t="shared" si="22"/>
        <v>848</v>
      </c>
    </row>
    <row r="126" spans="1:12" s="31" customFormat="1" ht="12" x14ac:dyDescent="0.2">
      <c r="A126" s="31" t="s">
        <v>21</v>
      </c>
      <c r="B126" s="22">
        <v>10</v>
      </c>
      <c r="C126" s="51">
        <f t="shared" si="18"/>
        <v>1.3888888888888888E-2</v>
      </c>
      <c r="D126" s="22">
        <v>26</v>
      </c>
      <c r="E126" s="51">
        <f t="shared" si="19"/>
        <v>3.6111111111111108E-2</v>
      </c>
      <c r="F126" s="22">
        <v>134</v>
      </c>
      <c r="G126" s="51">
        <f t="shared" si="20"/>
        <v>0.18431911966987621</v>
      </c>
      <c r="H126" s="22">
        <v>550</v>
      </c>
      <c r="I126" s="51">
        <f t="shared" si="21"/>
        <v>0.76388888888888884</v>
      </c>
      <c r="J126" s="36">
        <f t="shared" si="23"/>
        <v>720</v>
      </c>
      <c r="K126" s="35">
        <v>7</v>
      </c>
      <c r="L126" s="58">
        <f t="shared" si="22"/>
        <v>727</v>
      </c>
    </row>
    <row r="127" spans="1:12" s="31" customFormat="1" ht="12" x14ac:dyDescent="0.2">
      <c r="A127" s="34" t="s">
        <v>38</v>
      </c>
      <c r="B127" s="35">
        <v>9</v>
      </c>
      <c r="C127" s="51">
        <f t="shared" si="18"/>
        <v>8.4825636192271438E-3</v>
      </c>
      <c r="D127" s="35">
        <v>25</v>
      </c>
      <c r="E127" s="51">
        <f t="shared" si="19"/>
        <v>2.35626767200754E-2</v>
      </c>
      <c r="F127" s="35">
        <v>154</v>
      </c>
      <c r="G127" s="51">
        <f t="shared" si="20"/>
        <v>0.14405986903648269</v>
      </c>
      <c r="H127" s="35">
        <v>873</v>
      </c>
      <c r="I127" s="51">
        <f t="shared" si="21"/>
        <v>0.82280867106503297</v>
      </c>
      <c r="J127" s="36">
        <f t="shared" si="23"/>
        <v>1061</v>
      </c>
      <c r="K127" s="35">
        <v>8</v>
      </c>
      <c r="L127" s="58">
        <f t="shared" si="22"/>
        <v>1069</v>
      </c>
    </row>
    <row r="128" spans="1:12" s="31" customFormat="1" ht="12" x14ac:dyDescent="0.2">
      <c r="A128" s="34" t="s">
        <v>3</v>
      </c>
      <c r="B128" s="35">
        <v>11</v>
      </c>
      <c r="C128" s="51">
        <f t="shared" si="18"/>
        <v>1.1235955056179775E-2</v>
      </c>
      <c r="D128" s="35">
        <v>28</v>
      </c>
      <c r="E128" s="51">
        <f t="shared" si="19"/>
        <v>2.8600612870275793E-2</v>
      </c>
      <c r="F128" s="35">
        <v>90</v>
      </c>
      <c r="G128" s="51">
        <f t="shared" si="20"/>
        <v>9.1463414634146339E-2</v>
      </c>
      <c r="H128" s="35">
        <v>850</v>
      </c>
      <c r="I128" s="51">
        <f t="shared" si="21"/>
        <v>0.86823289070480081</v>
      </c>
      <c r="J128" s="36">
        <f t="shared" si="23"/>
        <v>979</v>
      </c>
      <c r="K128" s="35">
        <v>5</v>
      </c>
      <c r="L128" s="58">
        <f t="shared" si="22"/>
        <v>984</v>
      </c>
    </row>
    <row r="129" spans="1:12" s="31" customFormat="1" ht="12" x14ac:dyDescent="0.2">
      <c r="A129" s="34" t="s">
        <v>127</v>
      </c>
      <c r="B129" s="35">
        <v>4</v>
      </c>
      <c r="C129" s="51">
        <f t="shared" si="18"/>
        <v>6.8846815834767644E-3</v>
      </c>
      <c r="D129" s="35">
        <v>20</v>
      </c>
      <c r="E129" s="51">
        <f t="shared" si="19"/>
        <v>3.4423407917383818E-2</v>
      </c>
      <c r="F129" s="35">
        <v>78</v>
      </c>
      <c r="G129" s="51">
        <f t="shared" si="20"/>
        <v>0.13356164383561644</v>
      </c>
      <c r="H129" s="35">
        <v>479</v>
      </c>
      <c r="I129" s="51">
        <f t="shared" si="21"/>
        <v>0.82444061962134252</v>
      </c>
      <c r="J129" s="36">
        <f t="shared" si="23"/>
        <v>581</v>
      </c>
      <c r="K129" s="35">
        <v>3</v>
      </c>
      <c r="L129" s="58">
        <f t="shared" si="22"/>
        <v>584</v>
      </c>
    </row>
    <row r="130" spans="1:12" s="31" customFormat="1" ht="12" x14ac:dyDescent="0.2">
      <c r="A130" s="34" t="s">
        <v>10</v>
      </c>
      <c r="B130" s="35">
        <v>7</v>
      </c>
      <c r="C130" s="51">
        <f t="shared" si="18"/>
        <v>8.2938388625592423E-3</v>
      </c>
      <c r="D130" s="35">
        <v>33</v>
      </c>
      <c r="E130" s="51">
        <f t="shared" si="19"/>
        <v>3.9099526066350712E-2</v>
      </c>
      <c r="F130" s="35">
        <v>94</v>
      </c>
      <c r="G130" s="51">
        <f t="shared" si="20"/>
        <v>0.10994152046783626</v>
      </c>
      <c r="H130" s="35">
        <v>710</v>
      </c>
      <c r="I130" s="51">
        <f t="shared" si="21"/>
        <v>0.84123222748815163</v>
      </c>
      <c r="J130" s="36">
        <f t="shared" si="23"/>
        <v>844</v>
      </c>
      <c r="K130" s="35">
        <v>11</v>
      </c>
      <c r="L130" s="58">
        <f t="shared" si="22"/>
        <v>855</v>
      </c>
    </row>
    <row r="131" spans="1:12" s="31" customFormat="1" ht="12" x14ac:dyDescent="0.2">
      <c r="A131" s="34" t="s">
        <v>55</v>
      </c>
      <c r="B131" s="35">
        <v>21</v>
      </c>
      <c r="C131" s="51">
        <f t="shared" si="18"/>
        <v>1.7500000000000002E-2</v>
      </c>
      <c r="D131" s="35">
        <v>56</v>
      </c>
      <c r="E131" s="51">
        <f t="shared" si="19"/>
        <v>4.6666666666666669E-2</v>
      </c>
      <c r="F131" s="35">
        <v>168</v>
      </c>
      <c r="G131" s="51">
        <f t="shared" si="20"/>
        <v>0.1396508728179551</v>
      </c>
      <c r="H131" s="35">
        <v>955</v>
      </c>
      <c r="I131" s="51">
        <f t="shared" si="21"/>
        <v>0.79583333333333328</v>
      </c>
      <c r="J131" s="36">
        <f t="shared" si="23"/>
        <v>1200</v>
      </c>
      <c r="K131" s="35">
        <v>3</v>
      </c>
      <c r="L131" s="58">
        <f t="shared" si="22"/>
        <v>1203</v>
      </c>
    </row>
    <row r="132" spans="1:12" s="31" customFormat="1" ht="12" x14ac:dyDescent="0.2">
      <c r="A132" s="34" t="s">
        <v>56</v>
      </c>
      <c r="B132" s="35">
        <v>10</v>
      </c>
      <c r="C132" s="51">
        <f t="shared" si="18"/>
        <v>1.5197568389057751E-2</v>
      </c>
      <c r="D132" s="35">
        <v>52</v>
      </c>
      <c r="E132" s="51">
        <f t="shared" si="19"/>
        <v>7.9027355623100301E-2</v>
      </c>
      <c r="F132" s="35">
        <v>159</v>
      </c>
      <c r="G132" s="51">
        <f t="shared" si="20"/>
        <v>0.2373134328358209</v>
      </c>
      <c r="H132" s="35">
        <v>437</v>
      </c>
      <c r="I132" s="51">
        <f t="shared" si="21"/>
        <v>0.66413373860182368</v>
      </c>
      <c r="J132" s="36">
        <f t="shared" si="23"/>
        <v>658</v>
      </c>
      <c r="K132" s="35">
        <v>12</v>
      </c>
      <c r="L132" s="58">
        <f t="shared" si="22"/>
        <v>670</v>
      </c>
    </row>
    <row r="133" spans="1:12" s="31" customFormat="1" ht="12" x14ac:dyDescent="0.2">
      <c r="A133" s="34" t="s">
        <v>126</v>
      </c>
      <c r="B133" s="35">
        <v>5</v>
      </c>
      <c r="C133" s="51">
        <f t="shared" si="18"/>
        <v>7.2886297376093291E-3</v>
      </c>
      <c r="D133" s="35">
        <v>33</v>
      </c>
      <c r="E133" s="51">
        <f t="shared" si="19"/>
        <v>4.8104956268221574E-2</v>
      </c>
      <c r="F133" s="35">
        <v>103</v>
      </c>
      <c r="G133" s="51">
        <f t="shared" si="20"/>
        <v>0.14949201741654572</v>
      </c>
      <c r="H133" s="35">
        <v>545</v>
      </c>
      <c r="I133" s="51">
        <f t="shared" si="21"/>
        <v>0.79446064139941686</v>
      </c>
      <c r="J133" s="36">
        <f t="shared" si="23"/>
        <v>686</v>
      </c>
      <c r="K133" s="35">
        <v>3</v>
      </c>
      <c r="L133" s="58">
        <f t="shared" si="22"/>
        <v>689</v>
      </c>
    </row>
    <row r="134" spans="1:12" s="31" customFormat="1" ht="12" x14ac:dyDescent="0.2">
      <c r="A134" s="33" t="s">
        <v>0</v>
      </c>
      <c r="B134" s="36">
        <f>SUM(B123:B133)</f>
        <v>122</v>
      </c>
      <c r="C134" s="51">
        <f t="shared" si="18"/>
        <v>9.8118063374617991E-3</v>
      </c>
      <c r="D134" s="36">
        <f>SUM(D123:D133)</f>
        <v>556</v>
      </c>
      <c r="E134" s="51">
        <f t="shared" si="19"/>
        <v>4.4716101013350489E-2</v>
      </c>
      <c r="F134" s="36">
        <f>SUM(F123:F133)</f>
        <v>1835</v>
      </c>
      <c r="G134" s="51">
        <f t="shared" si="20"/>
        <v>0.14653038409326838</v>
      </c>
      <c r="H134" s="36">
        <f>SUM(H123:H133)</f>
        <v>9921</v>
      </c>
      <c r="I134" s="51">
        <f t="shared" si="21"/>
        <v>0.79789287437670897</v>
      </c>
      <c r="J134" s="36">
        <f t="shared" si="23"/>
        <v>12434</v>
      </c>
      <c r="K134" s="36">
        <f>SUM(K123:K133)</f>
        <v>89</v>
      </c>
      <c r="L134" s="58">
        <f t="shared" si="22"/>
        <v>12523</v>
      </c>
    </row>
    <row r="135" spans="1:12" s="31" customFormat="1" ht="12" x14ac:dyDescent="0.2">
      <c r="A135" s="34"/>
      <c r="B135" s="34"/>
      <c r="C135" s="44"/>
      <c r="D135" s="34"/>
      <c r="E135" s="44"/>
      <c r="F135" s="34"/>
      <c r="G135" s="44"/>
      <c r="H135" s="34"/>
      <c r="I135" s="44"/>
      <c r="J135" s="36"/>
      <c r="K135" s="35"/>
      <c r="L135" s="58"/>
    </row>
    <row r="136" spans="1:12" s="31" customFormat="1" ht="12" x14ac:dyDescent="0.2">
      <c r="A136" s="34"/>
      <c r="B136" s="34"/>
      <c r="C136" s="44"/>
      <c r="D136" s="34"/>
      <c r="E136" s="44"/>
      <c r="F136" s="34"/>
      <c r="G136" s="44"/>
      <c r="H136" s="34"/>
      <c r="I136" s="44"/>
      <c r="J136" s="36"/>
      <c r="K136" s="35"/>
      <c r="L136" s="58"/>
    </row>
    <row r="137" spans="1:12" s="31" customFormat="1" ht="12" x14ac:dyDescent="0.2">
      <c r="A137" s="34"/>
      <c r="B137" s="46" t="s">
        <v>117</v>
      </c>
      <c r="C137" s="47"/>
      <c r="D137" s="46" t="s">
        <v>118</v>
      </c>
      <c r="E137" s="47"/>
      <c r="F137" s="46" t="s">
        <v>119</v>
      </c>
      <c r="G137" s="47"/>
      <c r="H137" s="46" t="s">
        <v>107</v>
      </c>
      <c r="I137" s="47"/>
      <c r="J137" s="48"/>
      <c r="K137" s="46"/>
      <c r="L137" s="59"/>
    </row>
    <row r="138" spans="1:12" s="31" customFormat="1" ht="24" x14ac:dyDescent="0.2">
      <c r="A138" s="33" t="s">
        <v>91</v>
      </c>
      <c r="B138" s="46" t="s">
        <v>120</v>
      </c>
      <c r="C138" s="46" t="s">
        <v>121</v>
      </c>
      <c r="D138" s="46" t="s">
        <v>122</v>
      </c>
      <c r="E138" s="46" t="s">
        <v>123</v>
      </c>
      <c r="F138" s="46" t="s">
        <v>124</v>
      </c>
      <c r="G138" s="46" t="s">
        <v>125</v>
      </c>
      <c r="H138" s="46" t="s">
        <v>108</v>
      </c>
      <c r="I138" s="46" t="s">
        <v>109</v>
      </c>
      <c r="J138" s="57" t="s">
        <v>113</v>
      </c>
      <c r="K138" s="49" t="s">
        <v>110</v>
      </c>
      <c r="L138" s="57" t="s">
        <v>112</v>
      </c>
    </row>
    <row r="139" spans="1:12" s="31" customFormat="1" ht="12" x14ac:dyDescent="0.2">
      <c r="A139" s="34" t="s">
        <v>6</v>
      </c>
      <c r="B139" s="35">
        <v>37</v>
      </c>
      <c r="C139" s="51">
        <f t="shared" ref="C139:C143" si="24">B139/J139</f>
        <v>1.5771526001705029E-2</v>
      </c>
      <c r="D139" s="35">
        <v>146</v>
      </c>
      <c r="E139" s="44">
        <f t="shared" ref="E139:E143" si="25">D139/J139</f>
        <v>6.2233589087809037E-2</v>
      </c>
      <c r="F139" s="35">
        <v>372</v>
      </c>
      <c r="G139" s="44">
        <f t="shared" ref="G139:G143" si="26">F139/L139</f>
        <v>0.15756035578144853</v>
      </c>
      <c r="H139" s="35">
        <v>1791</v>
      </c>
      <c r="I139" s="44">
        <f t="shared" ref="I139:I143" si="27">H139/J139</f>
        <v>0.76342710997442453</v>
      </c>
      <c r="J139" s="36">
        <f>SUM(B139+D139+F139+H139)</f>
        <v>2346</v>
      </c>
      <c r="K139" s="35">
        <v>15</v>
      </c>
      <c r="L139" s="58">
        <f t="shared" ref="L139:L143" si="28">J139+K139</f>
        <v>2361</v>
      </c>
    </row>
    <row r="140" spans="1:12" s="31" customFormat="1" ht="12" x14ac:dyDescent="0.2">
      <c r="A140" s="34" t="s">
        <v>92</v>
      </c>
      <c r="B140" s="35">
        <v>7</v>
      </c>
      <c r="C140" s="51">
        <f t="shared" si="24"/>
        <v>2.0289855072463767E-2</v>
      </c>
      <c r="D140" s="35">
        <v>22</v>
      </c>
      <c r="E140" s="44">
        <f t="shared" si="25"/>
        <v>6.3768115942028983E-2</v>
      </c>
      <c r="F140" s="35">
        <v>47</v>
      </c>
      <c r="G140" s="44">
        <f t="shared" si="26"/>
        <v>0.13544668587896252</v>
      </c>
      <c r="H140" s="35">
        <v>269</v>
      </c>
      <c r="I140" s="44">
        <f t="shared" si="27"/>
        <v>0.77971014492753621</v>
      </c>
      <c r="J140" s="36">
        <f t="shared" ref="J140:J143" si="29">SUM(B140+D140+F140+H140)</f>
        <v>345</v>
      </c>
      <c r="K140" s="35">
        <v>2</v>
      </c>
      <c r="L140" s="58">
        <f t="shared" si="28"/>
        <v>347</v>
      </c>
    </row>
    <row r="141" spans="1:12" s="31" customFormat="1" ht="12" x14ac:dyDescent="0.2">
      <c r="A141" s="34" t="s">
        <v>53</v>
      </c>
      <c r="B141" s="35">
        <v>37</v>
      </c>
      <c r="C141" s="51">
        <f t="shared" si="24"/>
        <v>1.0355443604813882E-2</v>
      </c>
      <c r="D141" s="35">
        <v>170</v>
      </c>
      <c r="E141" s="44">
        <f t="shared" si="25"/>
        <v>4.7579065211307024E-2</v>
      </c>
      <c r="F141" s="35">
        <v>628</v>
      </c>
      <c r="G141" s="44">
        <f t="shared" si="26"/>
        <v>0.17473567056204786</v>
      </c>
      <c r="H141" s="35">
        <v>2738</v>
      </c>
      <c r="I141" s="44">
        <f t="shared" si="27"/>
        <v>0.7663028267562273</v>
      </c>
      <c r="J141" s="36">
        <f t="shared" si="29"/>
        <v>3573</v>
      </c>
      <c r="K141" s="35">
        <v>21</v>
      </c>
      <c r="L141" s="58">
        <f t="shared" si="28"/>
        <v>3594</v>
      </c>
    </row>
    <row r="142" spans="1:12" s="31" customFormat="1" ht="12" x14ac:dyDescent="0.2">
      <c r="A142" s="34" t="s">
        <v>8</v>
      </c>
      <c r="B142" s="35">
        <v>20</v>
      </c>
      <c r="C142" s="51">
        <f t="shared" si="24"/>
        <v>1.2928248222365869E-2</v>
      </c>
      <c r="D142" s="35">
        <v>81</v>
      </c>
      <c r="E142" s="44">
        <f t="shared" si="25"/>
        <v>5.2359405300581773E-2</v>
      </c>
      <c r="F142" s="35">
        <v>222</v>
      </c>
      <c r="G142" s="44">
        <f t="shared" si="26"/>
        <v>0.14304123711340205</v>
      </c>
      <c r="H142" s="35">
        <v>1224</v>
      </c>
      <c r="I142" s="44">
        <f t="shared" si="27"/>
        <v>0.79120879120879117</v>
      </c>
      <c r="J142" s="36">
        <f t="shared" si="29"/>
        <v>1547</v>
      </c>
      <c r="K142" s="35">
        <v>5</v>
      </c>
      <c r="L142" s="58">
        <f t="shared" si="28"/>
        <v>1552</v>
      </c>
    </row>
    <row r="143" spans="1:12" s="31" customFormat="1" ht="12" x14ac:dyDescent="0.2">
      <c r="A143" s="33" t="s">
        <v>0</v>
      </c>
      <c r="B143" s="36">
        <f>SUM(B139:B142)</f>
        <v>101</v>
      </c>
      <c r="C143" s="51">
        <f t="shared" si="24"/>
        <v>1.2930482652669313E-2</v>
      </c>
      <c r="D143" s="36">
        <f>SUM(D139:D142)</f>
        <v>419</v>
      </c>
      <c r="E143" s="44">
        <f t="shared" si="25"/>
        <v>5.3642299321469723E-2</v>
      </c>
      <c r="F143" s="36">
        <f>SUM(F139:F142)</f>
        <v>1269</v>
      </c>
      <c r="G143" s="44">
        <f t="shared" si="26"/>
        <v>0.16157372039724982</v>
      </c>
      <c r="H143" s="36">
        <f>SUM(H139:H142)</f>
        <v>6022</v>
      </c>
      <c r="I143" s="44">
        <f t="shared" si="27"/>
        <v>0.77096402509281781</v>
      </c>
      <c r="J143" s="36">
        <f t="shared" si="29"/>
        <v>7811</v>
      </c>
      <c r="K143" s="36">
        <f>SUM(K139:K142)</f>
        <v>43</v>
      </c>
      <c r="L143" s="58">
        <f t="shared" si="28"/>
        <v>7854</v>
      </c>
    </row>
    <row r="144" spans="1:12" s="31" customFormat="1" ht="12" x14ac:dyDescent="0.2">
      <c r="A144" s="34"/>
      <c r="B144" s="34"/>
      <c r="C144" s="44"/>
      <c r="D144" s="34"/>
      <c r="E144" s="44"/>
      <c r="F144" s="34"/>
      <c r="G144" s="44"/>
      <c r="H144" s="34"/>
      <c r="I144" s="44"/>
      <c r="J144" s="36"/>
      <c r="K144" s="35"/>
      <c r="L144" s="58"/>
    </row>
    <row r="145" spans="1:12" s="31" customFormat="1" ht="12" x14ac:dyDescent="0.2">
      <c r="A145" s="34"/>
      <c r="B145" s="34"/>
      <c r="C145" s="44"/>
      <c r="D145" s="34"/>
      <c r="E145" s="44"/>
      <c r="F145" s="34"/>
      <c r="G145" s="44"/>
      <c r="H145" s="34"/>
      <c r="I145" s="44"/>
      <c r="J145" s="36"/>
      <c r="K145" s="35"/>
      <c r="L145" s="58"/>
    </row>
    <row r="146" spans="1:12" s="31" customFormat="1" ht="12" x14ac:dyDescent="0.2">
      <c r="A146" s="34"/>
      <c r="B146" s="46" t="s">
        <v>117</v>
      </c>
      <c r="C146" s="47"/>
      <c r="D146" s="46" t="s">
        <v>118</v>
      </c>
      <c r="E146" s="47"/>
      <c r="F146" s="46" t="s">
        <v>119</v>
      </c>
      <c r="G146" s="47"/>
      <c r="H146" s="46" t="s">
        <v>107</v>
      </c>
      <c r="I146" s="47"/>
      <c r="J146" s="48"/>
      <c r="K146" s="46"/>
      <c r="L146" s="59"/>
    </row>
    <row r="147" spans="1:12" s="31" customFormat="1" ht="24" x14ac:dyDescent="0.2">
      <c r="A147" s="33" t="s">
        <v>93</v>
      </c>
      <c r="B147" s="46" t="s">
        <v>120</v>
      </c>
      <c r="C147" s="46" t="s">
        <v>121</v>
      </c>
      <c r="D147" s="46" t="s">
        <v>122</v>
      </c>
      <c r="E147" s="46" t="s">
        <v>123</v>
      </c>
      <c r="F147" s="46" t="s">
        <v>124</v>
      </c>
      <c r="G147" s="46" t="s">
        <v>125</v>
      </c>
      <c r="H147" s="46" t="s">
        <v>108</v>
      </c>
      <c r="I147" s="46" t="s">
        <v>109</v>
      </c>
      <c r="J147" s="57" t="s">
        <v>113</v>
      </c>
      <c r="K147" s="49" t="s">
        <v>110</v>
      </c>
      <c r="L147" s="57" t="s">
        <v>112</v>
      </c>
    </row>
    <row r="148" spans="1:12" s="31" customFormat="1" ht="12" x14ac:dyDescent="0.2">
      <c r="A148" s="34" t="s">
        <v>12</v>
      </c>
      <c r="B148" s="35">
        <v>9</v>
      </c>
      <c r="C148" s="51">
        <f t="shared" ref="C148:C163" si="30">B148/J148</f>
        <v>1.2211668928086838E-2</v>
      </c>
      <c r="D148" s="35">
        <v>22</v>
      </c>
      <c r="E148" s="51">
        <f t="shared" ref="E148:E163" si="31">D148/J148</f>
        <v>2.9850746268656716E-2</v>
      </c>
      <c r="F148" s="35">
        <v>129</v>
      </c>
      <c r="G148" s="51">
        <f t="shared" ref="G148:G163" si="32">F148/L148</f>
        <v>0.17292225201072386</v>
      </c>
      <c r="H148" s="35">
        <v>577</v>
      </c>
      <c r="I148" s="51">
        <f t="shared" ref="I148:I163" si="33">H148/J148</f>
        <v>0.78290366350067842</v>
      </c>
      <c r="J148" s="36">
        <f>SUM(B148+D148+F148+H148)</f>
        <v>737</v>
      </c>
      <c r="K148" s="35">
        <v>9</v>
      </c>
      <c r="L148" s="58">
        <f t="shared" ref="L148:L163" si="34">J148+K148</f>
        <v>746</v>
      </c>
    </row>
    <row r="149" spans="1:12" s="31" customFormat="1" ht="12" x14ac:dyDescent="0.2">
      <c r="A149" s="34" t="s">
        <v>41</v>
      </c>
      <c r="B149" s="35">
        <v>8</v>
      </c>
      <c r="C149" s="51">
        <f t="shared" si="30"/>
        <v>1.1477761836441894E-2</v>
      </c>
      <c r="D149" s="35">
        <v>25</v>
      </c>
      <c r="E149" s="51">
        <f t="shared" si="31"/>
        <v>3.5868005738880916E-2</v>
      </c>
      <c r="F149" s="35">
        <v>149</v>
      </c>
      <c r="G149" s="51">
        <f t="shared" si="32"/>
        <v>0.21045197740112995</v>
      </c>
      <c r="H149" s="35">
        <v>515</v>
      </c>
      <c r="I149" s="51">
        <f t="shared" si="33"/>
        <v>0.73888091822094693</v>
      </c>
      <c r="J149" s="36">
        <f t="shared" ref="J149:J163" si="35">SUM(B149+D149+F149+H149)</f>
        <v>697</v>
      </c>
      <c r="K149" s="35">
        <v>11</v>
      </c>
      <c r="L149" s="58">
        <f t="shared" si="34"/>
        <v>708</v>
      </c>
    </row>
    <row r="150" spans="1:12" s="31" customFormat="1" ht="12" x14ac:dyDescent="0.2">
      <c r="A150" s="34" t="s">
        <v>13</v>
      </c>
      <c r="B150" s="35">
        <v>9</v>
      </c>
      <c r="C150" s="51">
        <f t="shared" si="30"/>
        <v>1.8749999999999999E-2</v>
      </c>
      <c r="D150" s="35">
        <v>25</v>
      </c>
      <c r="E150" s="51">
        <f t="shared" si="31"/>
        <v>5.2083333333333336E-2</v>
      </c>
      <c r="F150" s="35">
        <v>67</v>
      </c>
      <c r="G150" s="51">
        <f t="shared" si="32"/>
        <v>0.13786008230452676</v>
      </c>
      <c r="H150" s="35">
        <v>379</v>
      </c>
      <c r="I150" s="51">
        <f t="shared" si="33"/>
        <v>0.7895833333333333</v>
      </c>
      <c r="J150" s="36">
        <f t="shared" si="35"/>
        <v>480</v>
      </c>
      <c r="K150" s="35">
        <v>6</v>
      </c>
      <c r="L150" s="58">
        <f t="shared" si="34"/>
        <v>486</v>
      </c>
    </row>
    <row r="151" spans="1:12" s="31" customFormat="1" ht="12" x14ac:dyDescent="0.2">
      <c r="A151" s="34" t="s">
        <v>42</v>
      </c>
      <c r="B151" s="35">
        <v>19</v>
      </c>
      <c r="C151" s="51">
        <f t="shared" si="30"/>
        <v>1.4525993883792049E-2</v>
      </c>
      <c r="D151" s="35">
        <v>37</v>
      </c>
      <c r="E151" s="51">
        <f t="shared" si="31"/>
        <v>2.8287461773700305E-2</v>
      </c>
      <c r="F151" s="35">
        <v>160</v>
      </c>
      <c r="G151" s="51">
        <f t="shared" si="32"/>
        <v>0.12204424103737604</v>
      </c>
      <c r="H151" s="35">
        <v>1092</v>
      </c>
      <c r="I151" s="51">
        <f t="shared" si="33"/>
        <v>0.83486238532110091</v>
      </c>
      <c r="J151" s="36">
        <f t="shared" si="35"/>
        <v>1308</v>
      </c>
      <c r="K151" s="35">
        <v>3</v>
      </c>
      <c r="L151" s="58">
        <f t="shared" si="34"/>
        <v>1311</v>
      </c>
    </row>
    <row r="152" spans="1:12" s="31" customFormat="1" ht="12" x14ac:dyDescent="0.2">
      <c r="A152" s="34" t="s">
        <v>14</v>
      </c>
      <c r="B152" s="35">
        <v>3</v>
      </c>
      <c r="C152" s="51">
        <f t="shared" si="30"/>
        <v>9.6774193548387101E-3</v>
      </c>
      <c r="D152" s="35">
        <v>8</v>
      </c>
      <c r="E152" s="51">
        <f t="shared" si="31"/>
        <v>2.5806451612903226E-2</v>
      </c>
      <c r="F152" s="35">
        <v>46</v>
      </c>
      <c r="G152" s="51">
        <f t="shared" si="32"/>
        <v>0.14790996784565916</v>
      </c>
      <c r="H152" s="35">
        <v>253</v>
      </c>
      <c r="I152" s="51">
        <f t="shared" si="33"/>
        <v>0.81612903225806455</v>
      </c>
      <c r="J152" s="36">
        <f t="shared" si="35"/>
        <v>310</v>
      </c>
      <c r="K152" s="35">
        <v>1</v>
      </c>
      <c r="L152" s="58">
        <f t="shared" si="34"/>
        <v>311</v>
      </c>
    </row>
    <row r="153" spans="1:12" s="31" customFormat="1" ht="12" x14ac:dyDescent="0.2">
      <c r="A153" s="34" t="s">
        <v>22</v>
      </c>
      <c r="B153" s="35">
        <v>13</v>
      </c>
      <c r="C153" s="51">
        <f t="shared" si="30"/>
        <v>8.7897227856659904E-3</v>
      </c>
      <c r="D153" s="35">
        <v>46</v>
      </c>
      <c r="E153" s="51">
        <f t="shared" si="31"/>
        <v>3.110209601081812E-2</v>
      </c>
      <c r="F153" s="35">
        <v>205</v>
      </c>
      <c r="G153" s="51">
        <f t="shared" si="32"/>
        <v>0.13758389261744966</v>
      </c>
      <c r="H153" s="35">
        <v>1215</v>
      </c>
      <c r="I153" s="51">
        <f t="shared" si="33"/>
        <v>0.82150101419878296</v>
      </c>
      <c r="J153" s="36">
        <f t="shared" si="35"/>
        <v>1479</v>
      </c>
      <c r="K153" s="35">
        <v>11</v>
      </c>
      <c r="L153" s="58">
        <f t="shared" si="34"/>
        <v>1490</v>
      </c>
    </row>
    <row r="154" spans="1:12" s="31" customFormat="1" ht="12" x14ac:dyDescent="0.2">
      <c r="A154" s="34" t="s">
        <v>128</v>
      </c>
      <c r="B154" s="35">
        <v>1</v>
      </c>
      <c r="C154" s="51">
        <f t="shared" si="30"/>
        <v>3.4364261168384879E-3</v>
      </c>
      <c r="D154" s="35">
        <v>7</v>
      </c>
      <c r="E154" s="51">
        <f t="shared" si="31"/>
        <v>2.4054982817869417E-2</v>
      </c>
      <c r="F154" s="35">
        <v>51</v>
      </c>
      <c r="G154" s="51">
        <f t="shared" si="32"/>
        <v>0.17465753424657535</v>
      </c>
      <c r="H154" s="35">
        <v>232</v>
      </c>
      <c r="I154" s="51">
        <f t="shared" si="33"/>
        <v>0.79725085910652926</v>
      </c>
      <c r="J154" s="36">
        <f t="shared" si="35"/>
        <v>291</v>
      </c>
      <c r="K154" s="35">
        <v>1</v>
      </c>
      <c r="L154" s="58">
        <f t="shared" si="34"/>
        <v>292</v>
      </c>
    </row>
    <row r="155" spans="1:12" s="31" customFormat="1" ht="12" x14ac:dyDescent="0.2">
      <c r="A155" s="34" t="s">
        <v>16</v>
      </c>
      <c r="B155" s="35">
        <v>7</v>
      </c>
      <c r="C155" s="51">
        <f t="shared" si="30"/>
        <v>1.2389380530973451E-2</v>
      </c>
      <c r="D155" s="35">
        <v>14</v>
      </c>
      <c r="E155" s="51">
        <f t="shared" si="31"/>
        <v>2.4778761061946902E-2</v>
      </c>
      <c r="F155" s="35">
        <v>96</v>
      </c>
      <c r="G155" s="51">
        <f t="shared" si="32"/>
        <v>0.16666666666666666</v>
      </c>
      <c r="H155" s="35">
        <v>448</v>
      </c>
      <c r="I155" s="51">
        <f t="shared" si="33"/>
        <v>0.79292035398230087</v>
      </c>
      <c r="J155" s="36">
        <f t="shared" si="35"/>
        <v>565</v>
      </c>
      <c r="K155" s="35">
        <v>11</v>
      </c>
      <c r="L155" s="58">
        <f t="shared" si="34"/>
        <v>576</v>
      </c>
    </row>
    <row r="156" spans="1:12" s="31" customFormat="1" ht="12" x14ac:dyDescent="0.2">
      <c r="A156" s="34" t="s">
        <v>7</v>
      </c>
      <c r="B156" s="35">
        <v>6</v>
      </c>
      <c r="C156" s="51">
        <f t="shared" si="30"/>
        <v>8.4985835694051E-3</v>
      </c>
      <c r="D156" s="35">
        <v>27</v>
      </c>
      <c r="E156" s="51">
        <f t="shared" si="31"/>
        <v>3.8243626062322948E-2</v>
      </c>
      <c r="F156" s="35">
        <v>73</v>
      </c>
      <c r="G156" s="51">
        <f t="shared" si="32"/>
        <v>0.10252808988764045</v>
      </c>
      <c r="H156" s="35">
        <v>600</v>
      </c>
      <c r="I156" s="51">
        <f t="shared" si="33"/>
        <v>0.84985835694050993</v>
      </c>
      <c r="J156" s="36">
        <f t="shared" si="35"/>
        <v>706</v>
      </c>
      <c r="K156" s="35">
        <v>6</v>
      </c>
      <c r="L156" s="58">
        <f t="shared" si="34"/>
        <v>712</v>
      </c>
    </row>
    <row r="157" spans="1:12" s="31" customFormat="1" ht="12" x14ac:dyDescent="0.2">
      <c r="A157" s="34" t="s">
        <v>127</v>
      </c>
      <c r="B157" s="22">
        <v>2</v>
      </c>
      <c r="C157" s="51">
        <f t="shared" si="30"/>
        <v>3.8022813688212928E-3</v>
      </c>
      <c r="D157" s="22">
        <v>18</v>
      </c>
      <c r="E157" s="51">
        <f t="shared" si="31"/>
        <v>3.4220532319391636E-2</v>
      </c>
      <c r="F157" s="22">
        <v>84</v>
      </c>
      <c r="G157" s="51">
        <f t="shared" si="32"/>
        <v>0.15789473684210525</v>
      </c>
      <c r="H157" s="22">
        <v>422</v>
      </c>
      <c r="I157" s="51">
        <f t="shared" si="33"/>
        <v>0.80228136882129275</v>
      </c>
      <c r="J157" s="36">
        <f t="shared" si="35"/>
        <v>526</v>
      </c>
      <c r="K157" s="35">
        <v>6</v>
      </c>
      <c r="L157" s="58">
        <f t="shared" si="34"/>
        <v>532</v>
      </c>
    </row>
    <row r="158" spans="1:12" s="31" customFormat="1" ht="12" x14ac:dyDescent="0.2">
      <c r="A158" s="34" t="s">
        <v>92</v>
      </c>
      <c r="B158" s="22">
        <v>21</v>
      </c>
      <c r="C158" s="51">
        <f t="shared" si="30"/>
        <v>1.3824884792626729E-2</v>
      </c>
      <c r="D158" s="22">
        <v>67</v>
      </c>
      <c r="E158" s="51">
        <f t="shared" si="31"/>
        <v>4.4107965766951945E-2</v>
      </c>
      <c r="F158" s="22">
        <v>203</v>
      </c>
      <c r="G158" s="51">
        <f t="shared" si="32"/>
        <v>0.13311475409836065</v>
      </c>
      <c r="H158" s="22">
        <v>1228</v>
      </c>
      <c r="I158" s="51">
        <f t="shared" si="33"/>
        <v>0.80842659644502968</v>
      </c>
      <c r="J158" s="36">
        <f t="shared" si="35"/>
        <v>1519</v>
      </c>
      <c r="K158" s="35">
        <v>6</v>
      </c>
      <c r="L158" s="58">
        <f t="shared" si="34"/>
        <v>1525</v>
      </c>
    </row>
    <row r="159" spans="1:12" s="31" customFormat="1" ht="12" x14ac:dyDescent="0.2">
      <c r="A159" s="34" t="s">
        <v>9</v>
      </c>
      <c r="B159" s="35">
        <v>8</v>
      </c>
      <c r="C159" s="51">
        <f t="shared" si="30"/>
        <v>1.2326656394453005E-2</v>
      </c>
      <c r="D159" s="35">
        <v>27</v>
      </c>
      <c r="E159" s="51">
        <f t="shared" si="31"/>
        <v>4.1602465331278891E-2</v>
      </c>
      <c r="F159" s="35">
        <v>77</v>
      </c>
      <c r="G159" s="51">
        <f t="shared" si="32"/>
        <v>0.11809815950920245</v>
      </c>
      <c r="H159" s="35">
        <v>537</v>
      </c>
      <c r="I159" s="51">
        <f t="shared" si="33"/>
        <v>0.82742681047765798</v>
      </c>
      <c r="J159" s="36">
        <f t="shared" si="35"/>
        <v>649</v>
      </c>
      <c r="K159" s="35">
        <v>3</v>
      </c>
      <c r="L159" s="58">
        <f t="shared" si="34"/>
        <v>652</v>
      </c>
    </row>
    <row r="160" spans="1:12" s="31" customFormat="1" ht="12" x14ac:dyDescent="0.2">
      <c r="A160" s="31" t="s">
        <v>19</v>
      </c>
      <c r="B160" s="35">
        <v>24</v>
      </c>
      <c r="C160" s="51">
        <f t="shared" si="30"/>
        <v>1.6713091922005572E-2</v>
      </c>
      <c r="D160" s="35">
        <v>55</v>
      </c>
      <c r="E160" s="51">
        <f t="shared" si="31"/>
        <v>3.8300835654596098E-2</v>
      </c>
      <c r="F160" s="35">
        <v>228</v>
      </c>
      <c r="G160" s="51">
        <f t="shared" si="32"/>
        <v>0.15800415800415801</v>
      </c>
      <c r="H160" s="35">
        <v>1129</v>
      </c>
      <c r="I160" s="51">
        <f t="shared" si="33"/>
        <v>0.78621169916434541</v>
      </c>
      <c r="J160" s="36">
        <f t="shared" si="35"/>
        <v>1436</v>
      </c>
      <c r="K160" s="35">
        <v>7</v>
      </c>
      <c r="L160" s="58">
        <f t="shared" si="34"/>
        <v>1443</v>
      </c>
    </row>
    <row r="161" spans="1:12" s="31" customFormat="1" ht="12" x14ac:dyDescent="0.2">
      <c r="A161" s="34" t="s">
        <v>4</v>
      </c>
      <c r="B161" s="35">
        <v>11</v>
      </c>
      <c r="C161" s="51">
        <f t="shared" si="30"/>
        <v>7.988380537400145E-3</v>
      </c>
      <c r="D161" s="35">
        <v>63</v>
      </c>
      <c r="E161" s="51">
        <f t="shared" si="31"/>
        <v>4.5751633986928102E-2</v>
      </c>
      <c r="F161" s="35">
        <v>293</v>
      </c>
      <c r="G161" s="51">
        <f t="shared" si="32"/>
        <v>0.21170520231213874</v>
      </c>
      <c r="H161" s="35">
        <v>1010</v>
      </c>
      <c r="I161" s="51">
        <f t="shared" si="33"/>
        <v>0.73347857661583149</v>
      </c>
      <c r="J161" s="36">
        <f t="shared" si="35"/>
        <v>1377</v>
      </c>
      <c r="K161" s="35">
        <v>7</v>
      </c>
      <c r="L161" s="58">
        <f t="shared" si="34"/>
        <v>1384</v>
      </c>
    </row>
    <row r="162" spans="1:12" s="31" customFormat="1" ht="12" x14ac:dyDescent="0.2">
      <c r="A162" s="34" t="s">
        <v>5</v>
      </c>
      <c r="B162" s="35">
        <v>7</v>
      </c>
      <c r="C162" s="51">
        <f t="shared" si="30"/>
        <v>7.4309978768577496E-3</v>
      </c>
      <c r="D162" s="35">
        <v>42</v>
      </c>
      <c r="E162" s="51">
        <f t="shared" si="31"/>
        <v>4.4585987261146494E-2</v>
      </c>
      <c r="F162" s="35">
        <v>144</v>
      </c>
      <c r="G162" s="51">
        <f t="shared" si="32"/>
        <v>0.15078534031413612</v>
      </c>
      <c r="H162" s="35">
        <v>749</v>
      </c>
      <c r="I162" s="51">
        <f t="shared" si="33"/>
        <v>0.79511677282377924</v>
      </c>
      <c r="J162" s="36">
        <f t="shared" si="35"/>
        <v>942</v>
      </c>
      <c r="K162" s="35">
        <v>13</v>
      </c>
      <c r="L162" s="58">
        <f t="shared" si="34"/>
        <v>955</v>
      </c>
    </row>
    <row r="163" spans="1:12" s="31" customFormat="1" ht="12" x14ac:dyDescent="0.2">
      <c r="A163" s="33" t="s">
        <v>0</v>
      </c>
      <c r="B163" s="36">
        <f>SUM(B148:B162)</f>
        <v>148</v>
      </c>
      <c r="C163" s="51">
        <f t="shared" si="30"/>
        <v>1.1365381661803103E-2</v>
      </c>
      <c r="D163" s="36">
        <f>SUM(D148:D162)</f>
        <v>483</v>
      </c>
      <c r="E163" s="51">
        <f t="shared" si="31"/>
        <v>3.7091076639533101E-2</v>
      </c>
      <c r="F163" s="36">
        <f>SUM(F148:F162)</f>
        <v>2005</v>
      </c>
      <c r="G163" s="51">
        <f t="shared" si="32"/>
        <v>0.15278518631410501</v>
      </c>
      <c r="H163" s="36">
        <f>SUM(H148:H162)</f>
        <v>10386</v>
      </c>
      <c r="I163" s="51">
        <f t="shared" si="33"/>
        <v>0.79757333742896641</v>
      </c>
      <c r="J163" s="36">
        <f t="shared" si="35"/>
        <v>13022</v>
      </c>
      <c r="K163" s="36">
        <f>SUM(K148:K162)</f>
        <v>101</v>
      </c>
      <c r="L163" s="58">
        <f t="shared" si="34"/>
        <v>13123</v>
      </c>
    </row>
    <row r="164" spans="1:12" s="31" customFormat="1" ht="12" x14ac:dyDescent="0.2">
      <c r="A164" s="34"/>
      <c r="B164" s="34"/>
      <c r="C164" s="44"/>
      <c r="D164" s="34"/>
      <c r="E164" s="44"/>
      <c r="F164" s="34"/>
      <c r="G164" s="44"/>
      <c r="H164" s="34"/>
      <c r="I164" s="44"/>
      <c r="J164" s="36"/>
      <c r="K164" s="35"/>
      <c r="L164" s="58"/>
    </row>
    <row r="165" spans="1:12" s="31" customFormat="1" ht="12" x14ac:dyDescent="0.2">
      <c r="A165" s="34"/>
      <c r="B165" s="34"/>
      <c r="C165" s="44"/>
      <c r="D165" s="34"/>
      <c r="E165" s="44"/>
      <c r="F165" s="34"/>
      <c r="G165" s="44"/>
      <c r="H165" s="34"/>
      <c r="I165" s="44"/>
      <c r="J165" s="36"/>
      <c r="K165" s="35"/>
      <c r="L165" s="58"/>
    </row>
    <row r="166" spans="1:12" s="31" customFormat="1" ht="12" x14ac:dyDescent="0.2">
      <c r="A166" s="34"/>
      <c r="B166" s="46" t="s">
        <v>117</v>
      </c>
      <c r="C166" s="47"/>
      <c r="D166" s="46" t="s">
        <v>118</v>
      </c>
      <c r="E166" s="47"/>
      <c r="F166" s="46" t="s">
        <v>119</v>
      </c>
      <c r="G166" s="47"/>
      <c r="H166" s="46" t="s">
        <v>107</v>
      </c>
      <c r="I166" s="47"/>
      <c r="J166" s="48"/>
      <c r="K166" s="46"/>
      <c r="L166" s="59"/>
    </row>
    <row r="167" spans="1:12" s="31" customFormat="1" ht="24" x14ac:dyDescent="0.2">
      <c r="A167" s="33" t="s">
        <v>94</v>
      </c>
      <c r="B167" s="46" t="s">
        <v>120</v>
      </c>
      <c r="C167" s="46" t="s">
        <v>121</v>
      </c>
      <c r="D167" s="46" t="s">
        <v>122</v>
      </c>
      <c r="E167" s="46" t="s">
        <v>123</v>
      </c>
      <c r="F167" s="46" t="s">
        <v>124</v>
      </c>
      <c r="G167" s="46" t="s">
        <v>125</v>
      </c>
      <c r="H167" s="46" t="s">
        <v>108</v>
      </c>
      <c r="I167" s="46" t="s">
        <v>109</v>
      </c>
      <c r="J167" s="57" t="s">
        <v>113</v>
      </c>
      <c r="K167" s="49" t="s">
        <v>110</v>
      </c>
      <c r="L167" s="57" t="s">
        <v>112</v>
      </c>
    </row>
    <row r="168" spans="1:12" s="31" customFormat="1" ht="12" x14ac:dyDescent="0.2">
      <c r="A168" s="34" t="s">
        <v>17</v>
      </c>
      <c r="B168" s="35">
        <v>22</v>
      </c>
      <c r="C168" s="51">
        <f t="shared" ref="C168:C172" si="36">B168/J168</f>
        <v>1.8166804293971925E-2</v>
      </c>
      <c r="D168" s="35">
        <v>73</v>
      </c>
      <c r="E168" s="51">
        <f t="shared" ref="E168:E172" si="37">D168/J168</f>
        <v>6.028075970272502E-2</v>
      </c>
      <c r="F168" s="35">
        <v>201</v>
      </c>
      <c r="G168" s="51">
        <f t="shared" ref="G168:G172" si="38">F168/L168</f>
        <v>0.16475409836065574</v>
      </c>
      <c r="H168" s="35">
        <v>915</v>
      </c>
      <c r="I168" s="51">
        <f t="shared" ref="I168:I172" si="39">H168/J168</f>
        <v>0.75557390586292317</v>
      </c>
      <c r="J168" s="36">
        <f t="shared" ref="J168:J172" si="40">SUM(B168+D168+F168+H168)</f>
        <v>1211</v>
      </c>
      <c r="K168" s="35">
        <v>9</v>
      </c>
      <c r="L168" s="58">
        <f t="shared" ref="L168:L172" si="41">J168+K168</f>
        <v>1220</v>
      </c>
    </row>
    <row r="169" spans="1:12" s="31" customFormat="1" ht="12" x14ac:dyDescent="0.2">
      <c r="A169" s="34" t="s">
        <v>46</v>
      </c>
      <c r="B169" s="35">
        <v>41</v>
      </c>
      <c r="C169" s="51">
        <f t="shared" si="36"/>
        <v>1.0986066452304395E-2</v>
      </c>
      <c r="D169" s="35">
        <v>168</v>
      </c>
      <c r="E169" s="51">
        <f t="shared" si="37"/>
        <v>4.5016077170418008E-2</v>
      </c>
      <c r="F169" s="35">
        <v>512</v>
      </c>
      <c r="G169" s="51">
        <f t="shared" si="38"/>
        <v>0.13642419397815081</v>
      </c>
      <c r="H169" s="35">
        <v>3011</v>
      </c>
      <c r="I169" s="51">
        <f t="shared" si="39"/>
        <v>0.80680600214362275</v>
      </c>
      <c r="J169" s="36">
        <f t="shared" si="40"/>
        <v>3732</v>
      </c>
      <c r="K169" s="35">
        <v>21</v>
      </c>
      <c r="L169" s="58">
        <f t="shared" si="41"/>
        <v>3753</v>
      </c>
    </row>
    <row r="170" spans="1:12" s="31" customFormat="1" ht="12" x14ac:dyDescent="0.2">
      <c r="A170" s="34" t="s">
        <v>24</v>
      </c>
      <c r="B170" s="35">
        <v>57</v>
      </c>
      <c r="C170" s="51">
        <f t="shared" si="36"/>
        <v>1.2171684817424727E-2</v>
      </c>
      <c r="D170" s="35">
        <v>250</v>
      </c>
      <c r="E170" s="51">
        <f t="shared" si="37"/>
        <v>5.3384582532564596E-2</v>
      </c>
      <c r="F170" s="35">
        <v>921</v>
      </c>
      <c r="G170" s="51">
        <f t="shared" si="38"/>
        <v>0.19512711864406779</v>
      </c>
      <c r="H170" s="35">
        <v>3455</v>
      </c>
      <c r="I170" s="51">
        <f t="shared" si="39"/>
        <v>0.73777493060004273</v>
      </c>
      <c r="J170" s="36">
        <f t="shared" si="40"/>
        <v>4683</v>
      </c>
      <c r="K170" s="35">
        <v>37</v>
      </c>
      <c r="L170" s="58">
        <f t="shared" si="41"/>
        <v>4720</v>
      </c>
    </row>
    <row r="171" spans="1:12" s="31" customFormat="1" ht="12" x14ac:dyDescent="0.2">
      <c r="A171" s="31" t="s">
        <v>106</v>
      </c>
      <c r="B171" s="35">
        <v>0</v>
      </c>
      <c r="C171" s="51">
        <f t="shared" si="36"/>
        <v>0</v>
      </c>
      <c r="D171" s="35">
        <v>1</v>
      </c>
      <c r="E171" s="51">
        <f t="shared" si="37"/>
        <v>6.25E-2</v>
      </c>
      <c r="F171" s="35">
        <v>1</v>
      </c>
      <c r="G171" s="51">
        <f t="shared" si="38"/>
        <v>6.25E-2</v>
      </c>
      <c r="H171" s="35">
        <v>14</v>
      </c>
      <c r="I171" s="51">
        <f t="shared" si="39"/>
        <v>0.875</v>
      </c>
      <c r="J171" s="36">
        <f t="shared" si="40"/>
        <v>16</v>
      </c>
      <c r="K171" s="35">
        <v>0</v>
      </c>
      <c r="L171" s="58">
        <f t="shared" si="41"/>
        <v>16</v>
      </c>
    </row>
    <row r="172" spans="1:12" s="31" customFormat="1" ht="12" x14ac:dyDescent="0.2">
      <c r="A172" s="33" t="s">
        <v>0</v>
      </c>
      <c r="B172" s="36">
        <f>SUM(B168:B171)</f>
        <v>120</v>
      </c>
      <c r="C172" s="51">
        <f t="shared" si="36"/>
        <v>1.2445550715619166E-2</v>
      </c>
      <c r="D172" s="36">
        <f>SUM(D168:D171)</f>
        <v>492</v>
      </c>
      <c r="E172" s="51">
        <f t="shared" si="37"/>
        <v>5.1026757934038582E-2</v>
      </c>
      <c r="F172" s="36">
        <f>SUM(F168:F171)</f>
        <v>1635</v>
      </c>
      <c r="G172" s="51">
        <f t="shared" si="38"/>
        <v>0.16840045318776392</v>
      </c>
      <c r="H172" s="36">
        <f>SUM(H168:H171)</f>
        <v>7395</v>
      </c>
      <c r="I172" s="51">
        <f t="shared" si="39"/>
        <v>0.76695706285003107</v>
      </c>
      <c r="J172" s="36">
        <f t="shared" si="40"/>
        <v>9642</v>
      </c>
      <c r="K172" s="36">
        <f>SUM(K168:K171)</f>
        <v>67</v>
      </c>
      <c r="L172" s="58">
        <f t="shared" si="41"/>
        <v>9709</v>
      </c>
    </row>
    <row r="173" spans="1:12" s="31" customFormat="1" ht="12" x14ac:dyDescent="0.2">
      <c r="A173" s="34"/>
      <c r="B173" s="34"/>
      <c r="C173" s="44"/>
      <c r="D173" s="34"/>
      <c r="E173" s="44"/>
      <c r="F173" s="34"/>
      <c r="G173" s="44"/>
      <c r="H173" s="34"/>
      <c r="I173" s="44"/>
      <c r="J173" s="36"/>
      <c r="K173" s="35"/>
      <c r="L173" s="58"/>
    </row>
    <row r="174" spans="1:12" s="31" customFormat="1" ht="12" x14ac:dyDescent="0.2">
      <c r="A174" s="34"/>
      <c r="B174" s="34"/>
      <c r="C174" s="44"/>
      <c r="D174" s="34"/>
      <c r="E174" s="44"/>
      <c r="F174" s="34"/>
      <c r="G174" s="44"/>
      <c r="H174" s="34"/>
      <c r="I174" s="44"/>
      <c r="J174" s="36"/>
      <c r="K174" s="35"/>
      <c r="L174" s="58"/>
    </row>
    <row r="175" spans="1:12" s="31" customFormat="1" ht="12" x14ac:dyDescent="0.2">
      <c r="A175" s="34"/>
      <c r="B175" s="46" t="s">
        <v>117</v>
      </c>
      <c r="C175" s="47"/>
      <c r="D175" s="46" t="s">
        <v>118</v>
      </c>
      <c r="E175" s="47"/>
      <c r="F175" s="46" t="s">
        <v>119</v>
      </c>
      <c r="G175" s="47"/>
      <c r="H175" s="46" t="s">
        <v>107</v>
      </c>
      <c r="I175" s="47"/>
      <c r="J175" s="48"/>
      <c r="K175" s="46"/>
      <c r="L175" s="59"/>
    </row>
    <row r="176" spans="1:12" s="31" customFormat="1" ht="24" x14ac:dyDescent="0.2">
      <c r="A176" s="33" t="s">
        <v>95</v>
      </c>
      <c r="B176" s="46" t="s">
        <v>120</v>
      </c>
      <c r="C176" s="46" t="s">
        <v>121</v>
      </c>
      <c r="D176" s="46" t="s">
        <v>122</v>
      </c>
      <c r="E176" s="46" t="s">
        <v>123</v>
      </c>
      <c r="F176" s="46" t="s">
        <v>124</v>
      </c>
      <c r="G176" s="46" t="s">
        <v>125</v>
      </c>
      <c r="H176" s="46" t="s">
        <v>108</v>
      </c>
      <c r="I176" s="46" t="s">
        <v>109</v>
      </c>
      <c r="J176" s="57" t="s">
        <v>113</v>
      </c>
      <c r="K176" s="49" t="s">
        <v>110</v>
      </c>
      <c r="L176" s="57" t="s">
        <v>112</v>
      </c>
    </row>
    <row r="177" spans="1:12" s="31" customFormat="1" ht="12" x14ac:dyDescent="0.2">
      <c r="A177" s="34" t="s">
        <v>30</v>
      </c>
      <c r="B177" s="22">
        <v>18</v>
      </c>
      <c r="C177" s="51">
        <f t="shared" ref="C177:C184" si="42">B177/J177</f>
        <v>1.6333938294010888E-2</v>
      </c>
      <c r="D177" s="22">
        <v>31</v>
      </c>
      <c r="E177" s="51">
        <f t="shared" ref="E177:E184" si="43">D177/J177</f>
        <v>2.8130671506352088E-2</v>
      </c>
      <c r="F177" s="22">
        <v>144</v>
      </c>
      <c r="G177" s="51">
        <f t="shared" ref="G177:G184" si="44">F177/L177</f>
        <v>0.12868632707774799</v>
      </c>
      <c r="H177" s="22">
        <v>909</v>
      </c>
      <c r="I177" s="51">
        <f t="shared" ref="I177:I184" si="45">H177/J177</f>
        <v>0.82486388384754994</v>
      </c>
      <c r="J177" s="36">
        <f>SUM(B177+D177+F177+H177)</f>
        <v>1102</v>
      </c>
      <c r="K177" s="35">
        <v>17</v>
      </c>
      <c r="L177" s="58">
        <f t="shared" ref="L177:L184" si="46">J177+K177</f>
        <v>1119</v>
      </c>
    </row>
    <row r="178" spans="1:12" s="31" customFormat="1" ht="12" x14ac:dyDescent="0.2">
      <c r="A178" s="34" t="s">
        <v>31</v>
      </c>
      <c r="B178" s="22">
        <v>19</v>
      </c>
      <c r="C178" s="51">
        <f t="shared" si="42"/>
        <v>1.3094417643004824E-2</v>
      </c>
      <c r="D178" s="22">
        <v>58</v>
      </c>
      <c r="E178" s="51">
        <f t="shared" si="43"/>
        <v>3.9972432804962092E-2</v>
      </c>
      <c r="F178" s="22">
        <v>173</v>
      </c>
      <c r="G178" s="51">
        <f t="shared" si="44"/>
        <v>0.11906400550584996</v>
      </c>
      <c r="H178" s="22">
        <v>1201</v>
      </c>
      <c r="I178" s="51">
        <f t="shared" si="45"/>
        <v>0.82770503101309445</v>
      </c>
      <c r="J178" s="36">
        <f t="shared" ref="J178:J184" si="47">SUM(B178+D178+F178+H178)</f>
        <v>1451</v>
      </c>
      <c r="K178" s="35">
        <v>2</v>
      </c>
      <c r="L178" s="58">
        <f t="shared" si="46"/>
        <v>1453</v>
      </c>
    </row>
    <row r="179" spans="1:12" s="31" customFormat="1" ht="12" x14ac:dyDescent="0.2">
      <c r="A179" s="34" t="s">
        <v>29</v>
      </c>
      <c r="B179" s="35">
        <v>24</v>
      </c>
      <c r="C179" s="51">
        <f t="shared" si="42"/>
        <v>1.2320328542094456E-2</v>
      </c>
      <c r="D179" s="35">
        <v>74</v>
      </c>
      <c r="E179" s="51">
        <f t="shared" si="43"/>
        <v>3.7987679671457907E-2</v>
      </c>
      <c r="F179" s="35">
        <v>309</v>
      </c>
      <c r="G179" s="51">
        <f t="shared" si="44"/>
        <v>0.15725190839694655</v>
      </c>
      <c r="H179" s="35">
        <v>1541</v>
      </c>
      <c r="I179" s="51">
        <f t="shared" si="45"/>
        <v>0.79106776180698157</v>
      </c>
      <c r="J179" s="36">
        <f t="shared" si="47"/>
        <v>1948</v>
      </c>
      <c r="K179" s="35">
        <v>17</v>
      </c>
      <c r="L179" s="58">
        <f t="shared" si="46"/>
        <v>1965</v>
      </c>
    </row>
    <row r="180" spans="1:12" s="31" customFormat="1" ht="12" x14ac:dyDescent="0.2">
      <c r="A180" s="34" t="s">
        <v>32</v>
      </c>
      <c r="B180" s="35">
        <v>29</v>
      </c>
      <c r="C180" s="51">
        <f t="shared" si="42"/>
        <v>1.6705069124423964E-2</v>
      </c>
      <c r="D180" s="50">
        <v>87</v>
      </c>
      <c r="E180" s="51">
        <f t="shared" si="43"/>
        <v>5.0115207373271888E-2</v>
      </c>
      <c r="F180" s="50">
        <v>258</v>
      </c>
      <c r="G180" s="51">
        <f t="shared" si="44"/>
        <v>0.14802065404475043</v>
      </c>
      <c r="H180" s="50">
        <v>1362</v>
      </c>
      <c r="I180" s="51">
        <f t="shared" si="45"/>
        <v>0.78456221198156684</v>
      </c>
      <c r="J180" s="36">
        <f t="shared" si="47"/>
        <v>1736</v>
      </c>
      <c r="K180" s="35">
        <v>7</v>
      </c>
      <c r="L180" s="58">
        <f t="shared" si="46"/>
        <v>1743</v>
      </c>
    </row>
    <row r="181" spans="1:12" s="31" customFormat="1" ht="12" x14ac:dyDescent="0.2">
      <c r="A181" s="31" t="s">
        <v>99</v>
      </c>
      <c r="B181" s="35">
        <v>57</v>
      </c>
      <c r="C181" s="51">
        <f t="shared" si="42"/>
        <v>1.193467336683417E-2</v>
      </c>
      <c r="D181" s="35">
        <v>240</v>
      </c>
      <c r="E181" s="51">
        <f t="shared" si="43"/>
        <v>5.0251256281407038E-2</v>
      </c>
      <c r="F181" s="35">
        <v>692</v>
      </c>
      <c r="G181" s="51">
        <f t="shared" si="44"/>
        <v>0.14368770764119601</v>
      </c>
      <c r="H181" s="35">
        <v>3787</v>
      </c>
      <c r="I181" s="51">
        <f t="shared" si="45"/>
        <v>0.79292294807370189</v>
      </c>
      <c r="J181" s="36">
        <f t="shared" si="47"/>
        <v>4776</v>
      </c>
      <c r="K181" s="35">
        <v>40</v>
      </c>
      <c r="L181" s="58">
        <f t="shared" si="46"/>
        <v>4816</v>
      </c>
    </row>
    <row r="182" spans="1:12" s="31" customFormat="1" ht="12" x14ac:dyDescent="0.2">
      <c r="A182" s="34" t="s">
        <v>33</v>
      </c>
      <c r="B182" s="35">
        <v>3</v>
      </c>
      <c r="C182" s="51">
        <f t="shared" si="42"/>
        <v>6.1601642710472282E-3</v>
      </c>
      <c r="D182" s="35">
        <v>17</v>
      </c>
      <c r="E182" s="51">
        <f t="shared" si="43"/>
        <v>3.4907597535934289E-2</v>
      </c>
      <c r="F182" s="35">
        <v>61</v>
      </c>
      <c r="G182" s="51">
        <f t="shared" si="44"/>
        <v>0.125</v>
      </c>
      <c r="H182" s="35">
        <v>406</v>
      </c>
      <c r="I182" s="51">
        <f t="shared" si="45"/>
        <v>0.83367556468172488</v>
      </c>
      <c r="J182" s="36">
        <f t="shared" si="47"/>
        <v>487</v>
      </c>
      <c r="K182" s="35">
        <v>1</v>
      </c>
      <c r="L182" s="58">
        <f t="shared" si="46"/>
        <v>488</v>
      </c>
    </row>
    <row r="183" spans="1:12" s="31" customFormat="1" ht="12" x14ac:dyDescent="0.2">
      <c r="A183" s="34" t="s">
        <v>34</v>
      </c>
      <c r="B183" s="22">
        <v>17</v>
      </c>
      <c r="C183" s="51">
        <f t="shared" si="42"/>
        <v>7.465963987703118E-3</v>
      </c>
      <c r="D183" s="22">
        <v>81</v>
      </c>
      <c r="E183" s="51">
        <f t="shared" si="43"/>
        <v>3.5573122529644272E-2</v>
      </c>
      <c r="F183" s="22">
        <v>256</v>
      </c>
      <c r="G183" s="51">
        <f t="shared" si="44"/>
        <v>0.11198600174978128</v>
      </c>
      <c r="H183" s="22">
        <v>1923</v>
      </c>
      <c r="I183" s="51">
        <f t="shared" si="45"/>
        <v>0.84453227931488806</v>
      </c>
      <c r="J183" s="36">
        <f t="shared" si="47"/>
        <v>2277</v>
      </c>
      <c r="K183" s="35">
        <v>9</v>
      </c>
      <c r="L183" s="58">
        <f t="shared" si="46"/>
        <v>2286</v>
      </c>
    </row>
    <row r="184" spans="1:12" s="31" customFormat="1" ht="12" x14ac:dyDescent="0.2">
      <c r="A184" s="33" t="s">
        <v>0</v>
      </c>
      <c r="B184" s="36">
        <f>SUM(B177:B183)</f>
        <v>167</v>
      </c>
      <c r="C184" s="51">
        <f t="shared" si="42"/>
        <v>1.2121652028743558E-2</v>
      </c>
      <c r="D184" s="36">
        <f>SUM(D177:D183)</f>
        <v>588</v>
      </c>
      <c r="E184" s="51">
        <f t="shared" si="43"/>
        <v>4.2679828700007257E-2</v>
      </c>
      <c r="F184" s="36">
        <f>SUM(F177:F183)</f>
        <v>1893</v>
      </c>
      <c r="G184" s="51">
        <f t="shared" si="44"/>
        <v>0.13648161499639511</v>
      </c>
      <c r="H184" s="36">
        <f>SUM(H177:H183)</f>
        <v>11129</v>
      </c>
      <c r="I184" s="51">
        <f t="shared" si="45"/>
        <v>0.80779560136459316</v>
      </c>
      <c r="J184" s="36">
        <f t="shared" si="47"/>
        <v>13777</v>
      </c>
      <c r="K184" s="36">
        <f>SUM(K177:K183)</f>
        <v>93</v>
      </c>
      <c r="L184" s="58">
        <f t="shared" si="46"/>
        <v>13870</v>
      </c>
    </row>
    <row r="185" spans="1:12" s="31" customFormat="1" ht="12" x14ac:dyDescent="0.2">
      <c r="A185" s="34"/>
      <c r="B185" s="34"/>
      <c r="C185" s="44"/>
      <c r="D185" s="34"/>
      <c r="E185" s="44"/>
      <c r="F185" s="34"/>
      <c r="G185" s="44"/>
      <c r="H185" s="34"/>
      <c r="I185" s="44"/>
      <c r="J185" s="36"/>
      <c r="K185" s="35"/>
      <c r="L185" s="58"/>
    </row>
    <row r="186" spans="1:12" s="31" customFormat="1" ht="12" x14ac:dyDescent="0.2">
      <c r="A186" s="34"/>
      <c r="B186" s="34"/>
      <c r="C186" s="44"/>
      <c r="D186" s="34"/>
      <c r="E186" s="44"/>
      <c r="F186" s="34"/>
      <c r="G186" s="44"/>
      <c r="H186" s="34"/>
      <c r="I186" s="44"/>
      <c r="J186" s="36"/>
      <c r="K186" s="35"/>
      <c r="L186" s="58"/>
    </row>
    <row r="187" spans="1:12" s="31" customFormat="1" ht="12" x14ac:dyDescent="0.2">
      <c r="A187" s="34"/>
      <c r="B187" s="46" t="s">
        <v>117</v>
      </c>
      <c r="C187" s="47"/>
      <c r="D187" s="46" t="s">
        <v>118</v>
      </c>
      <c r="E187" s="47"/>
      <c r="F187" s="46" t="s">
        <v>119</v>
      </c>
      <c r="G187" s="47"/>
      <c r="H187" s="46" t="s">
        <v>107</v>
      </c>
      <c r="I187" s="47"/>
      <c r="J187" s="48"/>
      <c r="K187" s="46"/>
      <c r="L187" s="59"/>
    </row>
    <row r="188" spans="1:12" s="31" customFormat="1" ht="24" x14ac:dyDescent="0.2">
      <c r="A188" s="33" t="s">
        <v>96</v>
      </c>
      <c r="B188" s="46" t="s">
        <v>120</v>
      </c>
      <c r="C188" s="46" t="s">
        <v>121</v>
      </c>
      <c r="D188" s="46" t="s">
        <v>122</v>
      </c>
      <c r="E188" s="46" t="s">
        <v>123</v>
      </c>
      <c r="F188" s="46" t="s">
        <v>124</v>
      </c>
      <c r="G188" s="46" t="s">
        <v>125</v>
      </c>
      <c r="H188" s="46" t="s">
        <v>108</v>
      </c>
      <c r="I188" s="46" t="s">
        <v>109</v>
      </c>
      <c r="J188" s="57" t="s">
        <v>113</v>
      </c>
      <c r="K188" s="49" t="s">
        <v>110</v>
      </c>
      <c r="L188" s="57" t="s">
        <v>112</v>
      </c>
    </row>
    <row r="189" spans="1:12" s="31" customFormat="1" ht="12" x14ac:dyDescent="0.2">
      <c r="A189" s="34" t="s">
        <v>37</v>
      </c>
      <c r="B189" s="22">
        <v>6</v>
      </c>
      <c r="C189" s="51">
        <f>B189/J189</f>
        <v>5.9171597633136093E-3</v>
      </c>
      <c r="D189" s="22">
        <v>49</v>
      </c>
      <c r="E189" s="51">
        <f>D189/J189</f>
        <v>4.8323471400394474E-2</v>
      </c>
      <c r="F189" s="22">
        <v>164</v>
      </c>
      <c r="G189" s="51">
        <f>F189/L189</f>
        <v>0.16015625</v>
      </c>
      <c r="H189" s="22">
        <v>795</v>
      </c>
      <c r="I189" s="51">
        <f>H189/J189</f>
        <v>0.78402366863905326</v>
      </c>
      <c r="J189" s="36">
        <f>SUM(B189+D189+F189+H189)</f>
        <v>1014</v>
      </c>
      <c r="K189" s="35">
        <v>10</v>
      </c>
      <c r="L189" s="58">
        <f>J189+K189</f>
        <v>1024</v>
      </c>
    </row>
    <row r="190" spans="1:12" s="31" customFormat="1" ht="12" x14ac:dyDescent="0.2">
      <c r="A190" s="34" t="s">
        <v>26</v>
      </c>
      <c r="B190" s="22">
        <v>9</v>
      </c>
      <c r="C190" s="51">
        <f t="shared" ref="C190:C197" si="48">B190/J190</f>
        <v>8.9910089910089919E-3</v>
      </c>
      <c r="D190" s="22">
        <v>36</v>
      </c>
      <c r="E190" s="51">
        <f t="shared" ref="E190:E197" si="49">D190/J190</f>
        <v>3.5964035964035967E-2</v>
      </c>
      <c r="F190" s="22">
        <v>135</v>
      </c>
      <c r="G190" s="51">
        <f t="shared" ref="G190:G197" si="50">F190/L190</f>
        <v>0.13366336633663367</v>
      </c>
      <c r="H190" s="22">
        <v>821</v>
      </c>
      <c r="I190" s="51">
        <f t="shared" ref="I190:I197" si="51">H190/J190</f>
        <v>0.82017982017982016</v>
      </c>
      <c r="J190" s="36">
        <f t="shared" ref="J190:J197" si="52">SUM(B190+D190+F190+H190)</f>
        <v>1001</v>
      </c>
      <c r="K190" s="35">
        <v>9</v>
      </c>
      <c r="L190" s="58">
        <f t="shared" ref="L190:L197" si="53">J190+K190</f>
        <v>1010</v>
      </c>
    </row>
    <row r="191" spans="1:12" s="31" customFormat="1" ht="12" x14ac:dyDescent="0.2">
      <c r="A191" s="34" t="s">
        <v>128</v>
      </c>
      <c r="B191" s="22">
        <v>13</v>
      </c>
      <c r="C191" s="51">
        <f t="shared" si="48"/>
        <v>1.0970464135021098E-2</v>
      </c>
      <c r="D191" s="22">
        <v>35</v>
      </c>
      <c r="E191" s="51">
        <f t="shared" si="49"/>
        <v>2.9535864978902954E-2</v>
      </c>
      <c r="F191" s="22">
        <v>173</v>
      </c>
      <c r="G191" s="51">
        <f t="shared" si="50"/>
        <v>0.14416666666666667</v>
      </c>
      <c r="H191" s="22">
        <v>964</v>
      </c>
      <c r="I191" s="51">
        <f t="shared" si="51"/>
        <v>0.81350210970464132</v>
      </c>
      <c r="J191" s="36">
        <f t="shared" si="52"/>
        <v>1185</v>
      </c>
      <c r="K191" s="35">
        <v>15</v>
      </c>
      <c r="L191" s="58">
        <f t="shared" si="53"/>
        <v>1200</v>
      </c>
    </row>
    <row r="192" spans="1:12" s="31" customFormat="1" ht="12" x14ac:dyDescent="0.2">
      <c r="A192" s="34" t="s">
        <v>27</v>
      </c>
      <c r="B192" s="22">
        <v>9</v>
      </c>
      <c r="C192" s="51">
        <f t="shared" si="48"/>
        <v>7.2522159548751011E-3</v>
      </c>
      <c r="D192" s="22">
        <v>74</v>
      </c>
      <c r="E192" s="51">
        <f t="shared" si="49"/>
        <v>5.9629331184528608E-2</v>
      </c>
      <c r="F192" s="22">
        <v>194</v>
      </c>
      <c r="G192" s="51">
        <f t="shared" si="50"/>
        <v>0.15557337610264635</v>
      </c>
      <c r="H192" s="22">
        <v>964</v>
      </c>
      <c r="I192" s="51">
        <f t="shared" si="51"/>
        <v>0.77679290894439967</v>
      </c>
      <c r="J192" s="36">
        <f t="shared" si="52"/>
        <v>1241</v>
      </c>
      <c r="K192" s="35">
        <v>6</v>
      </c>
      <c r="L192" s="58">
        <f t="shared" si="53"/>
        <v>1247</v>
      </c>
    </row>
    <row r="193" spans="1:12" s="31" customFormat="1" ht="12" x14ac:dyDescent="0.2">
      <c r="A193" s="34" t="s">
        <v>100</v>
      </c>
      <c r="B193" s="22">
        <v>10</v>
      </c>
      <c r="C193" s="51">
        <f t="shared" si="48"/>
        <v>1.0764262648008612E-2</v>
      </c>
      <c r="D193" s="22">
        <v>24</v>
      </c>
      <c r="E193" s="51">
        <f t="shared" si="49"/>
        <v>2.5834230355220669E-2</v>
      </c>
      <c r="F193" s="22">
        <v>153</v>
      </c>
      <c r="G193" s="51">
        <f t="shared" si="50"/>
        <v>0.16416309012875535</v>
      </c>
      <c r="H193" s="22">
        <v>742</v>
      </c>
      <c r="I193" s="51">
        <f t="shared" si="51"/>
        <v>0.79870828848223896</v>
      </c>
      <c r="J193" s="36">
        <f t="shared" si="52"/>
        <v>929</v>
      </c>
      <c r="K193" s="35">
        <v>3</v>
      </c>
      <c r="L193" s="58">
        <f t="shared" si="53"/>
        <v>932</v>
      </c>
    </row>
    <row r="194" spans="1:12" s="31" customFormat="1" ht="12" x14ac:dyDescent="0.2">
      <c r="A194" s="34" t="s">
        <v>47</v>
      </c>
      <c r="B194" s="22">
        <v>23</v>
      </c>
      <c r="C194" s="51">
        <f t="shared" si="48"/>
        <v>1.0662957811775614E-2</v>
      </c>
      <c r="D194" s="22">
        <v>117</v>
      </c>
      <c r="E194" s="51">
        <f t="shared" si="49"/>
        <v>5.4242002781641166E-2</v>
      </c>
      <c r="F194" s="22">
        <v>402</v>
      </c>
      <c r="G194" s="51">
        <f t="shared" si="50"/>
        <v>0.18525345622119815</v>
      </c>
      <c r="H194" s="22">
        <v>1615</v>
      </c>
      <c r="I194" s="51">
        <f t="shared" si="51"/>
        <v>0.74872508113120073</v>
      </c>
      <c r="J194" s="36">
        <f t="shared" si="52"/>
        <v>2157</v>
      </c>
      <c r="K194" s="35">
        <v>13</v>
      </c>
      <c r="L194" s="58">
        <f t="shared" si="53"/>
        <v>2170</v>
      </c>
    </row>
    <row r="195" spans="1:12" s="31" customFormat="1" ht="12" x14ac:dyDescent="0.2">
      <c r="A195" s="34" t="s">
        <v>129</v>
      </c>
      <c r="B195" s="22">
        <v>2</v>
      </c>
      <c r="C195" s="51">
        <f t="shared" si="48"/>
        <v>4.3196544276457886E-3</v>
      </c>
      <c r="D195" s="22">
        <v>14</v>
      </c>
      <c r="E195" s="51">
        <f t="shared" si="49"/>
        <v>3.0237580993520519E-2</v>
      </c>
      <c r="F195" s="22">
        <v>56</v>
      </c>
      <c r="G195" s="51">
        <f t="shared" si="50"/>
        <v>0.12095032397408208</v>
      </c>
      <c r="H195" s="22">
        <v>391</v>
      </c>
      <c r="I195" s="51">
        <f t="shared" si="51"/>
        <v>0.84449244060475159</v>
      </c>
      <c r="J195" s="36">
        <f t="shared" si="52"/>
        <v>463</v>
      </c>
      <c r="K195" s="35">
        <v>0</v>
      </c>
      <c r="L195" s="58">
        <f t="shared" si="53"/>
        <v>463</v>
      </c>
    </row>
    <row r="196" spans="1:12" s="31" customFormat="1" ht="12" x14ac:dyDescent="0.2">
      <c r="A196" s="34" t="s">
        <v>106</v>
      </c>
      <c r="B196" s="22">
        <v>17</v>
      </c>
      <c r="C196" s="51">
        <f t="shared" si="48"/>
        <v>7.9812206572769957E-3</v>
      </c>
      <c r="D196" s="22">
        <v>87</v>
      </c>
      <c r="E196" s="51">
        <f t="shared" si="49"/>
        <v>4.0845070422535212E-2</v>
      </c>
      <c r="F196" s="22">
        <v>274</v>
      </c>
      <c r="G196" s="51">
        <f t="shared" si="50"/>
        <v>0.1276794035414725</v>
      </c>
      <c r="H196" s="22">
        <v>1752</v>
      </c>
      <c r="I196" s="51">
        <f t="shared" si="51"/>
        <v>0.82253521126760565</v>
      </c>
      <c r="J196" s="36">
        <f t="shared" si="52"/>
        <v>2130</v>
      </c>
      <c r="K196" s="35">
        <v>16</v>
      </c>
      <c r="L196" s="58">
        <f t="shared" si="53"/>
        <v>2146</v>
      </c>
    </row>
    <row r="197" spans="1:12" s="31" customFormat="1" ht="12" x14ac:dyDescent="0.2">
      <c r="A197" s="34" t="s">
        <v>23</v>
      </c>
      <c r="B197" s="22">
        <v>6</v>
      </c>
      <c r="C197" s="51">
        <f t="shared" si="48"/>
        <v>1.1673151750972763E-2</v>
      </c>
      <c r="D197" s="22">
        <v>22</v>
      </c>
      <c r="E197" s="51">
        <f t="shared" si="49"/>
        <v>4.2801556420233464E-2</v>
      </c>
      <c r="F197" s="22">
        <v>86</v>
      </c>
      <c r="G197" s="51">
        <f t="shared" si="50"/>
        <v>0.16634429400386846</v>
      </c>
      <c r="H197" s="22">
        <v>400</v>
      </c>
      <c r="I197" s="51">
        <f t="shared" si="51"/>
        <v>0.77821011673151752</v>
      </c>
      <c r="J197" s="36">
        <f t="shared" si="52"/>
        <v>514</v>
      </c>
      <c r="K197" s="35">
        <v>3</v>
      </c>
      <c r="L197" s="58">
        <f t="shared" si="53"/>
        <v>517</v>
      </c>
    </row>
    <row r="198" spans="1:12" s="31" customFormat="1" ht="12" x14ac:dyDescent="0.2">
      <c r="A198" s="34" t="s">
        <v>25</v>
      </c>
      <c r="B198" s="35">
        <v>20</v>
      </c>
      <c r="C198" s="51">
        <f>B198/J198</f>
        <v>1.2338062924120914E-2</v>
      </c>
      <c r="D198" s="35">
        <v>66</v>
      </c>
      <c r="E198" s="51">
        <f>D198/J198</f>
        <v>4.0715607649599014E-2</v>
      </c>
      <c r="F198" s="35">
        <v>255</v>
      </c>
      <c r="G198" s="51">
        <f>F198/L198</f>
        <v>0.15596330275229359</v>
      </c>
      <c r="H198" s="35">
        <v>1280</v>
      </c>
      <c r="I198" s="51">
        <f>H198/J198</f>
        <v>0.78963602714373848</v>
      </c>
      <c r="J198" s="36">
        <f t="shared" ref="J198:J201" si="54">SUM(B198+D198+F198+H198)</f>
        <v>1621</v>
      </c>
      <c r="K198" s="35">
        <v>14</v>
      </c>
      <c r="L198" s="58">
        <f>J198+K198</f>
        <v>1635</v>
      </c>
    </row>
    <row r="199" spans="1:12" s="31" customFormat="1" ht="12" x14ac:dyDescent="0.2">
      <c r="A199" s="66" t="s">
        <v>28</v>
      </c>
      <c r="B199" s="35">
        <v>7</v>
      </c>
      <c r="C199" s="51">
        <f>B199/J199</f>
        <v>9.8730606488011286E-3</v>
      </c>
      <c r="D199" s="35">
        <v>21</v>
      </c>
      <c r="E199" s="51">
        <f>D199/J199</f>
        <v>2.9619181946403384E-2</v>
      </c>
      <c r="F199" s="35">
        <v>89</v>
      </c>
      <c r="G199" s="51">
        <f>F199/L199</f>
        <v>0.12482468443197756</v>
      </c>
      <c r="H199" s="35">
        <v>592</v>
      </c>
      <c r="I199" s="51">
        <f>H199/J199</f>
        <v>0.83497884344146689</v>
      </c>
      <c r="J199" s="36">
        <f t="shared" si="54"/>
        <v>709</v>
      </c>
      <c r="K199" s="35">
        <v>4</v>
      </c>
      <c r="L199" s="58">
        <f>J199+K199</f>
        <v>713</v>
      </c>
    </row>
    <row r="200" spans="1:12" s="31" customFormat="1" ht="12" x14ac:dyDescent="0.2">
      <c r="A200" s="31" t="s">
        <v>35</v>
      </c>
      <c r="B200" s="35">
        <v>9</v>
      </c>
      <c r="C200" s="51">
        <f>B200/J200</f>
        <v>1.6333938294010888E-2</v>
      </c>
      <c r="D200" s="35">
        <v>33</v>
      </c>
      <c r="E200" s="51">
        <f>D200/J200</f>
        <v>5.9891107078039928E-2</v>
      </c>
      <c r="F200" s="35">
        <v>117</v>
      </c>
      <c r="G200" s="51">
        <f>F200/L200</f>
        <v>0.2115732368896926</v>
      </c>
      <c r="H200" s="35">
        <v>392</v>
      </c>
      <c r="I200" s="51">
        <f>H200/J200</f>
        <v>0.71143375680580767</v>
      </c>
      <c r="J200" s="36">
        <f t="shared" si="54"/>
        <v>551</v>
      </c>
      <c r="K200" s="35">
        <v>2</v>
      </c>
      <c r="L200" s="58">
        <f>J200+K200</f>
        <v>553</v>
      </c>
    </row>
    <row r="201" spans="1:12" s="31" customFormat="1" ht="12" x14ac:dyDescent="0.2">
      <c r="A201" s="33" t="s">
        <v>0</v>
      </c>
      <c r="B201" s="36">
        <f>SUM(B189:B200)</f>
        <v>131</v>
      </c>
      <c r="C201" s="51">
        <f>B201/J201</f>
        <v>9.692933777284498E-3</v>
      </c>
      <c r="D201" s="36">
        <f>SUM(D189:D200)</f>
        <v>578</v>
      </c>
      <c r="E201" s="51">
        <f>D201/J201</f>
        <v>4.2767295597484274E-2</v>
      </c>
      <c r="F201" s="36">
        <f>SUM(F189:F200)</f>
        <v>2098</v>
      </c>
      <c r="G201" s="51">
        <f>F201/L201</f>
        <v>0.1541513592946363</v>
      </c>
      <c r="H201" s="36">
        <f>SUM(H189:H200)</f>
        <v>10708</v>
      </c>
      <c r="I201" s="51">
        <f>H201/J201</f>
        <v>0.79230484646688859</v>
      </c>
      <c r="J201" s="36">
        <f t="shared" si="54"/>
        <v>13515</v>
      </c>
      <c r="K201" s="36">
        <f>SUM(K189:K200)</f>
        <v>95</v>
      </c>
      <c r="L201" s="58">
        <f>J201+K201</f>
        <v>13610</v>
      </c>
    </row>
    <row r="202" spans="1:12" s="31" customFormat="1" ht="12" x14ac:dyDescent="0.2">
      <c r="A202" s="34"/>
      <c r="B202" s="34"/>
      <c r="C202" s="44"/>
      <c r="D202" s="34"/>
      <c r="E202" s="44"/>
      <c r="F202" s="34"/>
      <c r="G202" s="44"/>
      <c r="H202" s="34"/>
      <c r="I202" s="44"/>
      <c r="J202" s="36"/>
      <c r="K202" s="35"/>
      <c r="L202" s="58"/>
    </row>
    <row r="203" spans="1:12" s="31" customFormat="1" ht="12" x14ac:dyDescent="0.2">
      <c r="A203" s="34"/>
      <c r="B203" s="34"/>
      <c r="C203" s="44"/>
      <c r="D203" s="34"/>
      <c r="E203" s="44"/>
      <c r="F203" s="34"/>
      <c r="G203" s="44"/>
      <c r="H203" s="34"/>
      <c r="I203" s="44"/>
      <c r="J203" s="36"/>
      <c r="K203" s="35"/>
      <c r="L203" s="58"/>
    </row>
    <row r="204" spans="1:12" s="31" customFormat="1" ht="12" x14ac:dyDescent="0.2">
      <c r="A204" s="34"/>
      <c r="B204" s="46" t="s">
        <v>117</v>
      </c>
      <c r="C204" s="47"/>
      <c r="D204" s="46" t="s">
        <v>118</v>
      </c>
      <c r="E204" s="47"/>
      <c r="F204" s="46" t="s">
        <v>119</v>
      </c>
      <c r="G204" s="47"/>
      <c r="H204" s="46" t="s">
        <v>107</v>
      </c>
      <c r="I204" s="47"/>
      <c r="J204" s="48"/>
      <c r="K204" s="46"/>
      <c r="L204" s="59"/>
    </row>
    <row r="205" spans="1:12" s="31" customFormat="1" ht="24" x14ac:dyDescent="0.2">
      <c r="A205" s="33" t="s">
        <v>97</v>
      </c>
      <c r="B205" s="46" t="s">
        <v>120</v>
      </c>
      <c r="C205" s="46" t="s">
        <v>121</v>
      </c>
      <c r="D205" s="46" t="s">
        <v>122</v>
      </c>
      <c r="E205" s="46" t="s">
        <v>123</v>
      </c>
      <c r="F205" s="46" t="s">
        <v>124</v>
      </c>
      <c r="G205" s="46" t="s">
        <v>125</v>
      </c>
      <c r="H205" s="46" t="s">
        <v>108</v>
      </c>
      <c r="I205" s="46" t="s">
        <v>109</v>
      </c>
      <c r="J205" s="57" t="s">
        <v>113</v>
      </c>
      <c r="K205" s="49" t="s">
        <v>110</v>
      </c>
      <c r="L205" s="57" t="s">
        <v>112</v>
      </c>
    </row>
    <row r="206" spans="1:12" s="31" customFormat="1" ht="12" x14ac:dyDescent="0.2">
      <c r="A206" s="34" t="s">
        <v>43</v>
      </c>
      <c r="B206" s="35">
        <v>145</v>
      </c>
      <c r="C206" s="51">
        <f>B206/J206</f>
        <v>1.4084507042253521E-2</v>
      </c>
      <c r="D206" s="35">
        <v>542</v>
      </c>
      <c r="E206" s="51">
        <f>D206/J206</f>
        <v>5.2646915978630401E-2</v>
      </c>
      <c r="F206" s="35">
        <v>1921</v>
      </c>
      <c r="G206" s="51">
        <f>F206/L206</f>
        <v>0.18510310271728656</v>
      </c>
      <c r="H206" s="35">
        <v>7687</v>
      </c>
      <c r="I206" s="51">
        <f>H206/J206</f>
        <v>0.74667314230208837</v>
      </c>
      <c r="J206" s="36">
        <f>SUM(B206+D206+F206+H206)</f>
        <v>10295</v>
      </c>
      <c r="K206" s="36">
        <v>83</v>
      </c>
      <c r="L206" s="58">
        <f>J206+K206</f>
        <v>10378</v>
      </c>
    </row>
    <row r="207" spans="1:12" s="31" customFormat="1" ht="12" x14ac:dyDescent="0.2">
      <c r="A207" s="34" t="s">
        <v>129</v>
      </c>
      <c r="B207" s="35">
        <v>5</v>
      </c>
      <c r="C207" s="51">
        <f>B207/J207</f>
        <v>1.079913606911447E-2</v>
      </c>
      <c r="D207" s="35">
        <v>12</v>
      </c>
      <c r="E207" s="51">
        <f>D207/J207</f>
        <v>2.591792656587473E-2</v>
      </c>
      <c r="F207" s="35">
        <v>40</v>
      </c>
      <c r="G207" s="51">
        <f>F207/L207</f>
        <v>8.6393088552915762E-2</v>
      </c>
      <c r="H207" s="35">
        <v>406</v>
      </c>
      <c r="I207" s="51">
        <f>H207/J207</f>
        <v>0.87688984881209509</v>
      </c>
      <c r="J207" s="36">
        <f>SUM(B207+D207+F207+H207)</f>
        <v>463</v>
      </c>
      <c r="K207" s="36">
        <v>0</v>
      </c>
      <c r="L207" s="58">
        <f>J207+K207</f>
        <v>463</v>
      </c>
    </row>
    <row r="208" spans="1:12" s="31" customFormat="1" ht="12" x14ac:dyDescent="0.2">
      <c r="A208" s="33" t="s">
        <v>0</v>
      </c>
      <c r="B208" s="36">
        <f>SUM(B206:B207)</f>
        <v>150</v>
      </c>
      <c r="C208" s="51">
        <f>B208/J208</f>
        <v>1.3943112102621304E-2</v>
      </c>
      <c r="D208" s="36">
        <f>SUM(D206:D207)</f>
        <v>554</v>
      </c>
      <c r="E208" s="51">
        <f>D208/J208</f>
        <v>5.149656069901469E-2</v>
      </c>
      <c r="F208" s="36">
        <f>SUM(F206:F207)</f>
        <v>1961</v>
      </c>
      <c r="G208" s="51">
        <f>F208/L208</f>
        <v>0.18088737201365188</v>
      </c>
      <c r="H208" s="36">
        <f>SUM(H206:H207)</f>
        <v>8093</v>
      </c>
      <c r="I208" s="51">
        <f>H208/J208</f>
        <v>0.7522773749767615</v>
      </c>
      <c r="J208" s="36">
        <f t="shared" ref="J208" si="55">SUM(B208+D208+F208+H208)</f>
        <v>10758</v>
      </c>
      <c r="K208" s="36">
        <f>SUM(K206:K207)</f>
        <v>83</v>
      </c>
      <c r="L208" s="58">
        <f>J208+K208</f>
        <v>10841</v>
      </c>
    </row>
    <row r="209" spans="1:12" s="31" customFormat="1" ht="12" x14ac:dyDescent="0.2">
      <c r="A209" s="34"/>
      <c r="B209" s="34"/>
      <c r="C209" s="44"/>
      <c r="D209" s="34"/>
      <c r="E209" s="44"/>
      <c r="F209" s="34"/>
      <c r="G209" s="44"/>
      <c r="H209" s="34"/>
      <c r="I209" s="44"/>
      <c r="J209" s="36"/>
      <c r="K209" s="35"/>
      <c r="L209" s="58"/>
    </row>
    <row r="210" spans="1:12" s="31" customFormat="1" ht="12" x14ac:dyDescent="0.2">
      <c r="A210" s="34"/>
      <c r="B210" s="34"/>
      <c r="C210" s="44"/>
      <c r="D210" s="34"/>
      <c r="E210" s="44"/>
      <c r="F210" s="34"/>
      <c r="G210" s="44"/>
      <c r="H210" s="34"/>
      <c r="I210" s="44"/>
      <c r="J210" s="36"/>
      <c r="K210" s="35"/>
      <c r="L210" s="58"/>
    </row>
    <row r="211" spans="1:12" s="31" customFormat="1" ht="12" x14ac:dyDescent="0.2">
      <c r="A211" s="34"/>
      <c r="B211" s="46" t="s">
        <v>117</v>
      </c>
      <c r="C211" s="47"/>
      <c r="D211" s="46" t="s">
        <v>118</v>
      </c>
      <c r="E211" s="47"/>
      <c r="F211" s="46" t="s">
        <v>119</v>
      </c>
      <c r="G211" s="47"/>
      <c r="H211" s="46" t="s">
        <v>107</v>
      </c>
      <c r="I211" s="47"/>
      <c r="J211" s="48"/>
      <c r="K211" s="46"/>
      <c r="L211" s="59"/>
    </row>
    <row r="212" spans="1:12" s="31" customFormat="1" ht="24" x14ac:dyDescent="0.2">
      <c r="A212" s="33" t="s">
        <v>98</v>
      </c>
      <c r="B212" s="46" t="s">
        <v>120</v>
      </c>
      <c r="C212" s="46" t="s">
        <v>121</v>
      </c>
      <c r="D212" s="46" t="s">
        <v>122</v>
      </c>
      <c r="E212" s="46" t="s">
        <v>123</v>
      </c>
      <c r="F212" s="46" t="s">
        <v>124</v>
      </c>
      <c r="G212" s="46" t="s">
        <v>125</v>
      </c>
      <c r="H212" s="46" t="s">
        <v>108</v>
      </c>
      <c r="I212" s="46" t="s">
        <v>109</v>
      </c>
      <c r="J212" s="57" t="s">
        <v>113</v>
      </c>
      <c r="K212" s="49" t="s">
        <v>110</v>
      </c>
      <c r="L212" s="57" t="s">
        <v>112</v>
      </c>
    </row>
    <row r="213" spans="1:12" s="31" customFormat="1" ht="12" x14ac:dyDescent="0.2">
      <c r="A213" s="34" t="s">
        <v>99</v>
      </c>
      <c r="B213" s="35">
        <v>78</v>
      </c>
      <c r="C213" s="51">
        <f>B213/J213</f>
        <v>2.0640381053188675E-2</v>
      </c>
      <c r="D213" s="35">
        <v>275</v>
      </c>
      <c r="E213" s="51">
        <f>D213/J213</f>
        <v>7.2770574225985707E-2</v>
      </c>
      <c r="F213" s="35">
        <v>670</v>
      </c>
      <c r="G213" s="51">
        <f>F213/L213</f>
        <v>0.17571466037241018</v>
      </c>
      <c r="H213" s="35">
        <v>2756</v>
      </c>
      <c r="I213" s="51">
        <f>H213/J213</f>
        <v>0.72929346387933314</v>
      </c>
      <c r="J213" s="36">
        <f>SUM(B213+D213+F213+H213)</f>
        <v>3779</v>
      </c>
      <c r="K213" s="35">
        <v>34</v>
      </c>
      <c r="L213" s="58">
        <f>J213+K213</f>
        <v>3813</v>
      </c>
    </row>
    <row r="214" spans="1:12" s="31" customFormat="1" ht="12" x14ac:dyDescent="0.2">
      <c r="A214" s="34" t="s">
        <v>100</v>
      </c>
      <c r="B214" s="35">
        <v>20</v>
      </c>
      <c r="C214" s="51">
        <f>B214/J214</f>
        <v>1.2755102040816327E-2</v>
      </c>
      <c r="D214" s="35">
        <v>70</v>
      </c>
      <c r="E214" s="51">
        <f>D214/J214</f>
        <v>4.4642857142857144E-2</v>
      </c>
      <c r="F214" s="35">
        <v>212</v>
      </c>
      <c r="G214" s="51">
        <f>F214/L214</f>
        <v>0.13486005089058525</v>
      </c>
      <c r="H214" s="35">
        <v>1266</v>
      </c>
      <c r="I214" s="51">
        <f>H214/J214</f>
        <v>0.80739795918367352</v>
      </c>
      <c r="J214" s="36">
        <f t="shared" ref="J214:J215" si="56">SUM(B214+D214+F214+H214)</f>
        <v>1568</v>
      </c>
      <c r="K214" s="35">
        <v>4</v>
      </c>
      <c r="L214" s="58">
        <f>J214+K214</f>
        <v>1572</v>
      </c>
    </row>
    <row r="215" spans="1:12" s="31" customFormat="1" ht="12" x14ac:dyDescent="0.2">
      <c r="A215" s="33" t="s">
        <v>0</v>
      </c>
      <c r="B215" s="36">
        <f>SUM(B213:B214)</f>
        <v>98</v>
      </c>
      <c r="C215" s="51">
        <f>B215/J215</f>
        <v>1.832803441181971E-2</v>
      </c>
      <c r="D215" s="36">
        <f>SUM(D213:D214)</f>
        <v>345</v>
      </c>
      <c r="E215" s="51">
        <f>D215/J215</f>
        <v>6.4522161959977564E-2</v>
      </c>
      <c r="F215" s="36">
        <f>SUM(F213:F214)</f>
        <v>882</v>
      </c>
      <c r="G215" s="51">
        <f>F215/L215</f>
        <v>0.1637883008356546</v>
      </c>
      <c r="H215" s="36">
        <f>SUM(H213:H214)</f>
        <v>4022</v>
      </c>
      <c r="I215" s="51">
        <f>H215/J215</f>
        <v>0.75219749392182533</v>
      </c>
      <c r="J215" s="36">
        <f t="shared" si="56"/>
        <v>5347</v>
      </c>
      <c r="K215" s="36">
        <f>SUM(K213:K214)</f>
        <v>38</v>
      </c>
      <c r="L215" s="58">
        <f>J215+K215</f>
        <v>5385</v>
      </c>
    </row>
    <row r="216" spans="1:12" s="31" customFormat="1" ht="12" x14ac:dyDescent="0.2">
      <c r="A216" s="34"/>
      <c r="B216" s="34"/>
      <c r="C216" s="44"/>
      <c r="D216" s="34"/>
      <c r="E216" s="44"/>
      <c r="F216" s="34"/>
      <c r="G216" s="44"/>
      <c r="H216" s="34"/>
      <c r="I216" s="44"/>
      <c r="J216" s="36"/>
      <c r="K216" s="35"/>
      <c r="L216" s="58"/>
    </row>
    <row r="217" spans="1:12" s="31" customFormat="1" ht="12" x14ac:dyDescent="0.2">
      <c r="A217" s="34"/>
      <c r="B217" s="34"/>
      <c r="C217" s="44"/>
      <c r="D217" s="34"/>
      <c r="E217" s="44"/>
      <c r="F217" s="34"/>
      <c r="G217" s="44"/>
      <c r="H217" s="34"/>
      <c r="I217" s="44"/>
      <c r="J217" s="36"/>
      <c r="K217" s="35"/>
      <c r="L217" s="58"/>
    </row>
  </sheetData>
  <mergeCells count="2">
    <mergeCell ref="A1:J1"/>
    <mergeCell ref="A2:J2"/>
  </mergeCells>
  <printOptions horizontalCentered="1"/>
  <pageMargins left="0.2" right="0.2" top="0.5" bottom="0.5" header="0.3" footer="0.3"/>
  <pageSetup fitToHeight="0" orientation="landscape" r:id="rId1"/>
  <headerFooter>
    <oddFooter>Page &amp;P of &amp;N</oddFooter>
  </headerFooter>
  <rowBreaks count="5" manualBreakCount="5">
    <brk id="38" max="9" man="1"/>
    <brk id="70" max="9" man="1"/>
    <brk id="102" max="9" man="1"/>
    <brk id="144" max="9" man="1"/>
    <brk id="18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DB2D-FD3E-4F0B-9CA5-EE71B3168D6C}">
  <sheetPr>
    <pageSetUpPr fitToPage="1"/>
  </sheetPr>
  <dimension ref="A1:C8"/>
  <sheetViews>
    <sheetView workbookViewId="0">
      <pane ySplit="3" topLeftCell="A4" activePane="bottomLeft" state="frozen"/>
      <selection pane="bottomLeft" activeCell="C9" sqref="C9"/>
    </sheetView>
  </sheetViews>
  <sheetFormatPr defaultColWidth="9.140625" defaultRowHeight="12.75" x14ac:dyDescent="0.2"/>
  <cols>
    <col min="1" max="1" width="10.28515625" style="73" bestFit="1" customWidth="1"/>
    <col min="2" max="2" width="2.7109375" style="67" customWidth="1"/>
    <col min="3" max="3" width="162.5703125" style="67" customWidth="1"/>
    <col min="4" max="16384" width="9.140625" style="67"/>
  </cols>
  <sheetData>
    <row r="1" spans="1:3" ht="15.75" x14ac:dyDescent="0.2">
      <c r="A1" s="82" t="s">
        <v>130</v>
      </c>
      <c r="B1" s="82"/>
      <c r="C1" s="82"/>
    </row>
    <row r="3" spans="1:3" x14ac:dyDescent="0.2">
      <c r="A3" s="68" t="s">
        <v>131</v>
      </c>
      <c r="C3" s="69" t="s">
        <v>132</v>
      </c>
    </row>
    <row r="4" spans="1:3" x14ac:dyDescent="0.2">
      <c r="A4" s="70"/>
      <c r="B4" s="71"/>
      <c r="C4" s="72"/>
    </row>
    <row r="7" spans="1:3" x14ac:dyDescent="0.2">
      <c r="A7" s="73">
        <v>45420</v>
      </c>
      <c r="C7" s="74" t="s">
        <v>22</v>
      </c>
    </row>
    <row r="8" spans="1:3" x14ac:dyDescent="0.2">
      <c r="A8" s="75"/>
      <c r="B8" s="76"/>
      <c r="C8" s="77" t="s">
        <v>133</v>
      </c>
    </row>
  </sheetData>
  <mergeCells count="1">
    <mergeCell ref="A1:C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 Pres by County</vt:lpstr>
      <vt:lpstr>Rep Pres by CD</vt:lpstr>
      <vt:lpstr>Revision History</vt:lpstr>
      <vt:lpstr>'Rep Pres by CD'!Print_Area</vt:lpstr>
      <vt:lpstr>'Rep Pres by County'!Print_Area</vt:lpstr>
      <vt:lpstr>'Rep Pres by County'!Print_Titles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McGrath, Kathleen (ELECTIONS)</cp:lastModifiedBy>
  <cp:lastPrinted>2016-05-26T16:12:32Z</cp:lastPrinted>
  <dcterms:created xsi:type="dcterms:W3CDTF">2008-01-31T17:17:33Z</dcterms:created>
  <dcterms:modified xsi:type="dcterms:W3CDTF">2024-05-23T17:44:09Z</dcterms:modified>
</cp:coreProperties>
</file>