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LEKMcGrath\Downloads\"/>
    </mc:Choice>
  </mc:AlternateContent>
  <xr:revisionPtr revIDLastSave="0" documentId="8_{B49F2054-138D-4A8F-97E4-D3898ABA02BB}" xr6:coauthVersionLast="47" xr6:coauthVersionMax="47" xr10:uidLastSave="{00000000-0000-0000-0000-000000000000}"/>
  <bookViews>
    <workbookView xWindow="2595" yWindow="3615" windowWidth="24720" windowHeight="15225" tabRatio="623" xr2:uid="{00000000-000D-0000-FFFF-FFFF00000000}"/>
  </bookViews>
  <sheets>
    <sheet name="County DEM 2024" sheetId="89" r:id="rId1"/>
    <sheet name="CD 1 DEM Presidential" sheetId="34" r:id="rId2"/>
    <sheet name="CD 2 DEM Presidential" sheetId="90" r:id="rId3"/>
    <sheet name="CD 3 DEM Presidential" sheetId="91" r:id="rId4"/>
    <sheet name="CD 4 DEM Presidential" sheetId="92" r:id="rId5"/>
    <sheet name="CD 5 DEM Presidential" sheetId="93" r:id="rId6"/>
    <sheet name="CD 6 DEM Presidential" sheetId="94" r:id="rId7"/>
    <sheet name="CD 7 DEM Presidential" sheetId="95" r:id="rId8"/>
    <sheet name="CD 8 DEM Presidential" sheetId="96" r:id="rId9"/>
    <sheet name="CD 9 DEM Presidential" sheetId="97" r:id="rId10"/>
    <sheet name="CD 10 DEM Presidential" sheetId="98" r:id="rId11"/>
    <sheet name="CD 11 DEM Presidential" sheetId="99" r:id="rId12"/>
    <sheet name="CD 12 DEM Presidential" sheetId="100" r:id="rId13"/>
    <sheet name="CD 13 DEM Presidential" sheetId="101" r:id="rId14"/>
    <sheet name="CD 14 DEM Presidential" sheetId="102" r:id="rId15"/>
    <sheet name="CD 15 DEM Presidential" sheetId="103" r:id="rId16"/>
    <sheet name="CD 16 DEM Presidential" sheetId="104" r:id="rId17"/>
    <sheet name="CD 17 DEM Presidential" sheetId="105" r:id="rId18"/>
    <sheet name="CD 18 DEM Presidential" sheetId="106" r:id="rId19"/>
    <sheet name="CD 19 DEM Presidential" sheetId="107" r:id="rId20"/>
    <sheet name="CD 20 DEM Presidential" sheetId="108" r:id="rId21"/>
    <sheet name="CD 21 DEM Presidential" sheetId="109" r:id="rId22"/>
    <sheet name="CD 22 DEM Presidential" sheetId="110" r:id="rId23"/>
    <sheet name="CD 23 DEM Presidential" sheetId="111" r:id="rId24"/>
    <sheet name="CD 24 DEM Presidential" sheetId="112" r:id="rId25"/>
    <sheet name="CD 25 DEM Presidential" sheetId="113" r:id="rId26"/>
    <sheet name="CD 26 DEM Presidential" sheetId="114" r:id="rId27"/>
    <sheet name="Revision History" sheetId="115" r:id="rId2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89" l="1"/>
  <c r="B16" i="89"/>
  <c r="B65" i="89" l="1"/>
  <c r="C30" i="89"/>
  <c r="B30" i="89"/>
  <c r="B53" i="89" l="1"/>
  <c r="B15" i="89"/>
  <c r="E57" i="89" l="1"/>
  <c r="D57" i="89"/>
  <c r="C57" i="89"/>
  <c r="B57" i="89"/>
  <c r="I8" i="109"/>
  <c r="F31" i="89" l="1"/>
  <c r="E31" i="89"/>
  <c r="D31" i="89"/>
  <c r="C31" i="89"/>
  <c r="B31" i="89"/>
  <c r="F15" i="89"/>
  <c r="E15" i="89"/>
  <c r="D15" i="89"/>
  <c r="C15" i="89"/>
  <c r="F53" i="89"/>
  <c r="E53" i="89"/>
  <c r="D53" i="89"/>
  <c r="C53" i="89"/>
  <c r="F49" i="89"/>
  <c r="E49" i="89"/>
  <c r="D49" i="89"/>
  <c r="C49" i="89"/>
  <c r="B49" i="89"/>
  <c r="F16" i="89"/>
  <c r="D16" i="89"/>
  <c r="C16" i="89"/>
  <c r="D30" i="89"/>
  <c r="F38" i="89"/>
  <c r="E38" i="89"/>
  <c r="D38" i="89"/>
  <c r="C38" i="89"/>
  <c r="B38" i="89"/>
  <c r="C37" i="89" l="1"/>
  <c r="B37" i="89"/>
  <c r="C8" i="109"/>
  <c r="F30" i="89"/>
  <c r="E30" i="89"/>
  <c r="F40" i="89" l="1"/>
  <c r="E40" i="89"/>
  <c r="D40" i="89"/>
  <c r="C40" i="89"/>
  <c r="B40" i="89"/>
  <c r="E24" i="89" l="1"/>
  <c r="D24" i="89"/>
  <c r="C24" i="89"/>
  <c r="B24" i="89"/>
  <c r="D4" i="91" l="1"/>
  <c r="D5" i="91"/>
  <c r="D6" i="91"/>
  <c r="D7" i="91"/>
  <c r="D3" i="91"/>
  <c r="C4" i="93"/>
  <c r="C5" i="93"/>
  <c r="C6" i="93"/>
  <c r="C7" i="93"/>
  <c r="C3" i="93"/>
  <c r="D4" i="95"/>
  <c r="D5" i="95"/>
  <c r="D6" i="95"/>
  <c r="D7" i="95"/>
  <c r="D3" i="95"/>
  <c r="C4" i="96"/>
  <c r="C5" i="96"/>
  <c r="C6" i="96"/>
  <c r="C7" i="96"/>
  <c r="C3" i="96"/>
  <c r="C4" i="100"/>
  <c r="C5" i="100"/>
  <c r="C6" i="100"/>
  <c r="C7" i="100"/>
  <c r="C3" i="100"/>
  <c r="C8" i="105"/>
  <c r="D8" i="105"/>
  <c r="F4" i="105"/>
  <c r="F5" i="105"/>
  <c r="F6" i="105"/>
  <c r="F7" i="105"/>
  <c r="F3" i="105"/>
  <c r="B8" i="106"/>
  <c r="E4" i="106"/>
  <c r="E5" i="106"/>
  <c r="E6" i="106"/>
  <c r="E7" i="106"/>
  <c r="E3" i="106"/>
  <c r="F4" i="108"/>
  <c r="F5" i="108"/>
  <c r="F6" i="108"/>
  <c r="F7" i="108"/>
  <c r="F3" i="108"/>
  <c r="D8" i="109"/>
  <c r="E8" i="109"/>
  <c r="F8" i="109"/>
  <c r="Q4" i="109"/>
  <c r="Q5" i="109"/>
  <c r="Q6" i="109"/>
  <c r="Q7" i="109"/>
  <c r="Q3" i="109"/>
  <c r="F4" i="110"/>
  <c r="F5" i="110"/>
  <c r="F6" i="110"/>
  <c r="F7" i="110"/>
  <c r="F3" i="110"/>
  <c r="I4" i="111"/>
  <c r="I5" i="111"/>
  <c r="I6" i="111"/>
  <c r="I7" i="111"/>
  <c r="I3" i="111"/>
  <c r="N4" i="112"/>
  <c r="N5" i="112"/>
  <c r="N6" i="112"/>
  <c r="N7" i="112"/>
  <c r="N3" i="112"/>
  <c r="D8" i="112"/>
  <c r="E8" i="112"/>
  <c r="F8" i="112"/>
  <c r="G8" i="112"/>
  <c r="H8" i="112"/>
  <c r="I8" i="112"/>
  <c r="J8" i="112"/>
  <c r="K8" i="112"/>
  <c r="D4" i="113"/>
  <c r="D5" i="113"/>
  <c r="D6" i="113"/>
  <c r="D7" i="113"/>
  <c r="D3" i="113"/>
  <c r="C8" i="113"/>
  <c r="G4" i="89"/>
  <c r="G5" i="89"/>
  <c r="G6" i="89"/>
  <c r="G7" i="89"/>
  <c r="G8" i="89"/>
  <c r="G9" i="89"/>
  <c r="G10" i="89"/>
  <c r="G11" i="89"/>
  <c r="G12" i="89"/>
  <c r="G13" i="89"/>
  <c r="G14" i="89"/>
  <c r="G15" i="89"/>
  <c r="G16" i="89"/>
  <c r="G17" i="89"/>
  <c r="G18" i="89"/>
  <c r="G19" i="89"/>
  <c r="G20" i="89"/>
  <c r="G21" i="89"/>
  <c r="G22" i="89"/>
  <c r="G23" i="89"/>
  <c r="G24" i="89"/>
  <c r="G25" i="89"/>
  <c r="G26" i="89"/>
  <c r="G27" i="89"/>
  <c r="G28" i="89"/>
  <c r="G29" i="89"/>
  <c r="G30" i="89"/>
  <c r="G31" i="89"/>
  <c r="G32" i="89"/>
  <c r="G33" i="89"/>
  <c r="G34" i="89"/>
  <c r="G35" i="89"/>
  <c r="G36" i="89"/>
  <c r="G37" i="89"/>
  <c r="G38" i="89"/>
  <c r="G39" i="89"/>
  <c r="G40" i="89"/>
  <c r="G41" i="89"/>
  <c r="G42" i="89"/>
  <c r="G43" i="89"/>
  <c r="G44" i="89"/>
  <c r="G45" i="89"/>
  <c r="G46" i="89"/>
  <c r="G47" i="89"/>
  <c r="G48" i="89"/>
  <c r="G49" i="89"/>
  <c r="G50" i="89"/>
  <c r="G51" i="89"/>
  <c r="G52" i="89"/>
  <c r="G53" i="89"/>
  <c r="G54" i="89"/>
  <c r="G55" i="89"/>
  <c r="G56" i="89"/>
  <c r="G57" i="89"/>
  <c r="G58" i="89"/>
  <c r="G59" i="89"/>
  <c r="G60" i="89"/>
  <c r="G61" i="89"/>
  <c r="G62" i="89"/>
  <c r="G63" i="89"/>
  <c r="G64" i="89"/>
  <c r="G3" i="89"/>
  <c r="N8" i="112" l="1"/>
  <c r="O8" i="109"/>
  <c r="P8" i="109" l="1"/>
  <c r="N8" i="109"/>
  <c r="M8" i="109"/>
  <c r="L8" i="109"/>
  <c r="K8" i="109"/>
  <c r="J8" i="109"/>
  <c r="H8" i="109"/>
  <c r="G8" i="109"/>
  <c r="B8" i="109"/>
  <c r="F65" i="89" l="1"/>
  <c r="E65" i="89"/>
  <c r="D7" i="114" l="1"/>
  <c r="D6" i="114"/>
  <c r="C8" i="114"/>
  <c r="B8" i="114"/>
  <c r="B8" i="113"/>
  <c r="M8" i="112"/>
  <c r="L8" i="112"/>
  <c r="C8" i="112"/>
  <c r="B8" i="112"/>
  <c r="H8" i="111"/>
  <c r="G8" i="111"/>
  <c r="F8" i="111"/>
  <c r="E8" i="111"/>
  <c r="D8" i="111"/>
  <c r="C8" i="111"/>
  <c r="B8" i="111"/>
  <c r="E8" i="110"/>
  <c r="D8" i="110"/>
  <c r="C8" i="110"/>
  <c r="B8" i="110"/>
  <c r="E8" i="108"/>
  <c r="D8" i="108"/>
  <c r="C8" i="108"/>
  <c r="B8" i="108"/>
  <c r="M7" i="107"/>
  <c r="M6" i="107"/>
  <c r="L8" i="107"/>
  <c r="K8" i="107"/>
  <c r="J8" i="107"/>
  <c r="I8" i="107"/>
  <c r="H8" i="107"/>
  <c r="G8" i="107"/>
  <c r="F8" i="107"/>
  <c r="E8" i="107"/>
  <c r="D8" i="107"/>
  <c r="C8" i="107"/>
  <c r="B8" i="107"/>
  <c r="D8" i="106"/>
  <c r="C8" i="106"/>
  <c r="E8" i="105"/>
  <c r="B8" i="105"/>
  <c r="D7" i="104"/>
  <c r="D6" i="104"/>
  <c r="C8" i="104"/>
  <c r="B8" i="104"/>
  <c r="C7" i="103"/>
  <c r="C6" i="103"/>
  <c r="B8" i="103"/>
  <c r="D7" i="102"/>
  <c r="D6" i="102"/>
  <c r="C8" i="102"/>
  <c r="B8" i="102"/>
  <c r="D7" i="101"/>
  <c r="D6" i="101"/>
  <c r="C8" i="101"/>
  <c r="B8" i="101"/>
  <c r="B8" i="100"/>
  <c r="D7" i="99"/>
  <c r="D6" i="99"/>
  <c r="C8" i="99"/>
  <c r="B8" i="99"/>
  <c r="D7" i="98"/>
  <c r="D6" i="98"/>
  <c r="C8" i="98"/>
  <c r="B8" i="98"/>
  <c r="C7" i="97"/>
  <c r="C6" i="97"/>
  <c r="B8" i="97"/>
  <c r="B8" i="96"/>
  <c r="C8" i="95"/>
  <c r="B8" i="95"/>
  <c r="C7" i="94"/>
  <c r="C6" i="94"/>
  <c r="B8" i="94"/>
  <c r="B8" i="93"/>
  <c r="C7" i="92"/>
  <c r="C6" i="92"/>
  <c r="B8" i="92"/>
  <c r="C8" i="91"/>
  <c r="B8" i="91"/>
  <c r="D7" i="90"/>
  <c r="D6" i="90"/>
  <c r="C8" i="90"/>
  <c r="B8" i="90"/>
  <c r="C7" i="34"/>
  <c r="C6" i="34"/>
  <c r="B8" i="34"/>
  <c r="D65" i="89"/>
  <c r="C65" i="89"/>
  <c r="F8" i="110" l="1"/>
  <c r="D5" i="114"/>
  <c r="D4" i="114"/>
  <c r="D3" i="114"/>
  <c r="M5" i="107"/>
  <c r="M4" i="107"/>
  <c r="M3" i="107"/>
  <c r="D5" i="104"/>
  <c r="D4" i="104"/>
  <c r="D3" i="104"/>
  <c r="C5" i="103"/>
  <c r="C4" i="103"/>
  <c r="C3" i="103"/>
  <c r="D5" i="102"/>
  <c r="D4" i="102"/>
  <c r="D3" i="102"/>
  <c r="D5" i="101"/>
  <c r="D4" i="101"/>
  <c r="D3" i="101"/>
  <c r="D5" i="99"/>
  <c r="D4" i="99"/>
  <c r="D3" i="99"/>
  <c r="D5" i="98"/>
  <c r="D4" i="98"/>
  <c r="D3" i="98"/>
  <c r="C5" i="97"/>
  <c r="C4" i="97"/>
  <c r="C3" i="97"/>
  <c r="C5" i="94"/>
  <c r="C4" i="94"/>
  <c r="C3" i="94"/>
  <c r="C5" i="92"/>
  <c r="C4" i="92"/>
  <c r="C3" i="92"/>
  <c r="D5" i="90"/>
  <c r="D4" i="90"/>
  <c r="D3" i="90"/>
  <c r="C5" i="34"/>
  <c r="C4" i="34"/>
  <c r="C3" i="34"/>
  <c r="D8" i="98" l="1"/>
  <c r="D8" i="101"/>
  <c r="C8" i="94"/>
  <c r="C8" i="96"/>
  <c r="D8" i="99"/>
  <c r="D8" i="102"/>
  <c r="C8" i="97"/>
  <c r="C8" i="100"/>
  <c r="D8" i="95"/>
  <c r="C8" i="103"/>
  <c r="D8" i="104"/>
  <c r="D8" i="114"/>
  <c r="C8" i="34"/>
  <c r="D8" i="113"/>
  <c r="F8" i="105"/>
  <c r="C8" i="93"/>
  <c r="C8" i="92"/>
  <c r="D8" i="91"/>
  <c r="D8" i="90"/>
  <c r="F8" i="108"/>
  <c r="E8" i="106"/>
  <c r="Q8" i="109"/>
  <c r="M8" i="107"/>
  <c r="G65" i="89"/>
  <c r="I8" i="111"/>
</calcChain>
</file>

<file path=xl/sharedStrings.xml><?xml version="1.0" encoding="utf-8"?>
<sst xmlns="http://schemas.openxmlformats.org/spreadsheetml/2006/main" count="400" uniqueCount="168">
  <si>
    <t>County</t>
  </si>
  <si>
    <t>Joseph R. Biden (DEM)</t>
  </si>
  <si>
    <t>Blank</t>
  </si>
  <si>
    <t>Void</t>
  </si>
  <si>
    <t xml:space="preserve">Total Votes by County </t>
  </si>
  <si>
    <t>Albany</t>
  </si>
  <si>
    <t>Allegany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</si>
  <si>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</si>
  <si>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</si>
  <si>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</si>
  <si>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</si>
  <si>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</si>
  <si>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</si>
  <si>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</si>
  <si>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</si>
  <si>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</si>
  <si>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</si>
  <si>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</si>
  <si>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</si>
  <si>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</si>
  <si>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</si>
  <si>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</si>
  <si>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</si>
  <si>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</si>
  <si>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</si>
  <si>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</si>
  <si>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</si>
  <si>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</si>
  <si>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</si>
  <si>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</si>
  <si>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</si>
  <si>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</si>
  <si>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</si>
  <si>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</si>
  <si>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</si>
  <si>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</si>
  <si>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</si>
  <si>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</si>
  <si>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</si>
  <si>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</si>
  <si>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</si>
  <si>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</si>
  <si>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</si>
  <si>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</si>
  <si>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Saratoga</t>
  </si>
  <si>
    <t>Schenectady</t>
  </si>
  <si>
    <t>Schoharie</t>
  </si>
  <si>
    <t>Schuyler</t>
  </si>
  <si>
    <t>Seneca</t>
  </si>
  <si>
    <t>St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</si>
  <si>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</si>
  <si>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</si>
  <si>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</si>
  <si>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</si>
  <si>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</si>
  <si>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</si>
  <si>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</si>
  <si>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</si>
  <si>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</si>
  <si>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</si>
  <si>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</si>
  <si>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</si>
  <si>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Bronx</t>
  </si>
  <si>
    <t>Kings</t>
  </si>
  <si>
    <t>New York</t>
  </si>
  <si>
    <t>Queens</t>
  </si>
  <si>
    <t>Richmond</t>
  </si>
  <si>
    <t>Total Votes by Candidate</t>
  </si>
  <si>
    <t>Candidate Name (Party)</t>
  </si>
  <si>
    <t>Part of Suffolk County Vote Results</t>
  </si>
  <si>
    <t xml:space="preserve">Total Votes by Candidate </t>
  </si>
  <si>
    <t>Total Votes by County</t>
  </si>
  <si>
    <t>Part of Nassau County Vote Results</t>
  </si>
  <si>
    <t>Part of Queens County Vote Results</t>
  </si>
  <si>
    <t>Part of Kings County Vote Results</t>
  </si>
  <si>
    <t>Part of New York County Vote Results</t>
  </si>
  <si>
    <t>Richmond County Vote Results</t>
  </si>
  <si>
    <t>Part of Bronx County Vote Results</t>
  </si>
  <si>
    <t>Part of Westchester County Vote Results</t>
  </si>
  <si>
    <t>Rockland County Vote Results</t>
  </si>
  <si>
    <t>Orange County Vote Results</t>
  </si>
  <si>
    <t>Putnam County Vote Results</t>
  </si>
  <si>
    <t>Part of Dutchess County Vote Results</t>
  </si>
  <si>
    <t>Columbia County Vote Results</t>
  </si>
  <si>
    <t>Delaware County Vote Results</t>
  </si>
  <si>
    <t>Greene County Vote Results</t>
  </si>
  <si>
    <t>Schoharie County Vote Results</t>
  </si>
  <si>
    <t>Sullivan County Vote Results</t>
  </si>
  <si>
    <t>Part of Rensselaer County Vote Results</t>
  </si>
  <si>
    <t>Albany County Vote Results</t>
  </si>
  <si>
    <t>Schenectady County Vote Results</t>
  </si>
  <si>
    <t>Clinton County Vote Results</t>
  </si>
  <si>
    <t>Essex County Vote Results</t>
  </si>
  <si>
    <t>Franklin County Vote Results</t>
  </si>
  <si>
    <t>Fulton County Vote Results</t>
  </si>
  <si>
    <t>Hamilton County Vote Results</t>
  </si>
  <si>
    <t>Lewis County Vote Results</t>
  </si>
  <si>
    <t>St. Lawrence County Vote Results</t>
  </si>
  <si>
    <t>Warren County Vote Results</t>
  </si>
  <si>
    <t>Washington County Vote Results</t>
  </si>
  <si>
    <t>Chenango County Vote Results</t>
  </si>
  <si>
    <t>Cortland County Vote Results</t>
  </si>
  <si>
    <t>Madison County Vote Results</t>
  </si>
  <si>
    <t>Oneida County Vote Results</t>
  </si>
  <si>
    <t>Part of Oswego County Vote Results</t>
  </si>
  <si>
    <t>Allegany County Vote Results</t>
  </si>
  <si>
    <t>Cattaraugus County Vote Results</t>
  </si>
  <si>
    <t>Chautauqua County Vote Results</t>
  </si>
  <si>
    <t>Chemung County Vote Results</t>
  </si>
  <si>
    <t>Schuyler County Vote Results</t>
  </si>
  <si>
    <t>Seneca County Vote Results</t>
  </si>
  <si>
    <t>Steuben County Vote Results</t>
  </si>
  <si>
    <t>Tompkins County Vote Results</t>
  </si>
  <si>
    <t>Yates County Vote Results</t>
  </si>
  <si>
    <t>Cayuga County Vote Results</t>
  </si>
  <si>
    <t>Onondaga County Vote Results</t>
  </si>
  <si>
    <t>Wayne County Vote Results</t>
  </si>
  <si>
    <t>Part of Erie County Vote Results</t>
  </si>
  <si>
    <t>Part of Niagara County Vote Results</t>
  </si>
  <si>
    <t>Genesee County Vote Results</t>
  </si>
  <si>
    <t>Livingston County Vote Results</t>
  </si>
  <si>
    <t>Wyoming County Vote Results</t>
  </si>
  <si>
    <t>County Presidential Primary April 2, 2024</t>
  </si>
  <si>
    <t>Congressional District 1 - Democratic - Presidential April 2, 2024</t>
  </si>
  <si>
    <t>Congressional District 2 - Democratic - Presidential April 2, 2024</t>
  </si>
  <si>
    <t>Congressional District 3 - Democratic - Presidential April 2, 2024</t>
  </si>
  <si>
    <t>Congressional District 4 - Democratic - Presidential April 2, 2024</t>
  </si>
  <si>
    <t>Congressional District 5 - Democratic - Presidential April 2, 2024</t>
  </si>
  <si>
    <t>Congressional District 6 - Democratic - Presidential April 2, 2024</t>
  </si>
  <si>
    <t>Congressional District 7 - Democratic - Presidential April 2, 2024</t>
  </si>
  <si>
    <t>Congressional District 8 - Democratic - Presidential April 2, 2024</t>
  </si>
  <si>
    <t>Congressional District 9 - Democratic - Presidential April 2, 2024</t>
  </si>
  <si>
    <t>Congressional District 10 - Democratic - Presidential April 2, 2024</t>
  </si>
  <si>
    <t>Congressional District 11 - Democratic - Presidential April 2, 2024</t>
  </si>
  <si>
    <t>Congressional District 12 - Democratic - Presidential April 2, 2024</t>
  </si>
  <si>
    <t>Congressional District 13 - Democratic - Presidential April 2, 2024</t>
  </si>
  <si>
    <t>Congressional District 14 - Democratic - Presidential April 2, 2024</t>
  </si>
  <si>
    <t>Congressional District 15 - Democratic - Presidential April 2, 2024</t>
  </si>
  <si>
    <t>Congressional District 16 - Democratic - Presidential April 2, 2024</t>
  </si>
  <si>
    <t>Congressional District 17 - Democratic - Presidential April 2, 2024</t>
  </si>
  <si>
    <t>Congressional District 18 - Democratic - Presidential April 2, 2024</t>
  </si>
  <si>
    <t>Congressional District 19 - Democratic - Presidential April 2, 2024</t>
  </si>
  <si>
    <t>Congressional District 20 - Democratic - Presidential April 2, 2024</t>
  </si>
  <si>
    <t>Congressional District 21 - Democratic - Presidential April 2, 2024</t>
  </si>
  <si>
    <t>Congressional District 22 - Democratic - Presidential April 2, 2024</t>
  </si>
  <si>
    <t>Congressional District 23 - Democratic - Presidential April 2, 2024</t>
  </si>
  <si>
    <t>Congressional District 24 - Democratic - Presidential April 2, 2024</t>
  </si>
  <si>
    <t>Congressional District 25 - Democratic - Presidential April 2, 2024</t>
  </si>
  <si>
    <t>Congressional District 26 - Democratic - Presidential April 2, 2024</t>
  </si>
  <si>
    <t>Marianne Williamson (DEM)</t>
  </si>
  <si>
    <t>Dean Phillips (DEM)</t>
  </si>
  <si>
    <t>Monroe County Vote Results</t>
  </si>
  <si>
    <t>Part of Orleans County Vote Results</t>
  </si>
  <si>
    <t>Part of Jefferson County Vote Results</t>
  </si>
  <si>
    <t>Ontario County Vote Results</t>
  </si>
  <si>
    <t>Herkimer County Vote Results</t>
  </si>
  <si>
    <t>Montgomery County Vote Results</t>
  </si>
  <si>
    <t>Part of Otsego County Vote Results</t>
  </si>
  <si>
    <t>Part of Ulster County Vote Results</t>
  </si>
  <si>
    <t>Tioga County Vote Results</t>
  </si>
  <si>
    <t>Broome County Vote Results</t>
  </si>
  <si>
    <t>Joseph R. Biden, Jr. (DEM)</t>
  </si>
  <si>
    <t>Saratoga County Vote Results</t>
  </si>
  <si>
    <t>Revision History</t>
  </si>
  <si>
    <t>Date</t>
  </si>
  <si>
    <t>Description of changes</t>
  </si>
  <si>
    <t>Biden (DEM) -48; Williamson (DEM) -6; Phillips (DEM) -7; Blank -20</t>
  </si>
  <si>
    <t>Blank -1; Void 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</si>
</sst>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mbria"/>
      <family val="1"/>
    </font>
    <font>
      <sz val="10"/>
      <name val="Arial"/>
    </font>
    <font>
      <b/>
      <sz val="12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wrapText="1"/>
    </xf>
    <xf numFmtId="3" fontId="3" fillId="0" borderId="1" xfId="0" applyNumberFormat="1" applyFont="1" applyBorder="1" applyAlignment="1">
      <alignment vertical="top"/>
    </xf>
    <xf numFmtId="3" fontId="2" fillId="5" borderId="2" xfId="0" applyNumberFormat="1" applyFont="1" applyFill="1" applyBorder="1" applyAlignment="1">
      <alignment vertical="top"/>
    </xf>
    <xf numFmtId="3" fontId="2" fillId="0" borderId="7" xfId="0" applyNumberFormat="1" applyFont="1" applyBorder="1" applyAlignment="1">
      <alignment vertical="top"/>
    </xf>
    <xf numFmtId="3" fontId="2" fillId="5" borderId="7" xfId="0" applyNumberFormat="1" applyFont="1" applyFill="1" applyBorder="1" applyAlignment="1">
      <alignment vertical="top"/>
    </xf>
    <xf numFmtId="0" fontId="4" fillId="3" borderId="4" xfId="0" applyFont="1" applyFill="1" applyBorder="1" applyAlignment="1">
      <alignment wrapText="1"/>
    </xf>
    <xf numFmtId="0" fontId="4" fillId="3" borderId="5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wrapText="1"/>
    </xf>
    <xf numFmtId="0" fontId="7" fillId="6" borderId="1" xfId="0" applyFont="1" applyFill="1" applyBorder="1" applyAlignment="1">
      <alignment vertical="center"/>
    </xf>
    <xf numFmtId="3" fontId="3" fillId="0" borderId="2" xfId="0" applyNumberFormat="1" applyFont="1" applyBorder="1" applyAlignment="1">
      <alignment vertical="top"/>
    </xf>
    <xf numFmtId="0" fontId="5" fillId="4" borderId="8" xfId="0" applyFont="1" applyFill="1" applyBorder="1" applyAlignment="1">
      <alignment horizontal="left" wrapText="1"/>
    </xf>
    <xf numFmtId="3" fontId="3" fillId="0" borderId="2" xfId="0" applyNumberFormat="1" applyFont="1" applyFill="1" applyBorder="1" applyAlignment="1">
      <alignment vertical="top"/>
    </xf>
    <xf numFmtId="3" fontId="3" fillId="0" borderId="1" xfId="0" applyNumberFormat="1" applyFont="1" applyFill="1" applyBorder="1" applyAlignment="1">
      <alignment vertical="top"/>
    </xf>
    <xf numFmtId="0" fontId="0" fillId="0" borderId="0" xfId="0" applyFill="1"/>
    <xf numFmtId="3" fontId="2" fillId="0" borderId="7" xfId="0" applyNumberFormat="1" applyFont="1" applyFill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7" borderId="1" xfId="0" applyNumberFormat="1" applyFont="1" applyFill="1" applyBorder="1" applyAlignment="1">
      <alignment vertical="top"/>
    </xf>
    <xf numFmtId="0" fontId="4" fillId="3" borderId="4" xfId="0" applyFont="1" applyFill="1" applyBorder="1" applyAlignment="1">
      <alignment horizontal="right" wrapText="1"/>
    </xf>
    <xf numFmtId="0" fontId="4" fillId="3" borderId="5" xfId="0" applyFont="1" applyFill="1" applyBorder="1" applyAlignment="1">
      <alignment horizontal="right" wrapText="1"/>
    </xf>
    <xf numFmtId="0" fontId="4" fillId="3" borderId="10" xfId="0" applyFont="1" applyFill="1" applyBorder="1" applyAlignment="1">
      <alignment horizontal="right" wrapText="1"/>
    </xf>
    <xf numFmtId="0" fontId="8" fillId="0" borderId="0" xfId="1" applyAlignment="1">
      <alignment vertical="top"/>
    </xf>
    <xf numFmtId="164" fontId="10" fillId="0" borderId="0" xfId="1" applyNumberFormat="1" applyFont="1" applyAlignment="1">
      <alignment vertical="top"/>
    </xf>
    <xf numFmtId="0" fontId="10" fillId="0" borderId="0" xfId="1" applyFont="1" applyAlignment="1">
      <alignment vertical="top"/>
    </xf>
    <xf numFmtId="164" fontId="11" fillId="0" borderId="0" xfId="1" applyNumberFormat="1" applyFont="1" applyAlignment="1">
      <alignment vertical="top"/>
    </xf>
    <xf numFmtId="0" fontId="12" fillId="0" borderId="0" xfId="1" applyFont="1" applyAlignment="1">
      <alignment vertical="top"/>
    </xf>
    <xf numFmtId="0" fontId="11" fillId="0" borderId="0" xfId="1" applyFont="1" applyAlignment="1">
      <alignment vertical="top"/>
    </xf>
    <xf numFmtId="164" fontId="8" fillId="0" borderId="0" xfId="1" applyNumberFormat="1" applyAlignment="1">
      <alignment vertical="top"/>
    </xf>
    <xf numFmtId="0" fontId="13" fillId="0" borderId="0" xfId="1" applyFont="1" applyAlignment="1">
      <alignment vertical="top"/>
    </xf>
    <xf numFmtId="164" fontId="8" fillId="0" borderId="11" xfId="1" applyNumberFormat="1" applyBorder="1" applyAlignment="1">
      <alignment vertical="top"/>
    </xf>
    <xf numFmtId="0" fontId="8" fillId="0" borderId="11" xfId="1" applyBorder="1" applyAlignment="1">
      <alignment vertical="top"/>
    </xf>
    <xf numFmtId="0" fontId="14" fillId="0" borderId="11" xfId="1" applyFont="1" applyBorder="1" applyAlignment="1">
      <alignment vertical="top" wrapText="1"/>
    </xf>
    <xf numFmtId="0" fontId="9" fillId="0" borderId="0" xfId="1" applyFont="1" applyAlignment="1">
      <alignment horizontal="left" vertical="top"/>
    </xf>
  </cellXfs>
  <cellStyles count="2">
    <cellStyle name="Normal" xfId="0" builtinId="0"/>
    <cellStyle name="Normal 2" xfId="1" xr:uid="{AEF7109F-04AA-49C2-B95C-B3AC2882DCD1}"/>
  </cellStyles>
  <dxfs count="282"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rgb="FFFFFF0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rgb="FFFFFF0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SD57RepublicanPrimary4" displayName="SD57RepublicanPrimary4" ref="A2:G65" totalsRowShown="0" headerRowDxfId="281" dataDxfId="279" headerRowBorderDxfId="280" tableBorderDxfId="278" totalsRowBorderDxfId="277">
  <tableColumns count="7">
    <tableColumn id="1" xr3:uid="{00000000-0010-0000-0000-000001000000}" name="County" dataDxfId="276"/>
    <tableColumn id="7" xr3:uid="{00000000-0010-0000-0000-000007000000}" name="Joseph R. Biden (DEM)" dataDxfId="275"/>
    <tableColumn id="6" xr3:uid="{00000000-0010-0000-0000-000006000000}" name="Marianne Williamson (DEM)" dataDxfId="274"/>
    <tableColumn id="11" xr3:uid="{00000000-0010-0000-0000-00000B000000}" name="Dean Phillips (DEM)" dataDxfId="273"/>
    <tableColumn id="12" xr3:uid="{00000000-0010-0000-0000-00000C000000}" name="Blank" dataDxfId="272"/>
    <tableColumn id="4" xr3:uid="{00000000-0010-0000-0000-000004000000}" name="Void" dataDxfId="271"/>
    <tableColumn id="10" xr3:uid="{00000000-0010-0000-0000-00000A000000}" name="Total Votes by County " dataDxfId="270"/>
  </tableColumns>
  <tableStyleInfo name="TableStyleLight21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SD57RepublicanPrimary912" displayName="SD57RepublicanPrimary912" ref="A2:C8" totalsRowShown="0" headerRowDxfId="202" dataDxfId="200" headerRowBorderDxfId="201" tableBorderDxfId="199" totalsRowBorderDxfId="198">
  <autoFilter ref="A2:C8" xr:uid="{00000000-0009-0000-0100-00000B000000}">
    <filterColumn colId="0" hiddenButton="1"/>
    <filterColumn colId="1" hiddenButton="1"/>
    <filterColumn colId="2" hiddenButton="1"/>
  </autoFilter>
  <tableColumns count="3">
    <tableColumn id="1" xr3:uid="{00000000-0010-0000-0900-000001000000}" name="Candidate Name (Party)" dataDxfId="197"/>
    <tableColumn id="2" xr3:uid="{00000000-0010-0000-0900-000002000000}" name="Part of Kings County Vote Results" dataDxfId="196"/>
    <tableColumn id="10" xr3:uid="{00000000-0010-0000-0900-00000A000000}" name="Total Votes by Candidate " dataDxfId="195"/>
  </tableColumns>
  <tableStyleInfo name="TableStyleLight21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SD57RepublicanPrimary581113" displayName="SD57RepublicanPrimary581113" ref="A2:D8" totalsRowShown="0" headerRowDxfId="194" dataDxfId="192" headerRowBorderDxfId="193" tableBorderDxfId="191" totalsRowBorderDxfId="190">
  <autoFilter ref="A2:D8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A00-000001000000}" name="Candidate Name (Party)" dataDxfId="189"/>
    <tableColumn id="2" xr3:uid="{00000000-0010-0000-0A00-000002000000}" name="Part of Kings County Vote Results" dataDxfId="188"/>
    <tableColumn id="4" xr3:uid="{00000000-0010-0000-0A00-000004000000}" name="Part of New York County Vote Results" dataDxfId="187"/>
    <tableColumn id="10" xr3:uid="{00000000-0010-0000-0A00-00000A000000}" name="Total Votes by Candidate " dataDxfId="186"/>
  </tableColumns>
  <tableStyleInfo name="TableStyleLight21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SD57RepublicanPrimary58111314" displayName="SD57RepublicanPrimary58111314" ref="A2:D8" totalsRowShown="0" headerRowDxfId="185" dataDxfId="183" headerRowBorderDxfId="184" tableBorderDxfId="182" totalsRowBorderDxfId="181">
  <autoFilter ref="A2:D8" xr:uid="{00000000-0009-0000-0100-00000D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B00-000001000000}" name="Candidate Name (Party)" dataDxfId="180"/>
    <tableColumn id="2" xr3:uid="{00000000-0010-0000-0B00-000002000000}" name="Part of Kings County Vote Results" dataDxfId="179"/>
    <tableColumn id="4" xr3:uid="{00000000-0010-0000-0B00-000004000000}" name="Richmond County Vote Results" dataDxfId="178"/>
    <tableColumn id="10" xr3:uid="{00000000-0010-0000-0B00-00000A000000}" name="Total Votes by Candidate " dataDxfId="177"/>
  </tableColumns>
  <tableStyleInfo name="TableStyleLight21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SD57RepublicanPrimary561015" displayName="SD57RepublicanPrimary561015" ref="A2:C8" totalsRowShown="0" headerRowDxfId="176" dataDxfId="174" headerRowBorderDxfId="175" tableBorderDxfId="173" totalsRowBorderDxfId="172">
  <autoFilter ref="A2:C8" xr:uid="{00000000-0009-0000-0100-00000E000000}">
    <filterColumn colId="0" hiddenButton="1"/>
    <filterColumn colId="1" hiddenButton="1"/>
    <filterColumn colId="2" hiddenButton="1"/>
  </autoFilter>
  <tableColumns count="3">
    <tableColumn id="1" xr3:uid="{00000000-0010-0000-0C00-000001000000}" name="Candidate Name (Party)" dataDxfId="171"/>
    <tableColumn id="5" xr3:uid="{00000000-0010-0000-0C00-000005000000}" name="Part of New York County Vote Results" dataDxfId="170"/>
    <tableColumn id="10" xr3:uid="{00000000-0010-0000-0C00-00000A000000}" name="Total Votes by Candidate " dataDxfId="169"/>
  </tableColumns>
  <tableStyleInfo name="TableStyleLight21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SD57RepublicanPrimary5811131416" displayName="SD57RepublicanPrimary5811131416" ref="A2:D8" totalsRowShown="0" headerRowDxfId="168" dataDxfId="166" headerRowBorderDxfId="167" tableBorderDxfId="165" totalsRowBorderDxfId="164">
  <autoFilter ref="A2:D8" xr:uid="{00000000-0009-0000-0100-00000F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D00-000001000000}" name="Candidate Name (Party)" dataDxfId="163"/>
    <tableColumn id="2" xr3:uid="{00000000-0010-0000-0D00-000002000000}" name="Part of Bronx County Vote Results" dataDxfId="162"/>
    <tableColumn id="4" xr3:uid="{00000000-0010-0000-0D00-000004000000}" name="Part of New York County Vote Results" dataDxfId="161"/>
    <tableColumn id="10" xr3:uid="{00000000-0010-0000-0D00-00000A000000}" name="Total Votes by Candidate " dataDxfId="160"/>
  </tableColumns>
  <tableStyleInfo name="TableStyleLight21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SD57RepublicanPrimary581113141617" displayName="SD57RepublicanPrimary581113141617" ref="A2:D8" totalsRowShown="0" headerRowDxfId="159" dataDxfId="157" headerRowBorderDxfId="158" tableBorderDxfId="156" totalsRowBorderDxfId="155">
  <autoFilter ref="A2:D8" xr:uid="{00000000-0009-0000-0100-000010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E00-000001000000}" name="Candidate Name (Party)" dataDxfId="154"/>
    <tableColumn id="2" xr3:uid="{00000000-0010-0000-0E00-000002000000}" name="Part of Bronx County Vote Results" dataDxfId="153"/>
    <tableColumn id="4" xr3:uid="{00000000-0010-0000-0E00-000004000000}" name="Part of Queens County Vote Results" dataDxfId="152"/>
    <tableColumn id="10" xr3:uid="{00000000-0010-0000-0E00-00000A000000}" name="Total Votes by Candidate " dataDxfId="151"/>
  </tableColumns>
  <tableStyleInfo name="TableStyleLight21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SD57RepublicanPrimary91218" displayName="SD57RepublicanPrimary91218" ref="A2:C8" totalsRowShown="0" headerRowDxfId="150" dataDxfId="148" headerRowBorderDxfId="149" tableBorderDxfId="147" totalsRowBorderDxfId="146">
  <autoFilter ref="A2:C8" xr:uid="{00000000-0009-0000-0100-000011000000}">
    <filterColumn colId="0" hiddenButton="1"/>
    <filterColumn colId="1" hiddenButton="1"/>
    <filterColumn colId="2" hiddenButton="1"/>
  </autoFilter>
  <tableColumns count="3">
    <tableColumn id="1" xr3:uid="{00000000-0010-0000-0F00-000001000000}" name="Candidate Name (Party)" dataDxfId="145"/>
    <tableColumn id="2" xr3:uid="{00000000-0010-0000-0F00-000002000000}" name="Part of Bronx County Vote Results" dataDxfId="144"/>
    <tableColumn id="10" xr3:uid="{00000000-0010-0000-0F00-00000A000000}" name="Total Votes by Candidate " dataDxfId="143"/>
  </tableColumns>
  <tableStyleInfo name="TableStyleLight21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SD57RepublicanPrimary58111314161719" displayName="SD57RepublicanPrimary58111314161719" ref="A2:D8" totalsRowShown="0" headerRowDxfId="142" dataDxfId="140" headerRowBorderDxfId="141" tableBorderDxfId="139" totalsRowBorderDxfId="138">
  <autoFilter ref="A2:D8" xr:uid="{00000000-0009-0000-0100-00001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1000-000001000000}" name="Candidate Name (Party)" dataDxfId="137"/>
    <tableColumn id="2" xr3:uid="{00000000-0010-0000-1000-000002000000}" name="Part of Bronx County Vote Results" dataDxfId="136"/>
    <tableColumn id="4" xr3:uid="{00000000-0010-0000-1000-000004000000}" name="Part of Westchester County Vote Results" dataDxfId="135"/>
    <tableColumn id="10" xr3:uid="{00000000-0010-0000-1000-00000A000000}" name="Total Votes by Candidate " dataDxfId="134"/>
  </tableColumns>
  <tableStyleInfo name="TableStyleLight21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1000000}" name="SD57RepublicanPrimary5811131416171920" displayName="SD57RepublicanPrimary5811131416171920" ref="A2:F8" totalsRowShown="0" headerRowDxfId="133" dataDxfId="131" headerRowBorderDxfId="132" tableBorderDxfId="130" totalsRowBorderDxfId="129">
  <autoFilter ref="A2:F8" xr:uid="{00000000-0009-0000-0100-00001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1100-000001000000}" name="Candidate Name (Party)" dataDxfId="128"/>
    <tableColumn id="2" xr3:uid="{00000000-0010-0000-1100-000002000000}" name="Part of Dutchess County Vote Results" dataDxfId="127"/>
    <tableColumn id="5" xr3:uid="{91C90547-36BB-44D0-A6DC-F7D884BA212D}" name="Putnam County Vote Results" dataDxfId="126"/>
    <tableColumn id="3" xr3:uid="{27D74671-9AB5-4644-884B-A306071A8849}" name="Rockland County Vote Results" dataDxfId="125"/>
    <tableColumn id="4" xr3:uid="{00000000-0010-0000-1100-000004000000}" name="Part of Westchester County Vote Results" dataDxfId="124"/>
    <tableColumn id="10" xr3:uid="{00000000-0010-0000-1100-00000A000000}" name="Total Votes by Candidate " dataDxfId="123"/>
  </tableColumns>
  <tableStyleInfo name="TableStyleLight21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2000000}" name="SD57RepublicanPrimary56101521" displayName="SD57RepublicanPrimary56101521" ref="A2:E8" totalsRowShown="0" headerRowDxfId="122" dataDxfId="120" headerRowBorderDxfId="121" tableBorderDxfId="119" totalsRowBorderDxfId="118">
  <autoFilter ref="A2:E8" xr:uid="{00000000-0009-0000-0100-000014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1200-000001000000}" name="Candidate Name (Party)" dataDxfId="117"/>
    <tableColumn id="5" xr3:uid="{00000000-0010-0000-1200-000005000000}" name="Part of Dutchess County Vote Results" dataDxfId="116"/>
    <tableColumn id="6" xr3:uid="{00000000-0010-0000-1200-000006000000}" name="Orange County Vote Results" dataDxfId="115"/>
    <tableColumn id="4" xr3:uid="{00000000-0010-0000-1200-000004000000}" name="Part of Ulster County Vote Results" dataDxfId="114"/>
    <tableColumn id="10" xr3:uid="{00000000-0010-0000-1200-00000A000000}" name="Total Votes by Candidate " dataDxfId="113"/>
  </tableColumns>
  <tableStyleInfo name="TableStyleLight2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01000000}" name="SD57RepublicanPrimary" displayName="SD57RepublicanPrimary" ref="A2:C8" totalsRowShown="0" headerRowDxfId="269" dataDxfId="267" headerRowBorderDxfId="268" tableBorderDxfId="266" totalsRowBorderDxfId="265">
  <autoFilter ref="A2:C8" xr:uid="{00000000-0009-0000-0100-000022000000}">
    <filterColumn colId="0" hiddenButton="1"/>
    <filterColumn colId="1" hiddenButton="1"/>
    <filterColumn colId="2" hiddenButton="1"/>
  </autoFilter>
  <tableColumns count="3">
    <tableColumn id="1" xr3:uid="{00000000-0010-0000-0100-000001000000}" name="Candidate Name (Party)" dataDxfId="264"/>
    <tableColumn id="2" xr3:uid="{00000000-0010-0000-0100-000002000000}" name="Part of Suffolk County Vote Results" dataDxfId="263"/>
    <tableColumn id="10" xr3:uid="{00000000-0010-0000-0100-00000A000000}" name="Total Votes by Candidate " dataDxfId="262"/>
  </tableColumns>
  <tableStyleInfo name="TableStyleLight21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3000000}" name="SD57RepublicanPrimary5610152122" displayName="SD57RepublicanPrimary5610152122" ref="A2:M8" totalsRowShown="0" headerRowDxfId="112" dataDxfId="110" headerRowBorderDxfId="111" tableBorderDxfId="109" totalsRowBorderDxfId="108">
  <autoFilter ref="A2:M8" xr:uid="{00000000-0009-0000-0100-00001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1300-000001000000}" name="Candidate Name (Party)" dataDxfId="107"/>
    <tableColumn id="2" xr3:uid="{00000000-0010-0000-1300-000002000000}" name="Broome County Vote Results" dataDxfId="106"/>
    <tableColumn id="5" xr3:uid="{00000000-0010-0000-1300-000005000000}" name="Chenango County Vote Results" dataDxfId="105"/>
    <tableColumn id="14" xr3:uid="{00000000-0010-0000-1300-00000E000000}" name="Columbia County Vote Results" dataDxfId="104"/>
    <tableColumn id="13" xr3:uid="{00000000-0010-0000-1300-00000D000000}" name="Cortland County Vote Results" dataDxfId="103"/>
    <tableColumn id="12" xr3:uid="{00000000-0010-0000-1300-00000C000000}" name="Delaware County Vote Results" dataDxfId="102"/>
    <tableColumn id="11" xr3:uid="{00000000-0010-0000-1300-00000B000000}" name="Greene County Vote Results" dataDxfId="101"/>
    <tableColumn id="9" xr3:uid="{00000000-0010-0000-1300-000009000000}" name="Part of Otsego County Vote Results" dataDxfId="100"/>
    <tableColumn id="8" xr3:uid="{00000000-0010-0000-1300-000008000000}" name="Sullivan County Vote Results" dataDxfId="99"/>
    <tableColumn id="7" xr3:uid="{00000000-0010-0000-1300-000007000000}" name="Tioga County Vote Results" dataDxfId="98"/>
    <tableColumn id="6" xr3:uid="{00000000-0010-0000-1300-000006000000}" name="Tompkins County Vote Results" dataDxfId="97"/>
    <tableColumn id="4" xr3:uid="{00000000-0010-0000-1300-000004000000}" name="Part of Ulster County Vote Results" dataDxfId="96"/>
    <tableColumn id="10" xr3:uid="{00000000-0010-0000-1300-00000A000000}" name="Total Votes by Candidate " dataDxfId="95"/>
  </tableColumns>
  <tableStyleInfo name="TableStyleLight21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4000000}" name="SD57RepublicanPrimary561015212223" displayName="SD57RepublicanPrimary561015212223" ref="A2:F8" totalsRowShown="0" headerRowDxfId="94" dataDxfId="92" headerRowBorderDxfId="93" tableBorderDxfId="91" totalsRowBorderDxfId="90">
  <autoFilter ref="A2:F8" xr:uid="{00000000-0009-0000-0100-00001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1400-000001000000}" name="Candidate Name (Party)" dataDxfId="89"/>
    <tableColumn id="2" xr3:uid="{00000000-0010-0000-1400-000002000000}" name="Albany County Vote Results" dataDxfId="88"/>
    <tableColumn id="8" xr3:uid="{00000000-0010-0000-1400-000008000000}" name="Part of Rensselaer County Vote Results" dataDxfId="87"/>
    <tableColumn id="7" xr3:uid="{00000000-0010-0000-1400-000007000000}" name="Saratoga County Vote Results" dataDxfId="86"/>
    <tableColumn id="6" xr3:uid="{00000000-0010-0000-1400-000006000000}" name="Schenectady County Vote Results" dataDxfId="85"/>
    <tableColumn id="10" xr3:uid="{00000000-0010-0000-1400-00000A000000}" name="Total Votes by Candidate " dataDxfId="84">
      <calculatedColumnFormula>SUM(SD57RepublicanPrimary561015212223[[#This Row],[Schenectady County Vote Results]],SD57RepublicanPrimary561015212223[[#This Row],[Saratoga County Vote Results]],SD57RepublicanPrimary561015212223[[#This Row],[Part of Rensselaer County Vote Results]],#REF!,SD57RepublicanPrimary561015212223[[#This Row],[Albany County Vote Results]])</calculatedColumnFormula>
    </tableColumn>
  </tableColumns>
  <tableStyleInfo name="TableStyleLight21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5000000}" name="SD57RepublicanPrimary561015212224" displayName="SD57RepublicanPrimary561015212224" ref="A2:Q8" totalsRowShown="0" headerRowDxfId="83" dataDxfId="81" headerRowBorderDxfId="82" tableBorderDxfId="80" totalsRowBorderDxfId="79">
  <autoFilter ref="A2:Q8" xr:uid="{00000000-0009-0000-0100-00001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00000000-0010-0000-1500-000001000000}" name="Candidate Name (Party)" dataDxfId="78"/>
    <tableColumn id="2" xr3:uid="{00000000-0010-0000-1500-000002000000}" name="Clinton County Vote Results" dataDxfId="77"/>
    <tableColumn id="5" xr3:uid="{00000000-0010-0000-1500-000005000000}" name="Essex County Vote Results" dataDxfId="76"/>
    <tableColumn id="17" xr3:uid="{C055F7F6-1CDD-4F9B-9D7F-A86EFE3220E8}" name="Franklin County Vote Results" dataDxfId="75"/>
    <tableColumn id="16" xr3:uid="{42E0D36D-7578-4E57-883D-5F41DA700B0A}" name="Fulton County Vote Results" dataDxfId="74"/>
    <tableColumn id="3" xr3:uid="{5B34C36F-3D23-4922-81F5-00F3023DFC2C}" name="Hamilton County Vote Results" dataDxfId="73"/>
    <tableColumn id="14" xr3:uid="{00000000-0010-0000-1500-00000E000000}" name="Herkimer County Vote Results" dataDxfId="72"/>
    <tableColumn id="13" xr3:uid="{00000000-0010-0000-1500-00000D000000}" name="Part of Jefferson County Vote Results" dataDxfId="71"/>
    <tableColumn id="12" xr3:uid="{00000000-0010-0000-1500-00000C000000}" name="Lewis County Vote Results" dataDxfId="70"/>
    <tableColumn id="11" xr3:uid="{00000000-0010-0000-1500-00000B000000}" name="Montgomery County Vote Results" dataDxfId="69"/>
    <tableColumn id="9" xr3:uid="{00000000-0010-0000-1500-000009000000}" name="Part of Otsego County Vote Results" dataDxfId="68"/>
    <tableColumn id="8" xr3:uid="{00000000-0010-0000-1500-000008000000}" name="Part of Rensselaer County Vote Results" dataDxfId="67"/>
    <tableColumn id="7" xr3:uid="{00000000-0010-0000-1500-000007000000}" name="St. Lawrence County Vote Results" dataDxfId="66"/>
    <tableColumn id="6" xr3:uid="{00000000-0010-0000-1500-000006000000}" name="Schoharie County Vote Results" dataDxfId="65"/>
    <tableColumn id="15" xr3:uid="{00000000-0010-0000-1500-00000F000000}" name="Warren County Vote Results" dataDxfId="64"/>
    <tableColumn id="4" xr3:uid="{00000000-0010-0000-1500-000004000000}" name="Washington County Vote Results" dataDxfId="63"/>
    <tableColumn id="10" xr3:uid="{00000000-0010-0000-1500-00000A000000}" name="Total Votes by Candidate " dataDxfId="62"/>
  </tableColumns>
  <tableStyleInfo name="TableStyleLight21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6000000}" name="SD57RepublicanPrimary56101521222425" displayName="SD57RepublicanPrimary56101521222425" ref="A2:F8" totalsRowShown="0" headerRowDxfId="61" dataDxfId="59" headerRowBorderDxfId="60" tableBorderDxfId="58" totalsRowBorderDxfId="57">
  <autoFilter ref="A2:F8" xr:uid="{00000000-0009-0000-0100-00001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1600-000001000000}" name="Candidate Name (Party)" dataDxfId="56"/>
    <tableColumn id="14" xr3:uid="{00000000-0010-0000-1600-00000E000000}" name="Madison County Vote Results" dataDxfId="55"/>
    <tableColumn id="13" xr3:uid="{00000000-0010-0000-1600-00000D000000}" name="Oneida County Vote Results" dataDxfId="54"/>
    <tableColumn id="8" xr3:uid="{00000000-0010-0000-1600-000008000000}" name="Onondaga County Vote Results" dataDxfId="53"/>
    <tableColumn id="6" xr3:uid="{00000000-0010-0000-1600-000006000000}" name="Part of Oswego County Vote Results" dataDxfId="52"/>
    <tableColumn id="10" xr3:uid="{00000000-0010-0000-1600-00000A000000}" name="Total Votes by Candidate " dataDxfId="51">
      <calculatedColumnFormula>SUM(#REF!,SD57RepublicanPrimary56101521222425[[#This Row],[Part of Oswego County Vote Results]],#REF!,SD57RepublicanPrimary56101521222425[[#This Row],[Onondaga County Vote Results]],SD57RepublicanPrimary56101521222425[[#This Row],[Oneida County Vote Results]],SD57RepublicanPrimary56101521222425[[#This Row],[Madison County Vote Results]],#REF!,#REF!,)</calculatedColumnFormula>
    </tableColumn>
  </tableColumns>
  <tableStyleInfo name="TableStyleLight21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7000000}" name="SD57RepublicanPrimary56101521222426" displayName="SD57RepublicanPrimary56101521222426" ref="A2:I8" totalsRowShown="0" headerRowDxfId="50" dataDxfId="48" headerRowBorderDxfId="49" tableBorderDxfId="47" totalsRowBorderDxfId="46">
  <autoFilter ref="A2:I8" xr:uid="{00000000-0009-0000-0100-00001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1700-000001000000}" name="Candidate Name (Party)" dataDxfId="45"/>
    <tableColumn id="2" xr3:uid="{00000000-0010-0000-1700-000002000000}" name="Allegany County Vote Results" dataDxfId="44"/>
    <tableColumn id="5" xr3:uid="{00000000-0010-0000-1700-000005000000}" name="Cattaraugus County Vote Results" dataDxfId="43"/>
    <tableColumn id="14" xr3:uid="{00000000-0010-0000-1700-00000E000000}" name="Chautauqua County Vote Results" dataDxfId="42"/>
    <tableColumn id="13" xr3:uid="{00000000-0010-0000-1700-00000D000000}" name="Chemung County Vote Results" dataDxfId="41"/>
    <tableColumn id="12" xr3:uid="{00000000-0010-0000-1700-00000C000000}" name="Part of Erie County Vote Results" dataDxfId="40"/>
    <tableColumn id="11" xr3:uid="{00000000-0010-0000-1700-00000B000000}" name="Schuyler County Vote Results" dataDxfId="39"/>
    <tableColumn id="9" xr3:uid="{00000000-0010-0000-1700-000009000000}" name="Steuben County Vote Results" dataDxfId="38"/>
    <tableColumn id="10" xr3:uid="{00000000-0010-0000-1700-00000A000000}" name="Total Votes by Candidate " dataDxfId="37">
      <calculatedColumnFormula>SUM(#REF!,#REF!,#REF!,#REF!,SD57RepublicanPrimary56101521222426[[#This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calculatedColumnFormula>
    </tableColumn>
  </tableColumns>
  <tableStyleInfo name="TableStyleLight21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8000000}" name="SD57RepublicanPrimary5610152127" displayName="SD57RepublicanPrimary5610152127" ref="A2:N8" totalsRowShown="0" headerRowDxfId="36" dataDxfId="34" headerRowBorderDxfId="35" tableBorderDxfId="33" totalsRowBorderDxfId="32">
  <autoFilter ref="A2:N8" xr:uid="{00000000-0009-0000-0100-00001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0000000-0010-0000-1800-000001000000}" name="Candidate Name (Party)" dataDxfId="31"/>
    <tableColumn id="2" xr3:uid="{00000000-0010-0000-1800-000002000000}" name="Cayuga County Vote Results" dataDxfId="30"/>
    <tableColumn id="5" xr3:uid="{00000000-0010-0000-1800-000005000000}" name="Genesee County Vote Results" dataDxfId="29"/>
    <tableColumn id="12" xr3:uid="{CF4CF1E1-CA10-475D-8012-FC938D9D1E86}" name="Part of Jefferson County Vote Results" dataDxfId="28"/>
    <tableColumn id="14" xr3:uid="{36DC0762-0288-471C-9873-16CDD2521A84}" name="Livingston County Vote Results" dataDxfId="27"/>
    <tableColumn id="13" xr3:uid="{9B11F415-84DE-4AB3-9C96-6A6058A0CD31}" name="Part of Niagara County Vote Results" dataDxfId="26"/>
    <tableColumn id="11" xr3:uid="{A939E1CB-54FF-49BD-8A1F-5620ED627D16}" name="Ontario County Vote Results" dataDxfId="25"/>
    <tableColumn id="9" xr3:uid="{4839D5D9-A4A6-471C-A9D1-3098959ABC54}" name="Part of Orleans County Vote Results" dataDxfId="24"/>
    <tableColumn id="8" xr3:uid="{E76E8746-EBE8-43C0-A60F-A9F982B4DB3C}" name="Part of Oswego County Vote Results" dataDxfId="23"/>
    <tableColumn id="7" xr3:uid="{D9F0C3A9-A2AA-446F-A276-E1CA1E00E3DA}" name="Seneca County Vote Results" dataDxfId="22"/>
    <tableColumn id="3" xr3:uid="{41705851-B458-41B2-A835-1D2B4BAA6E9F}" name="Wayne County Vote Results" dataDxfId="21"/>
    <tableColumn id="6" xr3:uid="{00000000-0010-0000-1800-000006000000}" name="Wyoming County Vote Results" dataDxfId="20"/>
    <tableColumn id="4" xr3:uid="{00000000-0010-0000-1800-000004000000}" name="Yates County Vote Results" dataDxfId="19"/>
    <tableColumn id="10" xr3:uid="{00000000-0010-0000-1800-00000A000000}" name="Total Votes by Candidate " dataDxfId="18"/>
  </tableColumns>
  <tableStyleInfo name="TableStyleLight21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9000000}" name="SD57RepublicanPrimary28" displayName="SD57RepublicanPrimary28" ref="A2:D8" totalsRowShown="0" headerRowDxfId="17" dataDxfId="15" headerRowBorderDxfId="16" tableBorderDxfId="14" totalsRowBorderDxfId="13">
  <autoFilter ref="A2:D8" xr:uid="{00000000-0009-0000-0100-00001B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1900-000001000000}" name="Candidate Name (Party)" dataDxfId="12"/>
    <tableColumn id="2" xr3:uid="{00000000-0010-0000-1900-000002000000}" name="Monroe County Vote Results" dataDxfId="11"/>
    <tableColumn id="3" xr3:uid="{886DC33A-D38A-45A8-AE05-C9B0B79F3C55}" name="Part of Orleans County Vote Results" dataDxfId="10"/>
    <tableColumn id="10" xr3:uid="{00000000-0010-0000-1900-00000A000000}" name="Total Votes by Candidate " dataDxfId="9"/>
  </tableColumns>
  <tableStyleInfo name="TableStyleLight21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A000000}" name="SD57RepublicanPrimary58111314161729" displayName="SD57RepublicanPrimary58111314161729" ref="A2:D8" totalsRowShown="0" headerRowDxfId="8" dataDxfId="6" headerRowBorderDxfId="7" tableBorderDxfId="5" totalsRowBorderDxfId="4">
  <autoFilter ref="A2:D8" xr:uid="{00000000-0009-0000-0100-00001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1A00-000001000000}" name="Candidate Name (Party)" dataDxfId="3"/>
    <tableColumn id="2" xr3:uid="{00000000-0010-0000-1A00-000002000000}" name="Part of Erie County Vote Results" dataDxfId="2"/>
    <tableColumn id="4" xr3:uid="{00000000-0010-0000-1A00-000004000000}" name="Part of Niagara County Vote Results" dataDxfId="1"/>
    <tableColumn id="10" xr3:uid="{00000000-0010-0000-1A00-00000A000000}" name="Total Votes by Candidate " dataDxfId="0"/>
  </tableColumns>
  <tableStyleInfo name="TableStyleLight2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SD57RepublicanPrimary5" displayName="SD57RepublicanPrimary5" ref="A2:D8" totalsRowShown="0" headerRowDxfId="261" dataDxfId="259" headerRowBorderDxfId="260" tableBorderDxfId="258" totalsRowBorderDxfId="257">
  <autoFilter ref="A2:D8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Candidate Name (Party)" dataDxfId="256"/>
    <tableColumn id="2" xr3:uid="{00000000-0010-0000-0200-000002000000}" name="Part of Nassau County Vote Results" dataDxfId="255"/>
    <tableColumn id="4" xr3:uid="{00000000-0010-0000-0200-000004000000}" name="Part of Suffolk County Vote Results" dataDxfId="254"/>
    <tableColumn id="10" xr3:uid="{00000000-0010-0000-0200-00000A000000}" name="Total Votes by Candidate " dataDxfId="253"/>
  </tableColumns>
  <tableStyleInfo name="TableStyleLight2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SD57RepublicanPrimary56" displayName="SD57RepublicanPrimary56" ref="A2:D8" totalsRowShown="0" headerRowDxfId="252" dataDxfId="250" headerRowBorderDxfId="251" tableBorderDxfId="249" totalsRowBorderDxfId="248">
  <autoFilter ref="A2:D8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Candidate Name (Party)" dataDxfId="247"/>
    <tableColumn id="2" xr3:uid="{00000000-0010-0000-0300-000002000000}" name="Part of Nassau County Vote Results" dataDxfId="246"/>
    <tableColumn id="4" xr3:uid="{00000000-0010-0000-0300-000004000000}" name="Part of Queens County Vote Results" dataDxfId="245"/>
    <tableColumn id="10" xr3:uid="{00000000-0010-0000-0300-00000A000000}" name="Total Votes by Candidate " dataDxfId="244"/>
  </tableColumns>
  <tableStyleInfo name="TableStyleLight21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SD57RepublicanPrimary7" displayName="SD57RepublicanPrimary7" ref="A2:C8" totalsRowShown="0" headerRowDxfId="243" dataDxfId="241" headerRowBorderDxfId="242" tableBorderDxfId="240" totalsRowBorderDxfId="239">
  <autoFilter ref="A2:C8" xr:uid="{00000000-0009-0000-0100-000006000000}">
    <filterColumn colId="0" hiddenButton="1"/>
    <filterColumn colId="1" hiddenButton="1"/>
    <filterColumn colId="2" hiddenButton="1"/>
  </autoFilter>
  <tableColumns count="3">
    <tableColumn id="1" xr3:uid="{00000000-0010-0000-0400-000001000000}" name="Candidate Name (Party)" dataDxfId="238"/>
    <tableColumn id="2" xr3:uid="{00000000-0010-0000-0400-000002000000}" name="Part of Nassau County Vote Results" dataDxfId="237"/>
    <tableColumn id="10" xr3:uid="{00000000-0010-0000-0400-00000A000000}" name="Total Votes by Candidate " dataDxfId="236"/>
  </tableColumns>
  <tableStyleInfo name="TableStyleLight21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SD57RepublicanPrimary58" displayName="SD57RepublicanPrimary58" ref="A2:C8" totalsRowShown="0" headerRowDxfId="235" dataDxfId="233" headerRowBorderDxfId="234" tableBorderDxfId="232" totalsRowBorderDxfId="231">
  <autoFilter ref="A2:C8" xr:uid="{00000000-0009-0000-0100-000007000000}">
    <filterColumn colId="0" hiddenButton="1"/>
    <filterColumn colId="1" hiddenButton="1"/>
    <filterColumn colId="2" hiddenButton="1"/>
  </autoFilter>
  <tableColumns count="3">
    <tableColumn id="1" xr3:uid="{00000000-0010-0000-0500-000001000000}" name="Candidate Name (Party)" dataDxfId="230"/>
    <tableColumn id="4" xr3:uid="{00000000-0010-0000-0500-000004000000}" name="Part of Queens County Vote Results" dataDxfId="229"/>
    <tableColumn id="10" xr3:uid="{00000000-0010-0000-0500-00000A000000}" name="Total Votes by Candidate " dataDxfId="228"/>
  </tableColumns>
  <tableStyleInfo name="TableStyleLight21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SD57RepublicanPrimary9" displayName="SD57RepublicanPrimary9" ref="A2:C8" totalsRowShown="0" headerRowDxfId="227" dataDxfId="225" headerRowBorderDxfId="226" tableBorderDxfId="224" totalsRowBorderDxfId="223">
  <autoFilter ref="A2:C8" xr:uid="{00000000-0009-0000-0100-000008000000}">
    <filterColumn colId="0" hiddenButton="1"/>
    <filterColumn colId="1" hiddenButton="1"/>
    <filterColumn colId="2" hiddenButton="1"/>
  </autoFilter>
  <tableColumns count="3">
    <tableColumn id="1" xr3:uid="{00000000-0010-0000-0600-000001000000}" name="Candidate Name (Party)" dataDxfId="222"/>
    <tableColumn id="2" xr3:uid="{00000000-0010-0000-0600-000002000000}" name="Part of Queens County Vote Results" dataDxfId="221"/>
    <tableColumn id="10" xr3:uid="{00000000-0010-0000-0600-00000A000000}" name="Total Votes by Candidate " dataDxfId="220"/>
  </tableColumns>
  <tableStyleInfo name="TableStyleLight21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SD57RepublicanPrimary5610" displayName="SD57RepublicanPrimary5610" ref="A2:D8" totalsRowShown="0" headerRowDxfId="219" dataDxfId="217" headerRowBorderDxfId="218" tableBorderDxfId="216" totalsRowBorderDxfId="215">
  <autoFilter ref="A2:D8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Candidate Name (Party)" dataDxfId="214"/>
    <tableColumn id="2" xr3:uid="{00000000-0010-0000-0700-000002000000}" name="Part of Kings County Vote Results" dataDxfId="213"/>
    <tableColumn id="4" xr3:uid="{00000000-0010-0000-0700-000004000000}" name="Part of Queens County Vote Results" dataDxfId="212"/>
    <tableColumn id="10" xr3:uid="{00000000-0010-0000-0700-00000A000000}" name="Total Votes by Candidate " dataDxfId="211"/>
  </tableColumns>
  <tableStyleInfo name="TableStyleLight21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SD57RepublicanPrimary5811" displayName="SD57RepublicanPrimary5811" ref="A2:C8" totalsRowShown="0" headerRowDxfId="210" dataDxfId="208" headerRowBorderDxfId="209" tableBorderDxfId="207" totalsRowBorderDxfId="206">
  <autoFilter ref="A2:C8" xr:uid="{00000000-0009-0000-0100-00000A000000}">
    <filterColumn colId="0" hiddenButton="1"/>
    <filterColumn colId="1" hiddenButton="1"/>
    <filterColumn colId="2" hiddenButton="1"/>
  </autoFilter>
  <tableColumns count="3">
    <tableColumn id="1" xr3:uid="{00000000-0010-0000-0800-000001000000}" name="Candidate Name (Party)" dataDxfId="205"/>
    <tableColumn id="2" xr3:uid="{00000000-0010-0000-0800-000002000000}" name="Part of Kings County Vote Results" dataDxfId="204"/>
    <tableColumn id="10" xr3:uid="{00000000-0010-0000-0800-00000A000000}" name="Total Votes by Candidate " dataDxfId="203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tabSelected="1" workbookViewId="0">
      <pane ySplit="2" topLeftCell="A39" activePane="bottomLeft" state="frozen"/>
      <selection pane="bottomLeft" activeCell="E52" sqref="E52"/>
    </sheetView>
  </sheetViews>
  <sheetFormatPr defaultColWidth="32" defaultRowHeight="15" x14ac:dyDescent="0.25"/>
  <cols>
    <col min="1" max="1" width="40" customWidth="1"/>
    <col min="2" max="6" width="21" style="1" customWidth="1"/>
    <col min="7" max="7" width="18.85546875" customWidth="1"/>
  </cols>
  <sheetData>
    <row r="1" spans="1:7" s="4" customFormat="1" ht="24.95" customHeight="1" x14ac:dyDescent="0.25">
      <c r="A1" s="3" t="s">
        <v>122</v>
      </c>
    </row>
    <row r="2" spans="1:7" s="2" customFormat="1" ht="27.75" customHeight="1" x14ac:dyDescent="0.25">
      <c r="A2" s="5" t="s">
        <v>0</v>
      </c>
      <c r="B2" s="10" t="s">
        <v>1</v>
      </c>
      <c r="C2" s="10" t="s">
        <v>149</v>
      </c>
      <c r="D2" s="10" t="s">
        <v>150</v>
      </c>
      <c r="E2" s="13" t="s">
        <v>2</v>
      </c>
      <c r="F2" s="13" t="s">
        <v>3</v>
      </c>
      <c r="G2" s="11" t="s">
        <v>4</v>
      </c>
    </row>
    <row r="3" spans="1:7" x14ac:dyDescent="0.25">
      <c r="A3" s="14" t="s">
        <v>5</v>
      </c>
      <c r="B3" s="6">
        <v>6264</v>
      </c>
      <c r="C3" s="6">
        <v>338</v>
      </c>
      <c r="D3" s="6">
        <v>353</v>
      </c>
      <c r="E3" s="15">
        <v>706</v>
      </c>
      <c r="F3" s="15">
        <v>32</v>
      </c>
      <c r="G3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7693</v>
      </c>
    </row>
    <row r="4" spans="1:7" x14ac:dyDescent="0.25">
      <c r="A4" s="14" t="s">
        <v>6</v>
      </c>
      <c r="B4" s="6">
        <v>326</v>
      </c>
      <c r="C4" s="6">
        <v>22</v>
      </c>
      <c r="D4" s="6">
        <v>21</v>
      </c>
      <c r="E4" s="15">
        <v>31</v>
      </c>
      <c r="F4" s="15">
        <v>0</v>
      </c>
      <c r="G4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400</v>
      </c>
    </row>
    <row r="5" spans="1:7" x14ac:dyDescent="0.25">
      <c r="A5" s="14" t="s">
        <v>7</v>
      </c>
      <c r="B5" s="6">
        <v>2862</v>
      </c>
      <c r="C5" s="6">
        <v>193</v>
      </c>
      <c r="D5" s="6">
        <v>127</v>
      </c>
      <c r="E5" s="15">
        <v>129</v>
      </c>
      <c r="F5" s="15">
        <v>29</v>
      </c>
      <c r="G5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3340</v>
      </c>
    </row>
    <row r="6" spans="1:7" x14ac:dyDescent="0.25">
      <c r="A6" s="14" t="s">
        <v>8</v>
      </c>
      <c r="B6" s="6">
        <v>480</v>
      </c>
      <c r="C6" s="6">
        <v>54</v>
      </c>
      <c r="D6" s="6">
        <v>54</v>
      </c>
      <c r="E6" s="15">
        <v>29</v>
      </c>
      <c r="F6" s="15">
        <v>5</v>
      </c>
      <c r="G6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622</v>
      </c>
    </row>
    <row r="7" spans="1:7" x14ac:dyDescent="0.25">
      <c r="A7" s="14" t="s">
        <v>9</v>
      </c>
      <c r="B7" s="6">
        <v>735</v>
      </c>
      <c r="C7" s="6">
        <v>47</v>
      </c>
      <c r="D7" s="6">
        <v>35</v>
      </c>
      <c r="E7" s="15">
        <v>10</v>
      </c>
      <c r="F7" s="15">
        <v>24</v>
      </c>
      <c r="G7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851</v>
      </c>
    </row>
    <row r="8" spans="1:7" x14ac:dyDescent="0.25">
      <c r="A8" s="14" t="s">
        <v>10</v>
      </c>
      <c r="B8" s="6">
        <v>1209</v>
      </c>
      <c r="C8" s="6">
        <v>87</v>
      </c>
      <c r="D8" s="6">
        <v>87</v>
      </c>
      <c r="E8" s="15">
        <v>71</v>
      </c>
      <c r="F8" s="15">
        <v>11</v>
      </c>
      <c r="G8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1465</v>
      </c>
    </row>
    <row r="9" spans="1:7" x14ac:dyDescent="0.25">
      <c r="A9" s="14" t="s">
        <v>11</v>
      </c>
      <c r="B9" s="6">
        <v>827</v>
      </c>
      <c r="C9" s="6">
        <v>39</v>
      </c>
      <c r="D9" s="6">
        <v>40</v>
      </c>
      <c r="E9" s="15">
        <v>49</v>
      </c>
      <c r="F9" s="15">
        <v>7</v>
      </c>
      <c r="G9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962</v>
      </c>
    </row>
    <row r="10" spans="1:7" x14ac:dyDescent="0.25">
      <c r="A10" s="14" t="s">
        <v>12</v>
      </c>
      <c r="B10" s="6">
        <v>422</v>
      </c>
      <c r="C10" s="6">
        <v>32</v>
      </c>
      <c r="D10" s="6">
        <v>25</v>
      </c>
      <c r="E10" s="15">
        <v>13</v>
      </c>
      <c r="F10" s="15">
        <v>3</v>
      </c>
      <c r="G10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495</v>
      </c>
    </row>
    <row r="11" spans="1:7" x14ac:dyDescent="0.25">
      <c r="A11" s="14" t="s">
        <v>13</v>
      </c>
      <c r="B11" s="6">
        <v>815</v>
      </c>
      <c r="C11" s="6">
        <v>46</v>
      </c>
      <c r="D11" s="6">
        <v>65</v>
      </c>
      <c r="E11" s="15">
        <v>24</v>
      </c>
      <c r="F11" s="15">
        <v>3</v>
      </c>
      <c r="G11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953</v>
      </c>
    </row>
    <row r="12" spans="1:7" x14ac:dyDescent="0.25">
      <c r="A12" s="14" t="s">
        <v>14</v>
      </c>
      <c r="B12" s="6">
        <v>1524</v>
      </c>
      <c r="C12" s="6">
        <v>84</v>
      </c>
      <c r="D12" s="6">
        <v>45</v>
      </c>
      <c r="E12" s="15">
        <v>187</v>
      </c>
      <c r="F12" s="15">
        <v>6</v>
      </c>
      <c r="G12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1846</v>
      </c>
    </row>
    <row r="13" spans="1:7" x14ac:dyDescent="0.25">
      <c r="A13" s="14" t="s">
        <v>15</v>
      </c>
      <c r="B13" s="6">
        <v>570</v>
      </c>
      <c r="C13" s="6">
        <v>40</v>
      </c>
      <c r="D13" s="6">
        <v>25</v>
      </c>
      <c r="E13" s="15">
        <v>29</v>
      </c>
      <c r="F13" s="15">
        <v>0</v>
      </c>
      <c r="G13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664</v>
      </c>
    </row>
    <row r="14" spans="1:7" x14ac:dyDescent="0.25">
      <c r="A14" s="14" t="s">
        <v>16</v>
      </c>
      <c r="B14" s="6">
        <v>599</v>
      </c>
      <c r="C14" s="6">
        <v>47</v>
      </c>
      <c r="D14" s="6">
        <v>30</v>
      </c>
      <c r="E14" s="15">
        <v>94</v>
      </c>
      <c r="F14" s="15">
        <v>4</v>
      </c>
      <c r="G14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774</v>
      </c>
    </row>
    <row r="15" spans="1:7" x14ac:dyDescent="0.25">
      <c r="A15" s="14" t="s">
        <v>17</v>
      </c>
      <c r="B15" s="6">
        <f>370+4069</f>
        <v>4439</v>
      </c>
      <c r="C15" s="6">
        <f>21+203</f>
        <v>224</v>
      </c>
      <c r="D15" s="6">
        <f>13+101</f>
        <v>114</v>
      </c>
      <c r="E15" s="15">
        <f>25+546</f>
        <v>571</v>
      </c>
      <c r="F15" s="15">
        <f>2+18</f>
        <v>20</v>
      </c>
      <c r="G15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5368</v>
      </c>
    </row>
    <row r="16" spans="1:7" x14ac:dyDescent="0.25">
      <c r="A16" s="14" t="s">
        <v>18</v>
      </c>
      <c r="B16" s="6">
        <f>3706+9467</f>
        <v>13173</v>
      </c>
      <c r="C16" s="6">
        <f>247+459</f>
        <v>706</v>
      </c>
      <c r="D16" s="6">
        <f>245+393</f>
        <v>638</v>
      </c>
      <c r="E16" s="15">
        <f>216+1095</f>
        <v>1311</v>
      </c>
      <c r="F16" s="15">
        <f>23+45</f>
        <v>68</v>
      </c>
      <c r="G16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15896</v>
      </c>
    </row>
    <row r="17" spans="1:7" x14ac:dyDescent="0.25">
      <c r="A17" s="14" t="s">
        <v>19</v>
      </c>
      <c r="B17" s="6">
        <v>528</v>
      </c>
      <c r="C17" s="6">
        <v>26</v>
      </c>
      <c r="D17" s="6">
        <v>26</v>
      </c>
      <c r="E17" s="15">
        <v>44</v>
      </c>
      <c r="F17" s="15">
        <v>2</v>
      </c>
      <c r="G17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626</v>
      </c>
    </row>
    <row r="18" spans="1:7" x14ac:dyDescent="0.25">
      <c r="A18" s="14" t="s">
        <v>20</v>
      </c>
      <c r="B18" s="6">
        <v>399</v>
      </c>
      <c r="C18" s="6">
        <v>27</v>
      </c>
      <c r="D18" s="6">
        <v>49</v>
      </c>
      <c r="E18" s="15">
        <v>30</v>
      </c>
      <c r="F18" s="15">
        <v>1</v>
      </c>
      <c r="G18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506</v>
      </c>
    </row>
    <row r="19" spans="1:7" x14ac:dyDescent="0.25">
      <c r="A19" s="14" t="s">
        <v>21</v>
      </c>
      <c r="B19" s="6">
        <v>371</v>
      </c>
      <c r="C19" s="6">
        <v>38</v>
      </c>
      <c r="D19" s="6">
        <v>25</v>
      </c>
      <c r="E19" s="15">
        <v>15</v>
      </c>
      <c r="F19" s="15">
        <v>0</v>
      </c>
      <c r="G19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449</v>
      </c>
    </row>
    <row r="20" spans="1:7" x14ac:dyDescent="0.25">
      <c r="A20" s="14" t="s">
        <v>22</v>
      </c>
      <c r="B20" s="6">
        <v>408</v>
      </c>
      <c r="C20" s="6">
        <v>29</v>
      </c>
      <c r="D20" s="6">
        <v>18</v>
      </c>
      <c r="E20" s="15">
        <v>30</v>
      </c>
      <c r="F20" s="15">
        <v>1</v>
      </c>
      <c r="G20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486</v>
      </c>
    </row>
    <row r="21" spans="1:7" x14ac:dyDescent="0.25">
      <c r="A21" s="14" t="s">
        <v>23</v>
      </c>
      <c r="B21" s="6">
        <v>542</v>
      </c>
      <c r="C21" s="6">
        <v>37</v>
      </c>
      <c r="D21" s="6">
        <v>18</v>
      </c>
      <c r="E21" s="15">
        <v>98</v>
      </c>
      <c r="F21" s="15">
        <v>2</v>
      </c>
      <c r="G21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697</v>
      </c>
    </row>
    <row r="22" spans="1:7" x14ac:dyDescent="0.25">
      <c r="A22" s="14" t="s">
        <v>24</v>
      </c>
      <c r="B22" s="6">
        <v>85</v>
      </c>
      <c r="C22" s="6">
        <v>10</v>
      </c>
      <c r="D22" s="6">
        <v>3</v>
      </c>
      <c r="E22" s="15">
        <v>6</v>
      </c>
      <c r="F22" s="15">
        <v>0</v>
      </c>
      <c r="G22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104</v>
      </c>
    </row>
    <row r="23" spans="1:7" x14ac:dyDescent="0.25">
      <c r="A23" s="14" t="s">
        <v>25</v>
      </c>
      <c r="B23" s="22">
        <v>439</v>
      </c>
      <c r="C23" s="6">
        <v>40</v>
      </c>
      <c r="D23" s="22">
        <v>31</v>
      </c>
      <c r="E23" s="15">
        <v>24</v>
      </c>
      <c r="F23" s="15">
        <v>4</v>
      </c>
      <c r="G23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538</v>
      </c>
    </row>
    <row r="24" spans="1:7" x14ac:dyDescent="0.25">
      <c r="A24" s="14" t="s">
        <v>26</v>
      </c>
      <c r="B24" s="6">
        <f>115+529</f>
        <v>644</v>
      </c>
      <c r="C24" s="6">
        <f>9+35</f>
        <v>44</v>
      </c>
      <c r="D24" s="6">
        <f>6+24</f>
        <v>30</v>
      </c>
      <c r="E24" s="15">
        <f>3+27</f>
        <v>30</v>
      </c>
      <c r="F24" s="15">
        <v>6</v>
      </c>
      <c r="G24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754</v>
      </c>
    </row>
    <row r="25" spans="1:7" x14ac:dyDescent="0.25">
      <c r="A25" s="14" t="s">
        <v>27</v>
      </c>
      <c r="B25" s="6">
        <v>154</v>
      </c>
      <c r="C25" s="6">
        <v>10</v>
      </c>
      <c r="D25" s="6">
        <v>21</v>
      </c>
      <c r="E25" s="15">
        <v>14</v>
      </c>
      <c r="F25" s="15">
        <v>0</v>
      </c>
      <c r="G25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199</v>
      </c>
    </row>
    <row r="26" spans="1:7" x14ac:dyDescent="0.25">
      <c r="A26" s="14" t="s">
        <v>28</v>
      </c>
      <c r="B26" s="6">
        <v>557</v>
      </c>
      <c r="C26" s="6">
        <v>49</v>
      </c>
      <c r="D26" s="6">
        <v>23</v>
      </c>
      <c r="E26" s="15">
        <v>38</v>
      </c>
      <c r="F26" s="15">
        <v>3</v>
      </c>
      <c r="G26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670</v>
      </c>
    </row>
    <row r="27" spans="1:7" x14ac:dyDescent="0.25">
      <c r="A27" s="14" t="s">
        <v>29</v>
      </c>
      <c r="B27" s="6">
        <v>777</v>
      </c>
      <c r="C27" s="6">
        <v>50</v>
      </c>
      <c r="D27" s="6">
        <v>24</v>
      </c>
      <c r="E27" s="15">
        <v>38</v>
      </c>
      <c r="F27" s="15">
        <v>4</v>
      </c>
      <c r="G27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893</v>
      </c>
    </row>
    <row r="28" spans="1:7" x14ac:dyDescent="0.25">
      <c r="A28" s="14" t="s">
        <v>30</v>
      </c>
      <c r="B28" s="6">
        <v>13709</v>
      </c>
      <c r="C28" s="6">
        <v>725</v>
      </c>
      <c r="D28" s="6">
        <v>466</v>
      </c>
      <c r="E28" s="15">
        <v>1013</v>
      </c>
      <c r="F28" s="15">
        <v>82</v>
      </c>
      <c r="G28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15995</v>
      </c>
    </row>
    <row r="29" spans="1:7" x14ac:dyDescent="0.25">
      <c r="A29" s="14" t="s">
        <v>31</v>
      </c>
      <c r="B29" s="6">
        <v>340</v>
      </c>
      <c r="C29" s="6">
        <v>25</v>
      </c>
      <c r="D29" s="6">
        <v>35</v>
      </c>
      <c r="E29" s="15">
        <v>27</v>
      </c>
      <c r="F29" s="15">
        <v>8</v>
      </c>
      <c r="G29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435</v>
      </c>
    </row>
    <row r="30" spans="1:7" x14ac:dyDescent="0.25">
      <c r="A30" s="14" t="s">
        <v>32</v>
      </c>
      <c r="B30" s="6">
        <f>147+6524+6614</f>
        <v>13285</v>
      </c>
      <c r="C30" s="6">
        <f>10+253+241</f>
        <v>504</v>
      </c>
      <c r="D30" s="6">
        <f>8+210+209</f>
        <v>427</v>
      </c>
      <c r="E30" s="15">
        <f>11+485+471</f>
        <v>967</v>
      </c>
      <c r="F30" s="15">
        <f>2+64+154</f>
        <v>220</v>
      </c>
      <c r="G30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15403</v>
      </c>
    </row>
    <row r="31" spans="1:7" x14ac:dyDescent="0.25">
      <c r="A31" s="14" t="s">
        <v>33</v>
      </c>
      <c r="B31" s="6">
        <f>353+1508</f>
        <v>1861</v>
      </c>
      <c r="C31" s="6">
        <f>36+99</f>
        <v>135</v>
      </c>
      <c r="D31" s="6">
        <f>31+93</f>
        <v>124</v>
      </c>
      <c r="E31" s="15">
        <f>26+78</f>
        <v>104</v>
      </c>
      <c r="F31" s="15">
        <f>3+7</f>
        <v>10</v>
      </c>
      <c r="G31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2234</v>
      </c>
    </row>
    <row r="32" spans="1:7" x14ac:dyDescent="0.25">
      <c r="A32" s="14" t="s">
        <v>34</v>
      </c>
      <c r="B32" s="6">
        <v>1761</v>
      </c>
      <c r="C32" s="6">
        <v>131</v>
      </c>
      <c r="D32" s="6">
        <v>110</v>
      </c>
      <c r="E32" s="15">
        <v>96</v>
      </c>
      <c r="F32" s="15">
        <v>13</v>
      </c>
      <c r="G32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2111</v>
      </c>
    </row>
    <row r="33" spans="1:7" x14ac:dyDescent="0.25">
      <c r="A33" s="14" t="s">
        <v>35</v>
      </c>
      <c r="B33" s="6">
        <v>5716</v>
      </c>
      <c r="C33" s="6">
        <v>266</v>
      </c>
      <c r="D33" s="6">
        <v>215</v>
      </c>
      <c r="E33" s="15">
        <v>429</v>
      </c>
      <c r="F33" s="15">
        <v>68</v>
      </c>
      <c r="G33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6694</v>
      </c>
    </row>
    <row r="34" spans="1:7" x14ac:dyDescent="0.25">
      <c r="A34" s="14" t="s">
        <v>36</v>
      </c>
      <c r="B34" s="6">
        <v>1353</v>
      </c>
      <c r="C34" s="6">
        <v>77</v>
      </c>
      <c r="D34" s="6">
        <v>47</v>
      </c>
      <c r="E34" s="15">
        <v>100</v>
      </c>
      <c r="F34" s="15">
        <v>4</v>
      </c>
      <c r="G34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1581</v>
      </c>
    </row>
    <row r="35" spans="1:7" x14ac:dyDescent="0.25">
      <c r="A35" s="14" t="s">
        <v>37</v>
      </c>
      <c r="B35" s="6">
        <v>2807</v>
      </c>
      <c r="C35" s="6">
        <v>174</v>
      </c>
      <c r="D35" s="6">
        <v>99</v>
      </c>
      <c r="E35" s="15">
        <v>232</v>
      </c>
      <c r="F35" s="15">
        <v>20</v>
      </c>
      <c r="G35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3332</v>
      </c>
    </row>
    <row r="36" spans="1:7" x14ac:dyDescent="0.25">
      <c r="A36" s="14" t="s">
        <v>38</v>
      </c>
      <c r="B36" s="6">
        <v>230</v>
      </c>
      <c r="C36" s="6">
        <v>18</v>
      </c>
      <c r="D36" s="6">
        <v>18</v>
      </c>
      <c r="E36" s="15">
        <v>10</v>
      </c>
      <c r="F36" s="15">
        <v>0</v>
      </c>
      <c r="G36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276</v>
      </c>
    </row>
    <row r="37" spans="1:7" x14ac:dyDescent="0.25">
      <c r="A37" s="14" t="s">
        <v>39</v>
      </c>
      <c r="B37" s="6">
        <f>669+2</f>
        <v>671</v>
      </c>
      <c r="C37" s="6">
        <f>1+40</f>
        <v>41</v>
      </c>
      <c r="D37" s="6">
        <v>36</v>
      </c>
      <c r="E37" s="15">
        <v>40</v>
      </c>
      <c r="F37" s="15">
        <v>6</v>
      </c>
      <c r="G37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794</v>
      </c>
    </row>
    <row r="38" spans="1:7" x14ac:dyDescent="0.25">
      <c r="A38" s="14" t="s">
        <v>40</v>
      </c>
      <c r="B38" s="6">
        <f>499+308</f>
        <v>807</v>
      </c>
      <c r="C38" s="6">
        <f>29+13</f>
        <v>42</v>
      </c>
      <c r="D38" s="6">
        <f>14+13</f>
        <v>27</v>
      </c>
      <c r="E38" s="15">
        <f>40+8</f>
        <v>48</v>
      </c>
      <c r="F38" s="15">
        <f>4+1</f>
        <v>5</v>
      </c>
      <c r="G38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929</v>
      </c>
    </row>
    <row r="39" spans="1:7" x14ac:dyDescent="0.25">
      <c r="A39" s="14" t="s">
        <v>41</v>
      </c>
      <c r="B39" s="6">
        <v>1192</v>
      </c>
      <c r="C39" s="6">
        <v>57</v>
      </c>
      <c r="D39" s="6">
        <v>34</v>
      </c>
      <c r="E39" s="15">
        <v>92</v>
      </c>
      <c r="F39" s="15">
        <v>3</v>
      </c>
      <c r="G39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1378</v>
      </c>
    </row>
    <row r="40" spans="1:7" x14ac:dyDescent="0.25">
      <c r="A40" s="14" t="s">
        <v>42</v>
      </c>
      <c r="B40" s="6">
        <f>562+1035</f>
        <v>1597</v>
      </c>
      <c r="C40" s="6">
        <f>53+49</f>
        <v>102</v>
      </c>
      <c r="D40" s="6">
        <f>25+48</f>
        <v>73</v>
      </c>
      <c r="E40" s="15">
        <f>123+90</f>
        <v>213</v>
      </c>
      <c r="F40" s="15">
        <f>4+10</f>
        <v>14</v>
      </c>
      <c r="G40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1999</v>
      </c>
    </row>
    <row r="41" spans="1:7" x14ac:dyDescent="0.25">
      <c r="A41" s="14" t="s">
        <v>43</v>
      </c>
      <c r="B41" s="6">
        <v>3072</v>
      </c>
      <c r="C41" s="6">
        <v>168</v>
      </c>
      <c r="D41" s="6">
        <v>150</v>
      </c>
      <c r="E41" s="15">
        <v>280</v>
      </c>
      <c r="F41" s="15">
        <v>32</v>
      </c>
      <c r="G41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3702</v>
      </c>
    </row>
    <row r="42" spans="1:7" x14ac:dyDescent="0.25">
      <c r="A42" s="14" t="s">
        <v>44</v>
      </c>
      <c r="B42" s="6">
        <v>2523</v>
      </c>
      <c r="C42" s="6">
        <v>115</v>
      </c>
      <c r="D42" s="6">
        <v>86</v>
      </c>
      <c r="E42" s="15">
        <v>168</v>
      </c>
      <c r="F42" s="15">
        <v>10</v>
      </c>
      <c r="G42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2902</v>
      </c>
    </row>
    <row r="43" spans="1:7" x14ac:dyDescent="0.25">
      <c r="A43" s="14" t="s">
        <v>45</v>
      </c>
      <c r="B43" s="6">
        <v>1749</v>
      </c>
      <c r="C43" s="6">
        <v>101</v>
      </c>
      <c r="D43" s="6">
        <v>75</v>
      </c>
      <c r="E43" s="15">
        <v>156</v>
      </c>
      <c r="F43" s="15">
        <v>35</v>
      </c>
      <c r="G43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2116</v>
      </c>
    </row>
    <row r="44" spans="1:7" x14ac:dyDescent="0.25">
      <c r="A44" s="14" t="s">
        <v>46</v>
      </c>
      <c r="B44" s="6">
        <v>365</v>
      </c>
      <c r="C44" s="6">
        <v>28</v>
      </c>
      <c r="D44" s="6">
        <v>22</v>
      </c>
      <c r="E44" s="15">
        <v>23</v>
      </c>
      <c r="F44" s="15">
        <v>0</v>
      </c>
      <c r="G44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438</v>
      </c>
    </row>
    <row r="45" spans="1:7" x14ac:dyDescent="0.25">
      <c r="A45" s="14" t="s">
        <v>47</v>
      </c>
      <c r="B45" s="6">
        <v>234</v>
      </c>
      <c r="C45" s="6">
        <v>20</v>
      </c>
      <c r="D45" s="6">
        <v>13</v>
      </c>
      <c r="E45" s="15">
        <v>14</v>
      </c>
      <c r="F45" s="15">
        <v>2</v>
      </c>
      <c r="G45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283</v>
      </c>
    </row>
    <row r="46" spans="1:7" x14ac:dyDescent="0.25">
      <c r="A46" s="14" t="s">
        <v>48</v>
      </c>
      <c r="B46" s="6">
        <v>313</v>
      </c>
      <c r="C46" s="6">
        <v>21</v>
      </c>
      <c r="D46" s="6">
        <v>19</v>
      </c>
      <c r="E46" s="15">
        <v>13</v>
      </c>
      <c r="F46" s="15">
        <v>2</v>
      </c>
      <c r="G46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368</v>
      </c>
    </row>
    <row r="47" spans="1:7" x14ac:dyDescent="0.25">
      <c r="A47" s="14" t="s">
        <v>49</v>
      </c>
      <c r="B47" s="6">
        <v>874</v>
      </c>
      <c r="C47" s="6">
        <v>69</v>
      </c>
      <c r="D47" s="6">
        <v>71</v>
      </c>
      <c r="E47" s="15">
        <v>48</v>
      </c>
      <c r="F47" s="15">
        <v>0</v>
      </c>
      <c r="G47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1062</v>
      </c>
    </row>
    <row r="48" spans="1:7" x14ac:dyDescent="0.25">
      <c r="A48" s="14" t="s">
        <v>50</v>
      </c>
      <c r="B48" s="6">
        <v>686</v>
      </c>
      <c r="C48" s="6">
        <v>59</v>
      </c>
      <c r="D48" s="6">
        <v>33</v>
      </c>
      <c r="E48" s="15">
        <v>47</v>
      </c>
      <c r="F48" s="15">
        <v>3</v>
      </c>
      <c r="G48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828</v>
      </c>
    </row>
    <row r="49" spans="1:7" x14ac:dyDescent="0.25">
      <c r="A49" s="14" t="s">
        <v>51</v>
      </c>
      <c r="B49" s="6">
        <f>7695+4355</f>
        <v>12050</v>
      </c>
      <c r="C49" s="6">
        <f>322+234</f>
        <v>556</v>
      </c>
      <c r="D49" s="6">
        <f>221+182</f>
        <v>403</v>
      </c>
      <c r="E49" s="15">
        <f>449+265</f>
        <v>714</v>
      </c>
      <c r="F49" s="15">
        <f>39+43</f>
        <v>82</v>
      </c>
      <c r="G49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13805</v>
      </c>
    </row>
    <row r="50" spans="1:7" x14ac:dyDescent="0.25">
      <c r="A50" s="14" t="s">
        <v>52</v>
      </c>
      <c r="B50" s="6">
        <v>812</v>
      </c>
      <c r="C50" s="6">
        <v>49</v>
      </c>
      <c r="D50" s="6">
        <v>35</v>
      </c>
      <c r="E50" s="15">
        <v>102</v>
      </c>
      <c r="F50" s="15">
        <v>0</v>
      </c>
      <c r="G50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998</v>
      </c>
    </row>
    <row r="51" spans="1:7" x14ac:dyDescent="0.25">
      <c r="A51" s="14" t="s">
        <v>53</v>
      </c>
      <c r="B51" s="6">
        <v>484</v>
      </c>
      <c r="C51" s="6">
        <v>39</v>
      </c>
      <c r="D51" s="6">
        <v>24</v>
      </c>
      <c r="E51" s="15">
        <v>33</v>
      </c>
      <c r="F51" s="15">
        <v>1</v>
      </c>
      <c r="G51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581</v>
      </c>
    </row>
    <row r="52" spans="1:7" x14ac:dyDescent="0.25">
      <c r="A52" s="14" t="s">
        <v>54</v>
      </c>
      <c r="B52" s="6">
        <v>2536</v>
      </c>
      <c r="C52" s="6">
        <v>157</v>
      </c>
      <c r="D52" s="6">
        <v>62</v>
      </c>
      <c r="E52" s="15">
        <v>435</v>
      </c>
      <c r="F52" s="15">
        <v>13</v>
      </c>
      <c r="G52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3203</v>
      </c>
    </row>
    <row r="53" spans="1:7" x14ac:dyDescent="0.25">
      <c r="A53" s="14" t="s">
        <v>55</v>
      </c>
      <c r="B53" s="6">
        <f>1587+2023</f>
        <v>3610</v>
      </c>
      <c r="C53" s="6">
        <f>88+156</f>
        <v>244</v>
      </c>
      <c r="D53" s="6">
        <f>28+60</f>
        <v>88</v>
      </c>
      <c r="E53" s="15">
        <f>217+435</f>
        <v>652</v>
      </c>
      <c r="F53" s="15">
        <f>6+9</f>
        <v>15</v>
      </c>
      <c r="G53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4609</v>
      </c>
    </row>
    <row r="54" spans="1:7" x14ac:dyDescent="0.25">
      <c r="A54" s="14" t="s">
        <v>56</v>
      </c>
      <c r="B54" s="6">
        <v>856</v>
      </c>
      <c r="C54" s="6">
        <v>59</v>
      </c>
      <c r="D54" s="6">
        <v>42</v>
      </c>
      <c r="E54" s="15">
        <v>32</v>
      </c>
      <c r="F54" s="15">
        <v>1</v>
      </c>
      <c r="G54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990</v>
      </c>
    </row>
    <row r="55" spans="1:7" x14ac:dyDescent="0.25">
      <c r="A55" s="14" t="s">
        <v>57</v>
      </c>
      <c r="B55" s="6">
        <v>548</v>
      </c>
      <c r="C55" s="6">
        <v>37</v>
      </c>
      <c r="D55" s="6">
        <v>25</v>
      </c>
      <c r="E55" s="15">
        <v>49</v>
      </c>
      <c r="F55" s="15">
        <v>8</v>
      </c>
      <c r="G55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667</v>
      </c>
    </row>
    <row r="56" spans="1:7" x14ac:dyDescent="0.25">
      <c r="A56" s="14" t="s">
        <v>58</v>
      </c>
      <c r="B56" s="6">
        <v>578</v>
      </c>
      <c r="C56" s="6">
        <v>40</v>
      </c>
      <c r="D56" s="6">
        <v>48</v>
      </c>
      <c r="E56" s="15">
        <v>18</v>
      </c>
      <c r="F56" s="15">
        <v>6</v>
      </c>
      <c r="G56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690</v>
      </c>
    </row>
    <row r="57" spans="1:7" x14ac:dyDescent="0.25">
      <c r="A57" s="14" t="s">
        <v>59</v>
      </c>
      <c r="B57" s="18">
        <f>10630+5264</f>
        <v>15894</v>
      </c>
      <c r="C57" s="18">
        <f>462+229</f>
        <v>691</v>
      </c>
      <c r="D57" s="18">
        <f>365+148</f>
        <v>513</v>
      </c>
      <c r="E57" s="17">
        <f>1114+501</f>
        <v>1615</v>
      </c>
      <c r="F57" s="17">
        <v>0</v>
      </c>
      <c r="G57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18713</v>
      </c>
    </row>
    <row r="58" spans="1:7" x14ac:dyDescent="0.25">
      <c r="A58" s="14" t="s">
        <v>60</v>
      </c>
      <c r="B58" s="6">
        <v>167</v>
      </c>
      <c r="C58" s="6">
        <v>12</v>
      </c>
      <c r="D58" s="6">
        <v>16</v>
      </c>
      <c r="E58" s="15">
        <v>10</v>
      </c>
      <c r="F58" s="15">
        <v>2</v>
      </c>
      <c r="G58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207</v>
      </c>
    </row>
    <row r="59" spans="1:7" x14ac:dyDescent="0.25">
      <c r="A59" s="14" t="s">
        <v>61</v>
      </c>
      <c r="B59" s="6">
        <v>299</v>
      </c>
      <c r="C59" s="6">
        <v>19</v>
      </c>
      <c r="D59" s="6">
        <v>9</v>
      </c>
      <c r="E59" s="15">
        <v>7</v>
      </c>
      <c r="F59" s="15">
        <v>4</v>
      </c>
      <c r="G59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338</v>
      </c>
    </row>
    <row r="60" spans="1:7" s="19" customFormat="1" x14ac:dyDescent="0.25">
      <c r="A60" s="14" t="s">
        <v>62</v>
      </c>
      <c r="B60" s="22">
        <v>20620</v>
      </c>
      <c r="C60" s="22">
        <v>1011</v>
      </c>
      <c r="D60" s="22">
        <v>744</v>
      </c>
      <c r="E60" s="17">
        <v>1406</v>
      </c>
      <c r="F60" s="17">
        <v>0</v>
      </c>
      <c r="G60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23781</v>
      </c>
    </row>
    <row r="61" spans="1:7" s="19" customFormat="1" x14ac:dyDescent="0.25">
      <c r="A61" s="14" t="s">
        <v>63</v>
      </c>
      <c r="B61" s="22">
        <v>42513</v>
      </c>
      <c r="C61" s="22">
        <v>2625</v>
      </c>
      <c r="D61" s="22">
        <v>1638</v>
      </c>
      <c r="E61" s="17">
        <v>15081</v>
      </c>
      <c r="F61" s="17">
        <v>0</v>
      </c>
      <c r="G61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61857</v>
      </c>
    </row>
    <row r="62" spans="1:7" s="19" customFormat="1" x14ac:dyDescent="0.25">
      <c r="A62" s="14" t="s">
        <v>64</v>
      </c>
      <c r="B62" s="22">
        <v>54269</v>
      </c>
      <c r="C62" s="22">
        <v>2228</v>
      </c>
      <c r="D62" s="22">
        <v>1378</v>
      </c>
      <c r="E62" s="17">
        <v>6931</v>
      </c>
      <c r="F62" s="17">
        <v>0</v>
      </c>
      <c r="G62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64806</v>
      </c>
    </row>
    <row r="63" spans="1:7" s="19" customFormat="1" x14ac:dyDescent="0.25">
      <c r="A63" s="14" t="s">
        <v>65</v>
      </c>
      <c r="B63" s="22">
        <v>33646</v>
      </c>
      <c r="C63" s="22">
        <v>2181</v>
      </c>
      <c r="D63" s="22">
        <v>1781</v>
      </c>
      <c r="E63" s="17">
        <v>5642</v>
      </c>
      <c r="F63" s="17">
        <v>0</v>
      </c>
      <c r="G63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43250</v>
      </c>
    </row>
    <row r="64" spans="1:7" s="19" customFormat="1" x14ac:dyDescent="0.25">
      <c r="A64" s="14" t="s">
        <v>66</v>
      </c>
      <c r="B64" s="18">
        <v>4914</v>
      </c>
      <c r="C64" s="18">
        <v>422</v>
      </c>
      <c r="D64" s="18">
        <v>389</v>
      </c>
      <c r="E64" s="17">
        <v>624</v>
      </c>
      <c r="F64" s="17">
        <v>0</v>
      </c>
      <c r="G64" s="7">
        <f>SUM(SD57RepublicanPrimary4[[#This Row],[Void]],SD57RepublicanPrimary4[[#This Row],[Blank]],SD57RepublicanPrimary4[[#This Row],[Dean Phillips (DEM)]],SD57RepublicanPrimary4[[#This Row],[Marianne Williamson (DEM)]],SD57RepublicanPrimary4[[#This Row],[Joseph R. Biden (DEM)]])</f>
        <v>6349</v>
      </c>
    </row>
    <row r="65" spans="1:7" x14ac:dyDescent="0.25">
      <c r="A65" s="12" t="s">
        <v>67</v>
      </c>
      <c r="B65" s="8">
        <f t="shared" ref="B65:G65" si="0">SUM(B3:B64)</f>
        <v>288090</v>
      </c>
      <c r="C65" s="8">
        <f t="shared" si="0"/>
        <v>15567</v>
      </c>
      <c r="D65" s="8">
        <f t="shared" si="0"/>
        <v>11302</v>
      </c>
      <c r="E65" s="8">
        <f t="shared" si="0"/>
        <v>41092</v>
      </c>
      <c r="F65" s="8">
        <f t="shared" si="0"/>
        <v>904</v>
      </c>
      <c r="G65" s="9">
        <f t="shared" si="0"/>
        <v>356955</v>
      </c>
    </row>
  </sheetData>
  <pageMargins left="0.5" right="0.5" top="0.5" bottom="0.5" header="0.3" footer="0.3"/>
  <pageSetup paperSize="5" scale="49" fitToHeight="0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8"/>
  <sheetViews>
    <sheetView workbookViewId="0">
      <selection activeCell="B8" sqref="B8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131</v>
      </c>
    </row>
    <row r="2" spans="1:3" s="2" customFormat="1" ht="27.75" customHeight="1" x14ac:dyDescent="0.25">
      <c r="A2" s="5" t="s">
        <v>68</v>
      </c>
      <c r="B2" s="23" t="s">
        <v>74</v>
      </c>
      <c r="C2" s="24" t="s">
        <v>70</v>
      </c>
    </row>
    <row r="3" spans="1:3" x14ac:dyDescent="0.25">
      <c r="A3" s="14" t="s">
        <v>1</v>
      </c>
      <c r="B3" s="18">
        <v>13131</v>
      </c>
      <c r="C3" s="7">
        <f>SUM(SD57RepublicanPrimary912[[#This Row],[Part of Kings County Vote Results]])</f>
        <v>13131</v>
      </c>
    </row>
    <row r="4" spans="1:3" x14ac:dyDescent="0.25">
      <c r="A4" s="14" t="s">
        <v>149</v>
      </c>
      <c r="B4" s="18">
        <v>662</v>
      </c>
      <c r="C4" s="7">
        <f>SUM(SD57RepublicanPrimary912[[#This Row],[Part of Kings County Vote Results]])</f>
        <v>662</v>
      </c>
    </row>
    <row r="5" spans="1:3" x14ac:dyDescent="0.25">
      <c r="A5" s="14" t="s">
        <v>150</v>
      </c>
      <c r="B5" s="18">
        <v>482</v>
      </c>
      <c r="C5" s="7">
        <f>SUM(SD57RepublicanPrimary912[[#This Row],[Part of Kings County Vote Results]])</f>
        <v>482</v>
      </c>
    </row>
    <row r="6" spans="1:3" x14ac:dyDescent="0.25">
      <c r="A6" s="16" t="s">
        <v>2</v>
      </c>
      <c r="B6" s="18">
        <v>4431</v>
      </c>
      <c r="C6" s="7">
        <f>SUM(SD57RepublicanPrimary912[[#This Row],[Part of Kings County Vote Results]])</f>
        <v>4431</v>
      </c>
    </row>
    <row r="7" spans="1:3" x14ac:dyDescent="0.25">
      <c r="A7" s="16" t="s">
        <v>3</v>
      </c>
      <c r="B7" s="18">
        <v>0</v>
      </c>
      <c r="C7" s="7">
        <f>SUM(SD57RepublicanPrimary912[[#This Row],[Part of Kings County Vote Results]])</f>
        <v>0</v>
      </c>
    </row>
    <row r="8" spans="1:3" x14ac:dyDescent="0.25">
      <c r="A8" s="12" t="s">
        <v>71</v>
      </c>
      <c r="B8" s="20">
        <f>SUM(B3:B7)</f>
        <v>18706</v>
      </c>
      <c r="C8" s="9">
        <f>SUM(C3:C7)</f>
        <v>18706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8"/>
  <sheetViews>
    <sheetView workbookViewId="0">
      <selection activeCell="C8" sqref="C8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132</v>
      </c>
    </row>
    <row r="2" spans="1:4" s="2" customFormat="1" ht="27.75" customHeight="1" x14ac:dyDescent="0.25">
      <c r="A2" s="5" t="s">
        <v>68</v>
      </c>
      <c r="B2" s="23" t="s">
        <v>74</v>
      </c>
      <c r="C2" s="24" t="s">
        <v>75</v>
      </c>
      <c r="D2" s="24" t="s">
        <v>70</v>
      </c>
    </row>
    <row r="3" spans="1:4" x14ac:dyDescent="0.25">
      <c r="A3" s="14" t="s">
        <v>1</v>
      </c>
      <c r="B3" s="18">
        <v>9726</v>
      </c>
      <c r="C3" s="17">
        <v>8988</v>
      </c>
      <c r="D3" s="7">
        <f>SUM(SD57RepublicanPrimary581113[[#This Row],[Part of New York County Vote Results]],SD57RepublicanPrimary581113[[#This Row],[Part of Kings County Vote Results]])</f>
        <v>18714</v>
      </c>
    </row>
    <row r="4" spans="1:4" x14ac:dyDescent="0.25">
      <c r="A4" s="14" t="s">
        <v>149</v>
      </c>
      <c r="B4" s="18">
        <v>507</v>
      </c>
      <c r="C4" s="17">
        <v>468</v>
      </c>
      <c r="D4" s="7">
        <f>SUM(SD57RepublicanPrimary581113[[#This Row],[Part of New York County Vote Results]],SD57RepublicanPrimary581113[[#This Row],[Part of Kings County Vote Results]])</f>
        <v>975</v>
      </c>
    </row>
    <row r="5" spans="1:4" x14ac:dyDescent="0.25">
      <c r="A5" s="14" t="s">
        <v>150</v>
      </c>
      <c r="B5" s="18">
        <v>297</v>
      </c>
      <c r="C5" s="17">
        <v>318</v>
      </c>
      <c r="D5" s="7">
        <f>SUM(SD57RepublicanPrimary581113[[#This Row],[Part of New York County Vote Results]],SD57RepublicanPrimary581113[[#This Row],[Part of Kings County Vote Results]])</f>
        <v>615</v>
      </c>
    </row>
    <row r="6" spans="1:4" x14ac:dyDescent="0.25">
      <c r="A6" s="16" t="s">
        <v>2</v>
      </c>
      <c r="B6" s="18">
        <v>4275</v>
      </c>
      <c r="C6" s="17">
        <v>1526</v>
      </c>
      <c r="D6" s="7">
        <f>SUM(SD57RepublicanPrimary581113[[#This Row],[Part of New York County Vote Results]],SD57RepublicanPrimary581113[[#This Row],[Part of Kings County Vote Results]])</f>
        <v>5801</v>
      </c>
    </row>
    <row r="7" spans="1:4" x14ac:dyDescent="0.25">
      <c r="A7" s="16" t="s">
        <v>3</v>
      </c>
      <c r="B7" s="18">
        <v>0</v>
      </c>
      <c r="C7" s="17">
        <v>0</v>
      </c>
      <c r="D7" s="7">
        <f>SUM(SD57RepublicanPrimary581113[[#This Row],[Part of New York County Vote Results]],SD57RepublicanPrimary581113[[#This Row],[Part of Kings County Vote Results]])</f>
        <v>0</v>
      </c>
    </row>
    <row r="8" spans="1:4" x14ac:dyDescent="0.25">
      <c r="A8" s="12" t="s">
        <v>71</v>
      </c>
      <c r="B8" s="20">
        <f>SUM(B3:B7)</f>
        <v>14805</v>
      </c>
      <c r="C8" s="20">
        <f>SUM(C3:C7)</f>
        <v>11300</v>
      </c>
      <c r="D8" s="9">
        <f>SUM(D3:D7)</f>
        <v>26105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8"/>
  <sheetViews>
    <sheetView workbookViewId="0">
      <selection activeCell="C8" sqref="C8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133</v>
      </c>
    </row>
    <row r="2" spans="1:4" s="2" customFormat="1" ht="27.75" customHeight="1" x14ac:dyDescent="0.25">
      <c r="A2" s="5" t="s">
        <v>68</v>
      </c>
      <c r="B2" s="23" t="s">
        <v>74</v>
      </c>
      <c r="C2" s="24" t="s">
        <v>76</v>
      </c>
      <c r="D2" s="24" t="s">
        <v>70</v>
      </c>
    </row>
    <row r="3" spans="1:4" x14ac:dyDescent="0.25">
      <c r="A3" s="14" t="s">
        <v>1</v>
      </c>
      <c r="B3" s="18">
        <v>2204</v>
      </c>
      <c r="C3" s="17">
        <v>4914</v>
      </c>
      <c r="D3" s="7">
        <f>SUM(SD57RepublicanPrimary58111314[[#This Row],[Richmond County Vote Results]],SD57RepublicanPrimary58111314[[#This Row],[Part of Kings County Vote Results]])</f>
        <v>7118</v>
      </c>
    </row>
    <row r="4" spans="1:4" x14ac:dyDescent="0.25">
      <c r="A4" s="14" t="s">
        <v>149</v>
      </c>
      <c r="B4" s="18">
        <v>259</v>
      </c>
      <c r="C4" s="17">
        <v>422</v>
      </c>
      <c r="D4" s="7">
        <f>SUM(SD57RepublicanPrimary58111314[[#This Row],[Richmond County Vote Results]],SD57RepublicanPrimary58111314[[#This Row],[Part of Kings County Vote Results]])</f>
        <v>681</v>
      </c>
    </row>
    <row r="5" spans="1:4" x14ac:dyDescent="0.25">
      <c r="A5" s="14" t="s">
        <v>150</v>
      </c>
      <c r="B5" s="18">
        <v>191</v>
      </c>
      <c r="C5" s="17">
        <v>389</v>
      </c>
      <c r="D5" s="7">
        <f>SUM(SD57RepublicanPrimary58111314[[#This Row],[Richmond County Vote Results]],SD57RepublicanPrimary58111314[[#This Row],[Part of Kings County Vote Results]])</f>
        <v>580</v>
      </c>
    </row>
    <row r="6" spans="1:4" x14ac:dyDescent="0.25">
      <c r="A6" s="16" t="s">
        <v>2</v>
      </c>
      <c r="B6" s="18">
        <v>579</v>
      </c>
      <c r="C6" s="17">
        <v>624</v>
      </c>
      <c r="D6" s="7">
        <f>SUM(SD57RepublicanPrimary58111314[[#This Row],[Richmond County Vote Results]],SD57RepublicanPrimary58111314[[#This Row],[Part of Kings County Vote Results]])</f>
        <v>1203</v>
      </c>
    </row>
    <row r="7" spans="1:4" x14ac:dyDescent="0.25">
      <c r="A7" s="16" t="s">
        <v>3</v>
      </c>
      <c r="B7" s="18">
        <v>0</v>
      </c>
      <c r="C7" s="17">
        <v>0</v>
      </c>
      <c r="D7" s="7">
        <f>SUM(SD57RepublicanPrimary58111314[[#This Row],[Richmond County Vote Results]],SD57RepublicanPrimary58111314[[#This Row],[Part of Kings County Vote Results]])</f>
        <v>0</v>
      </c>
    </row>
    <row r="8" spans="1:4" x14ac:dyDescent="0.25">
      <c r="A8" s="12" t="s">
        <v>71</v>
      </c>
      <c r="B8" s="20">
        <f>SUM(B3:B7)</f>
        <v>3233</v>
      </c>
      <c r="C8" s="20">
        <f>SUM(C3:C7)</f>
        <v>6349</v>
      </c>
      <c r="D8" s="9">
        <f>SUM(D3:D7)</f>
        <v>9582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8"/>
  <sheetViews>
    <sheetView workbookViewId="0">
      <selection activeCell="B8" sqref="B8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134</v>
      </c>
    </row>
    <row r="2" spans="1:3" s="2" customFormat="1" ht="27.75" customHeight="1" x14ac:dyDescent="0.25">
      <c r="A2" s="5" t="s">
        <v>68</v>
      </c>
      <c r="B2" s="24" t="s">
        <v>75</v>
      </c>
      <c r="C2" s="24" t="s">
        <v>70</v>
      </c>
    </row>
    <row r="3" spans="1:3" x14ac:dyDescent="0.25">
      <c r="A3" s="14" t="s">
        <v>1</v>
      </c>
      <c r="B3" s="17">
        <v>31280</v>
      </c>
      <c r="C3" s="7">
        <f>SUM(SD57RepublicanPrimary561015[[#This Row],[Part of New York County Vote Results]],)</f>
        <v>31280</v>
      </c>
    </row>
    <row r="4" spans="1:3" x14ac:dyDescent="0.25">
      <c r="A4" s="14" t="s">
        <v>149</v>
      </c>
      <c r="B4" s="17">
        <v>998</v>
      </c>
      <c r="C4" s="7">
        <f>SUM(SD57RepublicanPrimary561015[[#This Row],[Part of New York County Vote Results]],)</f>
        <v>998</v>
      </c>
    </row>
    <row r="5" spans="1:3" x14ac:dyDescent="0.25">
      <c r="A5" s="14" t="s">
        <v>150</v>
      </c>
      <c r="B5" s="17">
        <v>729</v>
      </c>
      <c r="C5" s="7">
        <f>SUM(SD57RepublicanPrimary561015[[#This Row],[Part of New York County Vote Results]],)</f>
        <v>729</v>
      </c>
    </row>
    <row r="6" spans="1:3" x14ac:dyDescent="0.25">
      <c r="A6" s="16" t="s">
        <v>2</v>
      </c>
      <c r="B6" s="17">
        <v>2903</v>
      </c>
      <c r="C6" s="7">
        <f>SUM(SD57RepublicanPrimary561015[[#This Row],[Part of New York County Vote Results]],)</f>
        <v>2903</v>
      </c>
    </row>
    <row r="7" spans="1:3" x14ac:dyDescent="0.25">
      <c r="A7" s="16" t="s">
        <v>3</v>
      </c>
      <c r="B7" s="17">
        <v>0</v>
      </c>
      <c r="C7" s="7">
        <f>SUM(SD57RepublicanPrimary561015[[#This Row],[Part of New York County Vote Results]],)</f>
        <v>0</v>
      </c>
    </row>
    <row r="8" spans="1:3" x14ac:dyDescent="0.25">
      <c r="A8" s="12" t="s">
        <v>71</v>
      </c>
      <c r="B8" s="20">
        <f>SUM(B3:B7)</f>
        <v>35910</v>
      </c>
      <c r="C8" s="9">
        <f>SUM(C3:C7)</f>
        <v>35910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8"/>
  <sheetViews>
    <sheetView workbookViewId="0">
      <selection activeCell="C8" sqref="C8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135</v>
      </c>
    </row>
    <row r="2" spans="1:4" s="2" customFormat="1" ht="27.75" customHeight="1" x14ac:dyDescent="0.25">
      <c r="A2" s="5" t="s">
        <v>68</v>
      </c>
      <c r="B2" s="23" t="s">
        <v>77</v>
      </c>
      <c r="C2" s="24" t="s">
        <v>75</v>
      </c>
      <c r="D2" s="24" t="s">
        <v>70</v>
      </c>
    </row>
    <row r="3" spans="1:4" x14ac:dyDescent="0.25">
      <c r="A3" s="14" t="s">
        <v>1</v>
      </c>
      <c r="B3" s="18">
        <v>2048</v>
      </c>
      <c r="C3" s="17">
        <v>14001</v>
      </c>
      <c r="D3" s="7">
        <f>SUM(SD57RepublicanPrimary5811131416[[#This Row],[Part of New York County Vote Results]],SD57RepublicanPrimary5811131416[[#This Row],[Part of Bronx County Vote Results]])</f>
        <v>16049</v>
      </c>
    </row>
    <row r="4" spans="1:4" x14ac:dyDescent="0.25">
      <c r="A4" s="14" t="s">
        <v>149</v>
      </c>
      <c r="B4" s="18">
        <v>133</v>
      </c>
      <c r="C4" s="17">
        <v>762</v>
      </c>
      <c r="D4" s="7">
        <f>SUM(SD57RepublicanPrimary5811131416[[#This Row],[Part of New York County Vote Results]],SD57RepublicanPrimary5811131416[[#This Row],[Part of Bronx County Vote Results]])</f>
        <v>895</v>
      </c>
    </row>
    <row r="5" spans="1:4" x14ac:dyDescent="0.25">
      <c r="A5" s="14" t="s">
        <v>150</v>
      </c>
      <c r="B5" s="18">
        <v>79</v>
      </c>
      <c r="C5" s="17">
        <v>331</v>
      </c>
      <c r="D5" s="7">
        <f>SUM(SD57RepublicanPrimary5811131416[[#This Row],[Part of New York County Vote Results]],SD57RepublicanPrimary5811131416[[#This Row],[Part of Bronx County Vote Results]])</f>
        <v>410</v>
      </c>
    </row>
    <row r="6" spans="1:4" x14ac:dyDescent="0.25">
      <c r="A6" s="16" t="s">
        <v>2</v>
      </c>
      <c r="B6" s="18">
        <v>190</v>
      </c>
      <c r="C6" s="17">
        <v>2502</v>
      </c>
      <c r="D6" s="7">
        <f>SUM(SD57RepublicanPrimary5811131416[[#This Row],[Part of New York County Vote Results]],SD57RepublicanPrimary5811131416[[#This Row],[Part of Bronx County Vote Results]])</f>
        <v>2692</v>
      </c>
    </row>
    <row r="7" spans="1:4" x14ac:dyDescent="0.25">
      <c r="A7" s="16" t="s">
        <v>3</v>
      </c>
      <c r="B7" s="18">
        <v>0</v>
      </c>
      <c r="C7" s="17">
        <v>0</v>
      </c>
      <c r="D7" s="7">
        <f>SUM(SD57RepublicanPrimary5811131416[[#This Row],[Part of New York County Vote Results]],SD57RepublicanPrimary5811131416[[#This Row],[Part of Bronx County Vote Results]])</f>
        <v>0</v>
      </c>
    </row>
    <row r="8" spans="1:4" x14ac:dyDescent="0.25">
      <c r="A8" s="12" t="s">
        <v>71</v>
      </c>
      <c r="B8" s="20">
        <f>SUM(B3:B7)</f>
        <v>2450</v>
      </c>
      <c r="C8" s="20">
        <f>SUM(C3:C7)</f>
        <v>17596</v>
      </c>
      <c r="D8" s="9">
        <f>SUM(D3:D7)</f>
        <v>20046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8"/>
  <sheetViews>
    <sheetView workbookViewId="0">
      <selection activeCell="B8" sqref="B8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136</v>
      </c>
    </row>
    <row r="2" spans="1:4" s="2" customFormat="1" ht="27.75" customHeight="1" x14ac:dyDescent="0.25">
      <c r="A2" s="5" t="s">
        <v>68</v>
      </c>
      <c r="B2" s="23" t="s">
        <v>77</v>
      </c>
      <c r="C2" s="24" t="s">
        <v>73</v>
      </c>
      <c r="D2" s="24" t="s">
        <v>70</v>
      </c>
    </row>
    <row r="3" spans="1:4" x14ac:dyDescent="0.25">
      <c r="A3" s="14" t="s">
        <v>1</v>
      </c>
      <c r="B3" s="18">
        <v>6841</v>
      </c>
      <c r="C3" s="17">
        <v>3947</v>
      </c>
      <c r="D3" s="7">
        <f>SUM(SD57RepublicanPrimary581113141617[[#This Row],[Part of Queens County Vote Results]],SD57RepublicanPrimary581113141617[[#This Row],[Part of Bronx County Vote Results]])</f>
        <v>10788</v>
      </c>
    </row>
    <row r="4" spans="1:4" x14ac:dyDescent="0.25">
      <c r="A4" s="14" t="s">
        <v>149</v>
      </c>
      <c r="B4" s="18">
        <v>295</v>
      </c>
      <c r="C4" s="17">
        <v>359</v>
      </c>
      <c r="D4" s="7">
        <f>SUM(SD57RepublicanPrimary581113141617[[#This Row],[Part of Queens County Vote Results]],SD57RepublicanPrimary581113141617[[#This Row],[Part of Bronx County Vote Results]])</f>
        <v>654</v>
      </c>
    </row>
    <row r="5" spans="1:4" x14ac:dyDescent="0.25">
      <c r="A5" s="14" t="s">
        <v>150</v>
      </c>
      <c r="B5" s="18">
        <v>251</v>
      </c>
      <c r="C5" s="17">
        <v>221</v>
      </c>
      <c r="D5" s="7">
        <f>SUM(SD57RepublicanPrimary581113141617[[#This Row],[Part of Queens County Vote Results]],SD57RepublicanPrimary581113141617[[#This Row],[Part of Bronx County Vote Results]])</f>
        <v>472</v>
      </c>
    </row>
    <row r="6" spans="1:4" x14ac:dyDescent="0.25">
      <c r="A6" s="16" t="s">
        <v>2</v>
      </c>
      <c r="B6" s="18">
        <v>398</v>
      </c>
      <c r="C6" s="17">
        <v>1391</v>
      </c>
      <c r="D6" s="7">
        <f>SUM(SD57RepublicanPrimary581113141617[[#This Row],[Part of Queens County Vote Results]],SD57RepublicanPrimary581113141617[[#This Row],[Part of Bronx County Vote Results]])</f>
        <v>1789</v>
      </c>
    </row>
    <row r="7" spans="1:4" x14ac:dyDescent="0.25">
      <c r="A7" s="16" t="s">
        <v>3</v>
      </c>
      <c r="B7" s="18">
        <v>0</v>
      </c>
      <c r="C7" s="17">
        <v>0</v>
      </c>
      <c r="D7" s="7">
        <f>SUM(SD57RepublicanPrimary581113141617[[#This Row],[Part of Queens County Vote Results]],SD57RepublicanPrimary581113141617[[#This Row],[Part of Bronx County Vote Results]])</f>
        <v>0</v>
      </c>
    </row>
    <row r="8" spans="1:4" x14ac:dyDescent="0.25">
      <c r="A8" s="12" t="s">
        <v>71</v>
      </c>
      <c r="B8" s="20">
        <f>SUM(B3:B7)</f>
        <v>7785</v>
      </c>
      <c r="C8" s="20">
        <f>SUM(C3:C7)</f>
        <v>5918</v>
      </c>
      <c r="D8" s="9">
        <f>SUM(D3:D7)</f>
        <v>13703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C8"/>
  <sheetViews>
    <sheetView workbookViewId="0">
      <selection activeCell="B8" sqref="B8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137</v>
      </c>
    </row>
    <row r="2" spans="1:3" s="2" customFormat="1" ht="27.75" customHeight="1" x14ac:dyDescent="0.25">
      <c r="A2" s="5" t="s">
        <v>68</v>
      </c>
      <c r="B2" s="23" t="s">
        <v>77</v>
      </c>
      <c r="C2" s="24" t="s">
        <v>70</v>
      </c>
    </row>
    <row r="3" spans="1:3" x14ac:dyDescent="0.25">
      <c r="A3" s="14" t="s">
        <v>1</v>
      </c>
      <c r="B3" s="18">
        <v>10387</v>
      </c>
      <c r="C3" s="7">
        <f>SUM(SD57RepublicanPrimary91218[[#This Row],[Part of Bronx County Vote Results]])</f>
        <v>10387</v>
      </c>
    </row>
    <row r="4" spans="1:3" x14ac:dyDescent="0.25">
      <c r="A4" s="14" t="s">
        <v>149</v>
      </c>
      <c r="B4" s="18">
        <v>549</v>
      </c>
      <c r="C4" s="7">
        <f>SUM(SD57RepublicanPrimary91218[[#This Row],[Part of Bronx County Vote Results]])</f>
        <v>549</v>
      </c>
    </row>
    <row r="5" spans="1:3" x14ac:dyDescent="0.25">
      <c r="A5" s="14" t="s">
        <v>150</v>
      </c>
      <c r="B5" s="18">
        <v>392</v>
      </c>
      <c r="C5" s="7">
        <f>SUM(SD57RepublicanPrimary91218[[#This Row],[Part of Bronx County Vote Results]])</f>
        <v>392</v>
      </c>
    </row>
    <row r="6" spans="1:3" x14ac:dyDescent="0.25">
      <c r="A6" s="16" t="s">
        <v>2</v>
      </c>
      <c r="B6" s="18">
        <v>773</v>
      </c>
      <c r="C6" s="7">
        <f>SUM(SD57RepublicanPrimary91218[[#This Row],[Part of Bronx County Vote Results]])</f>
        <v>773</v>
      </c>
    </row>
    <row r="7" spans="1:3" x14ac:dyDescent="0.25">
      <c r="A7" s="16" t="s">
        <v>3</v>
      </c>
      <c r="B7" s="18">
        <v>0</v>
      </c>
      <c r="C7" s="7">
        <f>SUM(SD57RepublicanPrimary91218[[#This Row],[Part of Bronx County Vote Results]])</f>
        <v>0</v>
      </c>
    </row>
    <row r="8" spans="1:3" x14ac:dyDescent="0.25">
      <c r="A8" s="12" t="s">
        <v>71</v>
      </c>
      <c r="B8" s="20">
        <f>SUM(B3:B7)</f>
        <v>12101</v>
      </c>
      <c r="C8" s="9">
        <f>SUM(C3:C7)</f>
        <v>12101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D8"/>
  <sheetViews>
    <sheetView workbookViewId="0">
      <selection activeCell="B8" sqref="B8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138</v>
      </c>
    </row>
    <row r="2" spans="1:4" s="2" customFormat="1" ht="27.75" customHeight="1" x14ac:dyDescent="0.25">
      <c r="A2" s="5" t="s">
        <v>68</v>
      </c>
      <c r="B2" s="23" t="s">
        <v>77</v>
      </c>
      <c r="C2" s="24" t="s">
        <v>78</v>
      </c>
      <c r="D2" s="24" t="s">
        <v>70</v>
      </c>
    </row>
    <row r="3" spans="1:4" x14ac:dyDescent="0.25">
      <c r="A3" s="14" t="s">
        <v>1</v>
      </c>
      <c r="B3" s="18">
        <v>1344</v>
      </c>
      <c r="C3" s="17">
        <v>10630</v>
      </c>
      <c r="D3" s="7">
        <f>SUM(SD57RepublicanPrimary58111314161719[[#This Row],[Part of Westchester County Vote Results]],SD57RepublicanPrimary58111314161719[[#This Row],[Part of Bronx County Vote Results]])</f>
        <v>11974</v>
      </c>
    </row>
    <row r="4" spans="1:4" x14ac:dyDescent="0.25">
      <c r="A4" s="14" t="s">
        <v>149</v>
      </c>
      <c r="B4" s="18">
        <v>34</v>
      </c>
      <c r="C4" s="17">
        <v>462</v>
      </c>
      <c r="D4" s="7">
        <f>SUM(SD57RepublicanPrimary58111314161719[[#This Row],[Part of Westchester County Vote Results]],SD57RepublicanPrimary58111314161719[[#This Row],[Part of Bronx County Vote Results]])</f>
        <v>496</v>
      </c>
    </row>
    <row r="5" spans="1:4" x14ac:dyDescent="0.25">
      <c r="A5" s="14" t="s">
        <v>150</v>
      </c>
      <c r="B5" s="18">
        <v>22</v>
      </c>
      <c r="C5" s="17">
        <v>365</v>
      </c>
      <c r="D5" s="7">
        <f>SUM(SD57RepublicanPrimary58111314161719[[#This Row],[Part of Westchester County Vote Results]],SD57RepublicanPrimary58111314161719[[#This Row],[Part of Bronx County Vote Results]])</f>
        <v>387</v>
      </c>
    </row>
    <row r="6" spans="1:4" x14ac:dyDescent="0.25">
      <c r="A6" s="16" t="s">
        <v>2</v>
      </c>
      <c r="B6" s="18">
        <v>45</v>
      </c>
      <c r="C6" s="21">
        <v>1114</v>
      </c>
      <c r="D6" s="7">
        <f>SUM(SD57RepublicanPrimary58111314161719[[#This Row],[Part of Westchester County Vote Results]],SD57RepublicanPrimary58111314161719[[#This Row],[Part of Bronx County Vote Results]])</f>
        <v>1159</v>
      </c>
    </row>
    <row r="7" spans="1:4" x14ac:dyDescent="0.25">
      <c r="A7" s="16" t="s">
        <v>3</v>
      </c>
      <c r="B7" s="18">
        <v>0</v>
      </c>
      <c r="C7" s="17">
        <v>0</v>
      </c>
      <c r="D7" s="7">
        <f>SUM(SD57RepublicanPrimary58111314161719[[#This Row],[Part of Westchester County Vote Results]],SD57RepublicanPrimary58111314161719[[#This Row],[Part of Bronx County Vote Results]])</f>
        <v>0</v>
      </c>
    </row>
    <row r="8" spans="1:4" x14ac:dyDescent="0.25">
      <c r="A8" s="12" t="s">
        <v>71</v>
      </c>
      <c r="B8" s="20">
        <f>SUM(B3:B7)</f>
        <v>1445</v>
      </c>
      <c r="C8" s="8">
        <f>SUM(C3:C7)</f>
        <v>12571</v>
      </c>
      <c r="D8" s="9">
        <f>SUM(D3:D7)</f>
        <v>14016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F8"/>
  <sheetViews>
    <sheetView workbookViewId="0">
      <selection activeCell="D7" sqref="D7"/>
    </sheetView>
  </sheetViews>
  <sheetFormatPr defaultColWidth="32" defaultRowHeight="15" x14ac:dyDescent="0.25"/>
  <cols>
    <col min="1" max="1" width="38.5703125" customWidth="1"/>
    <col min="2" max="5" width="21" style="1" customWidth="1"/>
    <col min="6" max="6" width="18.85546875" customWidth="1"/>
  </cols>
  <sheetData>
    <row r="1" spans="1:6" s="4" customFormat="1" ht="24.95" customHeight="1" x14ac:dyDescent="0.25">
      <c r="A1" s="3" t="s">
        <v>139</v>
      </c>
    </row>
    <row r="2" spans="1:6" s="2" customFormat="1" ht="27.75" customHeight="1" x14ac:dyDescent="0.25">
      <c r="A2" s="5" t="s">
        <v>68</v>
      </c>
      <c r="B2" s="25" t="s">
        <v>82</v>
      </c>
      <c r="C2" s="24" t="s">
        <v>81</v>
      </c>
      <c r="D2" s="23" t="s">
        <v>79</v>
      </c>
      <c r="E2" s="24" t="s">
        <v>78</v>
      </c>
      <c r="F2" s="24" t="s">
        <v>70</v>
      </c>
    </row>
    <row r="3" spans="1:6" x14ac:dyDescent="0.25">
      <c r="A3" s="14" t="s">
        <v>1</v>
      </c>
      <c r="B3" s="6">
        <v>370</v>
      </c>
      <c r="C3" s="15">
        <v>1192</v>
      </c>
      <c r="D3" s="15">
        <v>3072</v>
      </c>
      <c r="E3" s="17">
        <v>5264</v>
      </c>
      <c r="F3" s="7">
        <f>SUM(SD57RepublicanPrimary5811131416171920[[#This Row],[Part of Westchester County Vote Results]],SD57RepublicanPrimary5811131416171920[[#This Row],[Part of Dutchess County Vote Results]],C3,D3)</f>
        <v>9898</v>
      </c>
    </row>
    <row r="4" spans="1:6" x14ac:dyDescent="0.25">
      <c r="A4" s="14" t="s">
        <v>149</v>
      </c>
      <c r="B4" s="6">
        <v>21</v>
      </c>
      <c r="C4" s="15">
        <v>57</v>
      </c>
      <c r="D4" s="15">
        <v>168</v>
      </c>
      <c r="E4" s="17">
        <v>229</v>
      </c>
      <c r="F4" s="7">
        <f>SUM(SD57RepublicanPrimary5811131416171920[[#This Row],[Part of Westchester County Vote Results]],SD57RepublicanPrimary5811131416171920[[#This Row],[Part of Dutchess County Vote Results]],C4,D4)</f>
        <v>475</v>
      </c>
    </row>
    <row r="5" spans="1:6" x14ac:dyDescent="0.25">
      <c r="A5" s="14" t="s">
        <v>150</v>
      </c>
      <c r="B5" s="6">
        <v>13</v>
      </c>
      <c r="C5" s="15">
        <v>34</v>
      </c>
      <c r="D5" s="15">
        <v>150</v>
      </c>
      <c r="E5" s="17">
        <v>148</v>
      </c>
      <c r="F5" s="7">
        <f>SUM(SD57RepublicanPrimary5811131416171920[[#This Row],[Part of Westchester County Vote Results]],SD57RepublicanPrimary5811131416171920[[#This Row],[Part of Dutchess County Vote Results]],C5,D5)</f>
        <v>345</v>
      </c>
    </row>
    <row r="6" spans="1:6" x14ac:dyDescent="0.25">
      <c r="A6" s="16" t="s">
        <v>2</v>
      </c>
      <c r="B6" s="6">
        <v>25</v>
      </c>
      <c r="C6" s="15">
        <v>92</v>
      </c>
      <c r="D6" s="15">
        <v>280</v>
      </c>
      <c r="E6" s="17">
        <v>501</v>
      </c>
      <c r="F6" s="7">
        <f>SUM(SD57RepublicanPrimary5811131416171920[[#This Row],[Part of Westchester County Vote Results]],SD57RepublicanPrimary5811131416171920[[#This Row],[Part of Dutchess County Vote Results]],C6,D6)</f>
        <v>898</v>
      </c>
    </row>
    <row r="7" spans="1:6" x14ac:dyDescent="0.25">
      <c r="A7" s="16" t="s">
        <v>3</v>
      </c>
      <c r="B7" s="6">
        <v>2</v>
      </c>
      <c r="C7" s="15">
        <v>3</v>
      </c>
      <c r="D7" s="15">
        <v>32</v>
      </c>
      <c r="E7" s="17">
        <v>0</v>
      </c>
      <c r="F7" s="7">
        <f>SUM(SD57RepublicanPrimary5811131416171920[[#This Row],[Part of Westchester County Vote Results]],SD57RepublicanPrimary5811131416171920[[#This Row],[Part of Dutchess County Vote Results]],C7,D7)</f>
        <v>37</v>
      </c>
    </row>
    <row r="8" spans="1:6" x14ac:dyDescent="0.25">
      <c r="A8" s="12" t="s">
        <v>71</v>
      </c>
      <c r="B8" s="8">
        <f>SUM(B3:B7)</f>
        <v>431</v>
      </c>
      <c r="C8" s="8">
        <f t="shared" ref="C8:D8" si="0">SUM(C3:C7)</f>
        <v>1378</v>
      </c>
      <c r="D8" s="8">
        <f t="shared" si="0"/>
        <v>3702</v>
      </c>
      <c r="E8" s="8">
        <f>SUM(E3:E7)</f>
        <v>6142</v>
      </c>
      <c r="F8" s="9">
        <f>SUM(F3:F7)</f>
        <v>11653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E8"/>
  <sheetViews>
    <sheetView workbookViewId="0">
      <selection activeCell="B4" sqref="B4"/>
    </sheetView>
  </sheetViews>
  <sheetFormatPr defaultColWidth="32" defaultRowHeight="15" x14ac:dyDescent="0.25"/>
  <cols>
    <col min="1" max="1" width="38.5703125" customWidth="1"/>
    <col min="2" max="4" width="21" style="1" customWidth="1"/>
    <col min="5" max="5" width="18.85546875" customWidth="1"/>
  </cols>
  <sheetData>
    <row r="1" spans="1:5" s="4" customFormat="1" ht="24.95" customHeight="1" x14ac:dyDescent="0.25">
      <c r="A1" s="3" t="s">
        <v>140</v>
      </c>
    </row>
    <row r="2" spans="1:5" s="2" customFormat="1" ht="27.75" customHeight="1" x14ac:dyDescent="0.25">
      <c r="A2" s="5" t="s">
        <v>68</v>
      </c>
      <c r="B2" s="24" t="s">
        <v>82</v>
      </c>
      <c r="C2" s="23" t="s">
        <v>80</v>
      </c>
      <c r="D2" s="24" t="s">
        <v>158</v>
      </c>
      <c r="E2" s="24" t="s">
        <v>70</v>
      </c>
    </row>
    <row r="3" spans="1:5" x14ac:dyDescent="0.25">
      <c r="A3" s="14" t="s">
        <v>1</v>
      </c>
      <c r="B3" s="15">
        <v>4069</v>
      </c>
      <c r="C3" s="15">
        <v>2807</v>
      </c>
      <c r="D3" s="17">
        <v>2023</v>
      </c>
      <c r="E3" s="7">
        <f>SUM(SD57RepublicanPrimary56101521[[#This Row],[Part of Ulster County Vote Results]],SD57RepublicanPrimary56101521[[#This Row],[Orange County Vote Results]],SD57RepublicanPrimary56101521[[#This Row],[Part of Dutchess County Vote Results]])</f>
        <v>8899</v>
      </c>
    </row>
    <row r="4" spans="1:5" x14ac:dyDescent="0.25">
      <c r="A4" s="14" t="s">
        <v>149</v>
      </c>
      <c r="B4" s="15">
        <v>203</v>
      </c>
      <c r="C4" s="15">
        <v>174</v>
      </c>
      <c r="D4" s="17">
        <v>156</v>
      </c>
      <c r="E4" s="7">
        <f>SUM(SD57RepublicanPrimary56101521[[#This Row],[Part of Ulster County Vote Results]],SD57RepublicanPrimary56101521[[#This Row],[Orange County Vote Results]],SD57RepublicanPrimary56101521[[#This Row],[Part of Dutchess County Vote Results]])</f>
        <v>533</v>
      </c>
    </row>
    <row r="5" spans="1:5" x14ac:dyDescent="0.25">
      <c r="A5" s="14" t="s">
        <v>150</v>
      </c>
      <c r="B5" s="15">
        <v>101</v>
      </c>
      <c r="C5" s="15">
        <v>99</v>
      </c>
      <c r="D5" s="17">
        <v>60</v>
      </c>
      <c r="E5" s="7">
        <f>SUM(SD57RepublicanPrimary56101521[[#This Row],[Part of Ulster County Vote Results]],SD57RepublicanPrimary56101521[[#This Row],[Orange County Vote Results]],SD57RepublicanPrimary56101521[[#This Row],[Part of Dutchess County Vote Results]])</f>
        <v>260</v>
      </c>
    </row>
    <row r="6" spans="1:5" x14ac:dyDescent="0.25">
      <c r="A6" s="16" t="s">
        <v>2</v>
      </c>
      <c r="B6" s="15">
        <v>546</v>
      </c>
      <c r="C6" s="15">
        <v>232</v>
      </c>
      <c r="D6" s="17">
        <v>435</v>
      </c>
      <c r="E6" s="7">
        <f>SUM(SD57RepublicanPrimary56101521[[#This Row],[Part of Ulster County Vote Results]],SD57RepublicanPrimary56101521[[#This Row],[Orange County Vote Results]],SD57RepublicanPrimary56101521[[#This Row],[Part of Dutchess County Vote Results]])</f>
        <v>1213</v>
      </c>
    </row>
    <row r="7" spans="1:5" x14ac:dyDescent="0.25">
      <c r="A7" s="16" t="s">
        <v>3</v>
      </c>
      <c r="B7" s="15">
        <v>18</v>
      </c>
      <c r="C7" s="15">
        <v>20</v>
      </c>
      <c r="D7" s="17">
        <v>9</v>
      </c>
      <c r="E7" s="7">
        <f>SUM(SD57RepublicanPrimary56101521[[#This Row],[Part of Ulster County Vote Results]],SD57RepublicanPrimary56101521[[#This Row],[Orange County Vote Results]],SD57RepublicanPrimary56101521[[#This Row],[Part of Dutchess County Vote Results]])</f>
        <v>47</v>
      </c>
    </row>
    <row r="8" spans="1:5" x14ac:dyDescent="0.25">
      <c r="A8" s="12" t="s">
        <v>71</v>
      </c>
      <c r="B8" s="8">
        <f>SUM(B7,B6,B5,B4,B3)</f>
        <v>4937</v>
      </c>
      <c r="C8" s="8">
        <f t="shared" ref="C8:E8" si="0">SUM(C3:C7)</f>
        <v>3332</v>
      </c>
      <c r="D8" s="8">
        <f t="shared" si="0"/>
        <v>2683</v>
      </c>
      <c r="E8" s="8">
        <f t="shared" si="0"/>
        <v>10952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C8"/>
  <sheetViews>
    <sheetView workbookViewId="0">
      <selection activeCell="B8" sqref="B8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123</v>
      </c>
    </row>
    <row r="2" spans="1:3" s="2" customFormat="1" ht="27.75" customHeight="1" x14ac:dyDescent="0.25">
      <c r="A2" s="5" t="s">
        <v>68</v>
      </c>
      <c r="B2" s="23" t="s">
        <v>69</v>
      </c>
      <c r="C2" s="24" t="s">
        <v>70</v>
      </c>
    </row>
    <row r="3" spans="1:3" x14ac:dyDescent="0.25">
      <c r="A3" s="14" t="s">
        <v>1</v>
      </c>
      <c r="B3" s="6">
        <v>7695</v>
      </c>
      <c r="C3" s="7">
        <f>SUM(SD57RepublicanPrimary[[#This Row],[Part of Suffolk County Vote Results]])</f>
        <v>7695</v>
      </c>
    </row>
    <row r="4" spans="1:3" x14ac:dyDescent="0.25">
      <c r="A4" s="14" t="s">
        <v>149</v>
      </c>
      <c r="B4" s="6">
        <v>322</v>
      </c>
      <c r="C4" s="7">
        <f>SUM(SD57RepublicanPrimary[[#This Row],[Part of Suffolk County Vote Results]])</f>
        <v>322</v>
      </c>
    </row>
    <row r="5" spans="1:3" x14ac:dyDescent="0.25">
      <c r="A5" s="14" t="s">
        <v>150</v>
      </c>
      <c r="B5" s="6">
        <v>221</v>
      </c>
      <c r="C5" s="7">
        <f>SUM(SD57RepublicanPrimary[[#This Row],[Part of Suffolk County Vote Results]])</f>
        <v>221</v>
      </c>
    </row>
    <row r="6" spans="1:3" x14ac:dyDescent="0.25">
      <c r="A6" s="16" t="s">
        <v>2</v>
      </c>
      <c r="B6" s="6">
        <v>449</v>
      </c>
      <c r="C6" s="7">
        <f>SUM(SD57RepublicanPrimary[[#This Row],[Part of Suffolk County Vote Results]])</f>
        <v>449</v>
      </c>
    </row>
    <row r="7" spans="1:3" x14ac:dyDescent="0.25">
      <c r="A7" s="16" t="s">
        <v>3</v>
      </c>
      <c r="B7" s="6">
        <v>39</v>
      </c>
      <c r="C7" s="7">
        <f>SUM(SD57RepublicanPrimary[[#This Row],[Part of Suffolk County Vote Results]])</f>
        <v>39</v>
      </c>
    </row>
    <row r="8" spans="1:3" x14ac:dyDescent="0.25">
      <c r="A8" s="12" t="s">
        <v>71</v>
      </c>
      <c r="B8" s="8">
        <f>SUM(B3:B7)</f>
        <v>8726</v>
      </c>
      <c r="C8" s="9">
        <f>SUM(C3:C7)</f>
        <v>8726</v>
      </c>
    </row>
  </sheetData>
  <phoneticPr fontId="6" type="noConversion"/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8"/>
  <sheetViews>
    <sheetView workbookViewId="0">
      <pane xSplit="1" topLeftCell="D1" activePane="topRight" state="frozen"/>
      <selection pane="topRight" activeCell="J8" sqref="J8"/>
    </sheetView>
  </sheetViews>
  <sheetFormatPr defaultColWidth="32" defaultRowHeight="15" x14ac:dyDescent="0.25"/>
  <cols>
    <col min="1" max="1" width="38.5703125" customWidth="1"/>
    <col min="2" max="12" width="21" style="1" customWidth="1"/>
    <col min="13" max="13" width="18.85546875" customWidth="1"/>
  </cols>
  <sheetData>
    <row r="1" spans="1:13" s="4" customFormat="1" ht="24.95" customHeight="1" x14ac:dyDescent="0.25">
      <c r="A1" s="3" t="s">
        <v>141</v>
      </c>
    </row>
    <row r="2" spans="1:13" s="2" customFormat="1" ht="27.75" customHeight="1" x14ac:dyDescent="0.25">
      <c r="A2" s="5" t="s">
        <v>68</v>
      </c>
      <c r="B2" s="23" t="s">
        <v>160</v>
      </c>
      <c r="C2" s="25" t="s">
        <v>100</v>
      </c>
      <c r="D2" s="23" t="s">
        <v>83</v>
      </c>
      <c r="E2" s="25" t="s">
        <v>101</v>
      </c>
      <c r="F2" s="24" t="s">
        <v>84</v>
      </c>
      <c r="G2" s="24" t="s">
        <v>85</v>
      </c>
      <c r="H2" s="24" t="s">
        <v>157</v>
      </c>
      <c r="I2" s="24" t="s">
        <v>87</v>
      </c>
      <c r="J2" s="24" t="s">
        <v>159</v>
      </c>
      <c r="K2" s="24" t="s">
        <v>112</v>
      </c>
      <c r="L2" s="24" t="s">
        <v>158</v>
      </c>
      <c r="M2" s="24" t="s">
        <v>70</v>
      </c>
    </row>
    <row r="3" spans="1:13" x14ac:dyDescent="0.25">
      <c r="A3" s="14" t="s">
        <v>1</v>
      </c>
      <c r="B3" s="6">
        <v>2862</v>
      </c>
      <c r="C3" s="15">
        <v>422</v>
      </c>
      <c r="D3" s="15">
        <v>1524</v>
      </c>
      <c r="E3" s="15">
        <v>570</v>
      </c>
      <c r="F3" s="15">
        <v>599</v>
      </c>
      <c r="G3" s="15">
        <v>542</v>
      </c>
      <c r="H3" s="15">
        <v>499</v>
      </c>
      <c r="I3" s="15">
        <v>812</v>
      </c>
      <c r="J3" s="15">
        <v>484</v>
      </c>
      <c r="K3" s="15">
        <v>2536</v>
      </c>
      <c r="L3" s="15">
        <v>1587</v>
      </c>
      <c r="M3" s="7">
        <f>SUM(SD57RepublicanPrimary5610152122[[#This Row],[Part of Ulster County Vote Results]],SD57RepublicanPrimary5610152122[[#This Row],[Tompkins County Vote Results]],SD57RepublicanPrimary5610152122[[#This Row],[Tioga County Vote 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12437</v>
      </c>
    </row>
    <row r="4" spans="1:13" x14ac:dyDescent="0.25">
      <c r="A4" s="14" t="s">
        <v>149</v>
      </c>
      <c r="B4" s="6">
        <v>193</v>
      </c>
      <c r="C4" s="15">
        <v>32</v>
      </c>
      <c r="D4" s="15">
        <v>84</v>
      </c>
      <c r="E4" s="15">
        <v>40</v>
      </c>
      <c r="F4" s="15">
        <v>47</v>
      </c>
      <c r="G4" s="15">
        <v>37</v>
      </c>
      <c r="H4" s="15">
        <v>29</v>
      </c>
      <c r="I4" s="15">
        <v>49</v>
      </c>
      <c r="J4" s="15">
        <v>39</v>
      </c>
      <c r="K4" s="15">
        <v>157</v>
      </c>
      <c r="L4" s="15">
        <v>88</v>
      </c>
      <c r="M4" s="7">
        <f>SUM(SD57RepublicanPrimary5610152122[[#This Row],[Part of Ulster County Vote Results]],SD57RepublicanPrimary5610152122[[#This Row],[Tompkins County Vote Results]],SD57RepublicanPrimary5610152122[[#This Row],[Tioga County Vote 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795</v>
      </c>
    </row>
    <row r="5" spans="1:13" x14ac:dyDescent="0.25">
      <c r="A5" s="14" t="s">
        <v>150</v>
      </c>
      <c r="B5" s="6">
        <v>127</v>
      </c>
      <c r="C5" s="15">
        <v>25</v>
      </c>
      <c r="D5" s="15">
        <v>45</v>
      </c>
      <c r="E5" s="15">
        <v>25</v>
      </c>
      <c r="F5" s="15">
        <v>30</v>
      </c>
      <c r="G5" s="15">
        <v>18</v>
      </c>
      <c r="H5" s="15">
        <v>14</v>
      </c>
      <c r="I5" s="15">
        <v>35</v>
      </c>
      <c r="J5" s="15">
        <v>24</v>
      </c>
      <c r="K5" s="15">
        <v>62</v>
      </c>
      <c r="L5" s="15">
        <v>28</v>
      </c>
      <c r="M5" s="7">
        <f>SUM(SD57RepublicanPrimary5610152122[[#This Row],[Part of Ulster County Vote Results]],SD57RepublicanPrimary5610152122[[#This Row],[Tompkins County Vote Results]],SD57RepublicanPrimary5610152122[[#This Row],[Tioga County Vote 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433</v>
      </c>
    </row>
    <row r="6" spans="1:13" x14ac:dyDescent="0.25">
      <c r="A6" s="16" t="s">
        <v>2</v>
      </c>
      <c r="B6" s="6">
        <v>129</v>
      </c>
      <c r="C6" s="15">
        <v>13</v>
      </c>
      <c r="D6" s="15">
        <v>187</v>
      </c>
      <c r="E6" s="15">
        <v>29</v>
      </c>
      <c r="F6" s="15">
        <v>94</v>
      </c>
      <c r="G6" s="15">
        <v>98</v>
      </c>
      <c r="H6" s="15">
        <v>40</v>
      </c>
      <c r="I6" s="15">
        <v>102</v>
      </c>
      <c r="J6" s="15">
        <v>33</v>
      </c>
      <c r="K6" s="15">
        <v>435</v>
      </c>
      <c r="L6" s="15">
        <v>217</v>
      </c>
      <c r="M6" s="7">
        <f>SUM(SD57RepublicanPrimary5610152122[[#This Row],[Part of Ulster County Vote Results]],SD57RepublicanPrimary5610152122[[#This Row],[Tompkins County Vote Results]],SD57RepublicanPrimary5610152122[[#This Row],[Tioga County Vote 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1377</v>
      </c>
    </row>
    <row r="7" spans="1:13" x14ac:dyDescent="0.25">
      <c r="A7" s="16" t="s">
        <v>3</v>
      </c>
      <c r="B7" s="6">
        <v>29</v>
      </c>
      <c r="C7" s="15">
        <v>3</v>
      </c>
      <c r="D7" s="15">
        <v>6</v>
      </c>
      <c r="E7" s="15">
        <v>0</v>
      </c>
      <c r="F7" s="15">
        <v>4</v>
      </c>
      <c r="G7" s="15">
        <v>2</v>
      </c>
      <c r="H7" s="15">
        <v>4</v>
      </c>
      <c r="I7" s="15"/>
      <c r="J7" s="15">
        <v>1</v>
      </c>
      <c r="K7" s="15">
        <v>13</v>
      </c>
      <c r="L7" s="15">
        <v>6</v>
      </c>
      <c r="M7" s="7">
        <f>SUM(SD57RepublicanPrimary5610152122[[#This Row],[Part of Ulster County Vote Results]],SD57RepublicanPrimary5610152122[[#This Row],[Tompkins County Vote Results]],SD57RepublicanPrimary5610152122[[#This Row],[Tioga County Vote 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68</v>
      </c>
    </row>
    <row r="8" spans="1:13" x14ac:dyDescent="0.25">
      <c r="A8" s="12" t="s">
        <v>71</v>
      </c>
      <c r="B8" s="8">
        <f>SUM(B3:B7)</f>
        <v>3340</v>
      </c>
      <c r="C8" s="8">
        <f t="shared" ref="C8:M8" si="0">SUM(C3:C7)</f>
        <v>495</v>
      </c>
      <c r="D8" s="8">
        <f t="shared" si="0"/>
        <v>1846</v>
      </c>
      <c r="E8" s="8">
        <f t="shared" si="0"/>
        <v>664</v>
      </c>
      <c r="F8" s="8">
        <f t="shared" si="0"/>
        <v>774</v>
      </c>
      <c r="G8" s="8">
        <f t="shared" si="0"/>
        <v>697</v>
      </c>
      <c r="H8" s="8">
        <f t="shared" si="0"/>
        <v>586</v>
      </c>
      <c r="I8" s="8">
        <f t="shared" si="0"/>
        <v>998</v>
      </c>
      <c r="J8" s="8">
        <f t="shared" si="0"/>
        <v>581</v>
      </c>
      <c r="K8" s="8">
        <f t="shared" si="0"/>
        <v>3203</v>
      </c>
      <c r="L8" s="8">
        <f t="shared" si="0"/>
        <v>1926</v>
      </c>
      <c r="M8" s="8">
        <f t="shared" si="0"/>
        <v>15110</v>
      </c>
    </row>
  </sheetData>
  <pageMargins left="0.5" right="0.5" top="0.5" bottom="0.5" header="0.3" footer="0.3"/>
  <pageSetup paperSize="5" scale="57" fitToHeight="0" orientation="landscape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F8"/>
  <sheetViews>
    <sheetView workbookViewId="0">
      <selection activeCell="D4" sqref="D4"/>
    </sheetView>
  </sheetViews>
  <sheetFormatPr defaultColWidth="32" defaultRowHeight="15" x14ac:dyDescent="0.25"/>
  <cols>
    <col min="1" max="1" width="38.5703125" customWidth="1"/>
    <col min="2" max="5" width="21" style="1" customWidth="1"/>
    <col min="6" max="6" width="18.85546875" customWidth="1"/>
  </cols>
  <sheetData>
    <row r="1" spans="1:6" s="4" customFormat="1" ht="24.95" customHeight="1" x14ac:dyDescent="0.25">
      <c r="A1" s="3" t="s">
        <v>142</v>
      </c>
    </row>
    <row r="2" spans="1:6" s="2" customFormat="1" ht="27.75" customHeight="1" x14ac:dyDescent="0.25">
      <c r="A2" s="5" t="s">
        <v>68</v>
      </c>
      <c r="B2" s="23" t="s">
        <v>89</v>
      </c>
      <c r="C2" s="24" t="s">
        <v>88</v>
      </c>
      <c r="D2" s="24" t="s">
        <v>162</v>
      </c>
      <c r="E2" s="24" t="s">
        <v>90</v>
      </c>
      <c r="F2" s="24" t="s">
        <v>70</v>
      </c>
    </row>
    <row r="3" spans="1:6" x14ac:dyDescent="0.25">
      <c r="A3" s="14" t="s">
        <v>1</v>
      </c>
      <c r="B3" s="6">
        <v>6264</v>
      </c>
      <c r="C3" s="15">
        <v>562</v>
      </c>
      <c r="D3" s="15">
        <v>2523</v>
      </c>
      <c r="E3" s="15">
        <v>1749</v>
      </c>
      <c r="F3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11098</v>
      </c>
    </row>
    <row r="4" spans="1:6" x14ac:dyDescent="0.25">
      <c r="A4" s="14" t="s">
        <v>149</v>
      </c>
      <c r="B4" s="6">
        <v>338</v>
      </c>
      <c r="C4" s="15">
        <v>53</v>
      </c>
      <c r="D4" s="15">
        <v>115</v>
      </c>
      <c r="E4" s="15">
        <v>101</v>
      </c>
      <c r="F4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607</v>
      </c>
    </row>
    <row r="5" spans="1:6" x14ac:dyDescent="0.25">
      <c r="A5" s="14" t="s">
        <v>150</v>
      </c>
      <c r="B5" s="6">
        <v>353</v>
      </c>
      <c r="C5" s="15">
        <v>25</v>
      </c>
      <c r="D5" s="15">
        <v>86</v>
      </c>
      <c r="E5" s="15">
        <v>75</v>
      </c>
      <c r="F5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539</v>
      </c>
    </row>
    <row r="6" spans="1:6" x14ac:dyDescent="0.25">
      <c r="A6" s="16" t="s">
        <v>2</v>
      </c>
      <c r="B6" s="6">
        <v>706</v>
      </c>
      <c r="C6" s="15">
        <v>123</v>
      </c>
      <c r="D6" s="15">
        <v>168</v>
      </c>
      <c r="E6" s="15">
        <v>156</v>
      </c>
      <c r="F6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1153</v>
      </c>
    </row>
    <row r="7" spans="1:6" x14ac:dyDescent="0.25">
      <c r="A7" s="16" t="s">
        <v>3</v>
      </c>
      <c r="B7" s="6">
        <v>32</v>
      </c>
      <c r="C7" s="15">
        <v>4</v>
      </c>
      <c r="D7" s="15">
        <v>10</v>
      </c>
      <c r="E7" s="15">
        <v>35</v>
      </c>
      <c r="F7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81</v>
      </c>
    </row>
    <row r="8" spans="1:6" x14ac:dyDescent="0.25">
      <c r="A8" s="12" t="s">
        <v>71</v>
      </c>
      <c r="B8" s="8">
        <f>SUM(B3:B7)</f>
        <v>7693</v>
      </c>
      <c r="C8" s="8">
        <f t="shared" ref="C8:F8" si="0">SUM(C3:C7)</f>
        <v>767</v>
      </c>
      <c r="D8" s="8">
        <f t="shared" si="0"/>
        <v>2902</v>
      </c>
      <c r="E8" s="8">
        <f t="shared" si="0"/>
        <v>2116</v>
      </c>
      <c r="F8" s="8">
        <f t="shared" si="0"/>
        <v>13478</v>
      </c>
    </row>
  </sheetData>
  <pageMargins left="0.5" right="0.5" top="0.5" bottom="0.5" header="0.3" footer="0.3"/>
  <pageSetup paperSize="5" fitToHeight="0" orientation="landscape" r:id="rId1"/>
  <ignoredErrors>
    <ignoredError sqref="F8" calculatedColumn="1"/>
  </ignoredErrors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Q8"/>
  <sheetViews>
    <sheetView workbookViewId="0">
      <pane xSplit="1" topLeftCell="G1" activePane="topRight" state="frozen"/>
      <selection pane="topRight" activeCell="G7" sqref="G7"/>
    </sheetView>
  </sheetViews>
  <sheetFormatPr defaultColWidth="32" defaultRowHeight="15" x14ac:dyDescent="0.25"/>
  <cols>
    <col min="1" max="1" width="38.5703125" customWidth="1"/>
    <col min="2" max="16" width="21" style="1" customWidth="1"/>
    <col min="17" max="17" width="18.85546875" customWidth="1"/>
  </cols>
  <sheetData>
    <row r="1" spans="1:17" s="4" customFormat="1" ht="24.95" customHeight="1" x14ac:dyDescent="0.25">
      <c r="A1" s="3" t="s">
        <v>143</v>
      </c>
    </row>
    <row r="2" spans="1:17" s="2" customFormat="1" ht="27.75" customHeight="1" x14ac:dyDescent="0.25">
      <c r="A2" s="5" t="s">
        <v>68</v>
      </c>
      <c r="B2" s="23" t="s">
        <v>91</v>
      </c>
      <c r="C2" s="24" t="s">
        <v>92</v>
      </c>
      <c r="D2" s="24" t="s">
        <v>93</v>
      </c>
      <c r="E2" s="24" t="s">
        <v>94</v>
      </c>
      <c r="F2" s="24" t="s">
        <v>95</v>
      </c>
      <c r="G2" s="24" t="s">
        <v>155</v>
      </c>
      <c r="H2" s="24" t="s">
        <v>153</v>
      </c>
      <c r="I2" s="24" t="s">
        <v>96</v>
      </c>
      <c r="J2" s="25" t="s">
        <v>156</v>
      </c>
      <c r="K2" s="25" t="s">
        <v>157</v>
      </c>
      <c r="L2" s="25" t="s">
        <v>88</v>
      </c>
      <c r="M2" s="24" t="s">
        <v>97</v>
      </c>
      <c r="N2" s="25" t="s">
        <v>86</v>
      </c>
      <c r="O2" s="24" t="s">
        <v>98</v>
      </c>
      <c r="P2" s="24" t="s">
        <v>99</v>
      </c>
      <c r="Q2" s="24" t="s">
        <v>70</v>
      </c>
    </row>
    <row r="3" spans="1:17" x14ac:dyDescent="0.25">
      <c r="A3" s="14" t="s">
        <v>1</v>
      </c>
      <c r="B3" s="6">
        <v>815</v>
      </c>
      <c r="C3" s="15">
        <v>528</v>
      </c>
      <c r="D3" s="15">
        <v>399</v>
      </c>
      <c r="E3" s="15">
        <v>371</v>
      </c>
      <c r="F3" s="15">
        <v>85</v>
      </c>
      <c r="G3" s="15">
        <v>439</v>
      </c>
      <c r="H3" s="15">
        <v>115</v>
      </c>
      <c r="I3" s="15">
        <v>154</v>
      </c>
      <c r="J3" s="15">
        <v>340</v>
      </c>
      <c r="K3" s="15">
        <v>308</v>
      </c>
      <c r="L3" s="15">
        <v>1035</v>
      </c>
      <c r="M3" s="15">
        <v>874</v>
      </c>
      <c r="N3" s="15">
        <v>365</v>
      </c>
      <c r="O3" s="15">
        <v>856</v>
      </c>
      <c r="P3" s="15">
        <v>548</v>
      </c>
      <c r="Q3" s="7">
        <f>SUM(B3:P3)</f>
        <v>7232</v>
      </c>
    </row>
    <row r="4" spans="1:17" x14ac:dyDescent="0.25">
      <c r="A4" s="14" t="s">
        <v>149</v>
      </c>
      <c r="B4" s="6">
        <v>46</v>
      </c>
      <c r="C4" s="15">
        <v>26</v>
      </c>
      <c r="D4" s="15">
        <v>27</v>
      </c>
      <c r="E4" s="15">
        <v>38</v>
      </c>
      <c r="F4" s="15">
        <v>10</v>
      </c>
      <c r="G4" s="15">
        <v>40</v>
      </c>
      <c r="H4" s="15">
        <v>9</v>
      </c>
      <c r="I4" s="15">
        <v>10</v>
      </c>
      <c r="J4" s="15">
        <v>25</v>
      </c>
      <c r="K4" s="15">
        <v>13</v>
      </c>
      <c r="L4" s="15">
        <v>49</v>
      </c>
      <c r="M4" s="15">
        <v>69</v>
      </c>
      <c r="N4" s="15">
        <v>28</v>
      </c>
      <c r="O4" s="15">
        <v>59</v>
      </c>
      <c r="P4" s="15">
        <v>37</v>
      </c>
      <c r="Q4" s="7">
        <f t="shared" ref="Q4:Q7" si="0">SUM(B4:P4)</f>
        <v>486</v>
      </c>
    </row>
    <row r="5" spans="1:17" x14ac:dyDescent="0.25">
      <c r="A5" s="14" t="s">
        <v>150</v>
      </c>
      <c r="B5" s="6">
        <v>65</v>
      </c>
      <c r="C5" s="15">
        <v>26</v>
      </c>
      <c r="D5" s="15">
        <v>49</v>
      </c>
      <c r="E5" s="15">
        <v>25</v>
      </c>
      <c r="F5" s="15">
        <v>3</v>
      </c>
      <c r="G5" s="15">
        <v>31</v>
      </c>
      <c r="H5" s="15">
        <v>6</v>
      </c>
      <c r="I5" s="15">
        <v>21</v>
      </c>
      <c r="J5" s="15">
        <v>35</v>
      </c>
      <c r="K5" s="15">
        <v>13</v>
      </c>
      <c r="L5" s="15">
        <v>48</v>
      </c>
      <c r="M5" s="15">
        <v>71</v>
      </c>
      <c r="N5" s="15">
        <v>22</v>
      </c>
      <c r="O5" s="15">
        <v>42</v>
      </c>
      <c r="P5" s="15">
        <v>25</v>
      </c>
      <c r="Q5" s="7">
        <f t="shared" si="0"/>
        <v>482</v>
      </c>
    </row>
    <row r="6" spans="1:17" x14ac:dyDescent="0.25">
      <c r="A6" s="16" t="s">
        <v>2</v>
      </c>
      <c r="B6" s="6">
        <v>24</v>
      </c>
      <c r="C6" s="15">
        <v>44</v>
      </c>
      <c r="D6" s="15">
        <v>30</v>
      </c>
      <c r="E6" s="15">
        <v>15</v>
      </c>
      <c r="F6" s="15">
        <v>6</v>
      </c>
      <c r="G6" s="15">
        <v>24</v>
      </c>
      <c r="H6" s="15">
        <v>3</v>
      </c>
      <c r="I6" s="15">
        <v>14</v>
      </c>
      <c r="J6" s="15">
        <v>27</v>
      </c>
      <c r="K6" s="15">
        <v>8</v>
      </c>
      <c r="L6" s="15">
        <v>90</v>
      </c>
      <c r="M6" s="15">
        <v>48</v>
      </c>
      <c r="N6" s="15">
        <v>23</v>
      </c>
      <c r="O6" s="15">
        <v>32</v>
      </c>
      <c r="P6" s="15">
        <v>49</v>
      </c>
      <c r="Q6" s="7">
        <f t="shared" si="0"/>
        <v>437</v>
      </c>
    </row>
    <row r="7" spans="1:17" x14ac:dyDescent="0.25">
      <c r="A7" s="16" t="s">
        <v>3</v>
      </c>
      <c r="B7" s="6">
        <v>3</v>
      </c>
      <c r="C7" s="15">
        <v>2</v>
      </c>
      <c r="D7" s="15">
        <v>1</v>
      </c>
      <c r="E7" s="15">
        <v>0</v>
      </c>
      <c r="F7" s="15">
        <v>0</v>
      </c>
      <c r="G7" s="15">
        <v>4</v>
      </c>
      <c r="H7" s="15">
        <v>0</v>
      </c>
      <c r="I7" s="15">
        <v>0</v>
      </c>
      <c r="J7" s="15">
        <v>8</v>
      </c>
      <c r="K7" s="15">
        <v>1</v>
      </c>
      <c r="L7" s="15">
        <v>10</v>
      </c>
      <c r="M7" s="15">
        <v>0</v>
      </c>
      <c r="N7" s="15">
        <v>0</v>
      </c>
      <c r="O7" s="15">
        <v>1</v>
      </c>
      <c r="P7" s="15">
        <v>8</v>
      </c>
      <c r="Q7" s="7">
        <f t="shared" si="0"/>
        <v>38</v>
      </c>
    </row>
    <row r="8" spans="1:17" x14ac:dyDescent="0.25">
      <c r="A8" s="12" t="s">
        <v>71</v>
      </c>
      <c r="B8" s="8">
        <f>SUM(B3:B7)</f>
        <v>953</v>
      </c>
      <c r="C8" s="8">
        <f>SUM(C3:C7)</f>
        <v>626</v>
      </c>
      <c r="D8" s="8">
        <f t="shared" ref="D8:P8" si="1">SUM(D3:D7)</f>
        <v>506</v>
      </c>
      <c r="E8" s="8">
        <f t="shared" si="1"/>
        <v>449</v>
      </c>
      <c r="F8" s="8">
        <f t="shared" si="1"/>
        <v>104</v>
      </c>
      <c r="G8" s="8">
        <f t="shared" si="1"/>
        <v>538</v>
      </c>
      <c r="H8" s="8">
        <f t="shared" si="1"/>
        <v>133</v>
      </c>
      <c r="I8" s="8">
        <f>SUM(I3:I7)</f>
        <v>199</v>
      </c>
      <c r="J8" s="8">
        <f t="shared" si="1"/>
        <v>435</v>
      </c>
      <c r="K8" s="8">
        <f t="shared" si="1"/>
        <v>343</v>
      </c>
      <c r="L8" s="8">
        <f t="shared" si="1"/>
        <v>1232</v>
      </c>
      <c r="M8" s="8">
        <f t="shared" si="1"/>
        <v>1062</v>
      </c>
      <c r="N8" s="8">
        <f t="shared" si="1"/>
        <v>438</v>
      </c>
      <c r="O8" s="8">
        <f>SUM(O3:O7)</f>
        <v>990</v>
      </c>
      <c r="P8" s="8">
        <f t="shared" si="1"/>
        <v>667</v>
      </c>
      <c r="Q8" s="8">
        <f>SUM(Q3:Q7)</f>
        <v>8675</v>
      </c>
    </row>
  </sheetData>
  <pageMargins left="0.5" right="0.5" top="0.5" bottom="0.5" header="0.3" footer="0.3"/>
  <pageSetup paperSize="5" scale="53" fitToHeight="0" orientation="landscape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F8"/>
  <sheetViews>
    <sheetView workbookViewId="0">
      <selection activeCell="B8" sqref="B8:E8"/>
    </sheetView>
  </sheetViews>
  <sheetFormatPr defaultColWidth="32" defaultRowHeight="15" x14ac:dyDescent="0.25"/>
  <cols>
    <col min="1" max="1" width="38.5703125" customWidth="1"/>
    <col min="2" max="5" width="21" style="1" customWidth="1"/>
    <col min="6" max="6" width="18.85546875" customWidth="1"/>
  </cols>
  <sheetData>
    <row r="1" spans="1:6" s="4" customFormat="1" ht="24.95" customHeight="1" x14ac:dyDescent="0.25">
      <c r="A1" s="3" t="s">
        <v>144</v>
      </c>
    </row>
    <row r="2" spans="1:6" s="2" customFormat="1" ht="27.75" customHeight="1" x14ac:dyDescent="0.25">
      <c r="A2" s="5" t="s">
        <v>68</v>
      </c>
      <c r="B2" s="24" t="s">
        <v>102</v>
      </c>
      <c r="C2" s="24" t="s">
        <v>103</v>
      </c>
      <c r="D2" s="24" t="s">
        <v>115</v>
      </c>
      <c r="E2" s="24" t="s">
        <v>104</v>
      </c>
      <c r="F2" s="24" t="s">
        <v>70</v>
      </c>
    </row>
    <row r="3" spans="1:6" x14ac:dyDescent="0.25">
      <c r="A3" s="14" t="s">
        <v>1</v>
      </c>
      <c r="B3" s="15">
        <v>777</v>
      </c>
      <c r="C3" s="15">
        <v>1761</v>
      </c>
      <c r="D3" s="17">
        <v>5716</v>
      </c>
      <c r="E3" s="15">
        <v>2</v>
      </c>
      <c r="F3" s="7">
        <f>SUM(SD57RepublicanPrimary56101521222425[[#This Row],[Part of Oswego County Vote Results]],SD57RepublicanPrimary56101521222425[[#This Row],[Onondaga County Vote Results]],SD57RepublicanPrimary56101521222425[[#This Row],[Oneida County Vote Results]],SD57RepublicanPrimary56101521222425[[#This Row],[Madison County Vote Results]])</f>
        <v>8256</v>
      </c>
    </row>
    <row r="4" spans="1:6" x14ac:dyDescent="0.25">
      <c r="A4" s="14" t="s">
        <v>149</v>
      </c>
      <c r="B4" s="15">
        <v>50</v>
      </c>
      <c r="C4" s="15">
        <v>131</v>
      </c>
      <c r="D4" s="17">
        <v>266</v>
      </c>
      <c r="E4" s="15">
        <v>1</v>
      </c>
      <c r="F4" s="7">
        <f>SUM(SD57RepublicanPrimary56101521222425[[#This Row],[Part of Oswego County Vote Results]],SD57RepublicanPrimary56101521222425[[#This Row],[Onondaga County Vote Results]],SD57RepublicanPrimary56101521222425[[#This Row],[Oneida County Vote Results]],SD57RepublicanPrimary56101521222425[[#This Row],[Madison County Vote Results]])</f>
        <v>448</v>
      </c>
    </row>
    <row r="5" spans="1:6" x14ac:dyDescent="0.25">
      <c r="A5" s="14" t="s">
        <v>150</v>
      </c>
      <c r="B5" s="15">
        <v>24</v>
      </c>
      <c r="C5" s="15">
        <v>110</v>
      </c>
      <c r="D5" s="17">
        <v>215</v>
      </c>
      <c r="E5" s="15">
        <v>0</v>
      </c>
      <c r="F5" s="7">
        <f>SUM(SD57RepublicanPrimary56101521222425[[#This Row],[Part of Oswego County Vote Results]],SD57RepublicanPrimary56101521222425[[#This Row],[Onondaga County Vote Results]],SD57RepublicanPrimary56101521222425[[#This Row],[Oneida County Vote Results]],SD57RepublicanPrimary56101521222425[[#This Row],[Madison County Vote Results]])</f>
        <v>349</v>
      </c>
    </row>
    <row r="6" spans="1:6" x14ac:dyDescent="0.25">
      <c r="A6" s="16" t="s">
        <v>2</v>
      </c>
      <c r="B6" s="15">
        <v>38</v>
      </c>
      <c r="C6" s="15">
        <v>96</v>
      </c>
      <c r="D6" s="15">
        <v>429</v>
      </c>
      <c r="E6" s="15">
        <v>0</v>
      </c>
      <c r="F6" s="7">
        <f>SUM(SD57RepublicanPrimary56101521222425[[#This Row],[Part of Oswego County Vote Results]],SD57RepublicanPrimary56101521222425[[#This Row],[Onondaga County Vote Results]],SD57RepublicanPrimary56101521222425[[#This Row],[Oneida County Vote Results]],SD57RepublicanPrimary56101521222425[[#This Row],[Madison County Vote Results]])</f>
        <v>563</v>
      </c>
    </row>
    <row r="7" spans="1:6" x14ac:dyDescent="0.25">
      <c r="A7" s="16" t="s">
        <v>3</v>
      </c>
      <c r="B7" s="15">
        <v>4</v>
      </c>
      <c r="C7" s="15">
        <v>13</v>
      </c>
      <c r="D7" s="15">
        <v>68</v>
      </c>
      <c r="E7" s="15">
        <v>0</v>
      </c>
      <c r="F7" s="7">
        <f>SUM(SD57RepublicanPrimary56101521222425[[#This Row],[Part of Oswego County Vote Results]],SD57RepublicanPrimary56101521222425[[#This Row],[Onondaga County Vote Results]],SD57RepublicanPrimary56101521222425[[#This Row],[Oneida County Vote Results]],SD57RepublicanPrimary56101521222425[[#This Row],[Madison County Vote Results]])</f>
        <v>85</v>
      </c>
    </row>
    <row r="8" spans="1:6" x14ac:dyDescent="0.25">
      <c r="A8" s="12" t="s">
        <v>71</v>
      </c>
      <c r="B8" s="8">
        <f t="shared" ref="B8:F8" si="0">SUM(B3:B7)</f>
        <v>893</v>
      </c>
      <c r="C8" s="8">
        <f t="shared" si="0"/>
        <v>2111</v>
      </c>
      <c r="D8" s="8">
        <f t="shared" si="0"/>
        <v>6694</v>
      </c>
      <c r="E8" s="8">
        <f t="shared" si="0"/>
        <v>3</v>
      </c>
      <c r="F8" s="8">
        <f t="shared" si="0"/>
        <v>9701</v>
      </c>
    </row>
  </sheetData>
  <pageMargins left="0.5" right="0.5" top="0.5" bottom="0.5" header="0.3" footer="0.3"/>
  <pageSetup paperSize="5" scale="73" fitToHeight="0" orientation="landscape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8"/>
  <sheetViews>
    <sheetView workbookViewId="0">
      <pane xSplit="1" topLeftCell="C1" activePane="topRight" state="frozen"/>
      <selection pane="topRight" activeCell="B8" sqref="B8:H8"/>
    </sheetView>
  </sheetViews>
  <sheetFormatPr defaultColWidth="32" defaultRowHeight="15" x14ac:dyDescent="0.25"/>
  <cols>
    <col min="1" max="1" width="38.5703125" customWidth="1"/>
    <col min="2" max="8" width="21" style="1" customWidth="1"/>
    <col min="9" max="9" width="18.85546875" customWidth="1"/>
  </cols>
  <sheetData>
    <row r="1" spans="1:9" s="4" customFormat="1" ht="24.95" customHeight="1" x14ac:dyDescent="0.25">
      <c r="A1" s="3" t="s">
        <v>145</v>
      </c>
    </row>
    <row r="2" spans="1:9" s="2" customFormat="1" ht="27.75" customHeight="1" x14ac:dyDescent="0.25">
      <c r="A2" s="5" t="s">
        <v>68</v>
      </c>
      <c r="B2" s="23" t="s">
        <v>105</v>
      </c>
      <c r="C2" s="24" t="s">
        <v>106</v>
      </c>
      <c r="D2" s="24" t="s">
        <v>107</v>
      </c>
      <c r="E2" s="24" t="s">
        <v>108</v>
      </c>
      <c r="F2" s="24" t="s">
        <v>117</v>
      </c>
      <c r="G2" s="24" t="s">
        <v>109</v>
      </c>
      <c r="H2" s="24" t="s">
        <v>111</v>
      </c>
      <c r="I2" s="24" t="s">
        <v>70</v>
      </c>
    </row>
    <row r="3" spans="1:9" x14ac:dyDescent="0.25">
      <c r="A3" s="14" t="s">
        <v>1</v>
      </c>
      <c r="B3" s="6">
        <v>326</v>
      </c>
      <c r="C3" s="15">
        <v>480</v>
      </c>
      <c r="D3" s="15">
        <v>1209</v>
      </c>
      <c r="E3" s="15">
        <v>827</v>
      </c>
      <c r="F3" s="15">
        <v>3706</v>
      </c>
      <c r="G3" s="15">
        <v>234</v>
      </c>
      <c r="H3" s="15">
        <v>686</v>
      </c>
      <c r="I3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7468</v>
      </c>
    </row>
    <row r="4" spans="1:9" x14ac:dyDescent="0.25">
      <c r="A4" s="14" t="s">
        <v>149</v>
      </c>
      <c r="B4" s="6">
        <v>22</v>
      </c>
      <c r="C4" s="15">
        <v>54</v>
      </c>
      <c r="D4" s="15">
        <v>87</v>
      </c>
      <c r="E4" s="15">
        <v>39</v>
      </c>
      <c r="F4" s="15">
        <v>247</v>
      </c>
      <c r="G4" s="15">
        <v>20</v>
      </c>
      <c r="H4" s="15">
        <v>59</v>
      </c>
      <c r="I4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528</v>
      </c>
    </row>
    <row r="5" spans="1:9" x14ac:dyDescent="0.25">
      <c r="A5" s="14" t="s">
        <v>150</v>
      </c>
      <c r="B5" s="6">
        <v>21</v>
      </c>
      <c r="C5" s="15">
        <v>54</v>
      </c>
      <c r="D5" s="15">
        <v>87</v>
      </c>
      <c r="E5" s="15">
        <v>40</v>
      </c>
      <c r="F5" s="15">
        <v>245</v>
      </c>
      <c r="G5" s="15">
        <v>13</v>
      </c>
      <c r="H5" s="15">
        <v>33</v>
      </c>
      <c r="I5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493</v>
      </c>
    </row>
    <row r="6" spans="1:9" x14ac:dyDescent="0.25">
      <c r="A6" s="16" t="s">
        <v>2</v>
      </c>
      <c r="B6" s="6">
        <v>31</v>
      </c>
      <c r="C6" s="15">
        <v>29</v>
      </c>
      <c r="D6" s="15">
        <v>71</v>
      </c>
      <c r="E6" s="15">
        <v>49</v>
      </c>
      <c r="F6" s="15">
        <v>216</v>
      </c>
      <c r="G6" s="15">
        <v>14</v>
      </c>
      <c r="H6" s="15">
        <v>47</v>
      </c>
      <c r="I6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457</v>
      </c>
    </row>
    <row r="7" spans="1:9" x14ac:dyDescent="0.25">
      <c r="A7" s="16" t="s">
        <v>3</v>
      </c>
      <c r="B7" s="6">
        <v>0</v>
      </c>
      <c r="C7" s="15">
        <v>5</v>
      </c>
      <c r="D7" s="15">
        <v>11</v>
      </c>
      <c r="E7" s="15">
        <v>7</v>
      </c>
      <c r="F7" s="15">
        <v>23</v>
      </c>
      <c r="G7" s="15">
        <v>2</v>
      </c>
      <c r="H7" s="15">
        <v>3</v>
      </c>
      <c r="I7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51</v>
      </c>
    </row>
    <row r="8" spans="1:9" x14ac:dyDescent="0.25">
      <c r="A8" s="12" t="s">
        <v>71</v>
      </c>
      <c r="B8" s="8">
        <f>SUM(B3:B7)</f>
        <v>400</v>
      </c>
      <c r="C8" s="8">
        <f t="shared" ref="C8:I8" si="0">SUM(C3:C7)</f>
        <v>622</v>
      </c>
      <c r="D8" s="8">
        <f t="shared" si="0"/>
        <v>1465</v>
      </c>
      <c r="E8" s="8">
        <f t="shared" si="0"/>
        <v>962</v>
      </c>
      <c r="F8" s="8">
        <f t="shared" si="0"/>
        <v>4437</v>
      </c>
      <c r="G8" s="8">
        <f t="shared" si="0"/>
        <v>283</v>
      </c>
      <c r="H8" s="8">
        <f t="shared" si="0"/>
        <v>828</v>
      </c>
      <c r="I8" s="8">
        <f t="shared" si="0"/>
        <v>8997</v>
      </c>
    </row>
  </sheetData>
  <pageMargins left="0.5" right="0.5" top="0.5" bottom="0.5" header="0.3" footer="0.3"/>
  <pageSetup paperSize="5" fitToHeight="0" orientation="landscape" r:id="rId1"/>
  <ignoredErrors>
    <ignoredError sqref="I8" calculatedColumn="1"/>
  </ignoredErrors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N8"/>
  <sheetViews>
    <sheetView workbookViewId="0">
      <pane xSplit="1" topLeftCell="H1" activePane="topRight" state="frozen"/>
      <selection pane="topRight" activeCell="K8" sqref="K8"/>
    </sheetView>
  </sheetViews>
  <sheetFormatPr defaultColWidth="32" defaultRowHeight="15" x14ac:dyDescent="0.25"/>
  <cols>
    <col min="1" max="1" width="38.5703125" customWidth="1"/>
    <col min="2" max="13" width="21" style="1" customWidth="1"/>
    <col min="14" max="14" width="18.85546875" customWidth="1"/>
  </cols>
  <sheetData>
    <row r="1" spans="1:14" s="4" customFormat="1" ht="24.95" customHeight="1" x14ac:dyDescent="0.25">
      <c r="A1" s="3" t="s">
        <v>146</v>
      </c>
    </row>
    <row r="2" spans="1:14" s="2" customFormat="1" ht="27.75" customHeight="1" x14ac:dyDescent="0.25">
      <c r="A2" s="5" t="s">
        <v>68</v>
      </c>
      <c r="B2" s="23" t="s">
        <v>114</v>
      </c>
      <c r="C2" s="24" t="s">
        <v>119</v>
      </c>
      <c r="D2" s="24" t="s">
        <v>153</v>
      </c>
      <c r="E2" s="24" t="s">
        <v>120</v>
      </c>
      <c r="F2" s="24" t="s">
        <v>118</v>
      </c>
      <c r="G2" s="24" t="s">
        <v>154</v>
      </c>
      <c r="H2" s="24" t="s">
        <v>152</v>
      </c>
      <c r="I2" s="24" t="s">
        <v>104</v>
      </c>
      <c r="J2" s="24" t="s">
        <v>110</v>
      </c>
      <c r="K2" s="24" t="s">
        <v>116</v>
      </c>
      <c r="L2" s="24" t="s">
        <v>121</v>
      </c>
      <c r="M2" s="24" t="s">
        <v>113</v>
      </c>
      <c r="N2" s="24" t="s">
        <v>70</v>
      </c>
    </row>
    <row r="3" spans="1:14" x14ac:dyDescent="0.25">
      <c r="A3" s="14" t="s">
        <v>1</v>
      </c>
      <c r="B3" s="6">
        <v>735</v>
      </c>
      <c r="C3" s="15">
        <v>408</v>
      </c>
      <c r="D3" s="15">
        <v>529</v>
      </c>
      <c r="E3" s="15">
        <v>557</v>
      </c>
      <c r="F3" s="15">
        <v>353</v>
      </c>
      <c r="G3" s="15">
        <v>1353</v>
      </c>
      <c r="H3" s="15">
        <v>141</v>
      </c>
      <c r="I3" s="15">
        <v>669</v>
      </c>
      <c r="J3" s="15">
        <v>313</v>
      </c>
      <c r="K3" s="15">
        <v>578</v>
      </c>
      <c r="L3" s="15">
        <v>167</v>
      </c>
      <c r="M3" s="15">
        <v>299</v>
      </c>
      <c r="N3" s="7">
        <f>SUM(B3:M3)</f>
        <v>6102</v>
      </c>
    </row>
    <row r="4" spans="1:14" x14ac:dyDescent="0.25">
      <c r="A4" s="14" t="s">
        <v>149</v>
      </c>
      <c r="B4" s="6">
        <v>47</v>
      </c>
      <c r="C4" s="15">
        <v>29</v>
      </c>
      <c r="D4" s="15">
        <v>35</v>
      </c>
      <c r="E4" s="15">
        <v>49</v>
      </c>
      <c r="F4" s="15">
        <v>36</v>
      </c>
      <c r="G4" s="15">
        <v>77</v>
      </c>
      <c r="H4" s="15">
        <v>11</v>
      </c>
      <c r="I4" s="15">
        <v>40</v>
      </c>
      <c r="J4" s="15">
        <v>21</v>
      </c>
      <c r="K4" s="15">
        <v>40</v>
      </c>
      <c r="L4" s="15">
        <v>12</v>
      </c>
      <c r="M4" s="15">
        <v>19</v>
      </c>
      <c r="N4" s="7">
        <f t="shared" ref="N4:N7" si="0">SUM(B4:M4)</f>
        <v>416</v>
      </c>
    </row>
    <row r="5" spans="1:14" x14ac:dyDescent="0.25">
      <c r="A5" s="14" t="s">
        <v>150</v>
      </c>
      <c r="B5" s="6">
        <v>35</v>
      </c>
      <c r="C5" s="15">
        <v>18</v>
      </c>
      <c r="D5" s="15">
        <v>24</v>
      </c>
      <c r="E5" s="15">
        <v>23</v>
      </c>
      <c r="F5" s="15">
        <v>31</v>
      </c>
      <c r="G5" s="15">
        <v>47</v>
      </c>
      <c r="H5" s="15">
        <v>14</v>
      </c>
      <c r="I5" s="15">
        <v>36</v>
      </c>
      <c r="J5" s="15">
        <v>19</v>
      </c>
      <c r="K5" s="15">
        <v>48</v>
      </c>
      <c r="L5" s="15">
        <v>16</v>
      </c>
      <c r="M5" s="15">
        <v>9</v>
      </c>
      <c r="N5" s="7">
        <f t="shared" si="0"/>
        <v>320</v>
      </c>
    </row>
    <row r="6" spans="1:14" x14ac:dyDescent="0.25">
      <c r="A6" s="16" t="s">
        <v>2</v>
      </c>
      <c r="B6" s="6">
        <v>10</v>
      </c>
      <c r="C6" s="15">
        <v>30</v>
      </c>
      <c r="D6" s="15">
        <v>27</v>
      </c>
      <c r="E6" s="15">
        <v>38</v>
      </c>
      <c r="F6" s="15">
        <v>26</v>
      </c>
      <c r="G6" s="15">
        <v>100</v>
      </c>
      <c r="H6" s="15">
        <v>4</v>
      </c>
      <c r="I6" s="15">
        <v>40</v>
      </c>
      <c r="J6" s="15">
        <v>13</v>
      </c>
      <c r="K6" s="15">
        <v>18</v>
      </c>
      <c r="L6" s="15">
        <v>10</v>
      </c>
      <c r="M6" s="15">
        <v>7</v>
      </c>
      <c r="N6" s="7">
        <f t="shared" si="0"/>
        <v>323</v>
      </c>
    </row>
    <row r="7" spans="1:14" x14ac:dyDescent="0.25">
      <c r="A7" s="16" t="s">
        <v>3</v>
      </c>
      <c r="B7" s="6">
        <v>24</v>
      </c>
      <c r="C7" s="15">
        <v>1</v>
      </c>
      <c r="D7" s="15">
        <v>6</v>
      </c>
      <c r="E7" s="15">
        <v>3</v>
      </c>
      <c r="F7" s="15">
        <v>3</v>
      </c>
      <c r="G7" s="15">
        <v>4</v>
      </c>
      <c r="H7" s="15">
        <v>0</v>
      </c>
      <c r="I7" s="15">
        <v>6</v>
      </c>
      <c r="J7" s="15">
        <v>2</v>
      </c>
      <c r="K7" s="15">
        <v>6</v>
      </c>
      <c r="L7" s="15">
        <v>2</v>
      </c>
      <c r="M7" s="15">
        <v>4</v>
      </c>
      <c r="N7" s="7">
        <f t="shared" si="0"/>
        <v>61</v>
      </c>
    </row>
    <row r="8" spans="1:14" x14ac:dyDescent="0.25">
      <c r="A8" s="12" t="s">
        <v>71</v>
      </c>
      <c r="B8" s="8">
        <f>SUM(B3:B7)</f>
        <v>851</v>
      </c>
      <c r="C8" s="8">
        <f t="shared" ref="C8:M8" si="1">SUM(C3:C7)</f>
        <v>486</v>
      </c>
      <c r="D8" s="8">
        <f t="shared" si="1"/>
        <v>621</v>
      </c>
      <c r="E8" s="8">
        <f t="shared" si="1"/>
        <v>670</v>
      </c>
      <c r="F8" s="8">
        <f t="shared" si="1"/>
        <v>449</v>
      </c>
      <c r="G8" s="8">
        <f t="shared" si="1"/>
        <v>1581</v>
      </c>
      <c r="H8" s="8">
        <f t="shared" si="1"/>
        <v>170</v>
      </c>
      <c r="I8" s="8">
        <f t="shared" si="1"/>
        <v>791</v>
      </c>
      <c r="J8" s="8">
        <f t="shared" si="1"/>
        <v>368</v>
      </c>
      <c r="K8" s="8">
        <f t="shared" si="1"/>
        <v>690</v>
      </c>
      <c r="L8" s="8">
        <f t="shared" si="1"/>
        <v>207</v>
      </c>
      <c r="M8" s="8">
        <f t="shared" si="1"/>
        <v>338</v>
      </c>
      <c r="N8" s="8">
        <f>SUM(N3:N7)</f>
        <v>7222</v>
      </c>
    </row>
  </sheetData>
  <phoneticPr fontId="6" type="noConversion"/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D8"/>
  <sheetViews>
    <sheetView workbookViewId="0">
      <selection activeCell="C8" sqref="C8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147</v>
      </c>
    </row>
    <row r="2" spans="1:4" s="2" customFormat="1" ht="27.75" customHeight="1" x14ac:dyDescent="0.25">
      <c r="A2" s="5" t="s">
        <v>68</v>
      </c>
      <c r="B2" s="23" t="s">
        <v>151</v>
      </c>
      <c r="C2" s="24" t="s">
        <v>152</v>
      </c>
      <c r="D2" s="24" t="s">
        <v>70</v>
      </c>
    </row>
    <row r="3" spans="1:4" x14ac:dyDescent="0.25">
      <c r="A3" s="14" t="s">
        <v>1</v>
      </c>
      <c r="B3" s="6">
        <v>13709</v>
      </c>
      <c r="C3" s="15">
        <v>89</v>
      </c>
      <c r="D3" s="7">
        <f>SUM(B3,C3)</f>
        <v>13798</v>
      </c>
    </row>
    <row r="4" spans="1:4" x14ac:dyDescent="0.25">
      <c r="A4" s="14" t="s">
        <v>149</v>
      </c>
      <c r="B4" s="6">
        <v>725</v>
      </c>
      <c r="C4" s="15">
        <v>7</v>
      </c>
      <c r="D4" s="7">
        <f t="shared" ref="D4:D7" si="0">SUM(B4,C4)</f>
        <v>732</v>
      </c>
    </row>
    <row r="5" spans="1:4" x14ac:dyDescent="0.25">
      <c r="A5" s="14" t="s">
        <v>150</v>
      </c>
      <c r="B5" s="6">
        <v>466</v>
      </c>
      <c r="C5" s="15">
        <v>4</v>
      </c>
      <c r="D5" s="7">
        <f t="shared" si="0"/>
        <v>470</v>
      </c>
    </row>
    <row r="6" spans="1:4" x14ac:dyDescent="0.25">
      <c r="A6" s="16" t="s">
        <v>2</v>
      </c>
      <c r="B6" s="6">
        <v>1013</v>
      </c>
      <c r="C6" s="15">
        <v>6</v>
      </c>
      <c r="D6" s="7">
        <f t="shared" si="0"/>
        <v>1019</v>
      </c>
    </row>
    <row r="7" spans="1:4" x14ac:dyDescent="0.25">
      <c r="A7" s="16" t="s">
        <v>3</v>
      </c>
      <c r="B7" s="6">
        <v>82</v>
      </c>
      <c r="C7" s="15">
        <v>0</v>
      </c>
      <c r="D7" s="7">
        <f t="shared" si="0"/>
        <v>82</v>
      </c>
    </row>
    <row r="8" spans="1:4" x14ac:dyDescent="0.25">
      <c r="A8" s="12" t="s">
        <v>71</v>
      </c>
      <c r="B8" s="8">
        <f>SUM(B3:B7)</f>
        <v>15995</v>
      </c>
      <c r="C8" s="8">
        <f>SUM(C3:C7)</f>
        <v>106</v>
      </c>
      <c r="D8" s="8">
        <f>SUM(D3:D7)</f>
        <v>16101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D8"/>
  <sheetViews>
    <sheetView workbookViewId="0">
      <selection activeCell="B7" sqref="B7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148</v>
      </c>
    </row>
    <row r="2" spans="1:4" s="2" customFormat="1" ht="27.75" customHeight="1" x14ac:dyDescent="0.25">
      <c r="A2" s="5" t="s">
        <v>68</v>
      </c>
      <c r="B2" s="23" t="s">
        <v>117</v>
      </c>
      <c r="C2" s="24" t="s">
        <v>118</v>
      </c>
      <c r="D2" s="24" t="s">
        <v>70</v>
      </c>
    </row>
    <row r="3" spans="1:4" x14ac:dyDescent="0.25">
      <c r="A3" s="14" t="s">
        <v>161</v>
      </c>
      <c r="B3" s="15">
        <v>9467</v>
      </c>
      <c r="C3" s="15">
        <v>1508</v>
      </c>
      <c r="D3" s="7">
        <f>SUM(SD57RepublicanPrimary58111314161729[[#This Row],[Part of Niagara County Vote Results]],SD57RepublicanPrimary58111314161729[[#This Row],[Part of Erie County Vote Results]])</f>
        <v>10975</v>
      </c>
    </row>
    <row r="4" spans="1:4" x14ac:dyDescent="0.25">
      <c r="A4" s="14" t="s">
        <v>149</v>
      </c>
      <c r="B4" s="15">
        <v>459</v>
      </c>
      <c r="C4" s="15">
        <v>99</v>
      </c>
      <c r="D4" s="7">
        <f>SUM(SD57RepublicanPrimary58111314161729[[#This Row],[Part of Niagara County Vote Results]],SD57RepublicanPrimary58111314161729[[#This Row],[Part of Erie County Vote Results]])</f>
        <v>558</v>
      </c>
    </row>
    <row r="5" spans="1:4" x14ac:dyDescent="0.25">
      <c r="A5" s="14" t="s">
        <v>150</v>
      </c>
      <c r="B5" s="15">
        <v>393</v>
      </c>
      <c r="C5" s="15">
        <v>93</v>
      </c>
      <c r="D5" s="7">
        <f>SUM(SD57RepublicanPrimary58111314161729[[#This Row],[Part of Niagara County Vote Results]],SD57RepublicanPrimary58111314161729[[#This Row],[Part of Erie County Vote Results]])</f>
        <v>486</v>
      </c>
    </row>
    <row r="6" spans="1:4" x14ac:dyDescent="0.25">
      <c r="A6" s="16" t="s">
        <v>2</v>
      </c>
      <c r="B6" s="15">
        <v>1095</v>
      </c>
      <c r="C6" s="15">
        <v>78</v>
      </c>
      <c r="D6" s="7">
        <f>SUM(SD57RepublicanPrimary58111314161729[[#This Row],[Part of Niagara County Vote Results]],SD57RepublicanPrimary58111314161729[[#This Row],[Part of Erie County Vote Results]])</f>
        <v>1173</v>
      </c>
    </row>
    <row r="7" spans="1:4" x14ac:dyDescent="0.25">
      <c r="A7" s="16" t="s">
        <v>3</v>
      </c>
      <c r="B7" s="15">
        <v>45</v>
      </c>
      <c r="C7" s="15">
        <v>7</v>
      </c>
      <c r="D7" s="7">
        <f>SUM(SD57RepublicanPrimary58111314161729[[#This Row],[Part of Niagara County Vote Results]],SD57RepublicanPrimary58111314161729[[#This Row],[Part of Erie County Vote Results]])</f>
        <v>52</v>
      </c>
    </row>
    <row r="8" spans="1:4" x14ac:dyDescent="0.25">
      <c r="A8" s="12" t="s">
        <v>71</v>
      </c>
      <c r="B8" s="8">
        <f>SUM(B3:B7)</f>
        <v>11459</v>
      </c>
      <c r="C8" s="8">
        <f t="shared" ref="C8:D8" si="0">SUM(C3:C7)</f>
        <v>1785</v>
      </c>
      <c r="D8" s="8">
        <f t="shared" si="0"/>
        <v>13244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1B19-5E5C-4209-9992-DD39650B9B08}">
  <sheetPr>
    <pageSetUpPr fitToPage="1"/>
  </sheetPr>
  <dimension ref="A1:C10"/>
  <sheetViews>
    <sheetView workbookViewId="0">
      <pane ySplit="3" topLeftCell="A4" activePane="bottomLeft" state="frozen"/>
      <selection pane="bottomLeft" activeCell="A10" sqref="A10:C10"/>
    </sheetView>
  </sheetViews>
  <sheetFormatPr defaultColWidth="9.140625" defaultRowHeight="12.75" x14ac:dyDescent="0.25"/>
  <cols>
    <col min="1" max="1" width="10.28515625" style="32" bestFit="1" customWidth="1"/>
    <col min="2" max="2" width="2.7109375" style="26" customWidth="1"/>
    <col min="3" max="3" width="162.5703125" style="26" customWidth="1"/>
    <col min="4" max="16384" width="9.140625" style="26"/>
  </cols>
  <sheetData>
    <row r="1" spans="1:3" ht="15.75" x14ac:dyDescent="0.25">
      <c r="A1" s="37" t="s">
        <v>163</v>
      </c>
      <c r="B1" s="37"/>
      <c r="C1" s="37"/>
    </row>
    <row r="3" spans="1:3" x14ac:dyDescent="0.25">
      <c r="A3" s="27" t="s">
        <v>164</v>
      </c>
      <c r="C3" s="28" t="s">
        <v>165</v>
      </c>
    </row>
    <row r="4" spans="1:3" x14ac:dyDescent="0.25">
      <c r="A4" s="29"/>
      <c r="B4" s="30"/>
      <c r="C4" s="31"/>
    </row>
    <row r="7" spans="1:3" x14ac:dyDescent="0.25">
      <c r="A7" s="32">
        <v>45420</v>
      </c>
      <c r="C7" s="33" t="s">
        <v>25</v>
      </c>
    </row>
    <row r="8" spans="1:3" x14ac:dyDescent="0.25">
      <c r="A8" s="34"/>
      <c r="B8" s="35"/>
      <c r="C8" s="36" t="s">
        <v>166</v>
      </c>
    </row>
    <row r="9" spans="1:3" x14ac:dyDescent="0.25">
      <c r="A9" s="32">
        <v>45422</v>
      </c>
      <c r="C9" s="33" t="s">
        <v>53</v>
      </c>
    </row>
    <row r="10" spans="1:3" x14ac:dyDescent="0.25">
      <c r="A10" s="34"/>
      <c r="B10" s="35"/>
      <c r="C10" s="35" t="s">
        <v>167</v>
      </c>
    </row>
  </sheetData>
  <mergeCells count="1">
    <mergeCell ref="A1:C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8"/>
  <sheetViews>
    <sheetView workbookViewId="0">
      <selection activeCell="B6" sqref="B6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21.140625" style="1" customWidth="1"/>
    <col min="4" max="4" width="18.85546875" customWidth="1"/>
  </cols>
  <sheetData>
    <row r="1" spans="1:4" s="4" customFormat="1" ht="24.95" customHeight="1" x14ac:dyDescent="0.25">
      <c r="A1" s="3" t="s">
        <v>124</v>
      </c>
    </row>
    <row r="2" spans="1:4" s="2" customFormat="1" ht="27.75" customHeight="1" x14ac:dyDescent="0.25">
      <c r="A2" s="5" t="s">
        <v>68</v>
      </c>
      <c r="B2" s="23" t="s">
        <v>72</v>
      </c>
      <c r="C2" s="24" t="s">
        <v>69</v>
      </c>
      <c r="D2" s="24" t="s">
        <v>70</v>
      </c>
    </row>
    <row r="3" spans="1:4" x14ac:dyDescent="0.25">
      <c r="A3" s="14" t="s">
        <v>1</v>
      </c>
      <c r="B3" s="6">
        <v>147</v>
      </c>
      <c r="C3" s="15">
        <v>4355</v>
      </c>
      <c r="D3" s="7">
        <f>SUM(SD57RepublicanPrimary5[[#This Row],[Part of Suffolk County Vote Results]],SD57RepublicanPrimary5[[#This Row],[Part of Nassau County Vote Results]])</f>
        <v>4502</v>
      </c>
    </row>
    <row r="4" spans="1:4" x14ac:dyDescent="0.25">
      <c r="A4" s="14" t="s">
        <v>149</v>
      </c>
      <c r="B4" s="6">
        <v>10</v>
      </c>
      <c r="C4" s="15">
        <v>234</v>
      </c>
      <c r="D4" s="7">
        <f>SUM(SD57RepublicanPrimary5[[#This Row],[Part of Suffolk County Vote Results]],SD57RepublicanPrimary5[[#This Row],[Part of Nassau County Vote Results]])</f>
        <v>244</v>
      </c>
    </row>
    <row r="5" spans="1:4" x14ac:dyDescent="0.25">
      <c r="A5" s="14" t="s">
        <v>150</v>
      </c>
      <c r="B5" s="6">
        <v>8</v>
      </c>
      <c r="C5" s="15">
        <v>182</v>
      </c>
      <c r="D5" s="7">
        <f>SUM(SD57RepublicanPrimary5[[#This Row],[Part of Suffolk County Vote Results]],SD57RepublicanPrimary5[[#This Row],[Part of Nassau County Vote Results]])</f>
        <v>190</v>
      </c>
    </row>
    <row r="6" spans="1:4" x14ac:dyDescent="0.25">
      <c r="A6" s="16" t="s">
        <v>2</v>
      </c>
      <c r="B6" s="6">
        <v>11</v>
      </c>
      <c r="C6" s="15">
        <v>265</v>
      </c>
      <c r="D6" s="7">
        <f>SUM(SD57RepublicanPrimary5[[#This Row],[Part of Suffolk County Vote Results]],SD57RepublicanPrimary5[[#This Row],[Part of Nassau County Vote Results]])</f>
        <v>276</v>
      </c>
    </row>
    <row r="7" spans="1:4" x14ac:dyDescent="0.25">
      <c r="A7" s="16" t="s">
        <v>3</v>
      </c>
      <c r="B7" s="6">
        <v>2</v>
      </c>
      <c r="C7" s="15">
        <v>43</v>
      </c>
      <c r="D7" s="7">
        <f>SUM(SD57RepublicanPrimary5[[#This Row],[Part of Suffolk County Vote Results]],SD57RepublicanPrimary5[[#This Row],[Part of Nassau County Vote Results]])</f>
        <v>45</v>
      </c>
    </row>
    <row r="8" spans="1:4" x14ac:dyDescent="0.25">
      <c r="A8" s="12" t="s">
        <v>71</v>
      </c>
      <c r="B8" s="8">
        <f>SUM(B3:B7)</f>
        <v>178</v>
      </c>
      <c r="C8" s="8">
        <f>SUM(C3:C7)</f>
        <v>5079</v>
      </c>
      <c r="D8" s="9">
        <f>SUM(D3:D7)</f>
        <v>5257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8"/>
  <sheetViews>
    <sheetView workbookViewId="0">
      <selection activeCell="C8" sqref="C8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125</v>
      </c>
    </row>
    <row r="2" spans="1:4" s="2" customFormat="1" ht="27.75" customHeight="1" x14ac:dyDescent="0.25">
      <c r="A2" s="5" t="s">
        <v>68</v>
      </c>
      <c r="B2" s="23" t="s">
        <v>72</v>
      </c>
      <c r="C2" s="24" t="s">
        <v>73</v>
      </c>
      <c r="D2" s="24" t="s">
        <v>70</v>
      </c>
    </row>
    <row r="3" spans="1:4" x14ac:dyDescent="0.25">
      <c r="A3" s="14" t="s">
        <v>1</v>
      </c>
      <c r="B3" s="6">
        <v>6524</v>
      </c>
      <c r="C3" s="15">
        <v>3486</v>
      </c>
      <c r="D3" s="7">
        <f>SUM(SD57RepublicanPrimary56[[#This Row],[Part of Queens County Vote Results]],SD57RepublicanPrimary56[[#This Row],[Part of Nassau County Vote Results]])</f>
        <v>10010</v>
      </c>
    </row>
    <row r="4" spans="1:4" x14ac:dyDescent="0.25">
      <c r="A4" s="14" t="s">
        <v>149</v>
      </c>
      <c r="B4" s="6">
        <v>253</v>
      </c>
      <c r="C4" s="15">
        <v>191</v>
      </c>
      <c r="D4" s="7">
        <f>SUM(SD57RepublicanPrimary56[[#This Row],[Part of Queens County Vote Results]],SD57RepublicanPrimary56[[#This Row],[Part of Nassau County Vote Results]])</f>
        <v>444</v>
      </c>
    </row>
    <row r="5" spans="1:4" x14ac:dyDescent="0.25">
      <c r="A5" s="14" t="s">
        <v>150</v>
      </c>
      <c r="B5" s="6">
        <v>210</v>
      </c>
      <c r="C5" s="15">
        <v>224</v>
      </c>
      <c r="D5" s="7">
        <f>SUM(SD57RepublicanPrimary56[[#This Row],[Part of Queens County Vote Results]],SD57RepublicanPrimary56[[#This Row],[Part of Nassau County Vote Results]])</f>
        <v>434</v>
      </c>
    </row>
    <row r="6" spans="1:4" x14ac:dyDescent="0.25">
      <c r="A6" s="16" t="s">
        <v>2</v>
      </c>
      <c r="B6" s="6">
        <v>485</v>
      </c>
      <c r="C6" s="15">
        <v>256</v>
      </c>
      <c r="D6" s="7">
        <f>SUM(SD57RepublicanPrimary56[[#This Row],[Part of Queens County Vote Results]],SD57RepublicanPrimary56[[#This Row],[Part of Nassau County Vote Results]])</f>
        <v>741</v>
      </c>
    </row>
    <row r="7" spans="1:4" x14ac:dyDescent="0.25">
      <c r="A7" s="16" t="s">
        <v>3</v>
      </c>
      <c r="B7" s="6">
        <v>64</v>
      </c>
      <c r="C7" s="15">
        <v>0</v>
      </c>
      <c r="D7" s="7">
        <f>SUM(SD57RepublicanPrimary56[[#This Row],[Part of Queens County Vote Results]],SD57RepublicanPrimary56[[#This Row],[Part of Nassau County Vote Results]])</f>
        <v>64</v>
      </c>
    </row>
    <row r="8" spans="1:4" x14ac:dyDescent="0.25">
      <c r="A8" s="12" t="s">
        <v>71</v>
      </c>
      <c r="B8" s="8">
        <f>SUM(B3:B7)</f>
        <v>7536</v>
      </c>
      <c r="C8" s="8">
        <f>SUM(C3:C7)</f>
        <v>4157</v>
      </c>
      <c r="D8" s="9">
        <f>SUM(D3:D7)</f>
        <v>11693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8"/>
  <sheetViews>
    <sheetView workbookViewId="0">
      <selection activeCell="B5" sqref="B5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126</v>
      </c>
    </row>
    <row r="2" spans="1:3" s="2" customFormat="1" ht="27.75" customHeight="1" x14ac:dyDescent="0.25">
      <c r="A2" s="5" t="s">
        <v>68</v>
      </c>
      <c r="B2" s="23" t="s">
        <v>72</v>
      </c>
      <c r="C2" s="24" t="s">
        <v>70</v>
      </c>
    </row>
    <row r="3" spans="1:3" x14ac:dyDescent="0.25">
      <c r="A3" s="14" t="s">
        <v>1</v>
      </c>
      <c r="B3" s="6">
        <v>6614</v>
      </c>
      <c r="C3" s="7">
        <f>SUM(SD57RepublicanPrimary7[[#This Row],[Part of Nassau County Vote Results]])</f>
        <v>6614</v>
      </c>
    </row>
    <row r="4" spans="1:3" x14ac:dyDescent="0.25">
      <c r="A4" s="14" t="s">
        <v>149</v>
      </c>
      <c r="B4" s="6">
        <v>241</v>
      </c>
      <c r="C4" s="7">
        <f>SUM(SD57RepublicanPrimary7[[#This Row],[Part of Nassau County Vote Results]])</f>
        <v>241</v>
      </c>
    </row>
    <row r="5" spans="1:3" x14ac:dyDescent="0.25">
      <c r="A5" s="14" t="s">
        <v>150</v>
      </c>
      <c r="B5" s="6">
        <v>209</v>
      </c>
      <c r="C5" s="7">
        <f>SUM(SD57RepublicanPrimary7[[#This Row],[Part of Nassau County Vote Results]])</f>
        <v>209</v>
      </c>
    </row>
    <row r="6" spans="1:3" x14ac:dyDescent="0.25">
      <c r="A6" s="16" t="s">
        <v>2</v>
      </c>
      <c r="B6" s="6">
        <v>471</v>
      </c>
      <c r="C6" s="7">
        <f>SUM(SD57RepublicanPrimary7[[#This Row],[Part of Nassau County Vote Results]])</f>
        <v>471</v>
      </c>
    </row>
    <row r="7" spans="1:3" x14ac:dyDescent="0.25">
      <c r="A7" s="16" t="s">
        <v>3</v>
      </c>
      <c r="B7" s="6">
        <v>154</v>
      </c>
      <c r="C7" s="7">
        <f>SUM(SD57RepublicanPrimary7[[#This Row],[Part of Nassau County Vote Results]])</f>
        <v>154</v>
      </c>
    </row>
    <row r="8" spans="1:3" x14ac:dyDescent="0.25">
      <c r="A8" s="12" t="s">
        <v>71</v>
      </c>
      <c r="B8" s="8">
        <f>SUM(B3:B7)</f>
        <v>7689</v>
      </c>
      <c r="C8" s="9">
        <f>SUM(C3:C7)</f>
        <v>7689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8"/>
  <sheetViews>
    <sheetView workbookViewId="0">
      <selection activeCell="B8" sqref="B8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127</v>
      </c>
    </row>
    <row r="2" spans="1:3" s="2" customFormat="1" ht="27.75" customHeight="1" x14ac:dyDescent="0.25">
      <c r="A2" s="5" t="s">
        <v>68</v>
      </c>
      <c r="B2" s="24" t="s">
        <v>73</v>
      </c>
      <c r="C2" s="24" t="s">
        <v>70</v>
      </c>
    </row>
    <row r="3" spans="1:3" x14ac:dyDescent="0.25">
      <c r="A3" s="14" t="s">
        <v>1</v>
      </c>
      <c r="B3" s="6">
        <v>13113</v>
      </c>
      <c r="C3" s="7">
        <f>SUM(SD57RepublicanPrimary58[[#This Row],[Part of Queens County Vote Results]])</f>
        <v>13113</v>
      </c>
    </row>
    <row r="4" spans="1:3" x14ac:dyDescent="0.25">
      <c r="A4" s="14" t="s">
        <v>149</v>
      </c>
      <c r="B4" s="6">
        <v>570</v>
      </c>
      <c r="C4" s="7">
        <f>SUM(SD57RepublicanPrimary58[[#This Row],[Part of Queens County Vote Results]])</f>
        <v>570</v>
      </c>
    </row>
    <row r="5" spans="1:3" x14ac:dyDescent="0.25">
      <c r="A5" s="14" t="s">
        <v>150</v>
      </c>
      <c r="B5" s="6">
        <v>430</v>
      </c>
      <c r="C5" s="7">
        <f>SUM(SD57RepublicanPrimary58[[#This Row],[Part of Queens County Vote Results]])</f>
        <v>430</v>
      </c>
    </row>
    <row r="6" spans="1:3" x14ac:dyDescent="0.25">
      <c r="A6" s="16" t="s">
        <v>2</v>
      </c>
      <c r="B6" s="6">
        <v>888</v>
      </c>
      <c r="C6" s="7">
        <f>SUM(SD57RepublicanPrimary58[[#This Row],[Part of Queens County Vote Results]])</f>
        <v>888</v>
      </c>
    </row>
    <row r="7" spans="1:3" x14ac:dyDescent="0.25">
      <c r="A7" s="16" t="s">
        <v>3</v>
      </c>
      <c r="B7" s="6">
        <v>0</v>
      </c>
      <c r="C7" s="7">
        <f>SUM(SD57RepublicanPrimary58[[#This Row],[Part of Queens County Vote Results]])</f>
        <v>0</v>
      </c>
    </row>
    <row r="8" spans="1:3" x14ac:dyDescent="0.25">
      <c r="A8" s="12" t="s">
        <v>71</v>
      </c>
      <c r="B8" s="8">
        <f>SUM(B3:B7)</f>
        <v>15001</v>
      </c>
      <c r="C8" s="9">
        <f>SUM(C3:C7)</f>
        <v>15001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8"/>
  <sheetViews>
    <sheetView workbookViewId="0">
      <selection activeCell="B7" sqref="B7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128</v>
      </c>
    </row>
    <row r="2" spans="1:3" s="2" customFormat="1" ht="27.75" customHeight="1" x14ac:dyDescent="0.25">
      <c r="A2" s="5" t="s">
        <v>68</v>
      </c>
      <c r="B2" s="23" t="s">
        <v>73</v>
      </c>
      <c r="C2" s="24" t="s">
        <v>70</v>
      </c>
    </row>
    <row r="3" spans="1:3" x14ac:dyDescent="0.25">
      <c r="A3" s="14" t="s">
        <v>1</v>
      </c>
      <c r="B3" s="18">
        <v>9423</v>
      </c>
      <c r="C3" s="7">
        <f>SUM(SD57RepublicanPrimary9[[#This Row],[Part of Queens County Vote Results]])</f>
        <v>9423</v>
      </c>
    </row>
    <row r="4" spans="1:3" x14ac:dyDescent="0.25">
      <c r="A4" s="14" t="s">
        <v>149</v>
      </c>
      <c r="B4" s="18">
        <v>729</v>
      </c>
      <c r="C4" s="7">
        <f>SUM(SD57RepublicanPrimary9[[#This Row],[Part of Queens County Vote Results]])</f>
        <v>729</v>
      </c>
    </row>
    <row r="5" spans="1:3" x14ac:dyDescent="0.25">
      <c r="A5" s="14" t="s">
        <v>150</v>
      </c>
      <c r="B5" s="18">
        <v>678</v>
      </c>
      <c r="C5" s="7">
        <f>SUM(SD57RepublicanPrimary9[[#This Row],[Part of Queens County Vote Results]])</f>
        <v>678</v>
      </c>
    </row>
    <row r="6" spans="1:3" x14ac:dyDescent="0.25">
      <c r="A6" s="16" t="s">
        <v>2</v>
      </c>
      <c r="B6" s="18">
        <v>1449</v>
      </c>
      <c r="C6" s="7">
        <f>SUM(SD57RepublicanPrimary9[[#This Row],[Part of Queens County Vote Results]])</f>
        <v>1449</v>
      </c>
    </row>
    <row r="7" spans="1:3" x14ac:dyDescent="0.25">
      <c r="A7" s="16" t="s">
        <v>3</v>
      </c>
      <c r="B7" s="18">
        <v>0</v>
      </c>
      <c r="C7" s="7">
        <f>SUM(SD57RepublicanPrimary9[[#This Row],[Part of Queens County Vote Results]])</f>
        <v>0</v>
      </c>
    </row>
    <row r="8" spans="1:3" x14ac:dyDescent="0.25">
      <c r="A8" s="12" t="s">
        <v>71</v>
      </c>
      <c r="B8" s="20">
        <f>SUM(B3:B7)</f>
        <v>12279</v>
      </c>
      <c r="C8" s="9">
        <f>SUM(C3:C7)</f>
        <v>12279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8"/>
  <sheetViews>
    <sheetView workbookViewId="0">
      <selection activeCell="C3" sqref="C3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129</v>
      </c>
    </row>
    <row r="2" spans="1:4" s="2" customFormat="1" ht="27.75" customHeight="1" x14ac:dyDescent="0.25">
      <c r="A2" s="5" t="s">
        <v>68</v>
      </c>
      <c r="B2" s="23" t="s">
        <v>74</v>
      </c>
      <c r="C2" s="24" t="s">
        <v>73</v>
      </c>
      <c r="D2" s="24" t="s">
        <v>70</v>
      </c>
    </row>
    <row r="3" spans="1:4" x14ac:dyDescent="0.25">
      <c r="A3" s="14" t="s">
        <v>1</v>
      </c>
      <c r="B3" s="18">
        <v>6091</v>
      </c>
      <c r="C3" s="17">
        <v>3677</v>
      </c>
      <c r="D3" s="7">
        <f>SUM(SD57RepublicanPrimary5610[[#This Row],[Part of Queens County Vote Results]],SD57RepublicanPrimary5610[[#This Row],[Part of Kings County Vote Results]])</f>
        <v>9768</v>
      </c>
    </row>
    <row r="4" spans="1:4" x14ac:dyDescent="0.25">
      <c r="A4" s="14" t="s">
        <v>149</v>
      </c>
      <c r="B4" s="18">
        <v>578</v>
      </c>
      <c r="C4" s="17">
        <v>332</v>
      </c>
      <c r="D4" s="7">
        <f>SUM(SD57RepublicanPrimary5610[[#This Row],[Part of Queens County Vote Results]],SD57RepublicanPrimary5610[[#This Row],[Part of Kings County Vote Results]])</f>
        <v>910</v>
      </c>
    </row>
    <row r="5" spans="1:4" x14ac:dyDescent="0.25">
      <c r="A5" s="14" t="s">
        <v>150</v>
      </c>
      <c r="B5" s="18">
        <v>254</v>
      </c>
      <c r="C5" s="17">
        <v>228</v>
      </c>
      <c r="D5" s="7">
        <f>SUM(SD57RepublicanPrimary5610[[#This Row],[Part of Queens County Vote Results]],SD57RepublicanPrimary5610[[#This Row],[Part of Kings County Vote Results]])</f>
        <v>482</v>
      </c>
    </row>
    <row r="6" spans="1:4" x14ac:dyDescent="0.25">
      <c r="A6" s="16" t="s">
        <v>2</v>
      </c>
      <c r="B6" s="18">
        <v>3411</v>
      </c>
      <c r="C6" s="17">
        <v>1658</v>
      </c>
      <c r="D6" s="7">
        <f>SUM(SD57RepublicanPrimary5610[[#This Row],[Part of Queens County Vote Results]],SD57RepublicanPrimary5610[[#This Row],[Part of Kings County Vote Results]])</f>
        <v>5069</v>
      </c>
    </row>
    <row r="7" spans="1:4" x14ac:dyDescent="0.25">
      <c r="A7" s="16" t="s">
        <v>3</v>
      </c>
      <c r="B7" s="18">
        <v>0</v>
      </c>
      <c r="C7" s="17">
        <v>0</v>
      </c>
      <c r="D7" s="7">
        <f>SUM(SD57RepublicanPrimary5610[[#This Row],[Part of Queens County Vote Results]],SD57RepublicanPrimary5610[[#This Row],[Part of Kings County Vote Results]])</f>
        <v>0</v>
      </c>
    </row>
    <row r="8" spans="1:4" x14ac:dyDescent="0.25">
      <c r="A8" s="12" t="s">
        <v>71</v>
      </c>
      <c r="B8" s="20">
        <f>SUM(B3:B7)</f>
        <v>10334</v>
      </c>
      <c r="C8" s="20">
        <f>SUM(C3:C7)</f>
        <v>5895</v>
      </c>
      <c r="D8" s="9">
        <f>SUM(D3:D7)</f>
        <v>16229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8"/>
  <sheetViews>
    <sheetView workbookViewId="0">
      <selection activeCell="B8" sqref="B8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130</v>
      </c>
    </row>
    <row r="2" spans="1:3" s="2" customFormat="1" ht="27.75" customHeight="1" x14ac:dyDescent="0.25">
      <c r="A2" s="5" t="s">
        <v>68</v>
      </c>
      <c r="B2" s="23" t="s">
        <v>74</v>
      </c>
      <c r="C2" s="24" t="s">
        <v>70</v>
      </c>
    </row>
    <row r="3" spans="1:3" x14ac:dyDescent="0.25">
      <c r="A3" s="14" t="s">
        <v>1</v>
      </c>
      <c r="B3" s="18">
        <v>11361</v>
      </c>
      <c r="C3" s="7">
        <f>SUM(SD57RepublicanPrimary5811[[#This Row],[Part of Kings County Vote Results]])</f>
        <v>11361</v>
      </c>
    </row>
    <row r="4" spans="1:3" x14ac:dyDescent="0.25">
      <c r="A4" s="14" t="s">
        <v>149</v>
      </c>
      <c r="B4" s="18">
        <v>619</v>
      </c>
      <c r="C4" s="7">
        <f>SUM(SD57RepublicanPrimary5811[[#This Row],[Part of Kings County Vote Results]])</f>
        <v>619</v>
      </c>
    </row>
    <row r="5" spans="1:3" x14ac:dyDescent="0.25">
      <c r="A5" s="14" t="s">
        <v>150</v>
      </c>
      <c r="B5" s="18">
        <v>414</v>
      </c>
      <c r="C5" s="7">
        <f>SUM(SD57RepublicanPrimary5811[[#This Row],[Part of Kings County Vote Results]])</f>
        <v>414</v>
      </c>
    </row>
    <row r="6" spans="1:3" x14ac:dyDescent="0.25">
      <c r="A6" s="16" t="s">
        <v>2</v>
      </c>
      <c r="B6" s="18">
        <v>2385</v>
      </c>
      <c r="C6" s="7">
        <f>SUM(SD57RepublicanPrimary5811[[#This Row],[Part of Kings County Vote Results]])</f>
        <v>2385</v>
      </c>
    </row>
    <row r="7" spans="1:3" x14ac:dyDescent="0.25">
      <c r="A7" s="16" t="s">
        <v>3</v>
      </c>
      <c r="B7" s="18">
        <v>0</v>
      </c>
      <c r="C7" s="7">
        <f>SUM(SD57RepublicanPrimary5811[[#This Row],[Part of Kings County Vote Results]])</f>
        <v>0</v>
      </c>
    </row>
    <row r="8" spans="1:3" x14ac:dyDescent="0.25">
      <c r="A8" s="12" t="s">
        <v>71</v>
      </c>
      <c r="B8" s="20">
        <f>SUM(B3:B7)</f>
        <v>14779</v>
      </c>
      <c r="C8" s="9">
        <f>SUM(C3:C7)</f>
        <v>14779</v>
      </c>
    </row>
  </sheetData>
  <pageMargins left="0.5" right="0.5" top="0.5" bottom="0.5" header="0.3" footer="0.3"/>
  <pageSetup paperSize="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County DEM 2024</vt:lpstr>
      <vt:lpstr>CD 1 DEM Presidential</vt:lpstr>
      <vt:lpstr>CD 2 DEM Presidential</vt:lpstr>
      <vt:lpstr>CD 3 DEM Presidential</vt:lpstr>
      <vt:lpstr>CD 4 DEM Presidential</vt:lpstr>
      <vt:lpstr>CD 5 DEM Presidential</vt:lpstr>
      <vt:lpstr>CD 6 DEM Presidential</vt:lpstr>
      <vt:lpstr>CD 7 DEM Presidential</vt:lpstr>
      <vt:lpstr>CD 8 DEM Presidential</vt:lpstr>
      <vt:lpstr>CD 9 DEM Presidential</vt:lpstr>
      <vt:lpstr>CD 10 DEM Presidential</vt:lpstr>
      <vt:lpstr>CD 11 DEM Presidential</vt:lpstr>
      <vt:lpstr>CD 12 DEM Presidential</vt:lpstr>
      <vt:lpstr>CD 13 DEM Presidential</vt:lpstr>
      <vt:lpstr>CD 14 DEM Presidential</vt:lpstr>
      <vt:lpstr>CD 15 DEM Presidential</vt:lpstr>
      <vt:lpstr>CD 16 DEM Presidential</vt:lpstr>
      <vt:lpstr>CD 17 DEM Presidential</vt:lpstr>
      <vt:lpstr>CD 18 DEM Presidential</vt:lpstr>
      <vt:lpstr>CD 19 DEM Presidential</vt:lpstr>
      <vt:lpstr>CD 20 DEM Presidential</vt:lpstr>
      <vt:lpstr>CD 21 DEM Presidential</vt:lpstr>
      <vt:lpstr>CD 22 DEM Presidential</vt:lpstr>
      <vt:lpstr>CD 23 DEM Presidential</vt:lpstr>
      <vt:lpstr>CD 24 DEM Presidential</vt:lpstr>
      <vt:lpstr>CD 25 DEM Presidential</vt:lpstr>
      <vt:lpstr>CD 26 DEM Presidential</vt:lpstr>
      <vt:lpstr>Revision History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Connolly</dc:creator>
  <cp:keywords/>
  <dc:description/>
  <cp:lastModifiedBy>McGrath, Kathleen (ELECTIONS)</cp:lastModifiedBy>
  <cp:revision/>
  <dcterms:created xsi:type="dcterms:W3CDTF">2018-02-06T22:30:43Z</dcterms:created>
  <dcterms:modified xsi:type="dcterms:W3CDTF">2024-05-23T17:43:17Z</dcterms:modified>
  <cp:category/>
  <cp:contentStatus/>
</cp:coreProperties>
</file>