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My WebStuff\WebFormsAndAccessibility\"/>
    </mc:Choice>
  </mc:AlternateContent>
  <xr:revisionPtr revIDLastSave="0" documentId="8_{B9CADA6C-62BC-4048-A16C-A8324B702C9C}" xr6:coauthVersionLast="47" xr6:coauthVersionMax="47" xr10:uidLastSave="{00000000-0000-0000-0000-000000000000}"/>
  <bookViews>
    <workbookView xWindow="-120" yWindow="-120" windowWidth="24240" windowHeight="13020" tabRatio="672" activeTab="7" xr2:uid="{00000000-000D-0000-FFFF-FFFF00000000}"/>
  </bookViews>
  <sheets>
    <sheet name="1st JD" sheetId="763" r:id="rId1"/>
    <sheet name="2nd JD" sheetId="764" r:id="rId2"/>
    <sheet name="3rd JD" sheetId="515" r:id="rId3"/>
    <sheet name="4th JD" sheetId="516" r:id="rId4"/>
    <sheet name="5th JD" sheetId="517" r:id="rId5"/>
    <sheet name="6th JD" sheetId="768" r:id="rId6"/>
    <sheet name="7th JD" sheetId="518" r:id="rId7"/>
    <sheet name="9th JD" sheetId="520" r:id="rId8"/>
    <sheet name="10th JD" sheetId="521" r:id="rId9"/>
    <sheet name="11th JD" sheetId="765" r:id="rId10"/>
    <sheet name="12th JD" sheetId="766" r:id="rId11"/>
    <sheet name="Proposition 1" sheetId="769" r:id="rId12"/>
    <sheet name="Proposition 2" sheetId="770" r:id="rId13"/>
    <sheet name="Revision History" sheetId="508" r:id="rId14"/>
  </sheets>
  <definedNames>
    <definedName name="_xlnm.Print_Area" localSheetId="9">'11th JD'!$A$1:$D$13</definedName>
    <definedName name="_xlnm.Print_Area" localSheetId="10">'12th JD'!$A$1:$D$9</definedName>
    <definedName name="_xlnm.Print_Area" localSheetId="0">'1st JD'!$A$1:$D$9</definedName>
    <definedName name="_xlnm.Print_Area" localSheetId="1">'2nd JD'!$A$1:$D$24</definedName>
    <definedName name="_xlnm.Print_Area" localSheetId="2">'3rd JD'!$A$1:$J$14</definedName>
    <definedName name="_xlnm.Print_Area" localSheetId="11">'Proposition 1'!$A$1:$F$65</definedName>
    <definedName name="_xlnm.Print_Area" localSheetId="12">'Proposition 2'!$A$1:$F$65</definedName>
    <definedName name="_xlnm.Print_Titles" localSheetId="11">'Proposition 1'!$1:$2</definedName>
    <definedName name="_xlnm.Print_Titles" localSheetId="12">'Proposition 2'!$1:$2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7" i="769" l="1"/>
  <c r="F11" i="769"/>
  <c r="L4" i="768"/>
  <c r="M4" i="768" s="1"/>
  <c r="L3" i="768"/>
  <c r="M3" i="768" s="1"/>
  <c r="E65" i="770"/>
  <c r="D65" i="770"/>
  <c r="C65" i="770"/>
  <c r="B65" i="770"/>
  <c r="F64" i="770"/>
  <c r="F63" i="770"/>
  <c r="F62" i="770"/>
  <c r="F61" i="770"/>
  <c r="F60" i="770"/>
  <c r="F59" i="770"/>
  <c r="F58" i="770"/>
  <c r="F57" i="770"/>
  <c r="F56" i="770"/>
  <c r="F55" i="770"/>
  <c r="F54" i="770"/>
  <c r="F53" i="770"/>
  <c r="F52" i="770"/>
  <c r="F51" i="770"/>
  <c r="F50" i="770"/>
  <c r="F49" i="770"/>
  <c r="F48" i="770"/>
  <c r="F47" i="770"/>
  <c r="F46" i="770"/>
  <c r="F45" i="770"/>
  <c r="F44" i="770"/>
  <c r="F43" i="770"/>
  <c r="F42" i="770"/>
  <c r="F41" i="770"/>
  <c r="F40" i="770"/>
  <c r="F39" i="770"/>
  <c r="F38" i="770"/>
  <c r="F37" i="770"/>
  <c r="F36" i="770"/>
  <c r="F35" i="770"/>
  <c r="F34" i="770"/>
  <c r="F33" i="770"/>
  <c r="F32" i="770"/>
  <c r="F31" i="770"/>
  <c r="F30" i="770"/>
  <c r="F29" i="770"/>
  <c r="F28" i="770"/>
  <c r="F27" i="770"/>
  <c r="F26" i="770"/>
  <c r="F25" i="770"/>
  <c r="F24" i="770"/>
  <c r="F23" i="770"/>
  <c r="F22" i="770"/>
  <c r="F21" i="770"/>
  <c r="F20" i="770"/>
  <c r="F19" i="770"/>
  <c r="F18" i="770"/>
  <c r="F17" i="770"/>
  <c r="F16" i="770"/>
  <c r="F15" i="770"/>
  <c r="F14" i="770"/>
  <c r="F13" i="770"/>
  <c r="F12" i="770"/>
  <c r="F11" i="770"/>
  <c r="F10" i="770"/>
  <c r="F9" i="770"/>
  <c r="F8" i="770"/>
  <c r="F7" i="770"/>
  <c r="F6" i="770"/>
  <c r="F5" i="770"/>
  <c r="F4" i="770"/>
  <c r="F3" i="770"/>
  <c r="E65" i="769"/>
  <c r="D65" i="769"/>
  <c r="C65" i="769"/>
  <c r="B65" i="769"/>
  <c r="F64" i="769"/>
  <c r="F63" i="769"/>
  <c r="F62" i="769"/>
  <c r="F61" i="769"/>
  <c r="F60" i="769"/>
  <c r="F59" i="769"/>
  <c r="F58" i="769"/>
  <c r="F57" i="769"/>
  <c r="F56" i="769"/>
  <c r="F55" i="769"/>
  <c r="F54" i="769"/>
  <c r="F53" i="769"/>
  <c r="F52" i="769"/>
  <c r="F51" i="769"/>
  <c r="F50" i="769"/>
  <c r="F49" i="769"/>
  <c r="F48" i="769"/>
  <c r="F47" i="769"/>
  <c r="F46" i="769"/>
  <c r="F45" i="769"/>
  <c r="F44" i="769"/>
  <c r="F43" i="769"/>
  <c r="F42" i="769"/>
  <c r="F41" i="769"/>
  <c r="F40" i="769"/>
  <c r="F39" i="769"/>
  <c r="F38" i="769"/>
  <c r="F37" i="769"/>
  <c r="F36" i="769"/>
  <c r="F35" i="769"/>
  <c r="F34" i="769"/>
  <c r="F33" i="769"/>
  <c r="F32" i="769"/>
  <c r="F31" i="769"/>
  <c r="F30" i="769"/>
  <c r="F29" i="769"/>
  <c r="F28" i="769"/>
  <c r="F26" i="769"/>
  <c r="F25" i="769"/>
  <c r="F24" i="769"/>
  <c r="F23" i="769"/>
  <c r="F22" i="769"/>
  <c r="F21" i="769"/>
  <c r="F20" i="769"/>
  <c r="F19" i="769"/>
  <c r="F18" i="769"/>
  <c r="F17" i="769"/>
  <c r="F16" i="769"/>
  <c r="F15" i="769"/>
  <c r="F14" i="769"/>
  <c r="F13" i="769"/>
  <c r="F12" i="769"/>
  <c r="F10" i="769"/>
  <c r="F9" i="769"/>
  <c r="F8" i="769"/>
  <c r="F7" i="769"/>
  <c r="F6" i="769"/>
  <c r="F5" i="769"/>
  <c r="F4" i="769"/>
  <c r="F3" i="769"/>
  <c r="F65" i="769" l="1"/>
  <c r="F65" i="770"/>
  <c r="D7" i="521" l="1"/>
  <c r="L5" i="768"/>
  <c r="L6" i="768"/>
  <c r="L7" i="768"/>
  <c r="K8" i="768"/>
  <c r="J8" i="768"/>
  <c r="I8" i="768"/>
  <c r="H8" i="768"/>
  <c r="G8" i="768"/>
  <c r="F8" i="768"/>
  <c r="E8" i="768"/>
  <c r="D8" i="768"/>
  <c r="C8" i="768"/>
  <c r="B8" i="768"/>
  <c r="L8" i="768" l="1"/>
  <c r="H3" i="517" l="1"/>
  <c r="H4" i="517"/>
  <c r="H5" i="517"/>
  <c r="H6" i="517"/>
  <c r="H7" i="517"/>
  <c r="I7" i="517" s="1"/>
  <c r="I4" i="515"/>
  <c r="I5" i="515"/>
  <c r="I6" i="515"/>
  <c r="C10" i="764"/>
  <c r="C15" i="764"/>
  <c r="I3" i="517" l="1"/>
  <c r="I4" i="517"/>
  <c r="C5" i="765"/>
  <c r="D5" i="765" s="1"/>
  <c r="C6" i="765"/>
  <c r="C7" i="765"/>
  <c r="D7" i="765" s="1"/>
  <c r="C3" i="764"/>
  <c r="C4" i="764"/>
  <c r="C5" i="764"/>
  <c r="C6" i="764"/>
  <c r="D6" i="764" s="1"/>
  <c r="C7" i="764"/>
  <c r="D7" i="764" s="1"/>
  <c r="C8" i="764"/>
  <c r="C9" i="764"/>
  <c r="C11" i="764"/>
  <c r="C12" i="764"/>
  <c r="D12" i="764" s="1"/>
  <c r="C13" i="764"/>
  <c r="C14" i="764"/>
  <c r="C16" i="764"/>
  <c r="C17" i="764"/>
  <c r="C18" i="764"/>
  <c r="C19" i="764"/>
  <c r="C20" i="764"/>
  <c r="B9" i="766"/>
  <c r="C8" i="766"/>
  <c r="C7" i="766"/>
  <c r="C6" i="766"/>
  <c r="C5" i="766"/>
  <c r="D5" i="766" s="1"/>
  <c r="C4" i="766"/>
  <c r="D4" i="766" s="1"/>
  <c r="C3" i="766"/>
  <c r="D3" i="766" s="1"/>
  <c r="B13" i="765"/>
  <c r="C12" i="765"/>
  <c r="C11" i="765"/>
  <c r="C10" i="765"/>
  <c r="C9" i="765"/>
  <c r="C8" i="765"/>
  <c r="D8" i="765" s="1"/>
  <c r="C4" i="765"/>
  <c r="D4" i="765" s="1"/>
  <c r="C3" i="765"/>
  <c r="D3" i="765" s="1"/>
  <c r="B24" i="764"/>
  <c r="C23" i="764"/>
  <c r="C22" i="764"/>
  <c r="C21" i="764"/>
  <c r="C3" i="763"/>
  <c r="C4" i="763"/>
  <c r="D4" i="763" s="1"/>
  <c r="C5" i="763"/>
  <c r="D5" i="763" s="1"/>
  <c r="C6" i="763"/>
  <c r="C7" i="763"/>
  <c r="C8" i="763"/>
  <c r="B9" i="763"/>
  <c r="M3" i="516"/>
  <c r="N3" i="516" s="1"/>
  <c r="D6" i="765" l="1"/>
  <c r="D8" i="764"/>
  <c r="D5" i="764"/>
  <c r="D4" i="764"/>
  <c r="D3" i="764"/>
  <c r="C13" i="765"/>
  <c r="C9" i="766"/>
  <c r="C24" i="764"/>
  <c r="C9" i="763"/>
  <c r="D3" i="763"/>
  <c r="D3" i="521" l="1"/>
  <c r="D4" i="521"/>
  <c r="D6" i="521"/>
  <c r="D5" i="521"/>
  <c r="D8" i="521"/>
  <c r="D12" i="521"/>
  <c r="D11" i="521"/>
  <c r="E7" i="521" s="1"/>
  <c r="D10" i="521"/>
  <c r="D9" i="521"/>
  <c r="D13" i="521"/>
  <c r="D14" i="521"/>
  <c r="D15" i="521"/>
  <c r="B16" i="521"/>
  <c r="C16" i="521"/>
  <c r="G3" i="520"/>
  <c r="G4" i="520"/>
  <c r="H4" i="520" s="1"/>
  <c r="G5" i="520"/>
  <c r="G6" i="520"/>
  <c r="G7" i="520"/>
  <c r="H7" i="520" s="1"/>
  <c r="G8" i="520"/>
  <c r="H8" i="520" s="1"/>
  <c r="G9" i="520"/>
  <c r="H9" i="520" s="1"/>
  <c r="G10" i="520"/>
  <c r="H10" i="520" s="1"/>
  <c r="G12" i="520"/>
  <c r="G11" i="520"/>
  <c r="G14" i="520"/>
  <c r="G13" i="520"/>
  <c r="G15" i="520"/>
  <c r="G16" i="520"/>
  <c r="G17" i="520"/>
  <c r="B18" i="520"/>
  <c r="C18" i="520"/>
  <c r="D18" i="520"/>
  <c r="E18" i="520"/>
  <c r="F18" i="520"/>
  <c r="J3" i="518"/>
  <c r="K3" i="518" s="1"/>
  <c r="J4" i="518"/>
  <c r="J5" i="518"/>
  <c r="J6" i="518"/>
  <c r="J7" i="518"/>
  <c r="J8" i="518"/>
  <c r="J9" i="518"/>
  <c r="J10" i="518"/>
  <c r="B11" i="518"/>
  <c r="C11" i="518"/>
  <c r="D11" i="518"/>
  <c r="E11" i="518"/>
  <c r="F11" i="518"/>
  <c r="G11" i="518"/>
  <c r="H11" i="518"/>
  <c r="I11" i="518"/>
  <c r="H8" i="517"/>
  <c r="H9" i="517"/>
  <c r="H10" i="517"/>
  <c r="B11" i="517"/>
  <c r="C11" i="517"/>
  <c r="D11" i="517"/>
  <c r="E11" i="517"/>
  <c r="F11" i="517"/>
  <c r="G11" i="517"/>
  <c r="M4" i="516"/>
  <c r="M5" i="516"/>
  <c r="M6" i="516"/>
  <c r="M7" i="516"/>
  <c r="M8" i="516"/>
  <c r="B9" i="516"/>
  <c r="C9" i="516"/>
  <c r="D9" i="516"/>
  <c r="E9" i="516"/>
  <c r="F9" i="516"/>
  <c r="G9" i="516"/>
  <c r="H9" i="516"/>
  <c r="I9" i="516"/>
  <c r="J9" i="516"/>
  <c r="K9" i="516"/>
  <c r="L9" i="516"/>
  <c r="I3" i="515"/>
  <c r="I7" i="515"/>
  <c r="J6" i="515" s="1"/>
  <c r="I9" i="515"/>
  <c r="J4" i="515" s="1"/>
  <c r="I10" i="515"/>
  <c r="J5" i="515" s="1"/>
  <c r="I8" i="515"/>
  <c r="I11" i="515"/>
  <c r="I12" i="515"/>
  <c r="I13" i="515"/>
  <c r="B14" i="515"/>
  <c r="C14" i="515"/>
  <c r="D14" i="515"/>
  <c r="E14" i="515"/>
  <c r="F14" i="515"/>
  <c r="G14" i="515"/>
  <c r="H14" i="515"/>
  <c r="K4" i="518" l="1"/>
  <c r="N4" i="516"/>
  <c r="E4" i="521"/>
  <c r="E3" i="521"/>
  <c r="H3" i="520"/>
  <c r="H6" i="520"/>
  <c r="H5" i="520"/>
  <c r="J3" i="515"/>
  <c r="E8" i="521"/>
  <c r="M9" i="516"/>
  <c r="K5" i="518"/>
  <c r="H11" i="517"/>
  <c r="G18" i="520"/>
  <c r="I14" i="515"/>
  <c r="D16" i="521"/>
  <c r="J11" i="518"/>
</calcChain>
</file>

<file path=xl/sharedStrings.xml><?xml version="1.0" encoding="utf-8"?>
<sst xmlns="http://schemas.openxmlformats.org/spreadsheetml/2006/main" count="361" uniqueCount="219">
  <si>
    <t>Blank</t>
  </si>
  <si>
    <t>Void</t>
  </si>
  <si>
    <t>Total Votes by County</t>
  </si>
  <si>
    <t>Total Votes by Party</t>
  </si>
  <si>
    <t>Total Votes by Candidate</t>
  </si>
  <si>
    <t>Revision History</t>
  </si>
  <si>
    <t>Date</t>
  </si>
  <si>
    <t>Description of changes</t>
  </si>
  <si>
    <t>Scattering</t>
  </si>
  <si>
    <t>Ulster County Vote Results</t>
  </si>
  <si>
    <t>Sullivan County Vote Results</t>
  </si>
  <si>
    <t>Schoharie County Vote Results</t>
  </si>
  <si>
    <t>Rensselaer County Vote Results</t>
  </si>
  <si>
    <t>Greene County Vote Results</t>
  </si>
  <si>
    <t>Columbia County Vote Results</t>
  </si>
  <si>
    <t>Albany County Vote Results</t>
  </si>
  <si>
    <t>Candidate Name (Party)</t>
  </si>
  <si>
    <t>Washington County Vote Results</t>
  </si>
  <si>
    <t>Warren County Vote Results</t>
  </si>
  <si>
    <t>Schenectady County Vote Results</t>
  </si>
  <si>
    <t>Saratoga County Vote Results</t>
  </si>
  <si>
    <t>St. Lawrence County Vote Results</t>
  </si>
  <si>
    <t>Montgomery County Vote Results</t>
  </si>
  <si>
    <t>Hamilton County Vote Results</t>
  </si>
  <si>
    <t>Fulton County Vote Results</t>
  </si>
  <si>
    <t>Franklin County Vote Results</t>
  </si>
  <si>
    <t>Essex County Vote Results</t>
  </si>
  <si>
    <t>Clinton County Vote Results</t>
  </si>
  <si>
    <t>Oswego County Vote Results</t>
  </si>
  <si>
    <t>Onondaga County Vote Results</t>
  </si>
  <si>
    <t>Oneida County Vote Results</t>
  </si>
  <si>
    <t>Lewis County Vote Results</t>
  </si>
  <si>
    <t>Jefferson County Vote Results</t>
  </si>
  <si>
    <t>Herkimer County Vote Results</t>
  </si>
  <si>
    <t>Yates County Vote Results</t>
  </si>
  <si>
    <t>Wayne County Vote Results</t>
  </si>
  <si>
    <t>Steuben County Vote Results</t>
  </si>
  <si>
    <t>Seneca County Vote Results</t>
  </si>
  <si>
    <t>Ontario County Vote Results</t>
  </si>
  <si>
    <t>Monroe County Vote Results</t>
  </si>
  <si>
    <t>Livingston County Vote Results</t>
  </si>
  <si>
    <t>Cayuga County Vote Results</t>
  </si>
  <si>
    <t>Westchester Vote Results</t>
  </si>
  <si>
    <t>Rockland County Vote Results</t>
  </si>
  <si>
    <t>Putnam County Vote Results</t>
  </si>
  <si>
    <t>Orange County Vote Results</t>
  </si>
  <si>
    <t>Dutchess County Vote Results</t>
  </si>
  <si>
    <t>Suffolk County Vote Results</t>
  </si>
  <si>
    <t>Nassau County Vote Results</t>
  </si>
  <si>
    <t>New York County Vote Results</t>
  </si>
  <si>
    <t>Kings County Vote Results</t>
  </si>
  <si>
    <t>Queens County Vote Results</t>
  </si>
  <si>
    <t>Bronx County Vote Results</t>
  </si>
  <si>
    <t>Michael A. Frishman (DEM)</t>
  </si>
  <si>
    <t>Sharon A.M. Aarons (DEM)</t>
  </si>
  <si>
    <t>John A. Howard-Algarin (DEM)</t>
  </si>
  <si>
    <t>Phaedra F. Perry (DEM)</t>
  </si>
  <si>
    <t>Lyle E. Frank (DEM)</t>
  </si>
  <si>
    <t>Leslie A. Stroth (DEM)</t>
  </si>
  <si>
    <t>Rachel Freier (DEM)</t>
  </si>
  <si>
    <t>Sharon A.B. Clarke (DEM)</t>
  </si>
  <si>
    <t>Joanne Quinones (DEM)</t>
  </si>
  <si>
    <t>Caroline Piela Cohen (DEM)</t>
  </si>
  <si>
    <t>Heela Capell (DEM)</t>
  </si>
  <si>
    <t>Saul Stein (DEM)</t>
  </si>
  <si>
    <t>Rachel Freier (REP)</t>
  </si>
  <si>
    <t>Sharon A.B. Clarke (REP)</t>
  </si>
  <si>
    <t>Joanne Quinones (REP)</t>
  </si>
  <si>
    <t>Timothy Peterson (REP)</t>
  </si>
  <si>
    <t>Heela Capell (REP)</t>
  </si>
  <si>
    <t>Saul Stein (REP)</t>
  </si>
  <si>
    <t>Rachel Freier (CON)</t>
  </si>
  <si>
    <t>Sharon A.B. Clarke (CON)</t>
  </si>
  <si>
    <t>Joanne Quinones (CON)</t>
  </si>
  <si>
    <t>Timothy Peterson (CON)</t>
  </si>
  <si>
    <t>Heela Capell (CON)</t>
  </si>
  <si>
    <t>Saul Stein (CON)</t>
  </si>
  <si>
    <t>Richard Rivera (DEM)</t>
  </si>
  <si>
    <t>Daniel C. Lynch (DEM)</t>
  </si>
  <si>
    <t>Sherri J. Brooks-Morton (DEM)</t>
  </si>
  <si>
    <t>Dana Salazar (REP)</t>
  </si>
  <si>
    <t>Dana Salazar (CON)</t>
  </si>
  <si>
    <t>Daniel C. Lynch (WOR)</t>
  </si>
  <si>
    <t>Sherri J. Brooks-Morton (WOR)</t>
  </si>
  <si>
    <t>Richard Rivera (WOR)</t>
  </si>
  <si>
    <t>Carl G. Falotico (DEM)</t>
  </si>
  <si>
    <t>Paul E. Davenport (REP)</t>
  </si>
  <si>
    <t>Paul E. Davenport (CON)</t>
  </si>
  <si>
    <t>Jean Marie Westlake (REP)</t>
  </si>
  <si>
    <t>Peter M. Rayhill (REP)</t>
  </si>
  <si>
    <t>Jean Marie Westlake (CON)</t>
  </si>
  <si>
    <t>Peter M. Rayhill (CON)</t>
  </si>
  <si>
    <t>Bob Cohen (WOR)</t>
  </si>
  <si>
    <t xml:space="preserve">Candidate Name (Party)
</t>
  </si>
  <si>
    <t>Broome County Vote Results</t>
  </si>
  <si>
    <t>Chemung County Vote Results</t>
  </si>
  <si>
    <t>Chenango County Vote Results</t>
  </si>
  <si>
    <t>Cortland County Vote Results</t>
  </si>
  <si>
    <t>Delaware County Vote Results</t>
  </si>
  <si>
    <t>Madison County Vote Results</t>
  </si>
  <si>
    <t>Otsego County Vote Results</t>
  </si>
  <si>
    <t>Schuyler County Vote Results</t>
  </si>
  <si>
    <t>Tioga County Vote Results</t>
  </si>
  <si>
    <t>Tompkins County Vote Results</t>
  </si>
  <si>
    <t>Cheryl Insinga (REP)</t>
  </si>
  <si>
    <t>Margot J. Garant (DEM)</t>
  </si>
  <si>
    <t>Alex R. Renzi (REP)</t>
  </si>
  <si>
    <t>Joe Waldorf (REP)</t>
  </si>
  <si>
    <t>Alex R. Renzi (CON)</t>
  </si>
  <si>
    <t>Joe Waldorf (CON)</t>
  </si>
  <si>
    <t>Charley Wood (DEM)</t>
  </si>
  <si>
    <t>Rolf M. Thorsen (DEM)</t>
  </si>
  <si>
    <t>Francesca E. Connolly (DEM)</t>
  </si>
  <si>
    <t>Larry J. Schwartz (DEM)</t>
  </si>
  <si>
    <t>John A. Sarcone, III (REP)</t>
  </si>
  <si>
    <t>Susan M. Sullivan-Bisceglia (REP)</t>
  </si>
  <si>
    <t>John Ciampoli (REP)</t>
  </si>
  <si>
    <t>Charley Wood (CON)</t>
  </si>
  <si>
    <t>Francesca E. Connolly (CON)</t>
  </si>
  <si>
    <t>Larry J. Schwartz (CON)</t>
  </si>
  <si>
    <t>Rolf M. Thorsen (CON)</t>
  </si>
  <si>
    <t>Gary M. Carlton (DEM)</t>
  </si>
  <si>
    <t>Christopher T. McGrath (DEM)</t>
  </si>
  <si>
    <t>Christopher T. McGrath (REP)</t>
  </si>
  <si>
    <t>Gary M. Carlton (REP)</t>
  </si>
  <si>
    <t>John J. Andrews (REP)</t>
  </si>
  <si>
    <t>Alison J. Napolitano (REP)</t>
  </si>
  <si>
    <t>Alison J. Napolitano (CON)</t>
  </si>
  <si>
    <t>John J. Andrews (CON)</t>
  </si>
  <si>
    <t>Christopher T. McGrath (CON)</t>
  </si>
  <si>
    <t>Gary M. Carlton (CON)</t>
  </si>
  <si>
    <t>Cassandra A. Johnson (DEM)</t>
  </si>
  <si>
    <t>Karen Lin (DEM)</t>
  </si>
  <si>
    <t>Peter J. Kelly (DEM)</t>
  </si>
  <si>
    <t>Scott Dunn (DEM)</t>
  </si>
  <si>
    <t>Jessica Earle-Gargan (DEM)</t>
  </si>
  <si>
    <t>Gary Muraca (REP)</t>
  </si>
  <si>
    <t>Scott Dunn (REP)</t>
  </si>
  <si>
    <t>Supreme Court Justice District 3 - General Election - November 7, 2023
Vote for 3</t>
  </si>
  <si>
    <t>Supreme Court Justice District 4 - General Election - November 7, 2023
Vote for 1</t>
  </si>
  <si>
    <t>Supreme Court Justice District 5 - General Election - November 7, 2023
Vote for 2</t>
  </si>
  <si>
    <t>Supreme Court Justice District 6 - General Election - November 7, 2023
Vote for 1</t>
  </si>
  <si>
    <t>Deirdre Hay (DEM)</t>
  </si>
  <si>
    <t>Supreme Court Justice District 7 - General Election - November 7, 2023
Vote for 2</t>
  </si>
  <si>
    <t>Supreme Court Justice District 9 - General Election - November 7, 2023
Vote for 4</t>
  </si>
  <si>
    <t>Karen A. Ostberg (REP)</t>
  </si>
  <si>
    <t>Supreme Court Justice District 10 - General Election - November 7, 2023
Vote for 4</t>
  </si>
  <si>
    <t>Supreme Court Justice District 1 - General Election - November 7, 2023
Vote for 3</t>
  </si>
  <si>
    <t>Supreme Court Justice District 2 - General Election - November 7, 2023
Vote for 6</t>
  </si>
  <si>
    <t>Supreme Court Justice District 11 - General Election - November 7, 2023
Vote for 5</t>
  </si>
  <si>
    <t>Supreme Court Justice District 12 - General Election - November 7, 2023
Vote for 3</t>
  </si>
  <si>
    <t>County</t>
  </si>
  <si>
    <t>Yes</t>
  </si>
  <si>
    <t>No</t>
  </si>
  <si>
    <t xml:space="preserve">Albany County </t>
  </si>
  <si>
    <t xml:space="preserve">Allegany County </t>
  </si>
  <si>
    <t xml:space="preserve">Broome County </t>
  </si>
  <si>
    <t xml:space="preserve">Cattaraugus County </t>
  </si>
  <si>
    <t xml:space="preserve">Cayuga County </t>
  </si>
  <si>
    <t xml:space="preserve">Chautauqua County </t>
  </si>
  <si>
    <t xml:space="preserve">Chemung County </t>
  </si>
  <si>
    <t xml:space="preserve">Chenango County </t>
  </si>
  <si>
    <t xml:space="preserve">Clinton County </t>
  </si>
  <si>
    <t xml:space="preserve">Columbia County </t>
  </si>
  <si>
    <t xml:space="preserve">Cortland County </t>
  </si>
  <si>
    <t xml:space="preserve">Delaware County </t>
  </si>
  <si>
    <t xml:space="preserve">Dutchess County </t>
  </si>
  <si>
    <t xml:space="preserve">Erie County </t>
  </si>
  <si>
    <t>Essex County</t>
  </si>
  <si>
    <t xml:space="preserve">Franklin County </t>
  </si>
  <si>
    <t xml:space="preserve">Fulton County </t>
  </si>
  <si>
    <t xml:space="preserve">Genesee County </t>
  </si>
  <si>
    <t xml:space="preserve">Greene County </t>
  </si>
  <si>
    <t xml:space="preserve">Hamilton County </t>
  </si>
  <si>
    <t xml:space="preserve">Herkimer County </t>
  </si>
  <si>
    <t xml:space="preserve">Jefferson County </t>
  </si>
  <si>
    <t xml:space="preserve">Lewis County </t>
  </si>
  <si>
    <t>Livingston County</t>
  </si>
  <si>
    <t xml:space="preserve">Madison County </t>
  </si>
  <si>
    <t xml:space="preserve">Monroe County </t>
  </si>
  <si>
    <t xml:space="preserve">Montgomery County </t>
  </si>
  <si>
    <t xml:space="preserve">Nassau County </t>
  </si>
  <si>
    <t xml:space="preserve">Niagara County </t>
  </si>
  <si>
    <t xml:space="preserve">Oneida County </t>
  </si>
  <si>
    <t xml:space="preserve">Onondaga County </t>
  </si>
  <si>
    <t xml:space="preserve">Ontario County </t>
  </si>
  <si>
    <t xml:space="preserve">Orange County </t>
  </si>
  <si>
    <t xml:space="preserve">Orleans County </t>
  </si>
  <si>
    <t xml:space="preserve">Oswego County </t>
  </si>
  <si>
    <t xml:space="preserve">Otsego County </t>
  </si>
  <si>
    <t xml:space="preserve">Putnam County </t>
  </si>
  <si>
    <t xml:space="preserve">Rensselaer County </t>
  </si>
  <si>
    <t xml:space="preserve">Rockland County </t>
  </si>
  <si>
    <t xml:space="preserve">St. Lawrence County </t>
  </si>
  <si>
    <t xml:space="preserve">Saratoga County </t>
  </si>
  <si>
    <t xml:space="preserve">Schenectady County </t>
  </si>
  <si>
    <t xml:space="preserve">Schoharie County </t>
  </si>
  <si>
    <t xml:space="preserve">Schuyler County </t>
  </si>
  <si>
    <t xml:space="preserve">Seneca County </t>
  </si>
  <si>
    <t xml:space="preserve">Steuben County </t>
  </si>
  <si>
    <t xml:space="preserve">Suffolk County </t>
  </si>
  <si>
    <t xml:space="preserve">Sullivan County </t>
  </si>
  <si>
    <t xml:space="preserve">Tioga County </t>
  </si>
  <si>
    <t xml:space="preserve">Tompkins County </t>
  </si>
  <si>
    <t xml:space="preserve">Ulster County </t>
  </si>
  <si>
    <t xml:space="preserve">Warren County </t>
  </si>
  <si>
    <t xml:space="preserve">Washington County </t>
  </si>
  <si>
    <t xml:space="preserve">Wayne County </t>
  </si>
  <si>
    <t xml:space="preserve">Westchester County </t>
  </si>
  <si>
    <t xml:space="preserve">Wyoming County </t>
  </si>
  <si>
    <t xml:space="preserve">Yates County </t>
  </si>
  <si>
    <t xml:space="preserve">Bronx County </t>
  </si>
  <si>
    <t xml:space="preserve">Kings County </t>
  </si>
  <si>
    <t xml:space="preserve">New York County </t>
  </si>
  <si>
    <t xml:space="preserve">Queens County </t>
  </si>
  <si>
    <t xml:space="preserve">Richmond County </t>
  </si>
  <si>
    <t>Proposition 1 - General Election - November 7, 2023</t>
  </si>
  <si>
    <t>Proposition 2 - General Election - November 7, 2023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</si>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</sst>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 x14ac:knownFonts="1">
    <font>
      <sz val="10"/>
      <name val="Arial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name val="Arial"/>
      <family val="2"/>
    </font>
    <font>
      <b/>
      <sz val="12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rgb="FF000000"/>
      <name val="Calibri"/>
      <family val="2"/>
    </font>
    <font>
      <b/>
      <sz val="13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4659260841701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 tint="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78">
    <xf numFmtId="0" fontId="0" fillId="0" borderId="0" xfId="0"/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3" fontId="2" fillId="5" borderId="1" xfId="0" applyNumberFormat="1" applyFont="1" applyFill="1" applyBorder="1"/>
    <xf numFmtId="3" fontId="2" fillId="4" borderId="1" xfId="0" applyNumberFormat="1" applyFont="1" applyFill="1" applyBorder="1"/>
    <xf numFmtId="3" fontId="2" fillId="8" borderId="1" xfId="0" applyNumberFormat="1" applyFont="1" applyFill="1" applyBorder="1"/>
    <xf numFmtId="0" fontId="3" fillId="3" borderId="1" xfId="0" applyFont="1" applyFill="1" applyBorder="1"/>
    <xf numFmtId="0" fontId="3" fillId="3" borderId="5" xfId="0" applyFont="1" applyFill="1" applyBorder="1"/>
    <xf numFmtId="0" fontId="3" fillId="3" borderId="4" xfId="0" applyFont="1" applyFill="1" applyBorder="1"/>
    <xf numFmtId="3" fontId="2" fillId="7" borderId="1" xfId="0" applyNumberFormat="1" applyFont="1" applyFill="1" applyBorder="1"/>
    <xf numFmtId="0" fontId="3" fillId="6" borderId="2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vertical="center"/>
    </xf>
    <xf numFmtId="3" fontId="2" fillId="8" borderId="1" xfId="0" applyNumberFormat="1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vertical="center"/>
    </xf>
    <xf numFmtId="3" fontId="2" fillId="0" borderId="1" xfId="0" applyNumberFormat="1" applyFont="1" applyBorder="1"/>
    <xf numFmtId="3" fontId="2" fillId="8" borderId="3" xfId="0" applyNumberFormat="1" applyFont="1" applyFill="1" applyBorder="1"/>
    <xf numFmtId="3" fontId="2" fillId="4" borderId="1" xfId="0" applyNumberFormat="1" applyFont="1" applyFill="1" applyBorder="1" applyAlignment="1">
      <alignment horizontal="right" vertical="center"/>
    </xf>
    <xf numFmtId="164" fontId="4" fillId="0" borderId="0" xfId="0" applyNumberFormat="1" applyFont="1" applyAlignment="1">
      <alignment vertical="top"/>
    </xf>
    <xf numFmtId="164" fontId="6" fillId="0" borderId="0" xfId="0" applyNumberFormat="1" applyFont="1" applyAlignment="1">
      <alignment vertical="top"/>
    </xf>
    <xf numFmtId="164" fontId="0" fillId="0" borderId="0" xfId="0" applyNumberFormat="1" applyAlignment="1">
      <alignment vertical="top"/>
    </xf>
    <xf numFmtId="3" fontId="2" fillId="8" borderId="2" xfId="0" applyNumberFormat="1" applyFont="1" applyFill="1" applyBorder="1" applyAlignment="1">
      <alignment horizontal="right" vertical="center" wrapText="1"/>
    </xf>
    <xf numFmtId="3" fontId="2" fillId="8" borderId="7" xfId="0" applyNumberFormat="1" applyFont="1" applyFill="1" applyBorder="1" applyAlignment="1">
      <alignment horizontal="right" vertical="center" wrapText="1"/>
    </xf>
    <xf numFmtId="0" fontId="3" fillId="4" borderId="2" xfId="0" applyFont="1" applyFill="1" applyBorder="1" applyAlignment="1">
      <alignment horizontal="right" vertical="center" wrapText="1"/>
    </xf>
    <xf numFmtId="3" fontId="2" fillId="0" borderId="1" xfId="0" applyNumberFormat="1" applyFont="1" applyBorder="1" applyAlignment="1"/>
    <xf numFmtId="3" fontId="2" fillId="8" borderId="1" xfId="0" applyNumberFormat="1" applyFont="1" applyFill="1" applyBorder="1" applyAlignment="1"/>
    <xf numFmtId="0" fontId="0" fillId="0" borderId="0" xfId="0" applyAlignment="1"/>
    <xf numFmtId="3" fontId="2" fillId="8" borderId="1" xfId="0" applyNumberFormat="1" applyFont="1" applyFill="1" applyBorder="1" applyAlignment="1">
      <alignment horizontal="right"/>
    </xf>
    <xf numFmtId="3" fontId="2" fillId="4" borderId="1" xfId="0" applyNumberFormat="1" applyFont="1" applyFill="1" applyBorder="1" applyAlignment="1">
      <alignment horizontal="right"/>
    </xf>
    <xf numFmtId="3" fontId="2" fillId="7" borderId="1" xfId="0" applyNumberFormat="1" applyFont="1" applyFill="1" applyBorder="1" applyAlignment="1">
      <alignment horizontal="right"/>
    </xf>
    <xf numFmtId="3" fontId="2" fillId="8" borderId="3" xfId="0" applyNumberFormat="1" applyFont="1" applyFill="1" applyBorder="1" applyAlignment="1">
      <alignment horizontal="right"/>
    </xf>
    <xf numFmtId="3" fontId="2" fillId="5" borderId="1" xfId="0" applyNumberFormat="1" applyFont="1" applyFill="1" applyBorder="1" applyAlignment="1">
      <alignment horizontal="right"/>
    </xf>
    <xf numFmtId="3" fontId="2" fillId="8" borderId="1" xfId="0" applyNumberFormat="1" applyFont="1" applyFill="1" applyBorder="1" applyAlignment="1">
      <alignment horizontal="right" vertical="center"/>
    </xf>
    <xf numFmtId="3" fontId="2" fillId="8" borderId="1" xfId="0" applyNumberFormat="1" applyFont="1" applyFill="1" applyBorder="1" applyAlignment="1">
      <alignment horizontal="right" wrapText="1"/>
    </xf>
    <xf numFmtId="3" fontId="2" fillId="7" borderId="1" xfId="0" applyNumberFormat="1" applyFont="1" applyFill="1" applyBorder="1" applyAlignment="1"/>
    <xf numFmtId="3" fontId="2" fillId="8" borderId="2" xfId="0" applyNumberFormat="1" applyFont="1" applyFill="1" applyBorder="1" applyAlignment="1">
      <alignment horizontal="right" wrapText="1"/>
    </xf>
    <xf numFmtId="3" fontId="2" fillId="5" borderId="1" xfId="0" applyNumberFormat="1" applyFont="1" applyFill="1" applyBorder="1" applyAlignment="1"/>
    <xf numFmtId="3" fontId="2" fillId="0" borderId="1" xfId="0" applyNumberFormat="1" applyFont="1" applyBorder="1" applyAlignment="1">
      <alignment horizontal="right" wrapText="1"/>
    </xf>
    <xf numFmtId="3" fontId="2" fillId="0" borderId="2" xfId="0" applyNumberFormat="1" applyFont="1" applyBorder="1" applyAlignment="1">
      <alignment horizontal="right" wrapText="1"/>
    </xf>
    <xf numFmtId="3" fontId="2" fillId="0" borderId="7" xfId="0" applyNumberFormat="1" applyFont="1" applyBorder="1" applyAlignment="1">
      <alignment horizontal="right" wrapText="1"/>
    </xf>
    <xf numFmtId="0" fontId="3" fillId="3" borderId="4" xfId="0" applyFont="1" applyFill="1" applyBorder="1" applyAlignment="1"/>
    <xf numFmtId="0" fontId="3" fillId="3" borderId="5" xfId="0" applyFont="1" applyFill="1" applyBorder="1" applyAlignment="1"/>
    <xf numFmtId="0" fontId="3" fillId="3" borderId="1" xfId="0" applyFont="1" applyFill="1" applyBorder="1" applyAlignment="1"/>
    <xf numFmtId="3" fontId="2" fillId="4" borderId="1" xfId="0" applyNumberFormat="1" applyFont="1" applyFill="1" applyBorder="1" applyAlignment="1"/>
    <xf numFmtId="3" fontId="2" fillId="9" borderId="1" xfId="0" applyNumberFormat="1" applyFont="1" applyFill="1" applyBorder="1"/>
    <xf numFmtId="3" fontId="3" fillId="8" borderId="1" xfId="0" applyNumberFormat="1" applyFont="1" applyFill="1" applyBorder="1"/>
    <xf numFmtId="3" fontId="3" fillId="8" borderId="3" xfId="0" applyNumberFormat="1" applyFont="1" applyFill="1" applyBorder="1"/>
    <xf numFmtId="3" fontId="3" fillId="4" borderId="1" xfId="0" applyNumberFormat="1" applyFont="1" applyFill="1" applyBorder="1"/>
    <xf numFmtId="3" fontId="2" fillId="9" borderId="1" xfId="0" applyNumberFormat="1" applyFont="1" applyFill="1" applyBorder="1" applyAlignment="1">
      <alignment horizontal="right"/>
    </xf>
    <xf numFmtId="0" fontId="3" fillId="3" borderId="4" xfId="0" applyFont="1" applyFill="1" applyBorder="1" applyAlignment="1">
      <alignment wrapText="1"/>
    </xf>
    <xf numFmtId="3" fontId="9" fillId="0" borderId="1" xfId="0" applyNumberFormat="1" applyFont="1" applyBorder="1"/>
    <xf numFmtId="0" fontId="3" fillId="3" borderId="8" xfId="0" applyFont="1" applyFill="1" applyBorder="1"/>
    <xf numFmtId="3" fontId="2" fillId="4" borderId="4" xfId="0" applyNumberFormat="1" applyFont="1" applyFill="1" applyBorder="1"/>
    <xf numFmtId="3" fontId="2" fillId="0" borderId="1" xfId="0" applyNumberFormat="1" applyFont="1" applyFill="1" applyBorder="1"/>
    <xf numFmtId="0" fontId="0" fillId="0" borderId="0" xfId="0" applyAlignment="1">
      <alignment horizontal="left" vertical="center"/>
    </xf>
    <xf numFmtId="0" fontId="3" fillId="2" borderId="6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righ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2" fillId="4" borderId="4" xfId="0" applyFont="1" applyFill="1" applyBorder="1" applyAlignment="1">
      <alignment horizontal="left" wrapText="1"/>
    </xf>
    <xf numFmtId="3" fontId="2" fillId="0" borderId="1" xfId="0" applyNumberFormat="1" applyFont="1" applyBorder="1" applyAlignment="1">
      <alignment horizontal="left"/>
    </xf>
    <xf numFmtId="3" fontId="3" fillId="0" borderId="1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3" fontId="2" fillId="8" borderId="1" xfId="0" applyNumberFormat="1" applyFont="1" applyFill="1" applyBorder="1" applyAlignment="1">
      <alignment horizontal="left"/>
    </xf>
    <xf numFmtId="3" fontId="3" fillId="8" borderId="1" xfId="0" applyNumberFormat="1" applyFont="1" applyFill="1" applyBorder="1" applyAlignment="1">
      <alignment horizontal="left"/>
    </xf>
    <xf numFmtId="3" fontId="9" fillId="8" borderId="1" xfId="0" applyNumberFormat="1" applyFont="1" applyFill="1" applyBorder="1" applyAlignment="1">
      <alignment horizontal="left"/>
    </xf>
    <xf numFmtId="3" fontId="9" fillId="0" borderId="1" xfId="0" applyNumberFormat="1" applyFont="1" applyBorder="1" applyAlignment="1">
      <alignment horizontal="left"/>
    </xf>
    <xf numFmtId="0" fontId="12" fillId="2" borderId="5" xfId="0" applyFont="1" applyFill="1" applyBorder="1" applyAlignment="1">
      <alignment horizontal="left" wrapText="1"/>
    </xf>
    <xf numFmtId="3" fontId="3" fillId="3" borderId="3" xfId="0" applyNumberFormat="1" applyFont="1" applyFill="1" applyBorder="1" applyAlignment="1">
      <alignment horizontal="left" vertical="top"/>
    </xf>
    <xf numFmtId="3" fontId="3" fillId="3" borderId="1" xfId="0" applyNumberFormat="1" applyFont="1" applyFill="1" applyBorder="1" applyAlignment="1">
      <alignment horizontal="left" vertical="top"/>
    </xf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/>
    </xf>
  </cellXfs>
  <cellStyles count="2">
    <cellStyle name="Normal" xfId="0" builtinId="0"/>
    <cellStyle name="Normal 2" xfId="1" xr:uid="{C01ADDD5-5950-43F3-A5A6-C61A494DA1A9}"/>
  </cellStyles>
  <dxfs count="250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left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left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alignment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2" xr:uid="{0DFC2799-085F-4984-A780-55153E783354}" name="StateSenatorSenateDistrict1General253" displayName="StateSenatorSenateDistrict1General253" ref="A2:D9" totalsRowCount="1" headerRowDxfId="249" dataDxfId="247" totalsRowDxfId="245" headerRowBorderDxfId="248" tableBorderDxfId="246" totalsRowBorderDxfId="244">
  <autoFilter ref="A2:D8" xr:uid="{46E63F8E-8A2F-421C-B164-9C94A0596A45}">
    <filterColumn colId="0" hiddenButton="1"/>
    <filterColumn colId="1" hiddenButton="1"/>
    <filterColumn colId="2" hiddenButton="1"/>
    <filterColumn colId="3" hiddenButton="1"/>
  </autoFilter>
  <tableColumns count="4">
    <tableColumn id="1" xr3:uid="{D9B7E033-68CD-40CE-AE4B-1D4F85B5510B}" name="Candidate Name (Party)" totalsRowLabel="Total Votes by County" dataDxfId="243" totalsRowDxfId="242"/>
    <tableColumn id="4" xr3:uid="{2AFED35F-06D3-4D11-81E0-52A7A6931BED}" name="New York County Vote Results" totalsRowFunction="custom" dataDxfId="241" totalsRowDxfId="240">
      <totalsRowFormula>SUM(StateSenatorSenateDistrict1General253[New York County Vote Results])</totalsRowFormula>
    </tableColumn>
    <tableColumn id="3" xr3:uid="{7ECB01D4-5A24-480B-8725-AAAC93239F4E}" name="Total Votes by Party" totalsRowFunction="custom" dataDxfId="239" totalsRowDxfId="238">
      <calculatedColumnFormula>SUM(StateSenatorSenateDistrict1General253[[#This Row],[New York County Vote Results]])</calculatedColumnFormula>
      <totalsRowFormula>SUM(StateSenatorSenateDistrict1General253[Total Votes by Party])</totalsRowFormula>
    </tableColumn>
    <tableColumn id="2" xr3:uid="{2D31C47C-C8B6-40E2-BB45-F9DB73D6F39A}" name="Total Votes by Candidate" dataDxfId="237" totalsRowDxfId="236"/>
  </tableColumns>
  <tableStyleInfo name="TableStyleMedium2" showFirstColumn="0" showLastColumn="0" showRowStripes="0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4" xr:uid="{29CE11F9-DED8-421B-845E-F10F97FBCF1E}" name="StateSenatorSenateDistrict1General253254255" displayName="StateSenatorSenateDistrict1General253254255" ref="A2:D13" totalsRowCount="1" headerRowDxfId="59" dataDxfId="57" totalsRowDxfId="55" headerRowBorderDxfId="58" tableBorderDxfId="56" totalsRowBorderDxfId="54">
  <autoFilter ref="A2:D12" xr:uid="{46E63F8E-8A2F-421C-B164-9C94A0596A45}">
    <filterColumn colId="0" hiddenButton="1"/>
    <filterColumn colId="1" hiddenButton="1"/>
    <filterColumn colId="2" hiddenButton="1"/>
    <filterColumn colId="3" hiddenButton="1"/>
  </autoFilter>
  <tableColumns count="4">
    <tableColumn id="1" xr3:uid="{5E49A015-398D-415E-899D-7844CA686D97}" name="Candidate Name (Party)" totalsRowLabel="Total Votes by County" dataDxfId="53" totalsRowDxfId="52"/>
    <tableColumn id="4" xr3:uid="{8A0A0713-7516-40CF-88AA-D2CD9AF35B43}" name="Queens County Vote Results" totalsRowFunction="custom" dataDxfId="51" totalsRowDxfId="50">
      <totalsRowFormula>SUM(StateSenatorSenateDistrict1General253254255[Queens County Vote Results])</totalsRowFormula>
    </tableColumn>
    <tableColumn id="3" xr3:uid="{334644A4-AEDD-4340-BD1D-E923396F6593}" name="Total Votes by Party" totalsRowFunction="custom" dataDxfId="49" totalsRowDxfId="48">
      <calculatedColumnFormula>SUM(StateSenatorSenateDistrict1General253254255[[#This Row],[Queens County Vote Results]])</calculatedColumnFormula>
      <totalsRowFormula>SUM(StateSenatorSenateDistrict1General253254255[Total Votes by Party])</totalsRowFormula>
    </tableColumn>
    <tableColumn id="2" xr3:uid="{048B39F9-C1A9-4850-8DED-C537B651561D}" name="Total Votes by Candidate" dataDxfId="47" totalsRowDxfId="46"/>
  </tableColumns>
  <tableStyleInfo name="TableStyleMedium2" showFirstColumn="0" showLastColumn="0" showRowStripes="0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5" xr:uid="{499061D6-F14B-4FD6-905B-A66A9C5C8F4A}" name="StateSenatorSenateDistrict1General253254255256" displayName="StateSenatorSenateDistrict1General253254255256" ref="A2:D9" totalsRowCount="1" headerRowDxfId="45" dataDxfId="43" totalsRowDxfId="41" headerRowBorderDxfId="44" tableBorderDxfId="42" totalsRowBorderDxfId="40">
  <autoFilter ref="A2:D8" xr:uid="{46E63F8E-8A2F-421C-B164-9C94A0596A45}">
    <filterColumn colId="0" hiddenButton="1"/>
    <filterColumn colId="1" hiddenButton="1"/>
    <filterColumn colId="2" hiddenButton="1"/>
    <filterColumn colId="3" hiddenButton="1"/>
  </autoFilter>
  <tableColumns count="4">
    <tableColumn id="1" xr3:uid="{ED4F9A49-9A50-407B-9CE0-30210BAB044E}" name="Candidate Name (Party)" totalsRowLabel="Total Votes by County" dataDxfId="39" totalsRowDxfId="38"/>
    <tableColumn id="4" xr3:uid="{CD447FB3-15FA-4311-B112-52DAB7E26BD0}" name="Bronx County Vote Results" totalsRowFunction="custom" dataDxfId="37" totalsRowDxfId="36">
      <totalsRowFormula>SUM(StateSenatorSenateDistrict1General253254255256[Bronx County Vote Results])</totalsRowFormula>
    </tableColumn>
    <tableColumn id="3" xr3:uid="{4E00F32D-1030-458B-BDDA-01636685A52B}" name="Total Votes by Party" totalsRowFunction="custom" dataDxfId="35" totalsRowDxfId="34">
      <calculatedColumnFormula>SUM(StateSenatorSenateDistrict1General253254255256[[#This Row],[Bronx County Vote Results]])</calculatedColumnFormula>
      <totalsRowFormula>SUM(StateSenatorSenateDistrict1General253254255256[Total Votes by Party])</totalsRowFormula>
    </tableColumn>
    <tableColumn id="2" xr3:uid="{4EC3CC5E-2704-4A13-BC3D-BB9B90916E9E}" name="Total Votes by Candidate" dataDxfId="33" totalsRowDxfId="32"/>
  </tableColumns>
  <tableStyleInfo name="TableStyleMedium2" showFirstColumn="0" showLastColumn="0" showRowStripes="0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5045763-64D9-4302-8E75-514C87F5FF93}" name="GovLtGovGeneral3" displayName="GovLtGovGeneral3" ref="A2:F65" totalsRowShown="0" headerRowDxfId="31" dataDxfId="29" headerRowBorderDxfId="30" tableBorderDxfId="28" totalsRowBorderDxfId="27">
  <tableColumns count="6">
    <tableColumn id="1" xr3:uid="{AD7BD014-1EAE-4131-8D63-D9A01D849856}" name="County" dataDxfId="26" totalsRowDxfId="25"/>
    <tableColumn id="2" xr3:uid="{BE32B0FB-1672-4CB1-92B5-93AEB2AC523E}" name="Yes" dataDxfId="24" totalsRowDxfId="23"/>
    <tableColumn id="16" xr3:uid="{613D696F-43A8-43DD-9882-5D4251EC2597}" name="No" dataDxfId="22" totalsRowDxfId="21"/>
    <tableColumn id="13" xr3:uid="{A313D1AE-4D0F-4A17-BC3C-B451B9316990}" name="Blank" dataDxfId="20" totalsRowDxfId="19"/>
    <tableColumn id="3" xr3:uid="{248F71F0-3441-4A4A-8D6D-D4B2D9F896EB}" name="Void" totalsRowDxfId="18"/>
    <tableColumn id="4" xr3:uid="{9335E1A0-A10A-473B-A678-3D9BB8553428}" name="Total Votes by County" dataDxfId="17" totalsRowDxfId="16">
      <calculatedColumnFormula>SUM(#REF!)</calculatedColumnFormula>
    </tableColumn>
  </tableColumns>
  <tableStyleInfo name="TableStyleMedium2" showFirstColumn="0" showLastColumn="0" showRowStripes="0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FB9C10D-9695-4836-8DBC-2C4A36852E3F}" name="GovLtGovGeneral34" displayName="GovLtGovGeneral34" ref="A2:F65" totalsRowShown="0" headerRowDxfId="15" dataDxfId="13" headerRowBorderDxfId="14" tableBorderDxfId="12" totalsRowBorderDxfId="11">
  <tableColumns count="6">
    <tableColumn id="1" xr3:uid="{B067E258-BEAB-4D3A-A693-056A095981BA}" name="County" dataDxfId="10" totalsRowDxfId="9"/>
    <tableColumn id="2" xr3:uid="{63F8D7E9-DDDD-4100-9D66-2EF4C3852BC6}" name="Yes" dataDxfId="8" totalsRowDxfId="7"/>
    <tableColumn id="16" xr3:uid="{A3E030C7-EA3E-4B77-A3FC-4538B6AD8131}" name="No" dataDxfId="6" totalsRowDxfId="5"/>
    <tableColumn id="13" xr3:uid="{8E055B0A-FD00-4AE6-AAF5-AFAD9362C4FF}" name="Blank" dataDxfId="4" totalsRowDxfId="3"/>
    <tableColumn id="3" xr3:uid="{3FF4B4BC-8A18-4B3A-84AD-CCD4FE73B06E}" name="Void" totalsRowDxfId="2"/>
    <tableColumn id="4" xr3:uid="{1EBFF032-0111-45A1-8852-3B370B8F24D1}" name="Total Votes by County" dataDxfId="1" totalsRowDxfId="0">
      <calculatedColumnFormula>SUM(#REF!)</calculatedColumnFormula>
    </tableColumn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3" xr:uid="{BC7EFEAB-F58C-433B-AF9D-9267234EE5C7}" name="StateSenatorSenateDistrict1General253254" displayName="StateSenatorSenateDistrict1General253254" ref="A2:D24" totalsRowCount="1" headerRowDxfId="235" dataDxfId="233" totalsRowDxfId="231" headerRowBorderDxfId="234" tableBorderDxfId="232" totalsRowBorderDxfId="230">
  <autoFilter ref="A2:D23" xr:uid="{46E63F8E-8A2F-421C-B164-9C94A0596A45}">
    <filterColumn colId="0" hiddenButton="1"/>
    <filterColumn colId="1" hiddenButton="1"/>
    <filterColumn colId="2" hiddenButton="1"/>
    <filterColumn colId="3" hiddenButton="1"/>
  </autoFilter>
  <tableColumns count="4">
    <tableColumn id="1" xr3:uid="{E4710240-D4D3-4569-9293-FDC2400248BF}" name="Candidate Name (Party)" totalsRowLabel="Total Votes by County" dataDxfId="229" totalsRowDxfId="228"/>
    <tableColumn id="4" xr3:uid="{797DD0F0-CCC4-4990-9030-56DCFC7DDB0B}" name="Kings County Vote Results" totalsRowFunction="custom" dataDxfId="227" totalsRowDxfId="226">
      <totalsRowFormula>SUM(StateSenatorSenateDistrict1General253254[Kings County Vote Results])</totalsRowFormula>
    </tableColumn>
    <tableColumn id="3" xr3:uid="{1BDA1BEB-FEE1-4785-AE4F-32A85701FECC}" name="Total Votes by Party" totalsRowFunction="custom" dataDxfId="225" totalsRowDxfId="224">
      <calculatedColumnFormula>SUM(StateSenatorSenateDistrict1General253254[[#This Row],[Kings County Vote Results]])</calculatedColumnFormula>
      <totalsRowFormula>SUM(StateSenatorSenateDistrict1General253254[Total Votes by Party])</totalsRowFormula>
    </tableColumn>
    <tableColumn id="2" xr3:uid="{176D2F6B-DAB0-4BD1-9E94-1F2BF428CA2F}" name="Total Votes by Candidate" dataDxfId="223" totalsRowDxfId="222"/>
  </tableColumns>
  <tableStyleInfo name="TableStyleMedium2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D361CBC-A291-4C9C-8428-DB8958DFD0A8}" name="StateSenatorSenateDistrict1General" displayName="StateSenatorSenateDistrict1General" ref="A2:J14" totalsRowCount="1" headerRowDxfId="221" dataDxfId="219" totalsRowDxfId="217" headerRowBorderDxfId="220" tableBorderDxfId="218" totalsRowBorderDxfId="216">
  <autoFilter ref="A2:J13" xr:uid="{46E63F8E-8A2F-421C-B164-9C94A0596A4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0DC13088-07B1-4484-9837-16A749E7ADCD}" name="Candidate Name (Party)" totalsRowLabel="Total Votes by County" dataDxfId="215" totalsRowDxfId="214"/>
    <tableColumn id="4" xr3:uid="{28D1396B-6422-478E-B714-2E6021CA56AB}" name="Albany County Vote Results" totalsRowFunction="custom" dataDxfId="213" totalsRowDxfId="212">
      <totalsRowFormula>SUM(StateSenatorSenateDistrict1General[Albany County Vote Results])</totalsRowFormula>
    </tableColumn>
    <tableColumn id="10" xr3:uid="{EAA00762-0BA1-470C-B973-AAD5A983AC23}" name="Columbia County Vote Results" totalsRowFunction="custom" dataDxfId="211" totalsRowDxfId="210">
      <totalsRowFormula>SUM(StateSenatorSenateDistrict1General[Columbia County Vote Results])</totalsRowFormula>
    </tableColumn>
    <tableColumn id="9" xr3:uid="{BC042534-EAAC-403D-9988-4C0BC408A1EB}" name="Greene County Vote Results" totalsRowFunction="custom" dataDxfId="209" totalsRowDxfId="208">
      <totalsRowFormula>SUM(StateSenatorSenateDistrict1General[Greene County Vote Results])</totalsRowFormula>
    </tableColumn>
    <tableColumn id="8" xr3:uid="{204F293E-5159-4090-9907-1FD265BD1491}" name="Rensselaer County Vote Results" totalsRowFunction="custom" dataDxfId="207" totalsRowDxfId="206">
      <totalsRowFormula>SUM(StateSenatorSenateDistrict1General[Rensselaer County Vote Results])</totalsRowFormula>
    </tableColumn>
    <tableColumn id="7" xr3:uid="{269C15A2-F2E1-4FCF-A2D9-9E7699951B4D}" name="Schoharie County Vote Results" totalsRowFunction="custom" dataDxfId="205" totalsRowDxfId="204">
      <totalsRowFormula>SUM(StateSenatorSenateDistrict1General[Schoharie County Vote Results])</totalsRowFormula>
    </tableColumn>
    <tableColumn id="6" xr3:uid="{4124E6B5-F621-46A4-9A71-648236A233A6}" name="Sullivan County Vote Results" totalsRowFunction="custom" dataDxfId="203" totalsRowDxfId="202">
      <totalsRowFormula>SUM(StateSenatorSenateDistrict1General[Sullivan County Vote Results])</totalsRowFormula>
    </tableColumn>
    <tableColumn id="5" xr3:uid="{4040F29D-F5B6-4ACD-8FB0-C44150AE1BC8}" name="Ulster County Vote Results" totalsRowFunction="custom" dataDxfId="201" totalsRowDxfId="200">
      <totalsRowFormula>SUM(StateSenatorSenateDistrict1General[Ulster County Vote Results])</totalsRowFormula>
    </tableColumn>
    <tableColumn id="3" xr3:uid="{DAC1F272-2DBE-4477-8EDF-312147E6ABDD}" name="Total Votes by Party" totalsRowFunction="custom" dataDxfId="199" totalsRowDxfId="198">
      <calculatedColumnFormula>SUM(StateSenatorSenateDistrict1General[[#This Row],[Albany County Vote Results]:[Ulster County Vote Results]])</calculatedColumnFormula>
      <totalsRowFormula>SUM(StateSenatorSenateDistrict1General[Total Votes by Party])</totalsRowFormula>
    </tableColumn>
    <tableColumn id="2" xr3:uid="{5BE9899B-A094-45B7-A70A-384ECC8109FC}" name="Total Votes by Candidate" dataDxfId="197" totalsRowDxfId="196"/>
  </tableColumns>
  <tableStyleInfo name="TableStyleMedium2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F26708B-3E79-4ABE-89DB-CD3FCF243E22}" name="StateSenatorSenateDistrict2General" displayName="StateSenatorSenateDistrict2General" ref="A2:N9" totalsRowCount="1" headerRowDxfId="195" dataDxfId="193" totalsRowDxfId="191" headerRowBorderDxfId="194" tableBorderDxfId="192" totalsRowBorderDxfId="190">
  <autoFilter ref="A2:N8" xr:uid="{08EE2516-64DC-4852-8812-2027C5D0EC6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B419B2F2-642B-4785-8C7C-58C70147674B}" name="Candidate Name (Party)" totalsRowLabel="Total Votes by County" dataDxfId="189" totalsRowDxfId="188"/>
    <tableColumn id="4" xr3:uid="{E8E7A0BD-A13B-4C62-870E-24C42A83C155}" name="Clinton County Vote Results" totalsRowFunction="custom" dataDxfId="187" totalsRowDxfId="186">
      <totalsRowFormula>SUM(StateSenatorSenateDistrict2General[Clinton County Vote Results])</totalsRowFormula>
    </tableColumn>
    <tableColumn id="15" xr3:uid="{F4552CB4-0FD6-4FAA-9EAF-05334394E99F}" name="Essex County Vote Results" totalsRowFunction="custom" dataDxfId="185" totalsRowDxfId="184">
      <totalsRowFormula>SUM(StateSenatorSenateDistrict2General[Essex County Vote Results])</totalsRowFormula>
    </tableColumn>
    <tableColumn id="14" xr3:uid="{9E0DD892-1436-4516-9435-540B3ABABC65}" name="Franklin County Vote Results" totalsRowFunction="custom" dataDxfId="183" totalsRowDxfId="182">
      <totalsRowFormula>SUM(StateSenatorSenateDistrict2General[Franklin County Vote Results])</totalsRowFormula>
    </tableColumn>
    <tableColumn id="13" xr3:uid="{0BAA17B4-6EA6-47E5-B862-173FDD1F15BD}" name="Fulton County Vote Results" totalsRowFunction="custom" dataDxfId="181" totalsRowDxfId="180">
      <totalsRowFormula>SUM(StateSenatorSenateDistrict2General[Fulton County Vote Results])</totalsRowFormula>
    </tableColumn>
    <tableColumn id="12" xr3:uid="{CBF5517C-5161-48FE-9027-5C32F42B209C}" name="Hamilton County Vote Results" totalsRowFunction="custom" dataDxfId="179" totalsRowDxfId="178">
      <totalsRowFormula>SUM(StateSenatorSenateDistrict2General[Hamilton County Vote Results])</totalsRowFormula>
    </tableColumn>
    <tableColumn id="11" xr3:uid="{F878C7F0-4D46-45CB-AADB-BED1F995E498}" name="Montgomery County Vote Results" totalsRowFunction="custom" dataDxfId="177" totalsRowDxfId="176">
      <totalsRowFormula>SUM(StateSenatorSenateDistrict2General[Montgomery County Vote Results])</totalsRowFormula>
    </tableColumn>
    <tableColumn id="10" xr3:uid="{AE2FF206-5699-41E5-9F37-1192A1DF1E0A}" name="St. Lawrence County Vote Results" totalsRowFunction="custom" dataDxfId="175" totalsRowDxfId="174">
      <totalsRowFormula>SUM(StateSenatorSenateDistrict2General[St. Lawrence County Vote Results])</totalsRowFormula>
    </tableColumn>
    <tableColumn id="9" xr3:uid="{32B74427-B2AE-454F-BD75-BCFC17E5A2DD}" name="Saratoga County Vote Results" totalsRowFunction="custom" dataDxfId="173" totalsRowDxfId="172">
      <totalsRowFormula>SUM(StateSenatorSenateDistrict2General[Saratoga County Vote Results])</totalsRowFormula>
    </tableColumn>
    <tableColumn id="8" xr3:uid="{3A5A51BF-9E65-4103-B8FE-7AA7624C1DFC}" name="Schenectady County Vote Results" totalsRowFunction="custom" dataDxfId="171" totalsRowDxfId="170">
      <totalsRowFormula>SUM(StateSenatorSenateDistrict2General[Schenectady County Vote Results])</totalsRowFormula>
    </tableColumn>
    <tableColumn id="7" xr3:uid="{8915649F-461B-454D-A232-BA4E1E9122DB}" name="Warren County Vote Results" totalsRowFunction="custom" dataDxfId="169" totalsRowDxfId="168">
      <totalsRowFormula>SUM(StateSenatorSenateDistrict2General[Warren County Vote Results])</totalsRowFormula>
    </tableColumn>
    <tableColumn id="6" xr3:uid="{0AD13A5C-4777-448F-9AAB-ADDF939A156F}" name="Washington County Vote Results" totalsRowFunction="custom" dataDxfId="167" totalsRowDxfId="166">
      <totalsRowFormula>SUM(StateSenatorSenateDistrict2General[Washington County Vote Results])</totalsRowFormula>
    </tableColumn>
    <tableColumn id="3" xr3:uid="{1F0A925F-66A0-46B6-B871-EC81EE22306B}" name="Total Votes by Party" totalsRowFunction="custom" dataDxfId="165" totalsRowDxfId="164">
      <calculatedColumnFormula>SUM(B3,C3,D3,E3,F3,G3,H3,I3,J3,K3,L3)</calculatedColumnFormula>
      <totalsRowFormula>SUM(StateSenatorSenateDistrict2General[Total Votes by Party])</totalsRowFormula>
    </tableColumn>
    <tableColumn id="2" xr3:uid="{28EA66D1-8D77-4463-96F8-382C8B4D6386}" name="Total Votes by Candidate" dataDxfId="163" totalsRowDxfId="162"/>
  </tableColumns>
  <tableStyleInfo name="TableStyleMedium2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A96C3A6-5FC9-49F7-8723-B2546C1F500D}" name="StateSenatorSenateDistrict3General" displayName="StateSenatorSenateDistrict3General" ref="A2:I11" totalsRowCount="1" headerRowDxfId="161" dataDxfId="159" totalsRowDxfId="157" headerRowBorderDxfId="160" tableBorderDxfId="158" totalsRowBorderDxfId="156">
  <autoFilter ref="A2:I10" xr:uid="{E849A2E2-D466-4FEE-AC0E-07449222D72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47C31D8F-8820-429B-AFDC-6A1A12EC577F}" name="Candidate Name (Party)" totalsRowLabel="Total Votes by County" totalsRowDxfId="155"/>
    <tableColumn id="4" xr3:uid="{C671D879-E29C-46B0-BBDC-CF0791FF18FC}" name="Herkimer County Vote Results" totalsRowFunction="custom" totalsRowDxfId="154">
      <totalsRowFormula>SUM(StateSenatorSenateDistrict3General[Herkimer County Vote Results])</totalsRowFormula>
    </tableColumn>
    <tableColumn id="9" xr3:uid="{9A42DEAC-3790-4EDB-AF7E-99F8026E02AE}" name="Jefferson County Vote Results" totalsRowFunction="custom" totalsRowDxfId="153">
      <totalsRowFormula>SUM(StateSenatorSenateDistrict3General[Jefferson County Vote Results])</totalsRowFormula>
    </tableColumn>
    <tableColumn id="8" xr3:uid="{8EDEB0E2-EC54-4E86-8482-53D472948ABB}" name="Lewis County Vote Results" totalsRowFunction="custom" totalsRowDxfId="152">
      <totalsRowFormula>SUM(StateSenatorSenateDistrict3General[Lewis County Vote Results])</totalsRowFormula>
    </tableColumn>
    <tableColumn id="7" xr3:uid="{05343350-09D7-4EAB-A3DB-AACC38C90DBA}" name="Oneida County Vote Results" totalsRowFunction="custom" totalsRowDxfId="151">
      <totalsRowFormula>SUM(StateSenatorSenateDistrict3General[Oneida County Vote Results])</totalsRowFormula>
    </tableColumn>
    <tableColumn id="6" xr3:uid="{EE7D766E-0EB5-4178-9888-4F78980BF6BA}" name="Onondaga County Vote Results" totalsRowFunction="custom" totalsRowDxfId="150">
      <totalsRowFormula>SUM(StateSenatorSenateDistrict3General[Onondaga County Vote Results])</totalsRowFormula>
    </tableColumn>
    <tableColumn id="5" xr3:uid="{6063FAF9-3DBF-4FBB-A013-3C14303CDC7C}" name="Oswego County Vote Results" totalsRowFunction="custom" totalsRowDxfId="149">
      <totalsRowFormula>SUM(StateSenatorSenateDistrict3General[Oswego County Vote Results])</totalsRowFormula>
    </tableColumn>
    <tableColumn id="3" xr3:uid="{6CC0C525-F3EA-4BDC-9BDF-0564602583EA}" name="Total Votes by Party" totalsRowFunction="custom" totalsRowDxfId="148">
      <calculatedColumnFormula>SUM(B3:G3)</calculatedColumnFormula>
      <totalsRowFormula>SUM(StateSenatorSenateDistrict3General[Total Votes by Party])</totalsRowFormula>
    </tableColumn>
    <tableColumn id="2" xr3:uid="{6682A752-3D95-4654-927E-B58D06DFCA00}" name="Total Votes by Candidate" totalsRowDxfId="147"/>
  </tableColumns>
  <tableStyleInfo name="TableStyleMedium2"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9A43160-EFC0-4DD9-AF03-43F861003777}" name="SupremeCourtJustice6" displayName="SupremeCourtJustice6" ref="A2:M8" totalsRowCount="1" headerRowDxfId="146" dataDxfId="144" totalsRowDxfId="142" headerRowBorderDxfId="145" tableBorderDxfId="143" totalsRowBorderDxfId="141">
  <autoFilter ref="A2:M7" xr:uid="{A5D383CB-B61F-4561-ADC3-55A409D5E37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3FEFE2E5-A8BF-4C02-9CA4-D5462BDED0DD}" name="Candidate Name (Party)_x000a_" totalsRowLabel="Total Votes by County" dataDxfId="140" totalsRowDxfId="139"/>
    <tableColumn id="4" xr3:uid="{33A55819-5BCB-412E-B0B4-CF3A1060E9D4}" name="Broome County Vote Results" totalsRowFunction="custom" dataDxfId="138" totalsRowDxfId="137">
      <totalsRowFormula>SUM(SupremeCourtJustice6[Broome County Vote Results])</totalsRowFormula>
    </tableColumn>
    <tableColumn id="14" xr3:uid="{EC5F09C6-CC6C-4755-935F-BB1E9A900E9C}" name="Chemung County Vote Results" totalsRowFunction="custom" dataDxfId="136" totalsRowDxfId="135">
      <totalsRowFormula>SUM(SupremeCourtJustice6[Chemung County Vote Results])</totalsRowFormula>
    </tableColumn>
    <tableColumn id="13" xr3:uid="{309E0F9F-B73B-4AAA-9724-26BF718EA966}" name="Chenango County Vote Results" totalsRowFunction="custom" dataDxfId="134" totalsRowDxfId="133">
      <totalsRowFormula>SUM(SupremeCourtJustice6[Chenango County Vote Results])</totalsRowFormula>
    </tableColumn>
    <tableColumn id="12" xr3:uid="{2488D3C6-4BB0-470F-B28F-34EDBDDB6D53}" name="Cortland County Vote Results" totalsRowFunction="custom" dataDxfId="132" totalsRowDxfId="131">
      <totalsRowFormula>SUM(SupremeCourtJustice6[Cortland County Vote Results])</totalsRowFormula>
    </tableColumn>
    <tableColumn id="11" xr3:uid="{AD00DC65-A010-445B-88ED-6039A92FB692}" name="Delaware County Vote Results" totalsRowFunction="custom" dataDxfId="130" totalsRowDxfId="129">
      <totalsRowFormula>SUM(SupremeCourtJustice6[Delaware County Vote Results])</totalsRowFormula>
    </tableColumn>
    <tableColumn id="10" xr3:uid="{B8255CD7-E587-4FF3-BD2C-E9D4C523375B}" name="Madison County Vote Results" totalsRowFunction="custom" dataDxfId="128" totalsRowDxfId="127">
      <totalsRowFormula>SUM(SupremeCourtJustice6[Madison County Vote Results])</totalsRowFormula>
    </tableColumn>
    <tableColumn id="9" xr3:uid="{67253070-726E-46C1-8B91-DAB9D2FEE111}" name="Otsego County Vote Results" totalsRowFunction="custom" dataDxfId="126" totalsRowDxfId="125">
      <totalsRowFormula>SUM(SupremeCourtJustice6[Otsego County Vote Results])</totalsRowFormula>
    </tableColumn>
    <tableColumn id="8" xr3:uid="{98E3F19D-5B39-488F-AE0A-74445ED73536}" name="Schuyler County Vote Results" totalsRowFunction="custom" dataDxfId="124" totalsRowDxfId="123">
      <totalsRowFormula>SUM(SupremeCourtJustice6[Schuyler County Vote Results])</totalsRowFormula>
    </tableColumn>
    <tableColumn id="7" xr3:uid="{1590BB0F-BC20-430A-9457-78B1B8C7581E}" name="Tioga County Vote Results" totalsRowFunction="custom" dataDxfId="122" totalsRowDxfId="121">
      <totalsRowFormula>SUM(SupremeCourtJustice6[Tioga County Vote Results])</totalsRowFormula>
    </tableColumn>
    <tableColumn id="6" xr3:uid="{9B176BE4-6487-4AD7-A6D7-F3D5A78B5E9F}" name="Tompkins County Vote Results" totalsRowFunction="custom" dataDxfId="120" totalsRowDxfId="119">
      <totalsRowFormula>SUM(SupremeCourtJustice6[Tompkins County Vote Results])</totalsRowFormula>
    </tableColumn>
    <tableColumn id="3" xr3:uid="{5DC6D764-EDA2-4330-A6C6-EA9019304C3C}" name="Total Votes by Party" totalsRowFunction="custom" dataDxfId="118" totalsRowDxfId="117">
      <calculatedColumnFormula>SUM(EB:EK)</calculatedColumnFormula>
      <totalsRowFormula>SUM(SupremeCourtJustice6[Total Votes by Party])</totalsRowFormula>
    </tableColumn>
    <tableColumn id="2" xr3:uid="{A303AA83-DBF9-402A-BF0B-9878A9CAF24B}" name="Total Votes by Candidate" dataDxfId="116" totalsRowDxfId="115"/>
  </tableColumns>
  <tableStyleInfo name="TableStyleMedium2" showFirstColumn="0" showLastColumn="0" showRowStripes="0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A2265684-80E8-4F2E-A4BA-98A74A3FF0F6}" name="StateSenatorSenateDistrict4General" displayName="StateSenatorSenateDistrict4General" ref="A2:K11" totalsRowCount="1" headerRowDxfId="114" dataDxfId="112" totalsRowDxfId="110" headerRowBorderDxfId="113" tableBorderDxfId="111" totalsRowBorderDxfId="109">
  <autoFilter ref="A2:K10" xr:uid="{C6AC5771-4768-43A8-97A4-F9B8EBA4FCE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77AE50E4-79AF-406E-9C4A-865355E22289}" name="Candidate Name (Party)" totalsRowLabel="Total Votes by County" totalsRowDxfId="108"/>
    <tableColumn id="4" xr3:uid="{CD55AAC6-39D7-45DC-BF23-299481EBD0E7}" name="Cayuga County Vote Results" totalsRowFunction="custom" totalsRowDxfId="107">
      <totalsRowFormula>SUM(StateSenatorSenateDistrict4General[Cayuga County Vote Results])</totalsRowFormula>
    </tableColumn>
    <tableColumn id="11" xr3:uid="{BC237BD0-4F78-43F6-B7D5-D5B683B69336}" name="Livingston County Vote Results" totalsRowFunction="custom" totalsRowDxfId="106">
      <totalsRowFormula>SUM(StateSenatorSenateDistrict4General[Livingston County Vote Results])</totalsRowFormula>
    </tableColumn>
    <tableColumn id="10" xr3:uid="{6F06E72E-301E-4BA6-A224-8EF771C70D9D}" name="Monroe County Vote Results" totalsRowFunction="custom" totalsRowDxfId="105">
      <totalsRowFormula>SUM(StateSenatorSenateDistrict4General[Monroe County Vote Results])</totalsRowFormula>
    </tableColumn>
    <tableColumn id="9" xr3:uid="{B95A23A5-12FE-463F-9D83-A656CFF6D798}" name="Ontario County Vote Results" totalsRowFunction="custom" totalsRowDxfId="104">
      <totalsRowFormula>SUM(StateSenatorSenateDistrict4General[Ontario County Vote Results])</totalsRowFormula>
    </tableColumn>
    <tableColumn id="8" xr3:uid="{06EB2546-8178-431C-B1B7-1297FD65769C}" name="Seneca County Vote Results" totalsRowFunction="custom" totalsRowDxfId="103">
      <totalsRowFormula>SUM(StateSenatorSenateDistrict4General[Seneca County Vote Results])</totalsRowFormula>
    </tableColumn>
    <tableColumn id="7" xr3:uid="{1A8563D2-1399-4BA4-8055-36BB4D5BD8B8}" name="Steuben County Vote Results" totalsRowFunction="custom" totalsRowDxfId="102">
      <totalsRowFormula>SUM(StateSenatorSenateDistrict4General[Steuben County Vote Results])</totalsRowFormula>
    </tableColumn>
    <tableColumn id="6" xr3:uid="{FC116D54-21D3-487F-94B0-E95FC1DA8348}" name="Wayne County Vote Results" totalsRowFunction="custom" totalsRowDxfId="101">
      <totalsRowFormula>SUM(StateSenatorSenateDistrict4General[Wayne County Vote Results])</totalsRowFormula>
    </tableColumn>
    <tableColumn id="5" xr3:uid="{BB77A7DF-CAF3-48B9-8040-BC6F6E5F94D9}" name="Yates County Vote Results" totalsRowFunction="custom" totalsRowDxfId="100">
      <totalsRowFormula>SUM(StateSenatorSenateDistrict4General[Yates County Vote Results])</totalsRowFormula>
    </tableColumn>
    <tableColumn id="3" xr3:uid="{408B8A68-9B25-4451-B95C-5CA6FBB1652A}" name="Total Votes by Party" totalsRowFunction="custom" totalsRowDxfId="99">
      <calculatedColumnFormula>SUM(B3:I3)</calculatedColumnFormula>
      <totalsRowFormula>SUM(StateSenatorSenateDistrict4General[Total Votes by Party])</totalsRowFormula>
    </tableColumn>
    <tableColumn id="2" xr3:uid="{E183562C-0F8B-4BCF-AF09-2D10ABF25683}" name="Total Votes by Candidate" totalsRowDxfId="98"/>
  </tableColumns>
  <tableStyleInfo name="TableStyleMedium2" showFirstColumn="0" showLastColumn="0" showRowStripes="0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EB22FB9B-C98E-4C26-A3E9-6DC26DD6B6DC}" name="StateSenatorSenateDistrict6General" displayName="StateSenatorSenateDistrict6General" ref="A2:H18" totalsRowCount="1" headerRowDxfId="97" dataDxfId="95" totalsRowDxfId="93" headerRowBorderDxfId="96" tableBorderDxfId="94" totalsRowBorderDxfId="92">
  <autoFilter ref="A2:H17" xr:uid="{0E535243-4216-4E18-AC3D-5955FEAC22E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C28AE0A0-F1EC-46D6-8B71-9882AD4EDD04}" name="Candidate Name (Party)" totalsRowLabel="Total Votes by County" dataDxfId="91" totalsRowDxfId="90"/>
    <tableColumn id="4" xr3:uid="{08908D80-3A3E-49EA-A608-D3EF4345F4CE}" name="Dutchess County Vote Results" totalsRowFunction="custom" dataDxfId="89" totalsRowDxfId="88">
      <totalsRowFormula>SUM(StateSenatorSenateDistrict6General[Dutchess County Vote Results])</totalsRowFormula>
    </tableColumn>
    <tableColumn id="8" xr3:uid="{F4CD438B-B386-413B-BABA-ED3AD236F284}" name="Orange County Vote Results" totalsRowFunction="custom" dataDxfId="87" totalsRowDxfId="86">
      <totalsRowFormula>SUM(StateSenatorSenateDistrict6General[Orange County Vote Results])</totalsRowFormula>
    </tableColumn>
    <tableColumn id="7" xr3:uid="{33713CDA-029E-42E7-BDAD-CA141421AB4B}" name="Putnam County Vote Results" totalsRowFunction="custom" dataDxfId="85" totalsRowDxfId="84">
      <totalsRowFormula>SUM(StateSenatorSenateDistrict6General[Putnam County Vote Results])</totalsRowFormula>
    </tableColumn>
    <tableColumn id="6" xr3:uid="{ACDD8958-6761-4C9E-B69E-D5AC87F8BDC4}" name="Rockland County Vote Results" totalsRowFunction="custom" dataDxfId="83" totalsRowDxfId="82">
      <totalsRowFormula>SUM(StateSenatorSenateDistrict6General[Rockland County Vote Results])</totalsRowFormula>
    </tableColumn>
    <tableColumn id="5" xr3:uid="{149285A6-C0BE-43EA-86B9-5BB137F3707C}" name="Westchester Vote Results" totalsRowFunction="custom" dataDxfId="81" totalsRowDxfId="80">
      <totalsRowFormula>SUM(StateSenatorSenateDistrict6General[Westchester Vote Results])</totalsRowFormula>
    </tableColumn>
    <tableColumn id="3" xr3:uid="{64FFFE41-4D6F-4B8A-9F40-0FED20793887}" name="Total Votes by Party" totalsRowFunction="custom" dataDxfId="79" totalsRowDxfId="78">
      <calculatedColumnFormula>SUM(B3:F3)</calculatedColumnFormula>
      <totalsRowFormula>SUM(StateSenatorSenateDistrict6General[Total Votes by Party])</totalsRowFormula>
    </tableColumn>
    <tableColumn id="2" xr3:uid="{1697BE14-1FE7-4B16-A9E5-79D46C432982}" name="Total Votes by Candidate" dataDxfId="77" totalsRowDxfId="76"/>
  </tableColumns>
  <tableStyleInfo name="TableStyleMedium2" showFirstColumn="0" showLastColumn="0" showRowStripes="0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39CB0665-8B30-4D08-A21A-847DC1B68F6F}" name="StateSenatorSenateDistrict7General" displayName="StateSenatorSenateDistrict7General" ref="A2:E16" totalsRowCount="1" headerRowDxfId="75" dataDxfId="73" totalsRowDxfId="71" headerRowBorderDxfId="74" tableBorderDxfId="72" totalsRowBorderDxfId="70">
  <autoFilter ref="A2:E15" xr:uid="{0468737E-A287-4E35-A99A-23695F38BF57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4ADFC5B1-0595-428A-98D4-5F11DCFB748A}" name="Candidate Name (Party)" totalsRowLabel="Total Votes by County" dataDxfId="69" totalsRowDxfId="68"/>
    <tableColumn id="4" xr3:uid="{C4BC0DC4-BF91-498F-9858-11DB087B8BC2}" name="Nassau County Vote Results" totalsRowFunction="custom" dataDxfId="67" totalsRowDxfId="66">
      <totalsRowFormula>SUM(StateSenatorSenateDistrict7General[Nassau County Vote Results])</totalsRowFormula>
    </tableColumn>
    <tableColumn id="5" xr3:uid="{EBA9C7A4-8A7B-4256-B237-88AD2457D78E}" name="Suffolk County Vote Results" totalsRowFunction="custom" dataDxfId="65" totalsRowDxfId="64">
      <totalsRowFormula>SUM(StateSenatorSenateDistrict7General[Suffolk County Vote Results])</totalsRowFormula>
    </tableColumn>
    <tableColumn id="3" xr3:uid="{EB90F89A-9104-4F26-A1DC-CB5C5E825AE4}" name="Total Votes by Party" totalsRowFunction="custom" dataDxfId="63" totalsRowDxfId="62">
      <calculatedColumnFormula>SUM(StateSenatorSenateDistrict7General[[#This Row],[Nassau County Vote Results]:[Suffolk County Vote Results]])</calculatedColumnFormula>
      <totalsRowFormula>SUM(StateSenatorSenateDistrict7General[Total Votes by Party])</totalsRowFormula>
    </tableColumn>
    <tableColumn id="2" xr3:uid="{D31F16CE-A4FF-45C5-A8B1-7A2F504A488D}" name="Total Votes by Candidate" dataDxfId="61" totalsRowDxfId="60">
      <calculatedColumnFormula>SUM(D3,D11,#REF!)</calculatedColumnFormula>
    </tableColumn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77BEE-2D39-457A-B288-A3AED8A2AC63}">
  <sheetPr>
    <pageSetUpPr fitToPage="1"/>
  </sheetPr>
  <dimension ref="A1:D9"/>
  <sheetViews>
    <sheetView zoomScaleNormal="100" zoomScaleSheetLayoutView="80" workbookViewId="0">
      <selection activeCell="B8" sqref="B8"/>
    </sheetView>
  </sheetViews>
  <sheetFormatPr defaultRowHeight="12.75" x14ac:dyDescent="0.2"/>
  <cols>
    <col min="1" max="1" width="31.28515625" customWidth="1"/>
    <col min="2" max="2" width="18.7109375" customWidth="1"/>
    <col min="3" max="4" width="20.5703125" customWidth="1"/>
    <col min="5" max="6" width="23.5703125" customWidth="1"/>
  </cols>
  <sheetData>
    <row r="1" spans="1:4" ht="54" customHeight="1" x14ac:dyDescent="0.2">
      <c r="A1" s="73" t="s">
        <v>147</v>
      </c>
      <c r="B1" s="73"/>
      <c r="C1" s="73"/>
      <c r="D1" s="73"/>
    </row>
    <row r="2" spans="1:4" ht="24.95" customHeight="1" x14ac:dyDescent="0.2">
      <c r="A2" s="14" t="s">
        <v>16</v>
      </c>
      <c r="B2" s="25" t="s">
        <v>49</v>
      </c>
      <c r="C2" s="13" t="s">
        <v>3</v>
      </c>
      <c r="D2" s="12" t="s">
        <v>4</v>
      </c>
    </row>
    <row r="3" spans="1:4" x14ac:dyDescent="0.2">
      <c r="A3" s="10" t="s">
        <v>56</v>
      </c>
      <c r="B3" s="29">
        <v>103587</v>
      </c>
      <c r="C3" s="30">
        <f>SUM(StateSenatorSenateDistrict1General253[[#This Row],[New York County Vote Results]])</f>
        <v>103587</v>
      </c>
      <c r="D3" s="31">
        <f>SUM(C3)</f>
        <v>103587</v>
      </c>
    </row>
    <row r="4" spans="1:4" x14ac:dyDescent="0.2">
      <c r="A4" s="10" t="s">
        <v>57</v>
      </c>
      <c r="B4" s="29">
        <v>98743</v>
      </c>
      <c r="C4" s="30">
        <f>SUM(StateSenatorSenateDistrict1General253[[#This Row],[New York County Vote Results]])</f>
        <v>98743</v>
      </c>
      <c r="D4" s="31">
        <f>SUM(C4)</f>
        <v>98743</v>
      </c>
    </row>
    <row r="5" spans="1:4" x14ac:dyDescent="0.2">
      <c r="A5" s="10" t="s">
        <v>58</v>
      </c>
      <c r="B5" s="32">
        <v>102185</v>
      </c>
      <c r="C5" s="30">
        <f>SUM(StateSenatorSenateDistrict1General253[[#This Row],[New York County Vote Results]])</f>
        <v>102185</v>
      </c>
      <c r="D5" s="31">
        <f>SUM(C5)</f>
        <v>102185</v>
      </c>
    </row>
    <row r="6" spans="1:4" x14ac:dyDescent="0.2">
      <c r="A6" s="9" t="s">
        <v>0</v>
      </c>
      <c r="B6" s="29">
        <v>120856</v>
      </c>
      <c r="C6" s="30">
        <f>SUM(StateSenatorSenateDistrict1General253[[#This Row],[New York County Vote Results]])</f>
        <v>120856</v>
      </c>
      <c r="D6" s="33"/>
    </row>
    <row r="7" spans="1:4" x14ac:dyDescent="0.2">
      <c r="A7" s="9" t="s">
        <v>1</v>
      </c>
      <c r="B7" s="29">
        <v>0</v>
      </c>
      <c r="C7" s="30">
        <f>SUM(StateSenatorSenateDistrict1General253[[#This Row],[New York County Vote Results]])</f>
        <v>0</v>
      </c>
      <c r="D7" s="33"/>
    </row>
    <row r="8" spans="1:4" x14ac:dyDescent="0.2">
      <c r="A8" s="9" t="s">
        <v>8</v>
      </c>
      <c r="B8" s="29">
        <v>6497</v>
      </c>
      <c r="C8" s="30">
        <f>SUM(StateSenatorSenateDistrict1General253[[#This Row],[New York County Vote Results]])</f>
        <v>6497</v>
      </c>
      <c r="D8" s="33"/>
    </row>
    <row r="9" spans="1:4" x14ac:dyDescent="0.2">
      <c r="A9" s="8" t="s">
        <v>2</v>
      </c>
      <c r="B9" s="34">
        <f>SUM(StateSenatorSenateDistrict1General253[New York County Vote Results])</f>
        <v>431868</v>
      </c>
      <c r="C9" s="19">
        <f>SUM(StateSenatorSenateDistrict1General253[Total Votes by Party])</f>
        <v>431868</v>
      </c>
      <c r="D9" s="33"/>
    </row>
  </sheetData>
  <mergeCells count="1">
    <mergeCell ref="A1:D1"/>
  </mergeCells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rowBreaks count="13" manualBreakCount="13">
    <brk id="41" max="16383" man="1"/>
    <brk id="88" max="16383" man="1"/>
    <brk id="142" max="16383" man="1"/>
    <brk id="196" max="16383" man="1"/>
    <brk id="245" max="16383" man="1"/>
    <brk id="292" max="16383" man="1"/>
    <brk id="341" max="16383" man="1"/>
    <brk id="387" max="16383" man="1"/>
    <brk id="439" max="16383" man="1"/>
    <brk id="492" max="16383" man="1"/>
    <brk id="546" max="16383" man="1"/>
    <brk id="594" max="16383" man="1"/>
    <brk id="630" max="16383" man="1"/>
  </rowBreaks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6D28E-4E01-44E3-A961-0B8D404DE537}">
  <sheetPr>
    <pageSetUpPr fitToPage="1"/>
  </sheetPr>
  <dimension ref="A1:D13"/>
  <sheetViews>
    <sheetView zoomScaleNormal="100" zoomScaleSheetLayoutView="80" workbookViewId="0">
      <selection activeCell="B12" sqref="B12"/>
    </sheetView>
  </sheetViews>
  <sheetFormatPr defaultRowHeight="12.75" x14ac:dyDescent="0.2"/>
  <cols>
    <col min="1" max="1" width="31.28515625" customWidth="1"/>
    <col min="2" max="2" width="18.7109375" customWidth="1"/>
    <col min="3" max="4" width="20.5703125" customWidth="1"/>
    <col min="5" max="6" width="23.5703125" customWidth="1"/>
  </cols>
  <sheetData>
    <row r="1" spans="1:4" ht="54" customHeight="1" x14ac:dyDescent="0.2">
      <c r="A1" s="73" t="s">
        <v>149</v>
      </c>
      <c r="B1" s="73"/>
      <c r="C1" s="73"/>
      <c r="D1" s="73"/>
    </row>
    <row r="2" spans="1:4" ht="24.95" customHeight="1" x14ac:dyDescent="0.2">
      <c r="A2" s="14" t="s">
        <v>16</v>
      </c>
      <c r="B2" s="25" t="s">
        <v>51</v>
      </c>
      <c r="C2" s="13" t="s">
        <v>3</v>
      </c>
      <c r="D2" s="12" t="s">
        <v>4</v>
      </c>
    </row>
    <row r="3" spans="1:4" x14ac:dyDescent="0.2">
      <c r="A3" s="10" t="s">
        <v>131</v>
      </c>
      <c r="B3" s="7">
        <v>84477</v>
      </c>
      <c r="C3" s="6">
        <f>SUM(StateSenatorSenateDistrict1General253254255[[#This Row],[Queens County Vote Results]])</f>
        <v>84477</v>
      </c>
      <c r="D3" s="11">
        <f>SUM(C3)</f>
        <v>84477</v>
      </c>
    </row>
    <row r="4" spans="1:4" x14ac:dyDescent="0.2">
      <c r="A4" s="10" t="s">
        <v>132</v>
      </c>
      <c r="B4" s="7">
        <v>88338</v>
      </c>
      <c r="C4" s="6">
        <f>SUM(StateSenatorSenateDistrict1General253254255[[#This Row],[Queens County Vote Results]])</f>
        <v>88338</v>
      </c>
      <c r="D4" s="11">
        <f t="shared" ref="D4:D8" si="0">SUM(C4)</f>
        <v>88338</v>
      </c>
    </row>
    <row r="5" spans="1:4" x14ac:dyDescent="0.2">
      <c r="A5" s="10" t="s">
        <v>133</v>
      </c>
      <c r="B5" s="18">
        <v>89337</v>
      </c>
      <c r="C5" s="6">
        <f>SUM(StateSenatorSenateDistrict1General253254255[[#This Row],[Queens County Vote Results]])</f>
        <v>89337</v>
      </c>
      <c r="D5" s="11">
        <f t="shared" si="0"/>
        <v>89337</v>
      </c>
    </row>
    <row r="6" spans="1:4" x14ac:dyDescent="0.2">
      <c r="A6" s="10" t="s">
        <v>134</v>
      </c>
      <c r="B6" s="18">
        <v>74260</v>
      </c>
      <c r="C6" s="6">
        <f>SUM(StateSenatorSenateDistrict1General253254255[[#This Row],[Queens County Vote Results]])</f>
        <v>74260</v>
      </c>
      <c r="D6" s="11">
        <f>SUM(C6,C9)</f>
        <v>115241</v>
      </c>
    </row>
    <row r="7" spans="1:4" x14ac:dyDescent="0.2">
      <c r="A7" s="10" t="s">
        <v>135</v>
      </c>
      <c r="B7" s="18">
        <v>86224</v>
      </c>
      <c r="C7" s="6">
        <f>SUM(StateSenatorSenateDistrict1General253254255[[#This Row],[Queens County Vote Results]])</f>
        <v>86224</v>
      </c>
      <c r="D7" s="11">
        <f t="shared" si="0"/>
        <v>86224</v>
      </c>
    </row>
    <row r="8" spans="1:4" x14ac:dyDescent="0.2">
      <c r="A8" s="10" t="s">
        <v>136</v>
      </c>
      <c r="B8" s="18">
        <v>44457</v>
      </c>
      <c r="C8" s="6">
        <f>SUM(StateSenatorSenateDistrict1General253254255[[#This Row],[Queens County Vote Results]])</f>
        <v>44457</v>
      </c>
      <c r="D8" s="11">
        <f t="shared" si="0"/>
        <v>44457</v>
      </c>
    </row>
    <row r="9" spans="1:4" x14ac:dyDescent="0.2">
      <c r="A9" s="10" t="s">
        <v>137</v>
      </c>
      <c r="B9" s="7">
        <v>40981</v>
      </c>
      <c r="C9" s="6">
        <f>SUM(StateSenatorSenateDistrict1General253254255[[#This Row],[Queens County Vote Results]])</f>
        <v>40981</v>
      </c>
      <c r="D9" s="5"/>
    </row>
    <row r="10" spans="1:4" x14ac:dyDescent="0.2">
      <c r="A10" s="9" t="s">
        <v>0</v>
      </c>
      <c r="B10" s="7">
        <v>260928</v>
      </c>
      <c r="C10" s="6">
        <f>SUM(StateSenatorSenateDistrict1General253254255[[#This Row],[Queens County Vote Results]])</f>
        <v>260928</v>
      </c>
      <c r="D10" s="5"/>
    </row>
    <row r="11" spans="1:4" x14ac:dyDescent="0.2">
      <c r="A11" s="9" t="s">
        <v>1</v>
      </c>
      <c r="B11" s="7">
        <v>0</v>
      </c>
      <c r="C11" s="6">
        <f>SUM(StateSenatorSenateDistrict1General253254255[[#This Row],[Queens County Vote Results]])</f>
        <v>0</v>
      </c>
      <c r="D11" s="5"/>
    </row>
    <row r="12" spans="1:4" x14ac:dyDescent="0.2">
      <c r="A12" s="9" t="s">
        <v>8</v>
      </c>
      <c r="B12" s="7">
        <v>7943</v>
      </c>
      <c r="C12" s="6">
        <f>SUM(StateSenatorSenateDistrict1General253254255[[#This Row],[Queens County Vote Results]])</f>
        <v>7943</v>
      </c>
      <c r="D12" s="5"/>
    </row>
    <row r="13" spans="1:4" s="28" customFormat="1" x14ac:dyDescent="0.2">
      <c r="A13" s="44" t="s">
        <v>2</v>
      </c>
      <c r="B13" s="27">
        <f>SUM(StateSenatorSenateDistrict1General253254255[Queens County Vote Results])</f>
        <v>776945</v>
      </c>
      <c r="C13" s="45">
        <f>SUM(StateSenatorSenateDistrict1General253254255[Total Votes by Party])</f>
        <v>776945</v>
      </c>
      <c r="D13" s="38"/>
    </row>
  </sheetData>
  <mergeCells count="1">
    <mergeCell ref="A1:D1"/>
  </mergeCells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rowBreaks count="13" manualBreakCount="13">
    <brk id="45" max="16383" man="1"/>
    <brk id="92" max="16383" man="1"/>
    <brk id="146" max="16383" man="1"/>
    <brk id="200" max="16383" man="1"/>
    <brk id="249" max="16383" man="1"/>
    <brk id="296" max="16383" man="1"/>
    <brk id="345" max="16383" man="1"/>
    <brk id="391" max="16383" man="1"/>
    <brk id="443" max="16383" man="1"/>
    <brk id="496" max="16383" man="1"/>
    <brk id="550" max="16383" man="1"/>
    <brk id="598" max="16383" man="1"/>
    <brk id="634" max="16383" man="1"/>
  </rowBreak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44467-7F93-4711-932D-D060F30264BD}">
  <sheetPr>
    <pageSetUpPr fitToPage="1"/>
  </sheetPr>
  <dimension ref="A1:D9"/>
  <sheetViews>
    <sheetView zoomScaleNormal="100" zoomScaleSheetLayoutView="80" workbookViewId="0">
      <selection activeCell="B7" sqref="B7"/>
    </sheetView>
  </sheetViews>
  <sheetFormatPr defaultRowHeight="12.75" x14ac:dyDescent="0.2"/>
  <cols>
    <col min="1" max="1" width="31.28515625" customWidth="1"/>
    <col min="2" max="2" width="18.7109375" customWidth="1"/>
    <col min="3" max="4" width="20.5703125" customWidth="1"/>
    <col min="5" max="6" width="23.5703125" customWidth="1"/>
  </cols>
  <sheetData>
    <row r="1" spans="1:4" ht="54" customHeight="1" x14ac:dyDescent="0.2">
      <c r="A1" s="73" t="s">
        <v>150</v>
      </c>
      <c r="B1" s="73"/>
      <c r="C1" s="73"/>
      <c r="D1" s="73"/>
    </row>
    <row r="2" spans="1:4" ht="24.95" customHeight="1" x14ac:dyDescent="0.2">
      <c r="A2" s="14" t="s">
        <v>16</v>
      </c>
      <c r="B2" s="25" t="s">
        <v>52</v>
      </c>
      <c r="C2" s="13" t="s">
        <v>3</v>
      </c>
      <c r="D2" s="12" t="s">
        <v>4</v>
      </c>
    </row>
    <row r="3" spans="1:4" x14ac:dyDescent="0.2">
      <c r="A3" s="10" t="s">
        <v>53</v>
      </c>
      <c r="B3" s="7">
        <v>33680</v>
      </c>
      <c r="C3" s="6">
        <f>SUM(StateSenatorSenateDistrict1General253254255256[[#This Row],[Bronx County Vote Results]])</f>
        <v>33680</v>
      </c>
      <c r="D3" s="11">
        <f>SUM(C3)</f>
        <v>33680</v>
      </c>
    </row>
    <row r="4" spans="1:4" x14ac:dyDescent="0.2">
      <c r="A4" s="10" t="s">
        <v>54</v>
      </c>
      <c r="B4" s="7">
        <v>42645</v>
      </c>
      <c r="C4" s="6">
        <f>SUM(StateSenatorSenateDistrict1General253254255256[[#This Row],[Bronx County Vote Results]])</f>
        <v>42645</v>
      </c>
      <c r="D4" s="11">
        <f>SUM(C4)</f>
        <v>42645</v>
      </c>
    </row>
    <row r="5" spans="1:4" x14ac:dyDescent="0.2">
      <c r="A5" s="10" t="s">
        <v>55</v>
      </c>
      <c r="B5" s="18">
        <v>30893</v>
      </c>
      <c r="C5" s="6">
        <f>SUM(StateSenatorSenateDistrict1General253254255256[[#This Row],[Bronx County Vote Results]])</f>
        <v>30893</v>
      </c>
      <c r="D5" s="11">
        <f>SUM(C5)</f>
        <v>30893</v>
      </c>
    </row>
    <row r="6" spans="1:4" x14ac:dyDescent="0.2">
      <c r="A6" s="9" t="s">
        <v>0</v>
      </c>
      <c r="B6" s="7">
        <v>83091</v>
      </c>
      <c r="C6" s="6">
        <f>SUM(StateSenatorSenateDistrict1General253254255256[[#This Row],[Bronx County Vote Results]])</f>
        <v>83091</v>
      </c>
      <c r="D6" s="5"/>
    </row>
    <row r="7" spans="1:4" x14ac:dyDescent="0.2">
      <c r="A7" s="9" t="s">
        <v>1</v>
      </c>
      <c r="B7" s="7">
        <v>0</v>
      </c>
      <c r="C7" s="6">
        <f>SUM(StateSenatorSenateDistrict1General253254255256[[#This Row],[Bronx County Vote Results]])</f>
        <v>0</v>
      </c>
      <c r="D7" s="5"/>
    </row>
    <row r="8" spans="1:4" x14ac:dyDescent="0.2">
      <c r="A8" s="9" t="s">
        <v>8</v>
      </c>
      <c r="B8" s="7">
        <v>2237</v>
      </c>
      <c r="C8" s="6">
        <f>SUM(StateSenatorSenateDistrict1General253254255256[[#This Row],[Bronx County Vote Results]])</f>
        <v>2237</v>
      </c>
      <c r="D8" s="5"/>
    </row>
    <row r="9" spans="1:4" s="28" customFormat="1" x14ac:dyDescent="0.2">
      <c r="A9" s="44" t="s">
        <v>2</v>
      </c>
      <c r="B9" s="27">
        <f>SUM(StateSenatorSenateDistrict1General253254255256[Bronx County Vote Results])</f>
        <v>192546</v>
      </c>
      <c r="C9" s="45">
        <f>SUM(StateSenatorSenateDistrict1General253254255256[Total Votes by Party])</f>
        <v>192546</v>
      </c>
      <c r="D9" s="38"/>
    </row>
  </sheetData>
  <mergeCells count="1">
    <mergeCell ref="A1:D1"/>
  </mergeCells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rowBreaks count="13" manualBreakCount="13">
    <brk id="41" max="16383" man="1"/>
    <brk id="88" max="16383" man="1"/>
    <brk id="142" max="16383" man="1"/>
    <brk id="196" max="16383" man="1"/>
    <brk id="245" max="16383" man="1"/>
    <brk id="292" max="16383" man="1"/>
    <brk id="341" max="16383" man="1"/>
    <brk id="387" max="16383" man="1"/>
    <brk id="439" max="16383" man="1"/>
    <brk id="492" max="16383" man="1"/>
    <brk id="546" max="16383" man="1"/>
    <brk id="594" max="16383" man="1"/>
    <brk id="630" max="16383" man="1"/>
  </rowBreaks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EFD0A-1A4D-4A57-9D77-2289BA5D6AB2}">
  <dimension ref="A1:F65"/>
  <sheetViews>
    <sheetView zoomScaleNormal="100" zoomScaleSheetLayoutView="100" workbookViewId="0">
      <pane xSplit="1" ySplit="2" topLeftCell="B55" activePane="bottomRight" state="frozen"/>
      <selection pane="topRight" activeCell="B1" sqref="B1"/>
      <selection pane="bottomLeft" activeCell="A3" sqref="A3"/>
      <selection pane="bottomRight" activeCell="D57" sqref="D57"/>
    </sheetView>
  </sheetViews>
  <sheetFormatPr defaultColWidth="9.140625" defaultRowHeight="12.75" x14ac:dyDescent="0.2"/>
  <cols>
    <col min="1" max="1" width="28" style="63" customWidth="1"/>
    <col min="2" max="6" width="12.7109375" style="63" customWidth="1"/>
    <col min="7" max="16384" width="9.140625" style="63"/>
  </cols>
  <sheetData>
    <row r="1" spans="1:6" s="56" customFormat="1" ht="33" customHeight="1" x14ac:dyDescent="0.2">
      <c r="A1" s="76" t="s">
        <v>216</v>
      </c>
      <c r="B1" s="76"/>
      <c r="C1" s="76"/>
      <c r="D1" s="76"/>
    </row>
    <row r="2" spans="1:6" s="56" customFormat="1" ht="39" customHeight="1" x14ac:dyDescent="0.2">
      <c r="A2" s="57" t="s">
        <v>151</v>
      </c>
      <c r="B2" s="58" t="s">
        <v>152</v>
      </c>
      <c r="C2" s="58" t="s">
        <v>153</v>
      </c>
      <c r="D2" s="58" t="s">
        <v>0</v>
      </c>
      <c r="E2" s="58" t="s">
        <v>1</v>
      </c>
      <c r="F2" s="59" t="s">
        <v>2</v>
      </c>
    </row>
    <row r="3" spans="1:6" ht="14.45" customHeight="1" x14ac:dyDescent="0.2">
      <c r="A3" s="60" t="s">
        <v>154</v>
      </c>
      <c r="B3" s="61">
        <v>39404</v>
      </c>
      <c r="C3" s="61">
        <v>18788</v>
      </c>
      <c r="D3" s="61">
        <v>4602</v>
      </c>
      <c r="E3" s="61">
        <v>24</v>
      </c>
      <c r="F3" s="62">
        <f t="shared" ref="F3:F64" si="0">SUM(B3:E3)</f>
        <v>62818</v>
      </c>
    </row>
    <row r="4" spans="1:6" ht="14.45" customHeight="1" x14ac:dyDescent="0.2">
      <c r="A4" s="60" t="s">
        <v>155</v>
      </c>
      <c r="B4" s="61">
        <v>2548</v>
      </c>
      <c r="C4" s="61">
        <v>2077</v>
      </c>
      <c r="D4" s="61">
        <v>476</v>
      </c>
      <c r="E4" s="61">
        <v>0</v>
      </c>
      <c r="F4" s="62">
        <f t="shared" si="0"/>
        <v>5101</v>
      </c>
    </row>
    <row r="5" spans="1:6" ht="14.45" customHeight="1" x14ac:dyDescent="0.2">
      <c r="A5" s="60" t="s">
        <v>156</v>
      </c>
      <c r="B5" s="61">
        <v>20437</v>
      </c>
      <c r="C5" s="61">
        <v>11222</v>
      </c>
      <c r="D5" s="61">
        <v>1892</v>
      </c>
      <c r="E5" s="61">
        <v>5</v>
      </c>
      <c r="F5" s="62">
        <f t="shared" si="0"/>
        <v>33556</v>
      </c>
    </row>
    <row r="6" spans="1:6" ht="14.45" customHeight="1" x14ac:dyDescent="0.2">
      <c r="A6" s="60" t="s">
        <v>157</v>
      </c>
      <c r="B6" s="61">
        <v>3836</v>
      </c>
      <c r="C6" s="61">
        <v>3084</v>
      </c>
      <c r="D6" s="61">
        <v>966</v>
      </c>
      <c r="E6" s="61">
        <v>3</v>
      </c>
      <c r="F6" s="62">
        <f t="shared" si="0"/>
        <v>7889</v>
      </c>
    </row>
    <row r="7" spans="1:6" ht="14.45" customHeight="1" x14ac:dyDescent="0.2">
      <c r="A7" s="60" t="s">
        <v>158</v>
      </c>
      <c r="B7" s="61">
        <v>8787</v>
      </c>
      <c r="C7" s="61">
        <v>5951</v>
      </c>
      <c r="D7" s="61">
        <v>1168</v>
      </c>
      <c r="E7" s="61">
        <v>8</v>
      </c>
      <c r="F7" s="62">
        <f t="shared" si="0"/>
        <v>15914</v>
      </c>
    </row>
    <row r="8" spans="1:6" ht="14.45" customHeight="1" x14ac:dyDescent="0.2">
      <c r="A8" s="60" t="s">
        <v>159</v>
      </c>
      <c r="B8" s="61">
        <v>13167</v>
      </c>
      <c r="C8" s="61">
        <v>7953</v>
      </c>
      <c r="D8" s="61">
        <v>1556</v>
      </c>
      <c r="E8" s="61">
        <v>3</v>
      </c>
      <c r="F8" s="62">
        <f t="shared" si="0"/>
        <v>22679</v>
      </c>
    </row>
    <row r="9" spans="1:6" ht="14.45" customHeight="1" x14ac:dyDescent="0.2">
      <c r="A9" s="60" t="s">
        <v>160</v>
      </c>
      <c r="B9" s="61">
        <v>5527</v>
      </c>
      <c r="C9" s="61">
        <v>3267</v>
      </c>
      <c r="D9" s="61">
        <v>862</v>
      </c>
      <c r="E9" s="61">
        <v>2</v>
      </c>
      <c r="F9" s="62">
        <f t="shared" si="0"/>
        <v>9658</v>
      </c>
    </row>
    <row r="10" spans="1:6" ht="14.45" customHeight="1" x14ac:dyDescent="0.2">
      <c r="A10" s="60" t="s">
        <v>161</v>
      </c>
      <c r="B10" s="61">
        <v>3194</v>
      </c>
      <c r="C10" s="61">
        <v>2293</v>
      </c>
      <c r="D10" s="61">
        <v>1161</v>
      </c>
      <c r="E10" s="61">
        <v>8</v>
      </c>
      <c r="F10" s="62">
        <f t="shared" si="0"/>
        <v>6656</v>
      </c>
    </row>
    <row r="11" spans="1:6" ht="14.45" customHeight="1" x14ac:dyDescent="0.2">
      <c r="A11" s="60" t="s">
        <v>162</v>
      </c>
      <c r="B11" s="61">
        <v>8270</v>
      </c>
      <c r="C11" s="61">
        <v>5166</v>
      </c>
      <c r="D11" s="61">
        <v>1318</v>
      </c>
      <c r="E11" s="61">
        <v>2</v>
      </c>
      <c r="F11" s="62">
        <f t="shared" si="0"/>
        <v>14756</v>
      </c>
    </row>
    <row r="12" spans="1:6" ht="14.45" customHeight="1" x14ac:dyDescent="0.2">
      <c r="A12" s="60" t="s">
        <v>163</v>
      </c>
      <c r="B12" s="61">
        <v>11606</v>
      </c>
      <c r="C12" s="61">
        <v>6602</v>
      </c>
      <c r="D12" s="61">
        <v>2646</v>
      </c>
      <c r="E12" s="61">
        <v>3</v>
      </c>
      <c r="F12" s="62">
        <f t="shared" si="0"/>
        <v>20857</v>
      </c>
    </row>
    <row r="13" spans="1:6" ht="14.45" customHeight="1" x14ac:dyDescent="0.2">
      <c r="A13" s="60" t="s">
        <v>164</v>
      </c>
      <c r="B13" s="61">
        <v>4323</v>
      </c>
      <c r="C13" s="61">
        <v>2737</v>
      </c>
      <c r="D13" s="61">
        <v>676</v>
      </c>
      <c r="E13" s="61">
        <v>0</v>
      </c>
      <c r="F13" s="62">
        <f t="shared" si="0"/>
        <v>7736</v>
      </c>
    </row>
    <row r="14" spans="1:6" ht="14.45" customHeight="1" x14ac:dyDescent="0.2">
      <c r="A14" s="60" t="s">
        <v>165</v>
      </c>
      <c r="B14" s="61">
        <v>4546</v>
      </c>
      <c r="C14" s="61">
        <v>3303</v>
      </c>
      <c r="D14" s="61">
        <v>1043</v>
      </c>
      <c r="E14" s="61">
        <v>2</v>
      </c>
      <c r="F14" s="62">
        <f t="shared" si="0"/>
        <v>8894</v>
      </c>
    </row>
    <row r="15" spans="1:6" ht="14.45" customHeight="1" x14ac:dyDescent="0.2">
      <c r="A15" s="60" t="s">
        <v>166</v>
      </c>
      <c r="B15" s="61">
        <v>39055</v>
      </c>
      <c r="C15" s="61">
        <v>23715</v>
      </c>
      <c r="D15" s="61">
        <v>7560</v>
      </c>
      <c r="E15" s="61">
        <v>19</v>
      </c>
      <c r="F15" s="62">
        <f t="shared" si="0"/>
        <v>70349</v>
      </c>
    </row>
    <row r="16" spans="1:6" ht="14.45" customHeight="1" x14ac:dyDescent="0.2">
      <c r="A16" s="60" t="s">
        <v>167</v>
      </c>
      <c r="B16" s="61">
        <v>113146</v>
      </c>
      <c r="C16" s="61">
        <v>60869</v>
      </c>
      <c r="D16" s="61">
        <v>30766</v>
      </c>
      <c r="E16" s="61">
        <v>102</v>
      </c>
      <c r="F16" s="62">
        <f t="shared" si="0"/>
        <v>204883</v>
      </c>
    </row>
    <row r="17" spans="1:6" ht="14.45" customHeight="1" x14ac:dyDescent="0.2">
      <c r="A17" s="60" t="s">
        <v>168</v>
      </c>
      <c r="B17" s="61">
        <v>4452</v>
      </c>
      <c r="C17" s="61">
        <v>2907</v>
      </c>
      <c r="D17" s="61">
        <v>1424</v>
      </c>
      <c r="E17" s="61">
        <v>1</v>
      </c>
      <c r="F17" s="62">
        <f t="shared" si="0"/>
        <v>8784</v>
      </c>
    </row>
    <row r="18" spans="1:6" ht="14.45" customHeight="1" x14ac:dyDescent="0.2">
      <c r="A18" s="60" t="s">
        <v>169</v>
      </c>
      <c r="B18" s="61">
        <v>3142</v>
      </c>
      <c r="C18" s="61">
        <v>1909</v>
      </c>
      <c r="D18" s="61">
        <v>555</v>
      </c>
      <c r="E18" s="61">
        <v>1</v>
      </c>
      <c r="F18" s="62">
        <f t="shared" si="0"/>
        <v>5607</v>
      </c>
    </row>
    <row r="19" spans="1:6" ht="14.45" customHeight="1" x14ac:dyDescent="0.2">
      <c r="A19" s="60" t="s">
        <v>170</v>
      </c>
      <c r="B19" s="61">
        <v>4270</v>
      </c>
      <c r="C19" s="61">
        <v>3423</v>
      </c>
      <c r="D19" s="61">
        <v>823</v>
      </c>
      <c r="E19" s="61">
        <v>0</v>
      </c>
      <c r="F19" s="62">
        <f t="shared" si="0"/>
        <v>8516</v>
      </c>
    </row>
    <row r="20" spans="1:6" ht="14.45" customHeight="1" x14ac:dyDescent="0.2">
      <c r="A20" s="60" t="s">
        <v>171</v>
      </c>
      <c r="B20" s="61">
        <v>3358</v>
      </c>
      <c r="C20" s="61">
        <v>2597</v>
      </c>
      <c r="D20" s="61">
        <v>478</v>
      </c>
      <c r="E20" s="61">
        <v>3</v>
      </c>
      <c r="F20" s="62">
        <f t="shared" si="0"/>
        <v>6436</v>
      </c>
    </row>
    <row r="21" spans="1:6" ht="14.45" customHeight="1" x14ac:dyDescent="0.2">
      <c r="A21" s="60" t="s">
        <v>172</v>
      </c>
      <c r="B21" s="61">
        <v>5021</v>
      </c>
      <c r="C21" s="61">
        <v>4169</v>
      </c>
      <c r="D21" s="61">
        <v>1270</v>
      </c>
      <c r="E21" s="61">
        <v>6</v>
      </c>
      <c r="F21" s="62">
        <f t="shared" si="0"/>
        <v>10466</v>
      </c>
    </row>
    <row r="22" spans="1:6" ht="14.45" customHeight="1" x14ac:dyDescent="0.2">
      <c r="A22" s="60" t="s">
        <v>173</v>
      </c>
      <c r="B22" s="61">
        <v>1136</v>
      </c>
      <c r="C22" s="61">
        <v>873</v>
      </c>
      <c r="D22" s="61">
        <v>331</v>
      </c>
      <c r="E22" s="61">
        <v>0</v>
      </c>
      <c r="F22" s="62">
        <f t="shared" si="0"/>
        <v>2340</v>
      </c>
    </row>
    <row r="23" spans="1:6" ht="14.45" customHeight="1" x14ac:dyDescent="0.2">
      <c r="A23" s="60" t="s">
        <v>174</v>
      </c>
      <c r="B23" s="61">
        <v>4064</v>
      </c>
      <c r="C23" s="61">
        <v>2730</v>
      </c>
      <c r="D23" s="61">
        <v>1128</v>
      </c>
      <c r="E23" s="61">
        <v>3</v>
      </c>
      <c r="F23" s="62">
        <f t="shared" si="0"/>
        <v>7925</v>
      </c>
    </row>
    <row r="24" spans="1:6" ht="14.45" customHeight="1" x14ac:dyDescent="0.2">
      <c r="A24" s="60" t="s">
        <v>175</v>
      </c>
      <c r="B24" s="61">
        <v>7983</v>
      </c>
      <c r="C24" s="61">
        <v>5654</v>
      </c>
      <c r="D24" s="61">
        <v>1163</v>
      </c>
      <c r="E24" s="61">
        <v>1</v>
      </c>
      <c r="F24" s="62">
        <f t="shared" si="0"/>
        <v>14801</v>
      </c>
    </row>
    <row r="25" spans="1:6" ht="14.45" customHeight="1" x14ac:dyDescent="0.2">
      <c r="A25" s="60" t="s">
        <v>176</v>
      </c>
      <c r="B25" s="61">
        <v>2996</v>
      </c>
      <c r="C25" s="61">
        <v>2528</v>
      </c>
      <c r="D25" s="61">
        <v>796</v>
      </c>
      <c r="E25" s="61">
        <v>1</v>
      </c>
      <c r="F25" s="62">
        <f t="shared" si="0"/>
        <v>6321</v>
      </c>
    </row>
    <row r="26" spans="1:6" ht="14.45" customHeight="1" x14ac:dyDescent="0.2">
      <c r="A26" s="60" t="s">
        <v>177</v>
      </c>
      <c r="B26" s="61">
        <v>4809</v>
      </c>
      <c r="C26" s="61">
        <v>3736</v>
      </c>
      <c r="D26" s="61">
        <v>860</v>
      </c>
      <c r="E26" s="61">
        <v>3</v>
      </c>
      <c r="F26" s="62">
        <f t="shared" si="0"/>
        <v>9408</v>
      </c>
    </row>
    <row r="27" spans="1:6" ht="14.45" customHeight="1" x14ac:dyDescent="0.2">
      <c r="A27" s="60" t="s">
        <v>178</v>
      </c>
      <c r="B27" s="61">
        <v>7137</v>
      </c>
      <c r="C27" s="61">
        <v>4372</v>
      </c>
      <c r="D27" s="61">
        <v>836</v>
      </c>
      <c r="E27" s="61">
        <v>1</v>
      </c>
      <c r="F27" s="62">
        <f>SUM(B27:E27)</f>
        <v>12346</v>
      </c>
    </row>
    <row r="28" spans="1:6" ht="14.45" customHeight="1" x14ac:dyDescent="0.2">
      <c r="A28" s="60" t="s">
        <v>179</v>
      </c>
      <c r="B28" s="61">
        <v>84802</v>
      </c>
      <c r="C28" s="61">
        <v>45257</v>
      </c>
      <c r="D28" s="61">
        <v>13717</v>
      </c>
      <c r="E28" s="61">
        <v>35</v>
      </c>
      <c r="F28" s="62">
        <f t="shared" si="0"/>
        <v>143811</v>
      </c>
    </row>
    <row r="29" spans="1:6" ht="14.45" customHeight="1" x14ac:dyDescent="0.2">
      <c r="A29" s="60" t="s">
        <v>180</v>
      </c>
      <c r="B29" s="64">
        <v>3130</v>
      </c>
      <c r="C29" s="64">
        <v>2405</v>
      </c>
      <c r="D29" s="64">
        <v>529</v>
      </c>
      <c r="E29" s="64">
        <v>0</v>
      </c>
      <c r="F29" s="65">
        <f t="shared" si="0"/>
        <v>6064</v>
      </c>
    </row>
    <row r="30" spans="1:6" ht="14.45" customHeight="1" x14ac:dyDescent="0.2">
      <c r="A30" s="60" t="s">
        <v>181</v>
      </c>
      <c r="B30" s="61">
        <v>118604</v>
      </c>
      <c r="C30" s="61">
        <v>82662</v>
      </c>
      <c r="D30" s="61">
        <v>48148</v>
      </c>
      <c r="E30" s="61">
        <v>196</v>
      </c>
      <c r="F30" s="62">
        <f t="shared" si="0"/>
        <v>249610</v>
      </c>
    </row>
    <row r="31" spans="1:6" ht="14.45" customHeight="1" x14ac:dyDescent="0.2">
      <c r="A31" s="60" t="s">
        <v>182</v>
      </c>
      <c r="B31" s="61">
        <v>18337</v>
      </c>
      <c r="C31" s="61">
        <v>12571</v>
      </c>
      <c r="D31" s="61">
        <v>3393</v>
      </c>
      <c r="E31" s="61">
        <v>7</v>
      </c>
      <c r="F31" s="62">
        <f t="shared" si="0"/>
        <v>34308</v>
      </c>
    </row>
    <row r="32" spans="1:6" ht="14.45" customHeight="1" x14ac:dyDescent="0.2">
      <c r="A32" s="60" t="s">
        <v>183</v>
      </c>
      <c r="B32" s="61">
        <v>22826</v>
      </c>
      <c r="C32" s="61">
        <v>13306</v>
      </c>
      <c r="D32" s="61">
        <v>5346</v>
      </c>
      <c r="E32" s="61">
        <v>8</v>
      </c>
      <c r="F32" s="62">
        <f t="shared" si="0"/>
        <v>41486</v>
      </c>
    </row>
    <row r="33" spans="1:6" ht="14.45" customHeight="1" x14ac:dyDescent="0.2">
      <c r="A33" s="60" t="s">
        <v>184</v>
      </c>
      <c r="B33" s="61">
        <v>53764</v>
      </c>
      <c r="C33" s="61">
        <v>27528</v>
      </c>
      <c r="D33" s="61">
        <v>9379</v>
      </c>
      <c r="E33" s="61">
        <v>47</v>
      </c>
      <c r="F33" s="62">
        <f t="shared" si="0"/>
        <v>90718</v>
      </c>
    </row>
    <row r="34" spans="1:6" ht="14.45" customHeight="1" x14ac:dyDescent="0.2">
      <c r="A34" s="60" t="s">
        <v>185</v>
      </c>
      <c r="B34" s="61">
        <v>11756</v>
      </c>
      <c r="C34" s="61">
        <v>7124</v>
      </c>
      <c r="D34" s="61">
        <v>1783</v>
      </c>
      <c r="E34" s="61">
        <v>1</v>
      </c>
      <c r="F34" s="62">
        <f t="shared" si="0"/>
        <v>20664</v>
      </c>
    </row>
    <row r="35" spans="1:6" ht="14.45" customHeight="1" x14ac:dyDescent="0.2">
      <c r="A35" s="60" t="s">
        <v>186</v>
      </c>
      <c r="B35" s="61">
        <v>26019</v>
      </c>
      <c r="C35" s="61">
        <v>18724</v>
      </c>
      <c r="D35" s="61">
        <v>6527</v>
      </c>
      <c r="E35" s="61">
        <v>10</v>
      </c>
      <c r="F35" s="62">
        <f t="shared" si="0"/>
        <v>51280</v>
      </c>
    </row>
    <row r="36" spans="1:6" ht="14.45" customHeight="1" x14ac:dyDescent="0.2">
      <c r="A36" s="60" t="s">
        <v>187</v>
      </c>
      <c r="B36" s="61">
        <v>2374</v>
      </c>
      <c r="C36" s="61">
        <v>2130</v>
      </c>
      <c r="D36" s="61">
        <v>800</v>
      </c>
      <c r="E36" s="61">
        <v>3</v>
      </c>
      <c r="F36" s="62">
        <f t="shared" si="0"/>
        <v>5307</v>
      </c>
    </row>
    <row r="37" spans="1:6" ht="14.45" customHeight="1" x14ac:dyDescent="0.2">
      <c r="A37" s="60" t="s">
        <v>188</v>
      </c>
      <c r="B37" s="61">
        <v>9426</v>
      </c>
      <c r="C37" s="61">
        <v>5924</v>
      </c>
      <c r="D37" s="61">
        <v>1726</v>
      </c>
      <c r="E37" s="61">
        <v>11</v>
      </c>
      <c r="F37" s="62">
        <f t="shared" si="0"/>
        <v>17087</v>
      </c>
    </row>
    <row r="38" spans="1:6" ht="14.45" customHeight="1" x14ac:dyDescent="0.2">
      <c r="A38" s="60" t="s">
        <v>189</v>
      </c>
      <c r="B38" s="61">
        <v>6050</v>
      </c>
      <c r="C38" s="61">
        <v>4070</v>
      </c>
      <c r="D38" s="61">
        <v>1181</v>
      </c>
      <c r="E38" s="61">
        <v>12</v>
      </c>
      <c r="F38" s="62">
        <f t="shared" si="0"/>
        <v>11313</v>
      </c>
    </row>
    <row r="39" spans="1:6" ht="14.45" customHeight="1" x14ac:dyDescent="0.2">
      <c r="A39" s="60" t="s">
        <v>190</v>
      </c>
      <c r="B39" s="61">
        <v>9881</v>
      </c>
      <c r="C39" s="61">
        <v>7911</v>
      </c>
      <c r="D39" s="61">
        <v>2562</v>
      </c>
      <c r="E39" s="61">
        <v>1</v>
      </c>
      <c r="F39" s="62">
        <f t="shared" si="0"/>
        <v>20355</v>
      </c>
    </row>
    <row r="40" spans="1:6" ht="14.45" customHeight="1" x14ac:dyDescent="0.2">
      <c r="A40" s="60" t="s">
        <v>191</v>
      </c>
      <c r="B40" s="61">
        <v>22037</v>
      </c>
      <c r="C40" s="61">
        <v>12564</v>
      </c>
      <c r="D40" s="61">
        <v>4488</v>
      </c>
      <c r="E40" s="61">
        <v>4</v>
      </c>
      <c r="F40" s="62">
        <f t="shared" si="0"/>
        <v>39093</v>
      </c>
    </row>
    <row r="41" spans="1:6" ht="14.45" customHeight="1" x14ac:dyDescent="0.2">
      <c r="A41" s="60" t="s">
        <v>192</v>
      </c>
      <c r="B41" s="61">
        <v>25537</v>
      </c>
      <c r="C41" s="61">
        <v>19495</v>
      </c>
      <c r="D41" s="61">
        <v>17970</v>
      </c>
      <c r="E41" s="61">
        <v>35</v>
      </c>
      <c r="F41" s="62">
        <f t="shared" si="0"/>
        <v>63037</v>
      </c>
    </row>
    <row r="42" spans="1:6" ht="14.45" customHeight="1" x14ac:dyDescent="0.2">
      <c r="A42" s="60" t="s">
        <v>193</v>
      </c>
      <c r="B42" s="61">
        <v>7785</v>
      </c>
      <c r="C42" s="61">
        <v>4155</v>
      </c>
      <c r="D42" s="61">
        <v>1650</v>
      </c>
      <c r="E42" s="61">
        <v>0</v>
      </c>
      <c r="F42" s="62">
        <f t="shared" si="0"/>
        <v>13590</v>
      </c>
    </row>
    <row r="43" spans="1:6" ht="14.45" customHeight="1" x14ac:dyDescent="0.2">
      <c r="A43" s="60" t="s">
        <v>194</v>
      </c>
      <c r="B43" s="61">
        <v>25787</v>
      </c>
      <c r="C43" s="61">
        <v>14242</v>
      </c>
      <c r="D43" s="61">
        <v>4417</v>
      </c>
      <c r="E43" s="61">
        <v>11</v>
      </c>
      <c r="F43" s="62">
        <f t="shared" si="0"/>
        <v>44457</v>
      </c>
    </row>
    <row r="44" spans="1:6" ht="14.45" customHeight="1" x14ac:dyDescent="0.2">
      <c r="A44" s="60" t="s">
        <v>195</v>
      </c>
      <c r="B44" s="61">
        <v>16212</v>
      </c>
      <c r="C44" s="61">
        <v>9034</v>
      </c>
      <c r="D44" s="61">
        <v>2236</v>
      </c>
      <c r="E44" s="61">
        <v>10</v>
      </c>
      <c r="F44" s="62">
        <f t="shared" si="0"/>
        <v>27492</v>
      </c>
    </row>
    <row r="45" spans="1:6" ht="14.45" customHeight="1" x14ac:dyDescent="0.2">
      <c r="A45" s="60" t="s">
        <v>196</v>
      </c>
      <c r="B45" s="61">
        <v>3258</v>
      </c>
      <c r="C45" s="61">
        <v>2737</v>
      </c>
      <c r="D45" s="61">
        <v>911</v>
      </c>
      <c r="E45" s="61">
        <v>1</v>
      </c>
      <c r="F45" s="62">
        <f t="shared" si="0"/>
        <v>6907</v>
      </c>
    </row>
    <row r="46" spans="1:6" ht="14.45" customHeight="1" x14ac:dyDescent="0.2">
      <c r="A46" s="60" t="s">
        <v>197</v>
      </c>
      <c r="B46" s="61">
        <v>1782</v>
      </c>
      <c r="C46" s="61">
        <v>1365</v>
      </c>
      <c r="D46" s="61">
        <v>256</v>
      </c>
      <c r="E46" s="61">
        <v>0</v>
      </c>
      <c r="F46" s="62">
        <f t="shared" si="0"/>
        <v>3403</v>
      </c>
    </row>
    <row r="47" spans="1:6" ht="14.45" customHeight="1" x14ac:dyDescent="0.2">
      <c r="A47" s="60" t="s">
        <v>198</v>
      </c>
      <c r="B47" s="61">
        <v>3779</v>
      </c>
      <c r="C47" s="61">
        <v>2616</v>
      </c>
      <c r="D47" s="61">
        <v>740</v>
      </c>
      <c r="E47" s="61">
        <v>6</v>
      </c>
      <c r="F47" s="62">
        <f t="shared" si="0"/>
        <v>7141</v>
      </c>
    </row>
    <row r="48" spans="1:6" ht="14.45" customHeight="1" x14ac:dyDescent="0.2">
      <c r="A48" s="60" t="s">
        <v>199</v>
      </c>
      <c r="B48" s="61">
        <v>7058</v>
      </c>
      <c r="C48" s="61">
        <v>5523</v>
      </c>
      <c r="D48" s="61">
        <v>1280</v>
      </c>
      <c r="E48" s="61">
        <v>3</v>
      </c>
      <c r="F48" s="62">
        <f t="shared" si="0"/>
        <v>13864</v>
      </c>
    </row>
    <row r="49" spans="1:6" ht="14.45" customHeight="1" x14ac:dyDescent="0.2">
      <c r="A49" s="60" t="s">
        <v>200</v>
      </c>
      <c r="B49" s="64">
        <v>156539</v>
      </c>
      <c r="C49" s="64">
        <v>105498</v>
      </c>
      <c r="D49" s="64">
        <v>23336</v>
      </c>
      <c r="E49" s="64">
        <v>108</v>
      </c>
      <c r="F49" s="65">
        <f t="shared" si="0"/>
        <v>285481</v>
      </c>
    </row>
    <row r="50" spans="1:6" ht="14.45" customHeight="1" x14ac:dyDescent="0.2">
      <c r="A50" s="60" t="s">
        <v>201</v>
      </c>
      <c r="B50" s="61">
        <v>6898</v>
      </c>
      <c r="C50" s="61">
        <v>5404</v>
      </c>
      <c r="D50" s="61">
        <v>3182</v>
      </c>
      <c r="E50" s="61">
        <v>1</v>
      </c>
      <c r="F50" s="62">
        <f t="shared" si="0"/>
        <v>15485</v>
      </c>
    </row>
    <row r="51" spans="1:6" ht="14.45" customHeight="1" x14ac:dyDescent="0.2">
      <c r="A51" s="60" t="s">
        <v>202</v>
      </c>
      <c r="B51" s="61">
        <v>3101</v>
      </c>
      <c r="C51" s="61">
        <v>2330</v>
      </c>
      <c r="D51" s="61">
        <v>362</v>
      </c>
      <c r="E51" s="61">
        <v>2</v>
      </c>
      <c r="F51" s="62">
        <f t="shared" si="0"/>
        <v>5795</v>
      </c>
    </row>
    <row r="52" spans="1:6" ht="14.45" customHeight="1" x14ac:dyDescent="0.2">
      <c r="A52" s="60" t="s">
        <v>203</v>
      </c>
      <c r="B52" s="61">
        <v>11996</v>
      </c>
      <c r="C52" s="61">
        <v>4202</v>
      </c>
      <c r="D52" s="61">
        <v>1671</v>
      </c>
      <c r="E52" s="61">
        <v>1</v>
      </c>
      <c r="F52" s="62">
        <f t="shared" si="0"/>
        <v>17870</v>
      </c>
    </row>
    <row r="53" spans="1:6" ht="14.45" customHeight="1" x14ac:dyDescent="0.2">
      <c r="A53" s="60" t="s">
        <v>204</v>
      </c>
      <c r="B53" s="61">
        <v>28089</v>
      </c>
      <c r="C53" s="61">
        <v>15032</v>
      </c>
      <c r="D53" s="61">
        <v>5879</v>
      </c>
      <c r="E53" s="61">
        <v>35</v>
      </c>
      <c r="F53" s="62">
        <f t="shared" si="0"/>
        <v>49035</v>
      </c>
    </row>
    <row r="54" spans="1:6" ht="14.45" customHeight="1" x14ac:dyDescent="0.2">
      <c r="A54" s="60" t="s">
        <v>205</v>
      </c>
      <c r="B54" s="61">
        <v>8897</v>
      </c>
      <c r="C54" s="61">
        <v>4991</v>
      </c>
      <c r="D54" s="61">
        <v>1185</v>
      </c>
      <c r="E54" s="61">
        <v>6</v>
      </c>
      <c r="F54" s="62">
        <f t="shared" si="0"/>
        <v>15079</v>
      </c>
    </row>
    <row r="55" spans="1:6" ht="14.45" customHeight="1" x14ac:dyDescent="0.2">
      <c r="A55" s="60" t="s">
        <v>206</v>
      </c>
      <c r="B55" s="61">
        <v>5132</v>
      </c>
      <c r="C55" s="61">
        <v>3557</v>
      </c>
      <c r="D55" s="61">
        <v>878</v>
      </c>
      <c r="E55" s="61">
        <v>8</v>
      </c>
      <c r="F55" s="62">
        <f t="shared" si="0"/>
        <v>9575</v>
      </c>
    </row>
    <row r="56" spans="1:6" ht="14.45" customHeight="1" x14ac:dyDescent="0.2">
      <c r="A56" s="60" t="s">
        <v>207</v>
      </c>
      <c r="B56" s="61">
        <v>6878</v>
      </c>
      <c r="C56" s="61">
        <v>5195</v>
      </c>
      <c r="D56" s="61">
        <v>1244</v>
      </c>
      <c r="E56" s="61">
        <v>6</v>
      </c>
      <c r="F56" s="62">
        <f t="shared" si="0"/>
        <v>13323</v>
      </c>
    </row>
    <row r="57" spans="1:6" ht="14.45" customHeight="1" x14ac:dyDescent="0.2">
      <c r="A57" s="60" t="s">
        <v>208</v>
      </c>
      <c r="B57" s="61">
        <v>92543</v>
      </c>
      <c r="C57" s="61">
        <v>52259</v>
      </c>
      <c r="D57" s="61"/>
      <c r="E57" s="61"/>
      <c r="F57" s="62">
        <f t="shared" si="0"/>
        <v>144802</v>
      </c>
    </row>
    <row r="58" spans="1:6" ht="14.45" customHeight="1" x14ac:dyDescent="0.2">
      <c r="A58" s="60" t="s">
        <v>209</v>
      </c>
      <c r="B58" s="61">
        <v>1911</v>
      </c>
      <c r="C58" s="61">
        <v>1641</v>
      </c>
      <c r="D58" s="61">
        <v>309</v>
      </c>
      <c r="E58" s="61">
        <v>0</v>
      </c>
      <c r="F58" s="62">
        <f t="shared" si="0"/>
        <v>3861</v>
      </c>
    </row>
    <row r="59" spans="1:6" ht="14.45" customHeight="1" x14ac:dyDescent="0.2">
      <c r="A59" s="60" t="s">
        <v>210</v>
      </c>
      <c r="B59" s="61">
        <v>2049</v>
      </c>
      <c r="C59" s="61">
        <v>1278</v>
      </c>
      <c r="D59" s="61">
        <v>230</v>
      </c>
      <c r="E59" s="61">
        <v>1</v>
      </c>
      <c r="F59" s="62">
        <f t="shared" si="0"/>
        <v>3558</v>
      </c>
    </row>
    <row r="60" spans="1:6" ht="14.45" customHeight="1" x14ac:dyDescent="0.2">
      <c r="A60" s="60" t="s">
        <v>211</v>
      </c>
      <c r="B60" s="64">
        <v>41082</v>
      </c>
      <c r="C60" s="66">
        <v>14130</v>
      </c>
      <c r="D60" s="64">
        <v>8970</v>
      </c>
      <c r="E60" s="64">
        <v>0</v>
      </c>
      <c r="F60" s="65">
        <f t="shared" si="0"/>
        <v>64182</v>
      </c>
    </row>
    <row r="61" spans="1:6" ht="14.45" customHeight="1" x14ac:dyDescent="0.2">
      <c r="A61" s="60" t="s">
        <v>212</v>
      </c>
      <c r="B61" s="61">
        <v>116860</v>
      </c>
      <c r="C61" s="61">
        <v>41536</v>
      </c>
      <c r="D61" s="61">
        <v>24847</v>
      </c>
      <c r="E61" s="61">
        <v>0</v>
      </c>
      <c r="F61" s="62">
        <f t="shared" si="0"/>
        <v>183243</v>
      </c>
    </row>
    <row r="62" spans="1:6" ht="14.45" customHeight="1" x14ac:dyDescent="0.2">
      <c r="A62" s="60" t="s">
        <v>213</v>
      </c>
      <c r="B62" s="61">
        <v>106519</v>
      </c>
      <c r="C62" s="61">
        <v>26268</v>
      </c>
      <c r="D62" s="61">
        <v>11169</v>
      </c>
      <c r="E62" s="61">
        <v>0</v>
      </c>
      <c r="F62" s="62">
        <f t="shared" si="0"/>
        <v>143956</v>
      </c>
    </row>
    <row r="63" spans="1:6" ht="14.45" customHeight="1" x14ac:dyDescent="0.2">
      <c r="A63" s="60" t="s">
        <v>214</v>
      </c>
      <c r="B63" s="67">
        <v>92218</v>
      </c>
      <c r="C63" s="67">
        <v>43587</v>
      </c>
      <c r="D63" s="67">
        <v>19584</v>
      </c>
      <c r="E63" s="67">
        <v>0</v>
      </c>
      <c r="F63" s="62">
        <f t="shared" si="0"/>
        <v>155389</v>
      </c>
    </row>
    <row r="64" spans="1:6" ht="14.45" customHeight="1" x14ac:dyDescent="0.2">
      <c r="A64" s="60" t="s">
        <v>215</v>
      </c>
      <c r="B64" s="61">
        <v>16953</v>
      </c>
      <c r="C64" s="61">
        <v>13582</v>
      </c>
      <c r="D64" s="61">
        <v>2368</v>
      </c>
      <c r="E64" s="61">
        <v>0</v>
      </c>
      <c r="F64" s="62">
        <f t="shared" si="0"/>
        <v>32903</v>
      </c>
    </row>
    <row r="65" spans="1:6" ht="14.45" customHeight="1" x14ac:dyDescent="0.2">
      <c r="A65" s="68" t="s">
        <v>3</v>
      </c>
      <c r="B65" s="69">
        <f>SUM(B3:B64)</f>
        <v>1504083</v>
      </c>
      <c r="C65" s="69">
        <f t="shared" ref="C65:E65" si="1">SUM(C3:C64)</f>
        <v>833758</v>
      </c>
      <c r="D65" s="69">
        <f t="shared" si="1"/>
        <v>300609</v>
      </c>
      <c r="E65" s="69">
        <f t="shared" si="1"/>
        <v>770</v>
      </c>
      <c r="F65" s="70">
        <f>SUM(F3:F64)</f>
        <v>2639220</v>
      </c>
    </row>
  </sheetData>
  <mergeCells count="1">
    <mergeCell ref="A1:D1"/>
  </mergeCells>
  <pageMargins left="0.25" right="0.25" top="0.1" bottom="0.2" header="0.25" footer="0.25"/>
  <pageSetup paperSize="5" orientation="portrait" r:id="rId1"/>
  <headerFooter alignWithMargins="0"/>
  <colBreaks count="2" manualBreakCount="2">
    <brk id="6" max="65" man="1"/>
    <brk id="14" max="65" man="1"/>
  </colBreaks>
  <ignoredErrors>
    <ignoredError sqref="F11" calculatedColumn="1"/>
  </ignoredErrors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CD67-F79B-4199-9FC8-4CC2AB8682A3}">
  <dimension ref="A1:F65"/>
  <sheetViews>
    <sheetView zoomScaleNormal="100" zoomScaleSheetLayoutView="100" workbookViewId="0">
      <pane xSplit="1" ySplit="2" topLeftCell="B43" activePane="bottomRight" state="frozen"/>
      <selection pane="topRight" activeCell="B1" sqref="B1"/>
      <selection pane="bottomLeft" activeCell="A3" sqref="A3"/>
      <selection pane="bottomRight" activeCell="D57" sqref="D57"/>
    </sheetView>
  </sheetViews>
  <sheetFormatPr defaultColWidth="9.140625" defaultRowHeight="12.75" x14ac:dyDescent="0.2"/>
  <cols>
    <col min="1" max="1" width="28" style="63" customWidth="1"/>
    <col min="2" max="6" width="12.7109375" style="63" customWidth="1"/>
    <col min="7" max="16384" width="9.140625" style="63"/>
  </cols>
  <sheetData>
    <row r="1" spans="1:6" s="56" customFormat="1" ht="33" customHeight="1" x14ac:dyDescent="0.2">
      <c r="A1" s="76" t="s">
        <v>217</v>
      </c>
      <c r="B1" s="76"/>
      <c r="C1" s="76"/>
      <c r="D1" s="76"/>
    </row>
    <row r="2" spans="1:6" s="56" customFormat="1" ht="39" customHeight="1" x14ac:dyDescent="0.2">
      <c r="A2" s="57" t="s">
        <v>151</v>
      </c>
      <c r="B2" s="58" t="s">
        <v>152</v>
      </c>
      <c r="C2" s="58" t="s">
        <v>153</v>
      </c>
      <c r="D2" s="58" t="s">
        <v>0</v>
      </c>
      <c r="E2" s="58" t="s">
        <v>1</v>
      </c>
      <c r="F2" s="59" t="s">
        <v>2</v>
      </c>
    </row>
    <row r="3" spans="1:6" ht="14.45" customHeight="1" x14ac:dyDescent="0.2">
      <c r="A3" s="60" t="s">
        <v>154</v>
      </c>
      <c r="B3" s="61">
        <v>41689</v>
      </c>
      <c r="C3" s="61">
        <v>16337</v>
      </c>
      <c r="D3" s="61">
        <v>4771</v>
      </c>
      <c r="E3" s="61">
        <v>21</v>
      </c>
      <c r="F3" s="62">
        <f t="shared" ref="F3:F64" si="0">SUM(B3:E3)</f>
        <v>62818</v>
      </c>
    </row>
    <row r="4" spans="1:6" ht="14.45" customHeight="1" x14ac:dyDescent="0.2">
      <c r="A4" s="60" t="s">
        <v>155</v>
      </c>
      <c r="B4" s="61">
        <v>2764</v>
      </c>
      <c r="C4" s="61">
        <v>1836</v>
      </c>
      <c r="D4" s="61">
        <v>501</v>
      </c>
      <c r="E4" s="61">
        <v>0</v>
      </c>
      <c r="F4" s="62">
        <f t="shared" si="0"/>
        <v>5101</v>
      </c>
    </row>
    <row r="5" spans="1:6" ht="14.45" customHeight="1" x14ac:dyDescent="0.2">
      <c r="A5" s="60" t="s">
        <v>156</v>
      </c>
      <c r="B5" s="61">
        <v>20680</v>
      </c>
      <c r="C5" s="61">
        <v>10747</v>
      </c>
      <c r="D5" s="61">
        <v>2126</v>
      </c>
      <c r="E5" s="61">
        <v>3</v>
      </c>
      <c r="F5" s="62">
        <f t="shared" si="0"/>
        <v>33556</v>
      </c>
    </row>
    <row r="6" spans="1:6" ht="14.45" customHeight="1" x14ac:dyDescent="0.2">
      <c r="A6" s="60" t="s">
        <v>157</v>
      </c>
      <c r="B6" s="61">
        <v>4140</v>
      </c>
      <c r="C6" s="61">
        <v>2751</v>
      </c>
      <c r="D6" s="61">
        <v>996</v>
      </c>
      <c r="E6" s="61">
        <v>2</v>
      </c>
      <c r="F6" s="62">
        <f t="shared" si="0"/>
        <v>7889</v>
      </c>
    </row>
    <row r="7" spans="1:6" ht="14.45" customHeight="1" x14ac:dyDescent="0.2">
      <c r="A7" s="60" t="s">
        <v>158</v>
      </c>
      <c r="B7" s="61">
        <v>9372</v>
      </c>
      <c r="C7" s="61">
        <v>5288</v>
      </c>
      <c r="D7" s="61">
        <v>1253</v>
      </c>
      <c r="E7" s="61">
        <v>1</v>
      </c>
      <c r="F7" s="62">
        <f t="shared" si="0"/>
        <v>15914</v>
      </c>
    </row>
    <row r="8" spans="1:6" ht="14.45" customHeight="1" x14ac:dyDescent="0.2">
      <c r="A8" s="60" t="s">
        <v>159</v>
      </c>
      <c r="B8" s="61">
        <v>14323</v>
      </c>
      <c r="C8" s="61">
        <v>6660</v>
      </c>
      <c r="D8" s="61">
        <v>1693</v>
      </c>
      <c r="E8" s="61">
        <v>3</v>
      </c>
      <c r="F8" s="62">
        <f t="shared" si="0"/>
        <v>22679</v>
      </c>
    </row>
    <row r="9" spans="1:6" ht="14.45" customHeight="1" x14ac:dyDescent="0.2">
      <c r="A9" s="60" t="s">
        <v>160</v>
      </c>
      <c r="B9" s="61">
        <v>5776</v>
      </c>
      <c r="C9" s="61">
        <v>2908</v>
      </c>
      <c r="D9" s="61">
        <v>973</v>
      </c>
      <c r="E9" s="61">
        <v>1</v>
      </c>
      <c r="F9" s="62">
        <f t="shared" si="0"/>
        <v>9658</v>
      </c>
    </row>
    <row r="10" spans="1:6" ht="14.45" customHeight="1" x14ac:dyDescent="0.2">
      <c r="A10" s="60" t="s">
        <v>161</v>
      </c>
      <c r="B10" s="61">
        <v>3396</v>
      </c>
      <c r="C10" s="61">
        <v>2061</v>
      </c>
      <c r="D10" s="61">
        <v>1198</v>
      </c>
      <c r="E10" s="61">
        <v>1</v>
      </c>
      <c r="F10" s="62">
        <f t="shared" si="0"/>
        <v>6656</v>
      </c>
    </row>
    <row r="11" spans="1:6" ht="14.45" customHeight="1" x14ac:dyDescent="0.2">
      <c r="A11" s="60" t="s">
        <v>162</v>
      </c>
      <c r="B11" s="61">
        <v>8908</v>
      </c>
      <c r="C11" s="61">
        <v>4479</v>
      </c>
      <c r="D11" s="61">
        <v>1366</v>
      </c>
      <c r="E11" s="61">
        <v>3</v>
      </c>
      <c r="F11" s="62">
        <f t="shared" si="0"/>
        <v>14756</v>
      </c>
    </row>
    <row r="12" spans="1:6" ht="14.45" customHeight="1" x14ac:dyDescent="0.2">
      <c r="A12" s="60" t="s">
        <v>163</v>
      </c>
      <c r="B12" s="61">
        <v>12344</v>
      </c>
      <c r="C12" s="61">
        <v>5801</v>
      </c>
      <c r="D12" s="61">
        <v>2710</v>
      </c>
      <c r="E12" s="61">
        <v>2</v>
      </c>
      <c r="F12" s="62">
        <f t="shared" si="0"/>
        <v>20857</v>
      </c>
    </row>
    <row r="13" spans="1:6" ht="14.45" customHeight="1" x14ac:dyDescent="0.2">
      <c r="A13" s="60" t="s">
        <v>164</v>
      </c>
      <c r="B13" s="61">
        <v>4334</v>
      </c>
      <c r="C13" s="61">
        <v>2629</v>
      </c>
      <c r="D13" s="61">
        <v>773</v>
      </c>
      <c r="E13" s="61">
        <v>0</v>
      </c>
      <c r="F13" s="62">
        <f t="shared" si="0"/>
        <v>7736</v>
      </c>
    </row>
    <row r="14" spans="1:6" ht="14.45" customHeight="1" x14ac:dyDescent="0.2">
      <c r="A14" s="60" t="s">
        <v>165</v>
      </c>
      <c r="B14" s="61">
        <v>4865</v>
      </c>
      <c r="C14" s="61">
        <v>2935</v>
      </c>
      <c r="D14" s="61">
        <v>1093</v>
      </c>
      <c r="E14" s="61">
        <v>1</v>
      </c>
      <c r="F14" s="62">
        <f t="shared" si="0"/>
        <v>8894</v>
      </c>
    </row>
    <row r="15" spans="1:6" ht="14.45" customHeight="1" x14ac:dyDescent="0.2">
      <c r="A15" s="60" t="s">
        <v>166</v>
      </c>
      <c r="B15" s="61">
        <v>39257</v>
      </c>
      <c r="C15" s="61">
        <v>23097</v>
      </c>
      <c r="D15" s="61">
        <v>7980</v>
      </c>
      <c r="E15" s="61">
        <v>15</v>
      </c>
      <c r="F15" s="62">
        <f t="shared" si="0"/>
        <v>70349</v>
      </c>
    </row>
    <row r="16" spans="1:6" ht="14.45" customHeight="1" x14ac:dyDescent="0.2">
      <c r="A16" s="60" t="s">
        <v>167</v>
      </c>
      <c r="B16" s="61">
        <v>116515</v>
      </c>
      <c r="C16" s="61">
        <v>56913</v>
      </c>
      <c r="D16" s="61">
        <v>31409</v>
      </c>
      <c r="E16" s="61">
        <v>46</v>
      </c>
      <c r="F16" s="62">
        <f t="shared" si="0"/>
        <v>204883</v>
      </c>
    </row>
    <row r="17" spans="1:6" ht="14.45" customHeight="1" x14ac:dyDescent="0.2">
      <c r="A17" s="60" t="s">
        <v>168</v>
      </c>
      <c r="B17" s="61">
        <v>5043</v>
      </c>
      <c r="C17" s="61">
        <v>2319</v>
      </c>
      <c r="D17" s="61">
        <v>1422</v>
      </c>
      <c r="E17" s="61">
        <v>0</v>
      </c>
      <c r="F17" s="62">
        <f t="shared" si="0"/>
        <v>8784</v>
      </c>
    </row>
    <row r="18" spans="1:6" ht="14.45" customHeight="1" x14ac:dyDescent="0.2">
      <c r="A18" s="60" t="s">
        <v>169</v>
      </c>
      <c r="B18" s="61">
        <v>3448</v>
      </c>
      <c r="C18" s="61">
        <v>1584</v>
      </c>
      <c r="D18" s="61">
        <v>575</v>
      </c>
      <c r="E18" s="61">
        <v>0</v>
      </c>
      <c r="F18" s="62">
        <f t="shared" si="0"/>
        <v>5607</v>
      </c>
    </row>
    <row r="19" spans="1:6" ht="14.45" customHeight="1" x14ac:dyDescent="0.2">
      <c r="A19" s="60" t="s">
        <v>170</v>
      </c>
      <c r="B19" s="61">
        <v>4545</v>
      </c>
      <c r="C19" s="61">
        <v>3071</v>
      </c>
      <c r="D19" s="61">
        <v>900</v>
      </c>
      <c r="E19" s="61">
        <v>0</v>
      </c>
      <c r="F19" s="62">
        <f t="shared" si="0"/>
        <v>8516</v>
      </c>
    </row>
    <row r="20" spans="1:6" ht="14.45" customHeight="1" x14ac:dyDescent="0.2">
      <c r="A20" s="60" t="s">
        <v>171</v>
      </c>
      <c r="B20" s="61">
        <v>3475</v>
      </c>
      <c r="C20" s="61">
        <v>2468</v>
      </c>
      <c r="D20" s="61">
        <v>490</v>
      </c>
      <c r="E20" s="61">
        <v>3</v>
      </c>
      <c r="F20" s="62">
        <f t="shared" si="0"/>
        <v>6436</v>
      </c>
    </row>
    <row r="21" spans="1:6" ht="14.45" customHeight="1" x14ac:dyDescent="0.2">
      <c r="A21" s="60" t="s">
        <v>172</v>
      </c>
      <c r="B21" s="61">
        <v>5409</v>
      </c>
      <c r="C21" s="61">
        <v>3780</v>
      </c>
      <c r="D21" s="61">
        <v>1277</v>
      </c>
      <c r="E21" s="61">
        <v>0</v>
      </c>
      <c r="F21" s="62">
        <f t="shared" si="0"/>
        <v>10466</v>
      </c>
    </row>
    <row r="22" spans="1:6" ht="14.45" customHeight="1" x14ac:dyDescent="0.2">
      <c r="A22" s="60" t="s">
        <v>173</v>
      </c>
      <c r="B22" s="61">
        <v>1273</v>
      </c>
      <c r="C22" s="61">
        <v>724</v>
      </c>
      <c r="D22" s="61">
        <v>343</v>
      </c>
      <c r="E22" s="61">
        <v>0</v>
      </c>
      <c r="F22" s="62">
        <f t="shared" si="0"/>
        <v>2340</v>
      </c>
    </row>
    <row r="23" spans="1:6" ht="14.45" customHeight="1" x14ac:dyDescent="0.2">
      <c r="A23" s="60" t="s">
        <v>174</v>
      </c>
      <c r="B23" s="61">
        <v>4380</v>
      </c>
      <c r="C23" s="61">
        <v>2378</v>
      </c>
      <c r="D23" s="61">
        <v>1164</v>
      </c>
      <c r="E23" s="61">
        <v>3</v>
      </c>
      <c r="F23" s="62">
        <f t="shared" si="0"/>
        <v>7925</v>
      </c>
    </row>
    <row r="24" spans="1:6" ht="14.45" customHeight="1" x14ac:dyDescent="0.2">
      <c r="A24" s="60" t="s">
        <v>175</v>
      </c>
      <c r="B24" s="61">
        <v>8512</v>
      </c>
      <c r="C24" s="61">
        <v>5016</v>
      </c>
      <c r="D24" s="61">
        <v>1273</v>
      </c>
      <c r="E24" s="61">
        <v>0</v>
      </c>
      <c r="F24" s="62">
        <f t="shared" si="0"/>
        <v>14801</v>
      </c>
    </row>
    <row r="25" spans="1:6" ht="14.45" customHeight="1" x14ac:dyDescent="0.2">
      <c r="A25" s="60" t="s">
        <v>176</v>
      </c>
      <c r="B25" s="61">
        <v>3209</v>
      </c>
      <c r="C25" s="61">
        <v>2244</v>
      </c>
      <c r="D25" s="61">
        <v>867</v>
      </c>
      <c r="E25" s="61">
        <v>1</v>
      </c>
      <c r="F25" s="62">
        <f t="shared" si="0"/>
        <v>6321</v>
      </c>
    </row>
    <row r="26" spans="1:6" ht="14.45" customHeight="1" x14ac:dyDescent="0.2">
      <c r="A26" s="60" t="s">
        <v>177</v>
      </c>
      <c r="B26" s="61">
        <v>4974</v>
      </c>
      <c r="C26" s="61">
        <v>3556</v>
      </c>
      <c r="D26" s="61">
        <v>876</v>
      </c>
      <c r="E26" s="61">
        <v>2</v>
      </c>
      <c r="F26" s="62">
        <f t="shared" si="0"/>
        <v>9408</v>
      </c>
    </row>
    <row r="27" spans="1:6" ht="14.45" customHeight="1" x14ac:dyDescent="0.2">
      <c r="A27" s="60" t="s">
        <v>178</v>
      </c>
      <c r="B27" s="61">
        <v>7461</v>
      </c>
      <c r="C27" s="61">
        <v>3996</v>
      </c>
      <c r="D27" s="61">
        <v>889</v>
      </c>
      <c r="E27" s="61">
        <v>0</v>
      </c>
      <c r="F27" s="62">
        <f t="shared" si="0"/>
        <v>12346</v>
      </c>
    </row>
    <row r="28" spans="1:6" ht="14.45" customHeight="1" x14ac:dyDescent="0.2">
      <c r="A28" s="60" t="s">
        <v>179</v>
      </c>
      <c r="B28" s="61">
        <v>89657</v>
      </c>
      <c r="C28" s="61">
        <v>40068</v>
      </c>
      <c r="D28" s="61">
        <v>14071</v>
      </c>
      <c r="E28" s="61">
        <v>15</v>
      </c>
      <c r="F28" s="62">
        <f t="shared" si="0"/>
        <v>143811</v>
      </c>
    </row>
    <row r="29" spans="1:6" ht="14.45" customHeight="1" x14ac:dyDescent="0.2">
      <c r="A29" s="60" t="s">
        <v>180</v>
      </c>
      <c r="B29" s="64">
        <v>3457</v>
      </c>
      <c r="C29" s="64">
        <v>2047</v>
      </c>
      <c r="D29" s="64">
        <v>560</v>
      </c>
      <c r="E29" s="64">
        <v>0</v>
      </c>
      <c r="F29" s="65">
        <f t="shared" si="0"/>
        <v>6064</v>
      </c>
    </row>
    <row r="30" spans="1:6" ht="14.45" customHeight="1" x14ac:dyDescent="0.2">
      <c r="A30" s="60" t="s">
        <v>181</v>
      </c>
      <c r="B30" s="61">
        <v>129815</v>
      </c>
      <c r="C30" s="61">
        <v>70123</v>
      </c>
      <c r="D30" s="61">
        <v>49572</v>
      </c>
      <c r="E30" s="61">
        <v>100</v>
      </c>
      <c r="F30" s="62">
        <f t="shared" si="0"/>
        <v>249610</v>
      </c>
    </row>
    <row r="31" spans="1:6" ht="14.45" customHeight="1" x14ac:dyDescent="0.2">
      <c r="A31" s="60" t="s">
        <v>182</v>
      </c>
      <c r="B31" s="61">
        <v>19070</v>
      </c>
      <c r="C31" s="61">
        <v>11676</v>
      </c>
      <c r="D31" s="61">
        <v>3562</v>
      </c>
      <c r="E31" s="61">
        <v>0</v>
      </c>
      <c r="F31" s="62">
        <f t="shared" si="0"/>
        <v>34308</v>
      </c>
    </row>
    <row r="32" spans="1:6" ht="14.45" customHeight="1" x14ac:dyDescent="0.2">
      <c r="A32" s="60" t="s">
        <v>183</v>
      </c>
      <c r="B32" s="61">
        <v>24003</v>
      </c>
      <c r="C32" s="61">
        <v>11742</v>
      </c>
      <c r="D32" s="61">
        <v>5739</v>
      </c>
      <c r="E32" s="61">
        <v>2</v>
      </c>
      <c r="F32" s="62">
        <f t="shared" si="0"/>
        <v>41486</v>
      </c>
    </row>
    <row r="33" spans="1:6" ht="14.45" customHeight="1" x14ac:dyDescent="0.2">
      <c r="A33" s="60" t="s">
        <v>184</v>
      </c>
      <c r="B33" s="61">
        <v>56825</v>
      </c>
      <c r="C33" s="61">
        <v>24201</v>
      </c>
      <c r="D33" s="61">
        <v>9678</v>
      </c>
      <c r="E33" s="61">
        <v>14</v>
      </c>
      <c r="F33" s="62">
        <f t="shared" si="0"/>
        <v>90718</v>
      </c>
    </row>
    <row r="34" spans="1:6" ht="14.45" customHeight="1" x14ac:dyDescent="0.2">
      <c r="A34" s="60" t="s">
        <v>185</v>
      </c>
      <c r="B34" s="61">
        <v>12660</v>
      </c>
      <c r="C34" s="61">
        <v>6156</v>
      </c>
      <c r="D34" s="61">
        <v>1845</v>
      </c>
      <c r="E34" s="61">
        <v>3</v>
      </c>
      <c r="F34" s="62">
        <f t="shared" si="0"/>
        <v>20664</v>
      </c>
    </row>
    <row r="35" spans="1:6" ht="14.45" customHeight="1" x14ac:dyDescent="0.2">
      <c r="A35" s="60" t="s">
        <v>186</v>
      </c>
      <c r="B35" s="61">
        <v>26395</v>
      </c>
      <c r="C35" s="61">
        <v>17855</v>
      </c>
      <c r="D35" s="61">
        <v>7027</v>
      </c>
      <c r="E35" s="61">
        <v>3</v>
      </c>
      <c r="F35" s="62">
        <f t="shared" si="0"/>
        <v>51280</v>
      </c>
    </row>
    <row r="36" spans="1:6" ht="14.45" customHeight="1" x14ac:dyDescent="0.2">
      <c r="A36" s="60" t="s">
        <v>187</v>
      </c>
      <c r="B36" s="61">
        <v>2553</v>
      </c>
      <c r="C36" s="61">
        <v>1937</v>
      </c>
      <c r="D36" s="61">
        <v>817</v>
      </c>
      <c r="E36" s="61">
        <v>0</v>
      </c>
      <c r="F36" s="62">
        <f t="shared" si="0"/>
        <v>5307</v>
      </c>
    </row>
    <row r="37" spans="1:6" ht="14.45" customHeight="1" x14ac:dyDescent="0.2">
      <c r="A37" s="60" t="s">
        <v>188</v>
      </c>
      <c r="B37" s="61">
        <v>9667</v>
      </c>
      <c r="C37" s="61">
        <v>5588</v>
      </c>
      <c r="D37" s="61">
        <v>1828</v>
      </c>
      <c r="E37" s="61">
        <v>4</v>
      </c>
      <c r="F37" s="62">
        <f t="shared" si="0"/>
        <v>17087</v>
      </c>
    </row>
    <row r="38" spans="1:6" ht="14.45" customHeight="1" x14ac:dyDescent="0.2">
      <c r="A38" s="60" t="s">
        <v>189</v>
      </c>
      <c r="B38" s="61">
        <v>6509</v>
      </c>
      <c r="C38" s="61">
        <v>3570</v>
      </c>
      <c r="D38" s="61">
        <v>1224</v>
      </c>
      <c r="E38" s="61">
        <v>10</v>
      </c>
      <c r="F38" s="62">
        <f t="shared" si="0"/>
        <v>11313</v>
      </c>
    </row>
    <row r="39" spans="1:6" ht="14.45" customHeight="1" x14ac:dyDescent="0.2">
      <c r="A39" s="60" t="s">
        <v>190</v>
      </c>
      <c r="B39" s="61">
        <v>10493</v>
      </c>
      <c r="C39" s="61">
        <v>7079</v>
      </c>
      <c r="D39" s="61">
        <v>2781</v>
      </c>
      <c r="E39" s="61">
        <v>2</v>
      </c>
      <c r="F39" s="62">
        <f t="shared" si="0"/>
        <v>20355</v>
      </c>
    </row>
    <row r="40" spans="1:6" ht="14.45" customHeight="1" x14ac:dyDescent="0.2">
      <c r="A40" s="60" t="s">
        <v>191</v>
      </c>
      <c r="B40" s="61">
        <v>22968</v>
      </c>
      <c r="C40" s="61">
        <v>11455</v>
      </c>
      <c r="D40" s="61">
        <v>4666</v>
      </c>
      <c r="E40" s="61">
        <v>4</v>
      </c>
      <c r="F40" s="62">
        <f t="shared" si="0"/>
        <v>39093</v>
      </c>
    </row>
    <row r="41" spans="1:6" ht="14.45" customHeight="1" x14ac:dyDescent="0.2">
      <c r="A41" s="60" t="s">
        <v>192</v>
      </c>
      <c r="B41" s="61">
        <v>27221</v>
      </c>
      <c r="C41" s="61">
        <v>17529</v>
      </c>
      <c r="D41" s="61">
        <v>18272</v>
      </c>
      <c r="E41" s="61">
        <v>15</v>
      </c>
      <c r="F41" s="62">
        <f t="shared" si="0"/>
        <v>63037</v>
      </c>
    </row>
    <row r="42" spans="1:6" ht="14.45" customHeight="1" x14ac:dyDescent="0.2">
      <c r="A42" s="60" t="s">
        <v>193</v>
      </c>
      <c r="B42" s="61">
        <v>8163</v>
      </c>
      <c r="C42" s="61">
        <v>3723</v>
      </c>
      <c r="D42" s="61">
        <v>1704</v>
      </c>
      <c r="E42" s="61">
        <v>0</v>
      </c>
      <c r="F42" s="62">
        <f t="shared" si="0"/>
        <v>13590</v>
      </c>
    </row>
    <row r="43" spans="1:6" ht="14.45" customHeight="1" x14ac:dyDescent="0.2">
      <c r="A43" s="60" t="s">
        <v>194</v>
      </c>
      <c r="B43" s="61">
        <v>26817</v>
      </c>
      <c r="C43" s="61">
        <v>13089</v>
      </c>
      <c r="D43" s="61">
        <v>4547</v>
      </c>
      <c r="E43" s="61">
        <v>4</v>
      </c>
      <c r="F43" s="62">
        <f t="shared" si="0"/>
        <v>44457</v>
      </c>
    </row>
    <row r="44" spans="1:6" ht="14.45" customHeight="1" x14ac:dyDescent="0.2">
      <c r="A44" s="60" t="s">
        <v>195</v>
      </c>
      <c r="B44" s="61">
        <v>16694</v>
      </c>
      <c r="C44" s="61">
        <v>8315</v>
      </c>
      <c r="D44" s="61">
        <v>2478</v>
      </c>
      <c r="E44" s="61">
        <v>5</v>
      </c>
      <c r="F44" s="62">
        <f t="shared" si="0"/>
        <v>27492</v>
      </c>
    </row>
    <row r="45" spans="1:6" ht="14.45" customHeight="1" x14ac:dyDescent="0.2">
      <c r="A45" s="60" t="s">
        <v>196</v>
      </c>
      <c r="B45" s="61">
        <v>3422</v>
      </c>
      <c r="C45" s="61">
        <v>2540</v>
      </c>
      <c r="D45" s="61">
        <v>944</v>
      </c>
      <c r="E45" s="61">
        <v>1</v>
      </c>
      <c r="F45" s="62">
        <f t="shared" si="0"/>
        <v>6907</v>
      </c>
    </row>
    <row r="46" spans="1:6" ht="14.45" customHeight="1" x14ac:dyDescent="0.2">
      <c r="A46" s="60" t="s">
        <v>197</v>
      </c>
      <c r="B46" s="61">
        <v>1896</v>
      </c>
      <c r="C46" s="61">
        <v>1246</v>
      </c>
      <c r="D46" s="61">
        <v>261</v>
      </c>
      <c r="E46" s="61">
        <v>0</v>
      </c>
      <c r="F46" s="62">
        <f t="shared" si="0"/>
        <v>3403</v>
      </c>
    </row>
    <row r="47" spans="1:6" ht="14.45" customHeight="1" x14ac:dyDescent="0.2">
      <c r="A47" s="60" t="s">
        <v>198</v>
      </c>
      <c r="B47" s="61">
        <v>4271</v>
      </c>
      <c r="C47" s="61">
        <v>2127</v>
      </c>
      <c r="D47" s="61">
        <v>743</v>
      </c>
      <c r="E47" s="61">
        <v>0</v>
      </c>
      <c r="F47" s="62">
        <f t="shared" si="0"/>
        <v>7141</v>
      </c>
    </row>
    <row r="48" spans="1:6" ht="14.45" customHeight="1" x14ac:dyDescent="0.2">
      <c r="A48" s="60" t="s">
        <v>199</v>
      </c>
      <c r="B48" s="61">
        <v>7429</v>
      </c>
      <c r="C48" s="61">
        <v>5053</v>
      </c>
      <c r="D48" s="61">
        <v>1381</v>
      </c>
      <c r="E48" s="61">
        <v>1</v>
      </c>
      <c r="F48" s="62">
        <f t="shared" si="0"/>
        <v>13864</v>
      </c>
    </row>
    <row r="49" spans="1:6" ht="14.45" customHeight="1" x14ac:dyDescent="0.2">
      <c r="A49" s="60" t="s">
        <v>200</v>
      </c>
      <c r="B49" s="64">
        <v>163987</v>
      </c>
      <c r="C49" s="64">
        <v>98614</v>
      </c>
      <c r="D49" s="64">
        <v>22839</v>
      </c>
      <c r="E49" s="64">
        <v>41</v>
      </c>
      <c r="F49" s="65">
        <f t="shared" si="0"/>
        <v>285481</v>
      </c>
    </row>
    <row r="50" spans="1:6" ht="14.45" customHeight="1" x14ac:dyDescent="0.2">
      <c r="A50" s="60" t="s">
        <v>201</v>
      </c>
      <c r="B50" s="61">
        <v>6919</v>
      </c>
      <c r="C50" s="61">
        <v>5270</v>
      </c>
      <c r="D50" s="61">
        <v>3295</v>
      </c>
      <c r="E50" s="61">
        <v>1</v>
      </c>
      <c r="F50" s="62">
        <f t="shared" si="0"/>
        <v>15485</v>
      </c>
    </row>
    <row r="51" spans="1:6" ht="14.45" customHeight="1" x14ac:dyDescent="0.2">
      <c r="A51" s="60" t="s">
        <v>202</v>
      </c>
      <c r="B51" s="61">
        <v>3258</v>
      </c>
      <c r="C51" s="61">
        <v>2148</v>
      </c>
      <c r="D51" s="61">
        <v>389</v>
      </c>
      <c r="E51" s="61">
        <v>0</v>
      </c>
      <c r="F51" s="62">
        <f t="shared" si="0"/>
        <v>5795</v>
      </c>
    </row>
    <row r="52" spans="1:6" ht="14.45" customHeight="1" x14ac:dyDescent="0.2">
      <c r="A52" s="60" t="s">
        <v>203</v>
      </c>
      <c r="B52" s="61">
        <v>12795</v>
      </c>
      <c r="C52" s="61">
        <v>3438</v>
      </c>
      <c r="D52" s="61">
        <v>1637</v>
      </c>
      <c r="E52" s="61">
        <v>0</v>
      </c>
      <c r="F52" s="62">
        <f t="shared" si="0"/>
        <v>17870</v>
      </c>
    </row>
    <row r="53" spans="1:6" ht="14.45" customHeight="1" x14ac:dyDescent="0.2">
      <c r="A53" s="60" t="s">
        <v>204</v>
      </c>
      <c r="B53" s="61">
        <v>28687</v>
      </c>
      <c r="C53" s="61">
        <v>13941</v>
      </c>
      <c r="D53" s="61">
        <v>6390</v>
      </c>
      <c r="E53" s="61">
        <v>17</v>
      </c>
      <c r="F53" s="62">
        <f t="shared" si="0"/>
        <v>49035</v>
      </c>
    </row>
    <row r="54" spans="1:6" ht="14.45" customHeight="1" x14ac:dyDescent="0.2">
      <c r="A54" s="60" t="s">
        <v>205</v>
      </c>
      <c r="B54" s="61">
        <v>9447</v>
      </c>
      <c r="C54" s="61">
        <v>4427</v>
      </c>
      <c r="D54" s="61">
        <v>1203</v>
      </c>
      <c r="E54" s="61">
        <v>2</v>
      </c>
      <c r="F54" s="62">
        <f t="shared" si="0"/>
        <v>15079</v>
      </c>
    </row>
    <row r="55" spans="1:6" ht="14.45" customHeight="1" x14ac:dyDescent="0.2">
      <c r="A55" s="60" t="s">
        <v>206</v>
      </c>
      <c r="B55" s="61">
        <v>5353</v>
      </c>
      <c r="C55" s="61">
        <v>3245</v>
      </c>
      <c r="D55" s="61">
        <v>968</v>
      </c>
      <c r="E55" s="61">
        <v>9</v>
      </c>
      <c r="F55" s="62">
        <f t="shared" si="0"/>
        <v>9575</v>
      </c>
    </row>
    <row r="56" spans="1:6" ht="14.45" customHeight="1" x14ac:dyDescent="0.2">
      <c r="A56" s="60" t="s">
        <v>207</v>
      </c>
      <c r="B56" s="61">
        <v>7185</v>
      </c>
      <c r="C56" s="61">
        <v>4843</v>
      </c>
      <c r="D56" s="61">
        <v>1293</v>
      </c>
      <c r="E56" s="61">
        <v>2</v>
      </c>
      <c r="F56" s="62">
        <f t="shared" si="0"/>
        <v>13323</v>
      </c>
    </row>
    <row r="57" spans="1:6" ht="14.45" customHeight="1" x14ac:dyDescent="0.2">
      <c r="A57" s="60" t="s">
        <v>208</v>
      </c>
      <c r="B57" s="61">
        <v>102823</v>
      </c>
      <c r="C57" s="61">
        <v>41636</v>
      </c>
      <c r="D57" s="61"/>
      <c r="E57" s="61"/>
      <c r="F57" s="62">
        <f t="shared" si="0"/>
        <v>144459</v>
      </c>
    </row>
    <row r="58" spans="1:6" ht="14.45" customHeight="1" x14ac:dyDescent="0.2">
      <c r="A58" s="60" t="s">
        <v>209</v>
      </c>
      <c r="B58" s="61">
        <v>1918</v>
      </c>
      <c r="C58" s="61">
        <v>1610</v>
      </c>
      <c r="D58" s="61">
        <v>333</v>
      </c>
      <c r="E58" s="61">
        <v>0</v>
      </c>
      <c r="F58" s="62">
        <f t="shared" si="0"/>
        <v>3861</v>
      </c>
    </row>
    <row r="59" spans="1:6" ht="14.45" customHeight="1" x14ac:dyDescent="0.2">
      <c r="A59" s="60" t="s">
        <v>210</v>
      </c>
      <c r="B59" s="61">
        <v>2202</v>
      </c>
      <c r="C59" s="61">
        <v>1126</v>
      </c>
      <c r="D59" s="61">
        <v>230</v>
      </c>
      <c r="E59" s="61">
        <v>0</v>
      </c>
      <c r="F59" s="62">
        <f t="shared" si="0"/>
        <v>3558</v>
      </c>
    </row>
    <row r="60" spans="1:6" ht="14.45" customHeight="1" x14ac:dyDescent="0.2">
      <c r="A60" s="60" t="s">
        <v>211</v>
      </c>
      <c r="B60" s="64">
        <v>41720</v>
      </c>
      <c r="C60" s="66">
        <v>12537</v>
      </c>
      <c r="D60" s="64">
        <v>9925</v>
      </c>
      <c r="E60" s="64">
        <v>0</v>
      </c>
      <c r="F60" s="65">
        <f t="shared" si="0"/>
        <v>64182</v>
      </c>
    </row>
    <row r="61" spans="1:6" ht="14.45" customHeight="1" x14ac:dyDescent="0.2">
      <c r="A61" s="60" t="s">
        <v>212</v>
      </c>
      <c r="B61" s="61">
        <v>120513</v>
      </c>
      <c r="C61" s="61">
        <v>36905</v>
      </c>
      <c r="D61" s="61">
        <v>25825</v>
      </c>
      <c r="E61" s="61">
        <v>0</v>
      </c>
      <c r="F61" s="62">
        <f t="shared" si="0"/>
        <v>183243</v>
      </c>
    </row>
    <row r="62" spans="1:6" ht="14.45" customHeight="1" x14ac:dyDescent="0.2">
      <c r="A62" s="60" t="s">
        <v>213</v>
      </c>
      <c r="B62" s="61">
        <v>110635</v>
      </c>
      <c r="C62" s="61">
        <v>21730</v>
      </c>
      <c r="D62" s="61">
        <v>11591</v>
      </c>
      <c r="E62" s="61">
        <v>0</v>
      </c>
      <c r="F62" s="62">
        <f t="shared" si="0"/>
        <v>143956</v>
      </c>
    </row>
    <row r="63" spans="1:6" ht="14.45" customHeight="1" x14ac:dyDescent="0.2">
      <c r="A63" s="60" t="s">
        <v>214</v>
      </c>
      <c r="B63" s="67">
        <v>97309</v>
      </c>
      <c r="C63" s="67">
        <v>37739</v>
      </c>
      <c r="D63" s="67">
        <v>20341</v>
      </c>
      <c r="E63" s="67">
        <v>0</v>
      </c>
      <c r="F63" s="62">
        <f t="shared" si="0"/>
        <v>155389</v>
      </c>
    </row>
    <row r="64" spans="1:6" ht="14.45" customHeight="1" x14ac:dyDescent="0.2">
      <c r="A64" s="60" t="s">
        <v>215</v>
      </c>
      <c r="B64" s="61">
        <v>17554</v>
      </c>
      <c r="C64" s="61">
        <v>12790</v>
      </c>
      <c r="D64" s="61">
        <v>2559</v>
      </c>
      <c r="E64" s="61">
        <v>0</v>
      </c>
      <c r="F64" s="62">
        <f t="shared" si="0"/>
        <v>32903</v>
      </c>
    </row>
    <row r="65" spans="1:6" ht="14.45" customHeight="1" x14ac:dyDescent="0.2">
      <c r="A65" s="68" t="s">
        <v>3</v>
      </c>
      <c r="B65" s="69">
        <f>SUM(B3:B64)</f>
        <v>1582382</v>
      </c>
      <c r="C65" s="69">
        <f t="shared" ref="C65:E65" si="1">SUM(C3:C64)</f>
        <v>744696</v>
      </c>
      <c r="D65" s="69">
        <f t="shared" si="1"/>
        <v>311436</v>
      </c>
      <c r="E65" s="69">
        <f t="shared" si="1"/>
        <v>363</v>
      </c>
      <c r="F65" s="70">
        <f>SUM(F3:F64)</f>
        <v>2638877</v>
      </c>
    </row>
  </sheetData>
  <mergeCells count="1">
    <mergeCell ref="A1:D1"/>
  </mergeCells>
  <pageMargins left="0.25" right="0.25" top="0.1" bottom="0.2" header="0.25" footer="0.25"/>
  <pageSetup paperSize="5" orientation="portrait" r:id="rId1"/>
  <headerFooter alignWithMargins="0"/>
  <colBreaks count="2" manualBreakCount="2">
    <brk id="6" max="65" man="1"/>
    <brk id="14" max="65" man="1"/>
  </colBreaks>
  <ignoredErrors>
    <ignoredError sqref="F11" calculatedColumn="1"/>
  </ignoredErrors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BF407-E347-441A-8D86-00F59011A6EA}">
  <sheetPr>
    <pageSetUpPr fitToPage="1"/>
  </sheetPr>
  <dimension ref="A1:C4"/>
  <sheetViews>
    <sheetView workbookViewId="0">
      <pane ySplit="3" topLeftCell="A7" activePane="bottomLeft" state="frozen"/>
      <selection pane="bottomLeft" activeCell="C20" sqref="C20"/>
    </sheetView>
  </sheetViews>
  <sheetFormatPr defaultColWidth="9.140625" defaultRowHeight="12.75" x14ac:dyDescent="0.2"/>
  <cols>
    <col min="1" max="1" width="10.28515625" style="22" bestFit="1" customWidth="1"/>
    <col min="2" max="2" width="2.7109375" style="1" customWidth="1"/>
    <col min="3" max="3" width="162.5703125" style="1" customWidth="1"/>
    <col min="4" max="16384" width="9.140625" style="1"/>
  </cols>
  <sheetData>
    <row r="1" spans="1:3" ht="15.75" x14ac:dyDescent="0.2">
      <c r="A1" s="77" t="s">
        <v>5</v>
      </c>
      <c r="B1" s="77"/>
      <c r="C1" s="77"/>
    </row>
    <row r="3" spans="1:3" x14ac:dyDescent="0.2">
      <c r="A3" s="20" t="s">
        <v>6</v>
      </c>
      <c r="C3" s="2" t="s">
        <v>7</v>
      </c>
    </row>
    <row r="4" spans="1:3" x14ac:dyDescent="0.2">
      <c r="A4" s="21"/>
      <c r="B4" s="4"/>
      <c r="C4" s="3"/>
    </row>
  </sheetData>
  <mergeCells count="1">
    <mergeCell ref="A1:C1"/>
  </mergeCells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EF2BA-C9D2-48D5-A26C-6212759599C0}">
  <sheetPr>
    <pageSetUpPr fitToPage="1"/>
  </sheetPr>
  <dimension ref="A1:D24"/>
  <sheetViews>
    <sheetView zoomScaleNormal="100" zoomScaleSheetLayoutView="80" workbookViewId="0">
      <selection activeCell="B3" sqref="B3:B20"/>
    </sheetView>
  </sheetViews>
  <sheetFormatPr defaultRowHeight="12.75" x14ac:dyDescent="0.2"/>
  <cols>
    <col min="1" max="1" width="31.28515625" customWidth="1"/>
    <col min="2" max="2" width="18.7109375" customWidth="1"/>
    <col min="3" max="4" width="20.5703125" customWidth="1"/>
    <col min="5" max="6" width="23.5703125" customWidth="1"/>
  </cols>
  <sheetData>
    <row r="1" spans="1:4" ht="54" customHeight="1" x14ac:dyDescent="0.2">
      <c r="A1" s="73" t="s">
        <v>148</v>
      </c>
      <c r="B1" s="73"/>
      <c r="C1" s="73"/>
      <c r="D1" s="73"/>
    </row>
    <row r="2" spans="1:4" ht="24.95" customHeight="1" x14ac:dyDescent="0.2">
      <c r="A2" s="14" t="s">
        <v>16</v>
      </c>
      <c r="B2" s="25" t="s">
        <v>50</v>
      </c>
      <c r="C2" s="13" t="s">
        <v>3</v>
      </c>
      <c r="D2" s="12" t="s">
        <v>4</v>
      </c>
    </row>
    <row r="3" spans="1:4" ht="12.75" customHeight="1" x14ac:dyDescent="0.2">
      <c r="A3" s="42" t="s">
        <v>59</v>
      </c>
      <c r="B3" s="15">
        <v>106617</v>
      </c>
      <c r="C3" s="19">
        <f>SUM(StateSenatorSenateDistrict1General253254[[#This Row],[Kings County Vote Results]])</f>
        <v>106617</v>
      </c>
      <c r="D3" s="11">
        <f>SUM(C3,C9,C15)</f>
        <v>139995</v>
      </c>
    </row>
    <row r="4" spans="1:4" ht="12.75" customHeight="1" x14ac:dyDescent="0.2">
      <c r="A4" s="42" t="s">
        <v>60</v>
      </c>
      <c r="B4" s="24">
        <v>113497</v>
      </c>
      <c r="C4" s="19">
        <f>SUM(StateSenatorSenateDistrict1General253254[[#This Row],[Kings County Vote Results]])</f>
        <v>113497</v>
      </c>
      <c r="D4" s="11">
        <f>SUM(C4,C10,C16)</f>
        <v>142892</v>
      </c>
    </row>
    <row r="5" spans="1:4" ht="12.75" customHeight="1" x14ac:dyDescent="0.2">
      <c r="A5" s="42" t="s">
        <v>61</v>
      </c>
      <c r="B5" s="15">
        <v>109722</v>
      </c>
      <c r="C5" s="19">
        <f>SUM(StateSenatorSenateDistrict1General253254[[#This Row],[Kings County Vote Results]])</f>
        <v>109722</v>
      </c>
      <c r="D5" s="11">
        <f>SUM(C5,C11,C17)</f>
        <v>138728</v>
      </c>
    </row>
    <row r="6" spans="1:4" ht="12.75" customHeight="1" x14ac:dyDescent="0.2">
      <c r="A6" s="42" t="s">
        <v>62</v>
      </c>
      <c r="B6" s="23">
        <v>109472</v>
      </c>
      <c r="C6" s="19">
        <f>SUM(StateSenatorSenateDistrict1General253254[[#This Row],[Kings County Vote Results]])</f>
        <v>109472</v>
      </c>
      <c r="D6" s="11">
        <f>SUM(C6)</f>
        <v>109472</v>
      </c>
    </row>
    <row r="7" spans="1:4" ht="12.75" customHeight="1" x14ac:dyDescent="0.2">
      <c r="A7" s="42" t="s">
        <v>63</v>
      </c>
      <c r="B7" s="23">
        <v>104141</v>
      </c>
      <c r="C7" s="19">
        <f>SUM(StateSenatorSenateDistrict1General253254[[#This Row],[Kings County Vote Results]])</f>
        <v>104141</v>
      </c>
      <c r="D7" s="11">
        <f>SUM(C7,C13,C19)</f>
        <v>132542</v>
      </c>
    </row>
    <row r="8" spans="1:4" ht="12.75" customHeight="1" x14ac:dyDescent="0.2">
      <c r="A8" s="42" t="s">
        <v>64</v>
      </c>
      <c r="B8" s="23">
        <v>103378</v>
      </c>
      <c r="C8" s="19">
        <f>SUM(StateSenatorSenateDistrict1General253254[[#This Row],[Kings County Vote Results]])</f>
        <v>103378</v>
      </c>
      <c r="D8" s="11">
        <f>SUM(C8,C14,C20)</f>
        <v>135341</v>
      </c>
    </row>
    <row r="9" spans="1:4" ht="12.75" customHeight="1" x14ac:dyDescent="0.2">
      <c r="A9" s="42" t="s">
        <v>65</v>
      </c>
      <c r="B9" s="23">
        <v>27955</v>
      </c>
      <c r="C9" s="19">
        <f>SUM(StateSenatorSenateDistrict1General253254[[#This Row],[Kings County Vote Results]])</f>
        <v>27955</v>
      </c>
      <c r="D9" s="46"/>
    </row>
    <row r="10" spans="1:4" ht="12.75" customHeight="1" x14ac:dyDescent="0.2">
      <c r="A10" s="42" t="s">
        <v>66</v>
      </c>
      <c r="B10" s="23">
        <v>24475</v>
      </c>
      <c r="C10" s="19">
        <f>SUM(StateSenatorSenateDistrict1General253254[[#This Row],[Kings County Vote Results]])</f>
        <v>24475</v>
      </c>
      <c r="D10" s="46"/>
    </row>
    <row r="11" spans="1:4" ht="12.75" customHeight="1" x14ac:dyDescent="0.2">
      <c r="A11" s="42" t="s">
        <v>67</v>
      </c>
      <c r="B11" s="23">
        <v>24060</v>
      </c>
      <c r="C11" s="19">
        <f>SUM(StateSenatorSenateDistrict1General253254[[#This Row],[Kings County Vote Results]])</f>
        <v>24060</v>
      </c>
      <c r="D11" s="46"/>
    </row>
    <row r="12" spans="1:4" ht="12.75" customHeight="1" x14ac:dyDescent="0.2">
      <c r="A12" s="42" t="s">
        <v>68</v>
      </c>
      <c r="B12" s="23">
        <v>28432</v>
      </c>
      <c r="C12" s="19">
        <f>SUM(StateSenatorSenateDistrict1General253254[[#This Row],[Kings County Vote Results]])</f>
        <v>28432</v>
      </c>
      <c r="D12" s="11">
        <f>SUM(C12,C18)</f>
        <v>34204</v>
      </c>
    </row>
    <row r="13" spans="1:4" ht="12.75" customHeight="1" x14ac:dyDescent="0.2">
      <c r="A13" s="42" t="s">
        <v>69</v>
      </c>
      <c r="B13" s="23">
        <v>23637</v>
      </c>
      <c r="C13" s="19">
        <f>SUM(StateSenatorSenateDistrict1General253254[[#This Row],[Kings County Vote Results]])</f>
        <v>23637</v>
      </c>
      <c r="D13" s="5"/>
    </row>
    <row r="14" spans="1:4" ht="12.75" customHeight="1" x14ac:dyDescent="0.2">
      <c r="A14" s="42" t="s">
        <v>70</v>
      </c>
      <c r="B14" s="23">
        <v>26462</v>
      </c>
      <c r="C14" s="19">
        <f>SUM(StateSenatorSenateDistrict1General253254[[#This Row],[Kings County Vote Results]])</f>
        <v>26462</v>
      </c>
      <c r="D14" s="5"/>
    </row>
    <row r="15" spans="1:4" ht="12.75" customHeight="1" x14ac:dyDescent="0.2">
      <c r="A15" s="42" t="s">
        <v>71</v>
      </c>
      <c r="B15" s="23">
        <v>5423</v>
      </c>
      <c r="C15" s="19">
        <f>SUM(StateSenatorSenateDistrict1General253254[[#This Row],[Kings County Vote Results]])</f>
        <v>5423</v>
      </c>
      <c r="D15" s="5"/>
    </row>
    <row r="16" spans="1:4" ht="12.75" customHeight="1" x14ac:dyDescent="0.2">
      <c r="A16" s="42" t="s">
        <v>72</v>
      </c>
      <c r="B16" s="23">
        <v>4920</v>
      </c>
      <c r="C16" s="19">
        <f>SUM(StateSenatorSenateDistrict1General253254[[#This Row],[Kings County Vote Results]])</f>
        <v>4920</v>
      </c>
      <c r="D16" s="5"/>
    </row>
    <row r="17" spans="1:4" ht="12.75" customHeight="1" x14ac:dyDescent="0.2">
      <c r="A17" s="42" t="s">
        <v>73</v>
      </c>
      <c r="B17" s="24">
        <v>4946</v>
      </c>
      <c r="C17" s="19">
        <f>SUM(StateSenatorSenateDistrict1General253254[[#This Row],[Kings County Vote Results]])</f>
        <v>4946</v>
      </c>
      <c r="D17" s="5"/>
    </row>
    <row r="18" spans="1:4" ht="12.75" customHeight="1" x14ac:dyDescent="0.2">
      <c r="A18" s="42" t="s">
        <v>74</v>
      </c>
      <c r="B18" s="15">
        <v>5772</v>
      </c>
      <c r="C18" s="19">
        <f>SUM(StateSenatorSenateDistrict1General253254[[#This Row],[Kings County Vote Results]])</f>
        <v>5772</v>
      </c>
      <c r="D18" s="5"/>
    </row>
    <row r="19" spans="1:4" ht="12.75" customHeight="1" x14ac:dyDescent="0.2">
      <c r="A19" s="42" t="s">
        <v>75</v>
      </c>
      <c r="B19" s="23">
        <v>4764</v>
      </c>
      <c r="C19" s="19">
        <f>SUM(StateSenatorSenateDistrict1General253254[[#This Row],[Kings County Vote Results]])</f>
        <v>4764</v>
      </c>
      <c r="D19" s="5"/>
    </row>
    <row r="20" spans="1:4" ht="12.75" customHeight="1" x14ac:dyDescent="0.2">
      <c r="A20" s="42" t="s">
        <v>76</v>
      </c>
      <c r="B20" s="23">
        <v>5501</v>
      </c>
      <c r="C20" s="19">
        <f>SUM(StateSenatorSenateDistrict1General253254[[#This Row],[Kings County Vote Results]])</f>
        <v>5501</v>
      </c>
      <c r="D20" s="5"/>
    </row>
    <row r="21" spans="1:4" x14ac:dyDescent="0.2">
      <c r="A21" s="43" t="s">
        <v>0</v>
      </c>
      <c r="B21" s="7">
        <v>257016</v>
      </c>
      <c r="C21" s="6">
        <f>SUM(StateSenatorSenateDistrict1General253254[[#This Row],[Kings County Vote Results]])</f>
        <v>257016</v>
      </c>
      <c r="D21" s="5"/>
    </row>
    <row r="22" spans="1:4" x14ac:dyDescent="0.2">
      <c r="A22" s="43" t="s">
        <v>1</v>
      </c>
      <c r="B22" s="7">
        <v>0</v>
      </c>
      <c r="C22" s="6">
        <f>SUM(StateSenatorSenateDistrict1General253254[[#This Row],[Kings County Vote Results]])</f>
        <v>0</v>
      </c>
      <c r="D22" s="5"/>
    </row>
    <row r="23" spans="1:4" x14ac:dyDescent="0.2">
      <c r="A23" s="43" t="s">
        <v>8</v>
      </c>
      <c r="B23" s="7">
        <v>9268</v>
      </c>
      <c r="C23" s="6">
        <f>SUM(StateSenatorSenateDistrict1General253254[[#This Row],[Kings County Vote Results]])</f>
        <v>9268</v>
      </c>
      <c r="D23" s="5"/>
    </row>
    <row r="24" spans="1:4" x14ac:dyDescent="0.2">
      <c r="A24" s="8" t="s">
        <v>2</v>
      </c>
      <c r="B24" s="34">
        <f>SUM(StateSenatorSenateDistrict1General253254[Kings County Vote Results])</f>
        <v>1099458</v>
      </c>
      <c r="C24" s="19">
        <f>SUM(StateSenatorSenateDistrict1General253254[Total Votes by Party])</f>
        <v>1099458</v>
      </c>
      <c r="D24" s="5"/>
    </row>
  </sheetData>
  <mergeCells count="1">
    <mergeCell ref="A1:D1"/>
  </mergeCells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rowBreaks count="13" manualBreakCount="13">
    <brk id="56" max="16383" man="1"/>
    <brk id="103" max="16383" man="1"/>
    <brk id="157" max="16383" man="1"/>
    <brk id="211" max="16383" man="1"/>
    <brk id="260" max="16383" man="1"/>
    <brk id="307" max="16383" man="1"/>
    <brk id="356" max="16383" man="1"/>
    <brk id="402" max="16383" man="1"/>
    <brk id="454" max="16383" man="1"/>
    <brk id="507" max="16383" man="1"/>
    <brk id="561" max="16383" man="1"/>
    <brk id="609" max="16383" man="1"/>
    <brk id="645" max="16383" man="1"/>
  </rowBreak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E4FC6-38B4-4B40-AE8D-3E386FA42606}">
  <sheetPr>
    <pageSetUpPr fitToPage="1"/>
  </sheetPr>
  <dimension ref="A1:J14"/>
  <sheetViews>
    <sheetView zoomScaleNormal="100" zoomScaleSheetLayoutView="80" workbookViewId="0">
      <selection activeCell="B6" sqref="B6:H7"/>
    </sheetView>
  </sheetViews>
  <sheetFormatPr defaultRowHeight="12.75" x14ac:dyDescent="0.2"/>
  <cols>
    <col min="1" max="1" width="31.28515625" customWidth="1"/>
    <col min="2" max="8" width="18.7109375" customWidth="1"/>
    <col min="9" max="9" width="18.85546875" customWidth="1"/>
    <col min="10" max="10" width="20.5703125" customWidth="1"/>
    <col min="11" max="12" width="23.5703125" customWidth="1"/>
  </cols>
  <sheetData>
    <row r="1" spans="1:10" ht="39.75" customHeight="1" x14ac:dyDescent="0.2">
      <c r="A1" s="73" t="s">
        <v>138</v>
      </c>
      <c r="B1" s="73"/>
      <c r="C1" s="73"/>
      <c r="D1" s="73"/>
      <c r="E1" s="73"/>
    </row>
    <row r="2" spans="1:10" ht="24.95" customHeight="1" x14ac:dyDescent="0.2">
      <c r="A2" s="14" t="s">
        <v>16</v>
      </c>
      <c r="B2" s="25" t="s">
        <v>15</v>
      </c>
      <c r="C2" s="25" t="s">
        <v>14</v>
      </c>
      <c r="D2" s="25" t="s">
        <v>13</v>
      </c>
      <c r="E2" s="25" t="s">
        <v>12</v>
      </c>
      <c r="F2" s="25" t="s">
        <v>11</v>
      </c>
      <c r="G2" s="25" t="s">
        <v>10</v>
      </c>
      <c r="H2" s="25" t="s">
        <v>9</v>
      </c>
      <c r="I2" s="13" t="s">
        <v>3</v>
      </c>
      <c r="J2" s="12" t="s">
        <v>4</v>
      </c>
    </row>
    <row r="3" spans="1:10" x14ac:dyDescent="0.2">
      <c r="A3" s="10" t="s">
        <v>77</v>
      </c>
      <c r="B3" s="7">
        <v>30011</v>
      </c>
      <c r="C3" s="7">
        <v>9105</v>
      </c>
      <c r="D3" s="7">
        <v>3156</v>
      </c>
      <c r="E3" s="7">
        <v>13699</v>
      </c>
      <c r="F3" s="7">
        <v>1910</v>
      </c>
      <c r="G3" s="7">
        <v>5014</v>
      </c>
      <c r="H3" s="7">
        <v>21830</v>
      </c>
      <c r="I3" s="6">
        <f>SUM(StateSenatorSenateDistrict1General[[#This Row],[Albany County Vote Results]:[Ulster County Vote Results]])</f>
        <v>84725</v>
      </c>
      <c r="J3" s="11">
        <f>SUM(I3,I8)</f>
        <v>99225</v>
      </c>
    </row>
    <row r="4" spans="1:10" x14ac:dyDescent="0.2">
      <c r="A4" s="10" t="s">
        <v>78</v>
      </c>
      <c r="B4" s="47">
        <v>33803</v>
      </c>
      <c r="C4" s="7">
        <v>9273</v>
      </c>
      <c r="D4" s="7">
        <v>3260</v>
      </c>
      <c r="E4" s="7">
        <v>15172</v>
      </c>
      <c r="F4" s="7">
        <v>2067</v>
      </c>
      <c r="G4" s="7">
        <v>5090</v>
      </c>
      <c r="H4" s="7">
        <v>21738</v>
      </c>
      <c r="I4" s="49">
        <f>SUM(StateSenatorSenateDistrict1General[[#This Row],[Albany County Vote Results]:[Ulster County Vote Results]])</f>
        <v>90403</v>
      </c>
      <c r="J4" s="11">
        <f>SUM(I4,I9)</f>
        <v>111319</v>
      </c>
    </row>
    <row r="5" spans="1:10" x14ac:dyDescent="0.2">
      <c r="A5" s="10" t="s">
        <v>79</v>
      </c>
      <c r="B5" s="47">
        <v>31755</v>
      </c>
      <c r="C5" s="7">
        <v>9354</v>
      </c>
      <c r="D5" s="7">
        <v>3301</v>
      </c>
      <c r="E5" s="7">
        <v>14491</v>
      </c>
      <c r="F5" s="7">
        <v>1960</v>
      </c>
      <c r="G5" s="7">
        <v>5100</v>
      </c>
      <c r="H5" s="7">
        <v>22166</v>
      </c>
      <c r="I5" s="49">
        <f>SUM(StateSenatorSenateDistrict1General[[#This Row],[Albany County Vote Results]:[Ulster County Vote Results]])</f>
        <v>88127</v>
      </c>
      <c r="J5" s="11">
        <f>SUM(I5,I10)</f>
        <v>108476</v>
      </c>
    </row>
    <row r="6" spans="1:10" x14ac:dyDescent="0.2">
      <c r="A6" s="10" t="s">
        <v>80</v>
      </c>
      <c r="B6" s="48">
        <v>18453</v>
      </c>
      <c r="C6" s="7">
        <v>7334</v>
      </c>
      <c r="D6" s="7">
        <v>4878</v>
      </c>
      <c r="E6" s="7">
        <v>15932</v>
      </c>
      <c r="F6" s="7">
        <v>3571</v>
      </c>
      <c r="G6" s="7">
        <v>6887</v>
      </c>
      <c r="H6" s="7">
        <v>15205</v>
      </c>
      <c r="I6" s="49">
        <f>SUM(StateSenatorSenateDistrict1General[[#This Row],[Albany County Vote Results]:[Ulster County Vote Results]])</f>
        <v>72260</v>
      </c>
      <c r="J6" s="11">
        <f>SUM(I6,I7)</f>
        <v>89166</v>
      </c>
    </row>
    <row r="7" spans="1:10" x14ac:dyDescent="0.2">
      <c r="A7" s="10" t="s">
        <v>81</v>
      </c>
      <c r="B7" s="7">
        <v>4668</v>
      </c>
      <c r="C7" s="7">
        <v>1502</v>
      </c>
      <c r="D7" s="7">
        <v>1083</v>
      </c>
      <c r="E7" s="7">
        <v>4332</v>
      </c>
      <c r="F7" s="7">
        <v>674</v>
      </c>
      <c r="G7" s="7">
        <v>1175</v>
      </c>
      <c r="H7" s="7">
        <v>3472</v>
      </c>
      <c r="I7" s="6">
        <f>SUM(StateSenatorSenateDistrict1General[[#This Row],[Albany County Vote Results]:[Ulster County Vote Results]])</f>
        <v>16906</v>
      </c>
      <c r="J7" s="5"/>
    </row>
    <row r="8" spans="1:10" x14ac:dyDescent="0.2">
      <c r="A8" s="10" t="s">
        <v>84</v>
      </c>
      <c r="B8" s="7">
        <v>4625</v>
      </c>
      <c r="C8" s="7">
        <v>1340</v>
      </c>
      <c r="D8" s="7">
        <v>530</v>
      </c>
      <c r="E8" s="7">
        <v>2415</v>
      </c>
      <c r="F8" s="7">
        <v>353</v>
      </c>
      <c r="G8" s="7">
        <v>647</v>
      </c>
      <c r="H8" s="7">
        <v>4590</v>
      </c>
      <c r="I8" s="6">
        <f>SUM(StateSenatorSenateDistrict1General[[#This Row],[Albany County Vote Results]:[Ulster County Vote Results]])</f>
        <v>14500</v>
      </c>
      <c r="J8" s="5"/>
    </row>
    <row r="9" spans="1:10" x14ac:dyDescent="0.2">
      <c r="A9" s="10" t="s">
        <v>82</v>
      </c>
      <c r="B9" s="18">
        <v>6861</v>
      </c>
      <c r="C9" s="7">
        <v>1659</v>
      </c>
      <c r="D9" s="7">
        <v>874</v>
      </c>
      <c r="E9" s="7">
        <v>3668</v>
      </c>
      <c r="F9" s="7">
        <v>697</v>
      </c>
      <c r="G9" s="7">
        <v>1222</v>
      </c>
      <c r="H9" s="7">
        <v>5935</v>
      </c>
      <c r="I9" s="6">
        <f>SUM(StateSenatorSenateDistrict1General[[#This Row],[Albany County Vote Results]:[Ulster County Vote Results]])</f>
        <v>20916</v>
      </c>
      <c r="J9" s="5"/>
    </row>
    <row r="10" spans="1:10" x14ac:dyDescent="0.2">
      <c r="A10" s="10" t="s">
        <v>83</v>
      </c>
      <c r="B10" s="7">
        <v>6666</v>
      </c>
      <c r="C10" s="7">
        <v>1658</v>
      </c>
      <c r="D10" s="7">
        <v>861</v>
      </c>
      <c r="E10" s="7">
        <v>3512</v>
      </c>
      <c r="F10" s="7">
        <v>674</v>
      </c>
      <c r="G10" s="7">
        <v>1113</v>
      </c>
      <c r="H10" s="7">
        <v>5865</v>
      </c>
      <c r="I10" s="6">
        <f>SUM(StateSenatorSenateDistrict1General[[#This Row],[Albany County Vote Results]:[Ulster County Vote Results]])</f>
        <v>20349</v>
      </c>
      <c r="J10" s="5"/>
    </row>
    <row r="11" spans="1:10" x14ac:dyDescent="0.2">
      <c r="A11" s="9" t="s">
        <v>0</v>
      </c>
      <c r="B11" s="7">
        <v>50642</v>
      </c>
      <c r="C11" s="7">
        <v>21312</v>
      </c>
      <c r="D11" s="7">
        <v>13382</v>
      </c>
      <c r="E11" s="7">
        <v>43948</v>
      </c>
      <c r="F11" s="7">
        <v>8767</v>
      </c>
      <c r="G11" s="7">
        <v>20129</v>
      </c>
      <c r="H11" s="7">
        <v>45748</v>
      </c>
      <c r="I11" s="6">
        <f>SUM(StateSenatorSenateDistrict1General[[#This Row],[Albany County Vote Results]:[Ulster County Vote Results]])</f>
        <v>203928</v>
      </c>
      <c r="J11" s="5"/>
    </row>
    <row r="12" spans="1:10" x14ac:dyDescent="0.2">
      <c r="A12" s="9" t="s">
        <v>1</v>
      </c>
      <c r="B12" s="7">
        <v>237</v>
      </c>
      <c r="C12" s="7">
        <v>0</v>
      </c>
      <c r="D12" s="7">
        <v>39</v>
      </c>
      <c r="E12" s="7">
        <v>12</v>
      </c>
      <c r="F12" s="7">
        <v>25</v>
      </c>
      <c r="G12" s="7">
        <v>23</v>
      </c>
      <c r="H12" s="7">
        <v>330</v>
      </c>
      <c r="I12" s="6">
        <f>SUM(StateSenatorSenateDistrict1General[[#This Row],[Albany County Vote Results]:[Ulster County Vote Results]])</f>
        <v>666</v>
      </c>
      <c r="J12" s="5"/>
    </row>
    <row r="13" spans="1:10" x14ac:dyDescent="0.2">
      <c r="A13" s="9" t="s">
        <v>8</v>
      </c>
      <c r="B13" s="7">
        <v>733</v>
      </c>
      <c r="C13" s="7">
        <v>34</v>
      </c>
      <c r="D13" s="7">
        <v>34</v>
      </c>
      <c r="E13" s="7">
        <v>98</v>
      </c>
      <c r="F13" s="7">
        <v>23</v>
      </c>
      <c r="G13" s="7">
        <v>55</v>
      </c>
      <c r="H13" s="7">
        <v>226</v>
      </c>
      <c r="I13" s="6">
        <f>SUM(StateSenatorSenateDistrict1General[[#This Row],[Albany County Vote Results]:[Ulster County Vote Results]])</f>
        <v>1203</v>
      </c>
      <c r="J13" s="5"/>
    </row>
    <row r="14" spans="1:10" s="28" customFormat="1" x14ac:dyDescent="0.2">
      <c r="A14" s="44" t="s">
        <v>2</v>
      </c>
      <c r="B14" s="27">
        <f>SUM(StateSenatorSenateDistrict1General[Albany County Vote Results])</f>
        <v>188454</v>
      </c>
      <c r="C14" s="27">
        <f>SUM(StateSenatorSenateDistrict1General[Columbia County Vote Results])</f>
        <v>62571</v>
      </c>
      <c r="D14" s="27">
        <f>SUM(StateSenatorSenateDistrict1General[Greene County Vote Results])</f>
        <v>31398</v>
      </c>
      <c r="E14" s="27">
        <f>SUM(StateSenatorSenateDistrict1General[Rensselaer County Vote Results])</f>
        <v>117279</v>
      </c>
      <c r="F14" s="27">
        <f>SUM(StateSenatorSenateDistrict1General[Schoharie County Vote Results])</f>
        <v>20721</v>
      </c>
      <c r="G14" s="27">
        <f>SUM(StateSenatorSenateDistrict1General[Sullivan County Vote Results])</f>
        <v>46455</v>
      </c>
      <c r="H14" s="27">
        <f>SUM(StateSenatorSenateDistrict1General[Ulster County Vote Results])</f>
        <v>147105</v>
      </c>
      <c r="I14" s="45">
        <f>SUM(StateSenatorSenateDistrict1General[Total Votes by Party])</f>
        <v>613983</v>
      </c>
      <c r="J14" s="38"/>
    </row>
  </sheetData>
  <mergeCells count="1">
    <mergeCell ref="A1:E1"/>
  </mergeCells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rowBreaks count="13" manualBreakCount="13">
    <brk id="46" max="16383" man="1"/>
    <brk id="93" max="16383" man="1"/>
    <brk id="147" max="16383" man="1"/>
    <brk id="201" max="16383" man="1"/>
    <brk id="250" max="16383" man="1"/>
    <brk id="297" max="16383" man="1"/>
    <brk id="346" max="16383" man="1"/>
    <brk id="392" max="16383" man="1"/>
    <brk id="444" max="16383" man="1"/>
    <brk id="497" max="16383" man="1"/>
    <brk id="551" max="16383" man="1"/>
    <brk id="599" max="16383" man="1"/>
    <brk id="635" max="16383" man="1"/>
  </rowBreak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F7E60-D189-445E-8A44-88253025E33A}">
  <sheetPr>
    <pageSetUpPr fitToPage="1"/>
  </sheetPr>
  <dimension ref="A1:N11"/>
  <sheetViews>
    <sheetView workbookViewId="0">
      <pane xSplit="1" topLeftCell="B1" activePane="topRight" state="frozen"/>
      <selection activeCell="E21" sqref="E21"/>
      <selection pane="topRight" activeCell="J22" sqref="J21:J22"/>
    </sheetView>
  </sheetViews>
  <sheetFormatPr defaultRowHeight="12.75" x14ac:dyDescent="0.2"/>
  <cols>
    <col min="1" max="1" width="32.5703125" customWidth="1"/>
    <col min="2" max="14" width="20.5703125" customWidth="1"/>
    <col min="15" max="16" width="23.5703125" customWidth="1"/>
  </cols>
  <sheetData>
    <row r="1" spans="1:14" ht="49.5" customHeight="1" x14ac:dyDescent="0.2">
      <c r="A1" s="73" t="s">
        <v>139</v>
      </c>
      <c r="B1" s="73"/>
      <c r="C1" s="73"/>
      <c r="D1" s="73"/>
      <c r="H1" t="s">
        <v>218</v>
      </c>
    </row>
    <row r="2" spans="1:14" ht="24.95" customHeight="1" x14ac:dyDescent="0.2">
      <c r="A2" s="14" t="s">
        <v>16</v>
      </c>
      <c r="B2" s="25" t="s">
        <v>27</v>
      </c>
      <c r="C2" s="25" t="s">
        <v>26</v>
      </c>
      <c r="D2" s="25" t="s">
        <v>25</v>
      </c>
      <c r="E2" s="25" t="s">
        <v>24</v>
      </c>
      <c r="F2" s="25" t="s">
        <v>23</v>
      </c>
      <c r="G2" s="25" t="s">
        <v>22</v>
      </c>
      <c r="H2" s="25" t="s">
        <v>21</v>
      </c>
      <c r="I2" s="25" t="s">
        <v>20</v>
      </c>
      <c r="J2" s="25" t="s">
        <v>19</v>
      </c>
      <c r="K2" s="25" t="s">
        <v>18</v>
      </c>
      <c r="L2" s="25" t="s">
        <v>17</v>
      </c>
      <c r="M2" s="13" t="s">
        <v>3</v>
      </c>
      <c r="N2" s="12" t="s">
        <v>4</v>
      </c>
    </row>
    <row r="3" spans="1:14" ht="12.75" customHeight="1" x14ac:dyDescent="0.2">
      <c r="A3" s="16" t="s">
        <v>85</v>
      </c>
      <c r="B3" s="35">
        <v>6186</v>
      </c>
      <c r="C3" s="35">
        <v>3335</v>
      </c>
      <c r="D3" s="35">
        <v>2143</v>
      </c>
      <c r="E3" s="35">
        <v>1852</v>
      </c>
      <c r="F3" s="35">
        <v>537</v>
      </c>
      <c r="G3" s="35">
        <v>1935</v>
      </c>
      <c r="H3" s="35">
        <v>4693</v>
      </c>
      <c r="I3" s="35">
        <v>18854</v>
      </c>
      <c r="J3" s="35">
        <v>13066</v>
      </c>
      <c r="K3" s="35">
        <v>5758</v>
      </c>
      <c r="L3" s="35">
        <v>3322</v>
      </c>
      <c r="M3" s="30">
        <f t="shared" ref="M3:M8" si="0">SUM(B3,C3,D3,E3,F3,G3,H3,I3,J3,K3,L3)</f>
        <v>61681</v>
      </c>
      <c r="N3" s="36">
        <f>SUM(M3)</f>
        <v>61681</v>
      </c>
    </row>
    <row r="4" spans="1:14" ht="12.75" customHeight="1" x14ac:dyDescent="0.2">
      <c r="A4" s="16" t="s">
        <v>86</v>
      </c>
      <c r="B4" s="37">
        <v>6384</v>
      </c>
      <c r="C4" s="35">
        <v>3782</v>
      </c>
      <c r="D4" s="35">
        <v>2658</v>
      </c>
      <c r="E4" s="35">
        <v>5067</v>
      </c>
      <c r="F4" s="35">
        <v>1372</v>
      </c>
      <c r="G4" s="35">
        <v>2933</v>
      </c>
      <c r="H4" s="35">
        <v>6546</v>
      </c>
      <c r="I4" s="35">
        <v>18839</v>
      </c>
      <c r="J4" s="35">
        <v>10201</v>
      </c>
      <c r="K4" s="35">
        <v>7081</v>
      </c>
      <c r="L4" s="35">
        <v>4629</v>
      </c>
      <c r="M4" s="30">
        <f t="shared" si="0"/>
        <v>69492</v>
      </c>
      <c r="N4" s="36">
        <f>SUM(M4,M5)</f>
        <v>84355</v>
      </c>
    </row>
    <row r="5" spans="1:14" ht="12.75" customHeight="1" x14ac:dyDescent="0.2">
      <c r="A5" s="16" t="s">
        <v>87</v>
      </c>
      <c r="B5" s="37">
        <v>1130</v>
      </c>
      <c r="C5" s="35">
        <v>551</v>
      </c>
      <c r="D5" s="35">
        <v>421</v>
      </c>
      <c r="E5" s="35">
        <v>738</v>
      </c>
      <c r="F5" s="35">
        <v>202</v>
      </c>
      <c r="G5" s="35">
        <v>706</v>
      </c>
      <c r="H5" s="35">
        <v>1172</v>
      </c>
      <c r="I5" s="35">
        <v>4581</v>
      </c>
      <c r="J5" s="35">
        <v>3126</v>
      </c>
      <c r="K5" s="35">
        <v>1208</v>
      </c>
      <c r="L5" s="35">
        <v>1028</v>
      </c>
      <c r="M5" s="30">
        <f t="shared" si="0"/>
        <v>14863</v>
      </c>
      <c r="N5" s="38"/>
    </row>
    <row r="6" spans="1:14" x14ac:dyDescent="0.2">
      <c r="A6" s="9" t="s">
        <v>0</v>
      </c>
      <c r="B6" s="27">
        <v>1045</v>
      </c>
      <c r="C6" s="27">
        <v>1100</v>
      </c>
      <c r="D6" s="27">
        <v>375</v>
      </c>
      <c r="E6" s="27">
        <v>851</v>
      </c>
      <c r="F6" s="27">
        <v>227</v>
      </c>
      <c r="G6" s="27">
        <v>465</v>
      </c>
      <c r="H6" s="27">
        <v>1170</v>
      </c>
      <c r="I6" s="27">
        <v>2103</v>
      </c>
      <c r="J6" s="27">
        <v>1047</v>
      </c>
      <c r="K6" s="27">
        <v>1019</v>
      </c>
      <c r="L6" s="27">
        <v>565</v>
      </c>
      <c r="M6" s="30">
        <f t="shared" si="0"/>
        <v>9967</v>
      </c>
      <c r="N6" s="38"/>
    </row>
    <row r="7" spans="1:14" x14ac:dyDescent="0.2">
      <c r="A7" s="9" t="s">
        <v>1</v>
      </c>
      <c r="B7" s="27">
        <v>5</v>
      </c>
      <c r="C7" s="27">
        <v>10</v>
      </c>
      <c r="D7" s="27">
        <v>3</v>
      </c>
      <c r="E7" s="27">
        <v>0</v>
      </c>
      <c r="F7" s="27">
        <v>0</v>
      </c>
      <c r="G7" s="27">
        <v>10</v>
      </c>
      <c r="H7" s="27">
        <v>0</v>
      </c>
      <c r="I7" s="27">
        <v>51</v>
      </c>
      <c r="J7" s="27">
        <v>14</v>
      </c>
      <c r="K7" s="27">
        <v>4</v>
      </c>
      <c r="L7" s="27">
        <v>25</v>
      </c>
      <c r="M7" s="30">
        <f t="shared" si="0"/>
        <v>122</v>
      </c>
      <c r="N7" s="38"/>
    </row>
    <row r="8" spans="1:14" x14ac:dyDescent="0.2">
      <c r="A8" s="9" t="s">
        <v>8</v>
      </c>
      <c r="B8" s="27">
        <v>6</v>
      </c>
      <c r="C8" s="27">
        <v>6</v>
      </c>
      <c r="D8" s="27">
        <v>7</v>
      </c>
      <c r="E8" s="27">
        <v>8</v>
      </c>
      <c r="F8" s="27">
        <v>2</v>
      </c>
      <c r="G8" s="27">
        <v>15</v>
      </c>
      <c r="H8" s="27">
        <v>9</v>
      </c>
      <c r="I8" s="27">
        <v>29</v>
      </c>
      <c r="J8" s="27">
        <v>38</v>
      </c>
      <c r="K8" s="27">
        <v>9</v>
      </c>
      <c r="L8" s="27">
        <v>6</v>
      </c>
      <c r="M8" s="30">
        <f t="shared" si="0"/>
        <v>135</v>
      </c>
      <c r="N8" s="38"/>
    </row>
    <row r="9" spans="1:14" s="28" customFormat="1" x14ac:dyDescent="0.2">
      <c r="A9" s="44" t="s">
        <v>2</v>
      </c>
      <c r="B9" s="27">
        <f>SUM(StateSenatorSenateDistrict2General[Clinton County Vote Results])</f>
        <v>14756</v>
      </c>
      <c r="C9" s="27">
        <f>SUM(StateSenatorSenateDistrict2General[Essex County Vote Results])</f>
        <v>8784</v>
      </c>
      <c r="D9" s="27">
        <f>SUM(StateSenatorSenateDistrict2General[Franklin County Vote Results])</f>
        <v>5607</v>
      </c>
      <c r="E9" s="27">
        <f>SUM(StateSenatorSenateDistrict2General[Fulton County Vote Results])</f>
        <v>8516</v>
      </c>
      <c r="F9" s="27">
        <f>SUM(StateSenatorSenateDistrict2General[Hamilton County Vote Results])</f>
        <v>2340</v>
      </c>
      <c r="G9" s="27">
        <f>SUM(StateSenatorSenateDistrict2General[Montgomery County Vote Results])</f>
        <v>6064</v>
      </c>
      <c r="H9" s="27">
        <f>SUM(StateSenatorSenateDistrict2General[St. Lawrence County Vote Results])</f>
        <v>13590</v>
      </c>
      <c r="I9" s="27">
        <f>SUM(StateSenatorSenateDistrict2General[Saratoga County Vote Results])</f>
        <v>44457</v>
      </c>
      <c r="J9" s="27">
        <f>SUM(StateSenatorSenateDistrict2General[Schenectady County Vote Results])</f>
        <v>27492</v>
      </c>
      <c r="K9" s="27">
        <f>SUM(StateSenatorSenateDistrict2General[Warren County Vote Results])</f>
        <v>15079</v>
      </c>
      <c r="L9" s="27">
        <f>SUM(StateSenatorSenateDistrict2General[Washington County Vote Results])</f>
        <v>9575</v>
      </c>
      <c r="M9" s="45">
        <f>SUM(StateSenatorSenateDistrict2General[Total Votes by Party])</f>
        <v>156260</v>
      </c>
      <c r="N9" s="38"/>
    </row>
    <row r="11" spans="1:14" x14ac:dyDescent="0.2">
      <c r="B11" s="71"/>
    </row>
  </sheetData>
  <mergeCells count="1">
    <mergeCell ref="A1:D1"/>
  </mergeCells>
  <pageMargins left="0.25" right="0.25" top="0.25" bottom="0.25" header="0.25" footer="0.25"/>
  <pageSetup paperSize="5" scale="58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A2B66-F0B5-4EFC-B49F-A87BFF4D8E56}">
  <sheetPr>
    <pageSetUpPr fitToPage="1"/>
  </sheetPr>
  <dimension ref="A1:I11"/>
  <sheetViews>
    <sheetView workbookViewId="0">
      <pane xSplit="1" topLeftCell="B1" activePane="topRight" state="frozen"/>
      <selection activeCell="E21" sqref="E21"/>
      <selection pane="topRight" activeCell="C25" sqref="C25"/>
    </sheetView>
  </sheetViews>
  <sheetFormatPr defaultRowHeight="12.75" x14ac:dyDescent="0.2"/>
  <cols>
    <col min="1" max="1" width="25.5703125" customWidth="1"/>
    <col min="2" max="9" width="20.5703125" customWidth="1"/>
    <col min="10" max="11" width="23.5703125" customWidth="1"/>
  </cols>
  <sheetData>
    <row r="1" spans="1:9" ht="42.75" customHeight="1" x14ac:dyDescent="0.2">
      <c r="A1" s="73" t="s">
        <v>140</v>
      </c>
      <c r="B1" s="73"/>
      <c r="C1" s="73"/>
      <c r="D1" s="73"/>
      <c r="E1" s="73"/>
      <c r="F1" s="73"/>
    </row>
    <row r="2" spans="1:9" ht="24.95" customHeight="1" x14ac:dyDescent="0.2">
      <c r="A2" s="14" t="s">
        <v>16</v>
      </c>
      <c r="B2" s="25" t="s">
        <v>33</v>
      </c>
      <c r="C2" s="25" t="s">
        <v>32</v>
      </c>
      <c r="D2" s="25" t="s">
        <v>31</v>
      </c>
      <c r="E2" s="25" t="s">
        <v>30</v>
      </c>
      <c r="F2" s="25" t="s">
        <v>29</v>
      </c>
      <c r="G2" s="25" t="s">
        <v>28</v>
      </c>
      <c r="H2" s="13" t="s">
        <v>3</v>
      </c>
      <c r="I2" s="12" t="s">
        <v>4</v>
      </c>
    </row>
    <row r="3" spans="1:9" ht="12.75" customHeight="1" x14ac:dyDescent="0.2">
      <c r="A3" s="42" t="s">
        <v>88</v>
      </c>
      <c r="B3" s="39">
        <v>4123</v>
      </c>
      <c r="C3" s="39">
        <v>8229</v>
      </c>
      <c r="D3" s="39">
        <v>3335</v>
      </c>
      <c r="E3" s="39">
        <v>20668</v>
      </c>
      <c r="F3" s="39">
        <v>39497</v>
      </c>
      <c r="G3" s="39">
        <v>8850</v>
      </c>
      <c r="H3" s="30">
        <f t="shared" ref="H3:H7" si="0">SUM(B3:G3)</f>
        <v>84702</v>
      </c>
      <c r="I3" s="31">
        <f>SUM(H3,H5)</f>
        <v>108515</v>
      </c>
    </row>
    <row r="4" spans="1:9" ht="12.75" customHeight="1" x14ac:dyDescent="0.2">
      <c r="A4" s="42" t="s">
        <v>89</v>
      </c>
      <c r="B4" s="40">
        <v>4135</v>
      </c>
      <c r="C4" s="39">
        <v>6821</v>
      </c>
      <c r="D4" s="39">
        <v>3147</v>
      </c>
      <c r="E4" s="39">
        <v>19306</v>
      </c>
      <c r="F4" s="39">
        <v>34703</v>
      </c>
      <c r="G4" s="39">
        <v>8284</v>
      </c>
      <c r="H4" s="30">
        <f t="shared" si="0"/>
        <v>76396</v>
      </c>
      <c r="I4" s="31">
        <f>SUM(H4,H6)</f>
        <v>99773</v>
      </c>
    </row>
    <row r="5" spans="1:9" ht="12.75" customHeight="1" x14ac:dyDescent="0.2">
      <c r="A5" s="42" t="s">
        <v>90</v>
      </c>
      <c r="B5" s="40">
        <v>998</v>
      </c>
      <c r="C5" s="39">
        <v>1778</v>
      </c>
      <c r="D5" s="39">
        <v>653</v>
      </c>
      <c r="E5" s="39">
        <v>5249</v>
      </c>
      <c r="F5" s="39">
        <v>12921</v>
      </c>
      <c r="G5" s="39">
        <v>2214</v>
      </c>
      <c r="H5" s="30">
        <f t="shared" si="0"/>
        <v>23813</v>
      </c>
      <c r="I5" s="50"/>
    </row>
    <row r="6" spans="1:9" ht="12.75" customHeight="1" x14ac:dyDescent="0.2">
      <c r="A6" s="42" t="s">
        <v>91</v>
      </c>
      <c r="B6" s="40">
        <v>1095</v>
      </c>
      <c r="C6" s="39">
        <v>1655</v>
      </c>
      <c r="D6" s="39">
        <v>663</v>
      </c>
      <c r="E6" s="39">
        <v>5350</v>
      </c>
      <c r="F6" s="39">
        <v>12254</v>
      </c>
      <c r="G6" s="39">
        <v>2360</v>
      </c>
      <c r="H6" s="30">
        <f t="shared" si="0"/>
        <v>23377</v>
      </c>
      <c r="I6" s="50"/>
    </row>
    <row r="7" spans="1:9" ht="12.75" customHeight="1" x14ac:dyDescent="0.2">
      <c r="A7" s="42" t="s">
        <v>92</v>
      </c>
      <c r="B7" s="41">
        <v>1360</v>
      </c>
      <c r="C7" s="39">
        <v>2796</v>
      </c>
      <c r="D7" s="39">
        <v>777</v>
      </c>
      <c r="E7" s="39">
        <v>8097</v>
      </c>
      <c r="F7" s="39">
        <v>23841</v>
      </c>
      <c r="G7" s="39">
        <v>3133</v>
      </c>
      <c r="H7" s="30">
        <f t="shared" si="0"/>
        <v>40004</v>
      </c>
      <c r="I7" s="31">
        <f>SUM(H7)</f>
        <v>40004</v>
      </c>
    </row>
    <row r="8" spans="1:9" x14ac:dyDescent="0.2">
      <c r="A8" s="43" t="s">
        <v>0</v>
      </c>
      <c r="B8" s="26">
        <v>4056</v>
      </c>
      <c r="C8" s="26">
        <v>8234</v>
      </c>
      <c r="D8" s="26">
        <v>4043</v>
      </c>
      <c r="E8" s="26">
        <v>23884</v>
      </c>
      <c r="F8" s="26">
        <v>57230</v>
      </c>
      <c r="G8" s="26">
        <v>9083</v>
      </c>
      <c r="H8" s="30">
        <f t="shared" ref="H8:H10" si="1">SUM(B8:G8)</f>
        <v>106530</v>
      </c>
      <c r="I8" s="33"/>
    </row>
    <row r="9" spans="1:9" x14ac:dyDescent="0.2">
      <c r="A9" s="43" t="s">
        <v>1</v>
      </c>
      <c r="B9" s="26">
        <v>48</v>
      </c>
      <c r="C9" s="26">
        <v>48</v>
      </c>
      <c r="D9" s="26">
        <v>14</v>
      </c>
      <c r="E9" s="26">
        <v>250</v>
      </c>
      <c r="F9" s="26">
        <v>142</v>
      </c>
      <c r="G9" s="26">
        <v>128</v>
      </c>
      <c r="H9" s="30">
        <f t="shared" si="1"/>
        <v>630</v>
      </c>
      <c r="I9" s="38"/>
    </row>
    <row r="10" spans="1:9" x14ac:dyDescent="0.2">
      <c r="A10" s="43" t="s">
        <v>8</v>
      </c>
      <c r="B10" s="26">
        <v>35</v>
      </c>
      <c r="C10" s="26">
        <v>41</v>
      </c>
      <c r="D10" s="26">
        <v>10</v>
      </c>
      <c r="E10" s="26">
        <v>168</v>
      </c>
      <c r="F10" s="26">
        <v>848</v>
      </c>
      <c r="G10" s="26">
        <v>122</v>
      </c>
      <c r="H10" s="30">
        <f t="shared" si="1"/>
        <v>1224</v>
      </c>
      <c r="I10" s="38"/>
    </row>
    <row r="11" spans="1:9" s="28" customFormat="1" x14ac:dyDescent="0.2">
      <c r="A11" s="44" t="s">
        <v>2</v>
      </c>
      <c r="B11" s="26">
        <f>SUM(StateSenatorSenateDistrict3General[Herkimer County Vote Results])</f>
        <v>15850</v>
      </c>
      <c r="C11" s="26">
        <f>SUM(StateSenatorSenateDistrict3General[Jefferson County Vote Results])</f>
        <v>29602</v>
      </c>
      <c r="D11" s="26">
        <f>SUM(StateSenatorSenateDistrict3General[Lewis County Vote Results])</f>
        <v>12642</v>
      </c>
      <c r="E11" s="26">
        <f>SUM(StateSenatorSenateDistrict3General[Oneida County Vote Results])</f>
        <v>82972</v>
      </c>
      <c r="F11" s="26">
        <f>SUM(StateSenatorSenateDistrict3General[Onondaga County Vote Results])</f>
        <v>181436</v>
      </c>
      <c r="G11" s="26">
        <f>SUM(StateSenatorSenateDistrict3General[Oswego County Vote Results])</f>
        <v>34174</v>
      </c>
      <c r="H11" s="45">
        <f>SUM(StateSenatorSenateDistrict3General[Total Votes by Party])</f>
        <v>356676</v>
      </c>
      <c r="I11" s="38"/>
    </row>
  </sheetData>
  <mergeCells count="1">
    <mergeCell ref="A1:F1"/>
  </mergeCells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7C85F-7E30-4866-A3C1-C0E8CF9DA0F9}">
  <sheetPr>
    <pageSetUpPr fitToPage="1"/>
  </sheetPr>
  <dimension ref="A1:M10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6" sqref="G6"/>
    </sheetView>
  </sheetViews>
  <sheetFormatPr defaultRowHeight="12.75" x14ac:dyDescent="0.2"/>
  <cols>
    <col min="1" max="1" width="25.5703125" customWidth="1"/>
    <col min="2" max="13" width="20.5703125" customWidth="1"/>
    <col min="14" max="15" width="23.5703125" customWidth="1"/>
  </cols>
  <sheetData>
    <row r="1" spans="1:13" ht="39" customHeight="1" x14ac:dyDescent="0.2">
      <c r="A1" s="74" t="s">
        <v>141</v>
      </c>
      <c r="B1" s="75"/>
      <c r="C1" s="75"/>
      <c r="D1" s="75"/>
    </row>
    <row r="2" spans="1:13" ht="24.95" customHeight="1" x14ac:dyDescent="0.2">
      <c r="A2" s="14" t="s">
        <v>93</v>
      </c>
      <c r="B2" s="25" t="s">
        <v>94</v>
      </c>
      <c r="C2" s="25" t="s">
        <v>95</v>
      </c>
      <c r="D2" s="25" t="s">
        <v>96</v>
      </c>
      <c r="E2" s="25" t="s">
        <v>97</v>
      </c>
      <c r="F2" s="25" t="s">
        <v>98</v>
      </c>
      <c r="G2" s="25" t="s">
        <v>99</v>
      </c>
      <c r="H2" s="25" t="s">
        <v>100</v>
      </c>
      <c r="I2" s="25" t="s">
        <v>101</v>
      </c>
      <c r="J2" s="25" t="s">
        <v>102</v>
      </c>
      <c r="K2" s="25" t="s">
        <v>103</v>
      </c>
      <c r="L2" s="13" t="s">
        <v>3</v>
      </c>
      <c r="M2" s="12" t="s">
        <v>4</v>
      </c>
    </row>
    <row r="3" spans="1:13" x14ac:dyDescent="0.2">
      <c r="A3" s="51" t="s">
        <v>142</v>
      </c>
      <c r="B3" s="52">
        <v>14340</v>
      </c>
      <c r="C3" s="52">
        <v>3674</v>
      </c>
      <c r="D3" s="52">
        <v>2304</v>
      </c>
      <c r="E3" s="52">
        <v>3604</v>
      </c>
      <c r="F3" s="52">
        <v>3406</v>
      </c>
      <c r="G3" s="52">
        <v>4772</v>
      </c>
      <c r="H3" s="52">
        <v>4756</v>
      </c>
      <c r="I3" s="52">
        <v>1437</v>
      </c>
      <c r="J3" s="52">
        <v>2154</v>
      </c>
      <c r="K3" s="52">
        <v>13500</v>
      </c>
      <c r="L3" s="6">
        <f>SUM(B3:K3)</f>
        <v>53947</v>
      </c>
      <c r="M3" s="11">
        <f>SUM(L3)</f>
        <v>53947</v>
      </c>
    </row>
    <row r="4" spans="1:13" x14ac:dyDescent="0.2">
      <c r="A4" s="10" t="s">
        <v>104</v>
      </c>
      <c r="B4" s="52">
        <v>17271</v>
      </c>
      <c r="C4" s="52">
        <v>5334</v>
      </c>
      <c r="D4" s="52">
        <v>4082</v>
      </c>
      <c r="E4" s="52">
        <v>3720</v>
      </c>
      <c r="F4" s="52">
        <v>5026</v>
      </c>
      <c r="G4" s="52">
        <v>6773</v>
      </c>
      <c r="H4" s="52">
        <v>5701</v>
      </c>
      <c r="I4" s="52">
        <v>1843</v>
      </c>
      <c r="J4" s="52">
        <v>3484</v>
      </c>
      <c r="K4" s="52">
        <v>3787</v>
      </c>
      <c r="L4" s="6">
        <f>SUM(B4:K4)</f>
        <v>57021</v>
      </c>
      <c r="M4" s="11">
        <f>SUM(L4)</f>
        <v>57021</v>
      </c>
    </row>
    <row r="5" spans="1:13" x14ac:dyDescent="0.2">
      <c r="A5" s="9" t="s">
        <v>0</v>
      </c>
      <c r="B5" s="17">
        <v>1879</v>
      </c>
      <c r="C5" s="17">
        <v>635</v>
      </c>
      <c r="D5" s="17">
        <v>260</v>
      </c>
      <c r="E5" s="17">
        <v>411</v>
      </c>
      <c r="F5" s="17">
        <v>455</v>
      </c>
      <c r="G5" s="17">
        <v>782</v>
      </c>
      <c r="H5" s="17">
        <v>837</v>
      </c>
      <c r="I5" s="17">
        <v>120</v>
      </c>
      <c r="J5" s="17">
        <v>148</v>
      </c>
      <c r="K5" s="17">
        <v>571</v>
      </c>
      <c r="L5" s="6">
        <f t="shared" ref="L5:L7" si="0">SUM(EB:EK)</f>
        <v>0</v>
      </c>
      <c r="M5" s="5"/>
    </row>
    <row r="6" spans="1:13" x14ac:dyDescent="0.2">
      <c r="A6" s="9" t="s">
        <v>1</v>
      </c>
      <c r="B6" s="17">
        <v>28</v>
      </c>
      <c r="C6" s="17">
        <v>5</v>
      </c>
      <c r="D6" s="17">
        <v>4</v>
      </c>
      <c r="E6" s="17">
        <v>0</v>
      </c>
      <c r="F6" s="17">
        <v>5</v>
      </c>
      <c r="G6" s="17">
        <v>9</v>
      </c>
      <c r="H6" s="17">
        <v>11</v>
      </c>
      <c r="I6" s="17">
        <v>0</v>
      </c>
      <c r="J6" s="17">
        <v>5</v>
      </c>
      <c r="K6" s="17">
        <v>2</v>
      </c>
      <c r="L6" s="6">
        <f t="shared" si="0"/>
        <v>0</v>
      </c>
      <c r="M6" s="5"/>
    </row>
    <row r="7" spans="1:13" x14ac:dyDescent="0.2">
      <c r="A7" s="9" t="s">
        <v>8</v>
      </c>
      <c r="B7" s="17">
        <v>38</v>
      </c>
      <c r="C7" s="17">
        <v>10</v>
      </c>
      <c r="D7" s="17">
        <v>6</v>
      </c>
      <c r="E7" s="17">
        <v>1</v>
      </c>
      <c r="F7" s="17">
        <v>2</v>
      </c>
      <c r="G7" s="17">
        <v>10</v>
      </c>
      <c r="H7" s="17">
        <v>8</v>
      </c>
      <c r="I7" s="17">
        <v>3</v>
      </c>
      <c r="J7" s="17">
        <v>4</v>
      </c>
      <c r="K7" s="17">
        <v>10</v>
      </c>
      <c r="L7" s="6">
        <f t="shared" si="0"/>
        <v>0</v>
      </c>
      <c r="M7" s="5"/>
    </row>
    <row r="8" spans="1:13" x14ac:dyDescent="0.2">
      <c r="A8" s="8" t="s">
        <v>2</v>
      </c>
      <c r="B8" s="17">
        <f>SUM(SupremeCourtJustice6[Broome County Vote Results])</f>
        <v>33556</v>
      </c>
      <c r="C8" s="17">
        <f>SUM(SupremeCourtJustice6[Chemung County Vote Results])</f>
        <v>9658</v>
      </c>
      <c r="D8" s="17">
        <f>SUM(SupremeCourtJustice6[Chenango County Vote Results])</f>
        <v>6656</v>
      </c>
      <c r="E8" s="17">
        <f>SUM(SupremeCourtJustice6[Cortland County Vote Results])</f>
        <v>7736</v>
      </c>
      <c r="F8" s="17">
        <f>SUM(SupremeCourtJustice6[Delaware County Vote Results])</f>
        <v>8894</v>
      </c>
      <c r="G8" s="17">
        <f>SUM(SupremeCourtJustice6[Madison County Vote Results])</f>
        <v>12346</v>
      </c>
      <c r="H8" s="17">
        <f>SUM(SupremeCourtJustice6[Otsego County Vote Results])</f>
        <v>11313</v>
      </c>
      <c r="I8" s="17">
        <f>SUM(SupremeCourtJustice6[Schuyler County Vote Results])</f>
        <v>3403</v>
      </c>
      <c r="J8" s="17">
        <f>SUM(SupremeCourtJustice6[Tioga County Vote Results])</f>
        <v>5795</v>
      </c>
      <c r="K8" s="17">
        <f>SUM(SupremeCourtJustice6[Tompkins County Vote Results])</f>
        <v>17870</v>
      </c>
      <c r="L8" s="6">
        <f>SUM(SupremeCourtJustice6[Total Votes by Party])</f>
        <v>110968</v>
      </c>
      <c r="M8" s="5"/>
    </row>
    <row r="10" spans="1:13" x14ac:dyDescent="0.2">
      <c r="K10" s="72"/>
    </row>
  </sheetData>
  <mergeCells count="1">
    <mergeCell ref="A1:D1"/>
  </mergeCells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194E8-247A-485E-B747-F958C96A7ACC}">
  <sheetPr>
    <pageSetUpPr fitToPage="1"/>
  </sheetPr>
  <dimension ref="A1:K11"/>
  <sheetViews>
    <sheetView workbookViewId="0">
      <pane xSplit="1" topLeftCell="B1" activePane="topRight" state="frozen"/>
      <selection activeCell="E21" sqref="E21"/>
      <selection pane="topRight" activeCell="I3" activeCellId="7" sqref="B3 C3 D3 E3 F3 G3 H3 I3"/>
    </sheetView>
  </sheetViews>
  <sheetFormatPr defaultRowHeight="12.75" x14ac:dyDescent="0.2"/>
  <cols>
    <col min="1" max="1" width="25.5703125" customWidth="1"/>
    <col min="2" max="11" width="20.5703125" customWidth="1"/>
    <col min="12" max="13" width="23.5703125" customWidth="1"/>
  </cols>
  <sheetData>
    <row r="1" spans="1:11" ht="38.25" customHeight="1" x14ac:dyDescent="0.2">
      <c r="A1" s="73" t="s">
        <v>143</v>
      </c>
      <c r="B1" s="73"/>
      <c r="C1" s="73"/>
      <c r="D1" s="73"/>
      <c r="E1" s="73"/>
    </row>
    <row r="2" spans="1:11" ht="24.95" customHeight="1" x14ac:dyDescent="0.2">
      <c r="A2" s="14" t="s">
        <v>16</v>
      </c>
      <c r="B2" s="25" t="s">
        <v>41</v>
      </c>
      <c r="C2" s="25" t="s">
        <v>40</v>
      </c>
      <c r="D2" s="25" t="s">
        <v>39</v>
      </c>
      <c r="E2" s="25" t="s">
        <v>38</v>
      </c>
      <c r="F2" s="25" t="s">
        <v>37</v>
      </c>
      <c r="G2" s="25" t="s">
        <v>36</v>
      </c>
      <c r="H2" s="25" t="s">
        <v>35</v>
      </c>
      <c r="I2" s="25" t="s">
        <v>34</v>
      </c>
      <c r="J2" s="13" t="s">
        <v>3</v>
      </c>
      <c r="K2" s="12" t="s">
        <v>4</v>
      </c>
    </row>
    <row r="3" spans="1:11" x14ac:dyDescent="0.2">
      <c r="A3" s="10" t="s">
        <v>105</v>
      </c>
      <c r="B3" s="7">
        <v>6425</v>
      </c>
      <c r="C3" s="7">
        <v>2884</v>
      </c>
      <c r="D3" s="7">
        <v>70120</v>
      </c>
      <c r="E3" s="7">
        <v>8928</v>
      </c>
      <c r="F3" s="7">
        <v>2696</v>
      </c>
      <c r="G3" s="7">
        <v>4104</v>
      </c>
      <c r="H3" s="7">
        <v>3678</v>
      </c>
      <c r="I3" s="7">
        <v>1262</v>
      </c>
      <c r="J3" s="6">
        <f t="shared" ref="J3:J10" si="0">SUM(B3:I3)</f>
        <v>100097</v>
      </c>
      <c r="K3" s="11">
        <f>SUM(J3)</f>
        <v>100097</v>
      </c>
    </row>
    <row r="4" spans="1:11" x14ac:dyDescent="0.2">
      <c r="A4" s="10" t="s">
        <v>106</v>
      </c>
      <c r="B4" s="7">
        <v>6669</v>
      </c>
      <c r="C4" s="7">
        <v>4926</v>
      </c>
      <c r="D4" s="7">
        <v>56321</v>
      </c>
      <c r="E4" s="7">
        <v>9359</v>
      </c>
      <c r="F4" s="7">
        <v>3494</v>
      </c>
      <c r="G4" s="7">
        <v>7534</v>
      </c>
      <c r="H4" s="7">
        <v>6925</v>
      </c>
      <c r="I4" s="7">
        <v>1782</v>
      </c>
      <c r="J4" s="6">
        <f t="shared" si="0"/>
        <v>97010</v>
      </c>
      <c r="K4" s="11">
        <f>SUM(J4,J6)</f>
        <v>124810</v>
      </c>
    </row>
    <row r="5" spans="1:11" x14ac:dyDescent="0.2">
      <c r="A5" s="10" t="s">
        <v>107</v>
      </c>
      <c r="B5" s="7">
        <v>5516</v>
      </c>
      <c r="C5" s="7">
        <v>4377</v>
      </c>
      <c r="D5" s="7">
        <v>45969</v>
      </c>
      <c r="E5" s="7">
        <v>8141</v>
      </c>
      <c r="F5" s="7">
        <v>2906</v>
      </c>
      <c r="G5" s="7">
        <v>6913</v>
      </c>
      <c r="H5" s="7">
        <v>5918</v>
      </c>
      <c r="I5" s="7">
        <v>1706</v>
      </c>
      <c r="J5" s="6">
        <f t="shared" si="0"/>
        <v>81446</v>
      </c>
      <c r="K5" s="11">
        <f>SUM(J5,J7)</f>
        <v>108697</v>
      </c>
    </row>
    <row r="6" spans="1:11" x14ac:dyDescent="0.2">
      <c r="A6" s="10" t="s">
        <v>108</v>
      </c>
      <c r="B6" s="7">
        <v>2015</v>
      </c>
      <c r="C6" s="7">
        <v>1151</v>
      </c>
      <c r="D6" s="7">
        <v>17802</v>
      </c>
      <c r="E6" s="7">
        <v>2422</v>
      </c>
      <c r="F6" s="7">
        <v>667</v>
      </c>
      <c r="G6" s="7">
        <v>1174</v>
      </c>
      <c r="H6" s="7">
        <v>2216</v>
      </c>
      <c r="I6" s="7">
        <v>353</v>
      </c>
      <c r="J6" s="6">
        <f t="shared" si="0"/>
        <v>27800</v>
      </c>
      <c r="K6" s="5"/>
    </row>
    <row r="7" spans="1:11" x14ac:dyDescent="0.2">
      <c r="A7" s="10" t="s">
        <v>109</v>
      </c>
      <c r="B7" s="18">
        <v>1952</v>
      </c>
      <c r="C7" s="7">
        <v>1122</v>
      </c>
      <c r="D7" s="7">
        <v>17449</v>
      </c>
      <c r="E7" s="7">
        <v>2382</v>
      </c>
      <c r="F7" s="7">
        <v>648</v>
      </c>
      <c r="G7" s="7">
        <v>1195</v>
      </c>
      <c r="H7" s="7">
        <v>2148</v>
      </c>
      <c r="I7" s="7">
        <v>355</v>
      </c>
      <c r="J7" s="6">
        <f t="shared" si="0"/>
        <v>27251</v>
      </c>
      <c r="K7" s="5"/>
    </row>
    <row r="8" spans="1:11" x14ac:dyDescent="0.2">
      <c r="A8" s="9" t="s">
        <v>0</v>
      </c>
      <c r="B8" s="7">
        <v>9143</v>
      </c>
      <c r="C8" s="7">
        <v>4304</v>
      </c>
      <c r="D8" s="7">
        <v>79348</v>
      </c>
      <c r="E8" s="7">
        <v>10030</v>
      </c>
      <c r="F8" s="7">
        <v>3839</v>
      </c>
      <c r="G8" s="7">
        <v>6701</v>
      </c>
      <c r="H8" s="7">
        <v>5631</v>
      </c>
      <c r="I8" s="7">
        <v>1622</v>
      </c>
      <c r="J8" s="6">
        <f t="shared" si="0"/>
        <v>120618</v>
      </c>
      <c r="K8" s="5"/>
    </row>
    <row r="9" spans="1:11" x14ac:dyDescent="0.2">
      <c r="A9" s="9" t="s">
        <v>1</v>
      </c>
      <c r="B9" s="7">
        <v>56</v>
      </c>
      <c r="C9" s="7">
        <v>23</v>
      </c>
      <c r="D9" s="7">
        <v>102</v>
      </c>
      <c r="E9" s="7">
        <v>30</v>
      </c>
      <c r="F9" s="7">
        <v>14</v>
      </c>
      <c r="G9" s="7">
        <v>66</v>
      </c>
      <c r="H9" s="7">
        <v>86</v>
      </c>
      <c r="I9" s="7">
        <v>32</v>
      </c>
      <c r="J9" s="6">
        <f t="shared" si="0"/>
        <v>409</v>
      </c>
      <c r="K9" s="5"/>
    </row>
    <row r="10" spans="1:11" x14ac:dyDescent="0.2">
      <c r="A10" s="9" t="s">
        <v>8</v>
      </c>
      <c r="B10" s="7">
        <v>52</v>
      </c>
      <c r="C10" s="7">
        <v>29</v>
      </c>
      <c r="D10" s="7">
        <v>511</v>
      </c>
      <c r="E10" s="7">
        <v>36</v>
      </c>
      <c r="F10" s="7">
        <v>18</v>
      </c>
      <c r="G10" s="7">
        <v>41</v>
      </c>
      <c r="H10" s="7">
        <v>44</v>
      </c>
      <c r="I10" s="7">
        <v>4</v>
      </c>
      <c r="J10" s="6">
        <f t="shared" si="0"/>
        <v>735</v>
      </c>
      <c r="K10" s="5"/>
    </row>
    <row r="11" spans="1:11" s="28" customFormat="1" x14ac:dyDescent="0.2">
      <c r="A11" s="44" t="s">
        <v>2</v>
      </c>
      <c r="B11" s="27">
        <f>SUM(StateSenatorSenateDistrict4General[Cayuga County Vote Results])</f>
        <v>31828</v>
      </c>
      <c r="C11" s="27">
        <f>SUM(StateSenatorSenateDistrict4General[Livingston County Vote Results])</f>
        <v>18816</v>
      </c>
      <c r="D11" s="27">
        <f>SUM(StateSenatorSenateDistrict4General[Monroe County Vote Results])</f>
        <v>287622</v>
      </c>
      <c r="E11" s="27">
        <f>SUM(StateSenatorSenateDistrict4General[Ontario County Vote Results])</f>
        <v>41328</v>
      </c>
      <c r="F11" s="27">
        <f>SUM(StateSenatorSenateDistrict4General[Seneca County Vote Results])</f>
        <v>14282</v>
      </c>
      <c r="G11" s="27">
        <f>SUM(StateSenatorSenateDistrict4General[Steuben County Vote Results])</f>
        <v>27728</v>
      </c>
      <c r="H11" s="27">
        <f>SUM(StateSenatorSenateDistrict4General[Wayne County Vote Results])</f>
        <v>26646</v>
      </c>
      <c r="I11" s="27">
        <f>SUM(StateSenatorSenateDistrict4General[Yates County Vote Results])</f>
        <v>7116</v>
      </c>
      <c r="J11" s="45">
        <f>SUM(StateSenatorSenateDistrict4General[Total Votes by Party])</f>
        <v>455366</v>
      </c>
      <c r="K11" s="38"/>
    </row>
  </sheetData>
  <mergeCells count="1">
    <mergeCell ref="A1:E1"/>
  </mergeCells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12697-4041-4317-BB73-12D89F9ED118}">
  <sheetPr>
    <pageSetUpPr fitToPage="1"/>
  </sheetPr>
  <dimension ref="A1:H20"/>
  <sheetViews>
    <sheetView tabSelected="1" workbookViewId="0">
      <pane xSplit="1" topLeftCell="B1" activePane="topRight" state="frozen"/>
      <selection activeCell="E21" sqref="E21"/>
      <selection pane="topRight" activeCell="C10" sqref="C10"/>
    </sheetView>
  </sheetViews>
  <sheetFormatPr defaultRowHeight="12.75" x14ac:dyDescent="0.2"/>
  <cols>
    <col min="1" max="1" width="28.7109375" customWidth="1"/>
    <col min="2" max="8" width="20.5703125" customWidth="1"/>
    <col min="9" max="10" width="23.5703125" customWidth="1"/>
  </cols>
  <sheetData>
    <row r="1" spans="1:8" ht="40.5" customHeight="1" x14ac:dyDescent="0.2">
      <c r="A1" s="73" t="s">
        <v>144</v>
      </c>
      <c r="B1" s="73"/>
      <c r="C1" s="73"/>
      <c r="D1" s="73"/>
      <c r="E1" s="73"/>
    </row>
    <row r="2" spans="1:8" ht="24.95" customHeight="1" x14ac:dyDescent="0.2">
      <c r="A2" s="14" t="s">
        <v>16</v>
      </c>
      <c r="B2" s="25" t="s">
        <v>46</v>
      </c>
      <c r="C2" s="25" t="s">
        <v>45</v>
      </c>
      <c r="D2" s="25" t="s">
        <v>44</v>
      </c>
      <c r="E2" s="25" t="s">
        <v>43</v>
      </c>
      <c r="F2" s="25" t="s">
        <v>42</v>
      </c>
      <c r="G2" s="13" t="s">
        <v>3</v>
      </c>
      <c r="H2" s="12" t="s">
        <v>4</v>
      </c>
    </row>
    <row r="3" spans="1:8" x14ac:dyDescent="0.2">
      <c r="A3" s="10" t="s">
        <v>112</v>
      </c>
      <c r="B3" s="17">
        <v>32207</v>
      </c>
      <c r="C3" s="17">
        <v>19375</v>
      </c>
      <c r="D3" s="17">
        <v>7801</v>
      </c>
      <c r="E3" s="17">
        <v>27856</v>
      </c>
      <c r="F3" s="17">
        <v>96133</v>
      </c>
      <c r="G3" s="6">
        <f t="shared" ref="G3:G17" si="0">SUM(B3:F3)</f>
        <v>183372</v>
      </c>
      <c r="H3" s="11">
        <f>SUM(G3,G11)</f>
        <v>204792</v>
      </c>
    </row>
    <row r="4" spans="1:8" x14ac:dyDescent="0.2">
      <c r="A4" s="10" t="s">
        <v>110</v>
      </c>
      <c r="B4" s="17">
        <v>29779</v>
      </c>
      <c r="C4" s="17">
        <v>17659</v>
      </c>
      <c r="D4" s="17">
        <v>7463</v>
      </c>
      <c r="E4" s="17">
        <v>26303</v>
      </c>
      <c r="F4" s="17">
        <v>90769</v>
      </c>
      <c r="G4" s="6">
        <f t="shared" si="0"/>
        <v>171973</v>
      </c>
      <c r="H4" s="11">
        <f>SUM(G4,G12)</f>
        <v>193566</v>
      </c>
    </row>
    <row r="5" spans="1:8" x14ac:dyDescent="0.2">
      <c r="A5" s="10" t="s">
        <v>111</v>
      </c>
      <c r="B5" s="17">
        <v>28747</v>
      </c>
      <c r="C5" s="17">
        <v>17060</v>
      </c>
      <c r="D5" s="17">
        <v>7266</v>
      </c>
      <c r="E5" s="17">
        <v>26470</v>
      </c>
      <c r="F5" s="17">
        <v>87560</v>
      </c>
      <c r="G5" s="6">
        <f t="shared" si="0"/>
        <v>167103</v>
      </c>
      <c r="H5" s="11">
        <f>SUM(G5,G13)</f>
        <v>185851</v>
      </c>
    </row>
    <row r="6" spans="1:8" x14ac:dyDescent="0.2">
      <c r="A6" s="10" t="s">
        <v>113</v>
      </c>
      <c r="B6" s="17">
        <v>29501</v>
      </c>
      <c r="C6" s="17">
        <v>17563</v>
      </c>
      <c r="D6" s="17">
        <v>7390</v>
      </c>
      <c r="E6" s="17">
        <v>26497</v>
      </c>
      <c r="F6" s="17">
        <v>89517</v>
      </c>
      <c r="G6" s="6">
        <f t="shared" si="0"/>
        <v>170468</v>
      </c>
      <c r="H6" s="11">
        <f>SUM(G6,G14)</f>
        <v>189385</v>
      </c>
    </row>
    <row r="7" spans="1:8" x14ac:dyDescent="0.2">
      <c r="A7" s="10" t="s">
        <v>114</v>
      </c>
      <c r="B7" s="17">
        <v>28088</v>
      </c>
      <c r="C7" s="17">
        <v>22177</v>
      </c>
      <c r="D7" s="17">
        <v>9468</v>
      </c>
      <c r="E7" s="17">
        <v>22441</v>
      </c>
      <c r="F7" s="17">
        <v>56803</v>
      </c>
      <c r="G7" s="6">
        <f t="shared" si="0"/>
        <v>138977</v>
      </c>
      <c r="H7" s="11">
        <f>SUM(G7)</f>
        <v>138977</v>
      </c>
    </row>
    <row r="8" spans="1:8" x14ac:dyDescent="0.2">
      <c r="A8" s="10" t="s">
        <v>145</v>
      </c>
      <c r="B8" s="17">
        <v>26303</v>
      </c>
      <c r="C8" s="17">
        <v>21390</v>
      </c>
      <c r="D8" s="17">
        <v>8644</v>
      </c>
      <c r="E8" s="17">
        <v>21261</v>
      </c>
      <c r="F8" s="17">
        <v>52219</v>
      </c>
      <c r="G8" s="6">
        <f t="shared" si="0"/>
        <v>129817</v>
      </c>
      <c r="H8" s="11">
        <f>SUM(G8)</f>
        <v>129817</v>
      </c>
    </row>
    <row r="9" spans="1:8" x14ac:dyDescent="0.2">
      <c r="A9" s="10" t="s">
        <v>115</v>
      </c>
      <c r="B9" s="17">
        <v>27466</v>
      </c>
      <c r="C9" s="17">
        <v>21264</v>
      </c>
      <c r="D9" s="17">
        <v>8972</v>
      </c>
      <c r="E9" s="17">
        <v>21886</v>
      </c>
      <c r="F9" s="17">
        <v>54311</v>
      </c>
      <c r="G9" s="6">
        <f t="shared" si="0"/>
        <v>133899</v>
      </c>
      <c r="H9" s="11">
        <f>SUM(G9)</f>
        <v>133899</v>
      </c>
    </row>
    <row r="10" spans="1:8" x14ac:dyDescent="0.2">
      <c r="A10" s="10" t="s">
        <v>116</v>
      </c>
      <c r="B10" s="17">
        <v>26562</v>
      </c>
      <c r="C10" s="17">
        <v>20682</v>
      </c>
      <c r="D10" s="17">
        <v>8724</v>
      </c>
      <c r="E10" s="17">
        <v>21562</v>
      </c>
      <c r="F10" s="17">
        <v>52297</v>
      </c>
      <c r="G10" s="6">
        <f t="shared" si="0"/>
        <v>129827</v>
      </c>
      <c r="H10" s="11">
        <f>SUM(G10)</f>
        <v>129827</v>
      </c>
    </row>
    <row r="11" spans="1:8" x14ac:dyDescent="0.2">
      <c r="A11" s="10" t="s">
        <v>118</v>
      </c>
      <c r="B11" s="17">
        <v>3888</v>
      </c>
      <c r="C11" s="17">
        <v>3699</v>
      </c>
      <c r="D11" s="17">
        <v>1698</v>
      </c>
      <c r="E11" s="17">
        <v>4873</v>
      </c>
      <c r="F11" s="17">
        <v>7262</v>
      </c>
      <c r="G11" s="6">
        <f>SUM(B11:F11)</f>
        <v>21420</v>
      </c>
      <c r="H11" s="5"/>
    </row>
    <row r="12" spans="1:8" x14ac:dyDescent="0.2">
      <c r="A12" s="10" t="s">
        <v>117</v>
      </c>
      <c r="B12" s="17">
        <v>3886</v>
      </c>
      <c r="C12" s="17">
        <v>3496</v>
      </c>
      <c r="D12" s="17">
        <v>1728</v>
      </c>
      <c r="E12" s="17">
        <v>4897</v>
      </c>
      <c r="F12" s="17">
        <v>7586</v>
      </c>
      <c r="G12" s="6">
        <f t="shared" si="0"/>
        <v>21593</v>
      </c>
      <c r="H12" s="5"/>
    </row>
    <row r="13" spans="1:8" x14ac:dyDescent="0.2">
      <c r="A13" s="10" t="s">
        <v>120</v>
      </c>
      <c r="B13" s="17">
        <v>3399</v>
      </c>
      <c r="C13" s="17">
        <v>2950</v>
      </c>
      <c r="D13" s="17">
        <v>1536</v>
      </c>
      <c r="E13" s="17">
        <v>5135</v>
      </c>
      <c r="F13" s="17">
        <v>5728</v>
      </c>
      <c r="G13" s="6">
        <f>SUM(B13:F13)</f>
        <v>18748</v>
      </c>
      <c r="H13" s="5"/>
    </row>
    <row r="14" spans="1:8" x14ac:dyDescent="0.2">
      <c r="A14" s="10" t="s">
        <v>119</v>
      </c>
      <c r="B14" s="17">
        <v>3399</v>
      </c>
      <c r="C14" s="17">
        <v>3190</v>
      </c>
      <c r="D14" s="17">
        <v>1535</v>
      </c>
      <c r="E14" s="17">
        <v>4821</v>
      </c>
      <c r="F14" s="17">
        <v>5972</v>
      </c>
      <c r="G14" s="6">
        <f t="shared" si="0"/>
        <v>18917</v>
      </c>
      <c r="H14" s="5"/>
    </row>
    <row r="15" spans="1:8" x14ac:dyDescent="0.2">
      <c r="A15" s="9" t="s">
        <v>0</v>
      </c>
      <c r="B15" s="17">
        <v>37805</v>
      </c>
      <c r="C15" s="17">
        <v>34306</v>
      </c>
      <c r="D15" s="17">
        <v>9050</v>
      </c>
      <c r="E15" s="17">
        <v>37360</v>
      </c>
      <c r="F15" s="17"/>
      <c r="G15" s="6">
        <f t="shared" si="0"/>
        <v>118521</v>
      </c>
      <c r="H15" s="5"/>
    </row>
    <row r="16" spans="1:8" x14ac:dyDescent="0.2">
      <c r="A16" s="9" t="s">
        <v>1</v>
      </c>
      <c r="B16" s="17">
        <v>188</v>
      </c>
      <c r="C16" s="17">
        <v>146</v>
      </c>
      <c r="D16" s="17">
        <v>96</v>
      </c>
      <c r="E16" s="17">
        <v>332</v>
      </c>
      <c r="F16" s="17"/>
      <c r="G16" s="6">
        <f t="shared" si="0"/>
        <v>762</v>
      </c>
      <c r="H16" s="5"/>
    </row>
    <row r="17" spans="1:8" x14ac:dyDescent="0.2">
      <c r="A17" s="9" t="s">
        <v>8</v>
      </c>
      <c r="B17" s="17">
        <v>178</v>
      </c>
      <c r="C17" s="17">
        <v>163</v>
      </c>
      <c r="D17" s="17">
        <v>49</v>
      </c>
      <c r="E17" s="17">
        <v>454</v>
      </c>
      <c r="F17" s="17">
        <v>145</v>
      </c>
      <c r="G17" s="6">
        <f t="shared" si="0"/>
        <v>989</v>
      </c>
      <c r="H17" s="5"/>
    </row>
    <row r="18" spans="1:8" s="28" customFormat="1" x14ac:dyDescent="0.2">
      <c r="A18" s="44" t="s">
        <v>2</v>
      </c>
      <c r="B18" s="26">
        <f>SUM(StateSenatorSenateDistrict6General[Dutchess County Vote Results])</f>
        <v>281396</v>
      </c>
      <c r="C18" s="26">
        <f>SUM(StateSenatorSenateDistrict6General[Orange County Vote Results])</f>
        <v>205120</v>
      </c>
      <c r="D18" s="26">
        <f>SUM(StateSenatorSenateDistrict6General[Putnam County Vote Results])</f>
        <v>81420</v>
      </c>
      <c r="E18" s="26">
        <f>SUM(StateSenatorSenateDistrict6General[Rockland County Vote Results])</f>
        <v>252148</v>
      </c>
      <c r="F18" s="26">
        <f>SUM(StateSenatorSenateDistrict6General[Westchester Vote Results])</f>
        <v>606302</v>
      </c>
      <c r="G18" s="45">
        <f>SUM(StateSenatorSenateDistrict6General[Total Votes by Party])</f>
        <v>1426386</v>
      </c>
      <c r="H18" s="38"/>
    </row>
    <row r="20" spans="1:8" x14ac:dyDescent="0.2">
      <c r="C20" s="72"/>
    </row>
  </sheetData>
  <mergeCells count="1">
    <mergeCell ref="A1:E1"/>
  </mergeCells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F6ED0-5D39-4E61-BE70-C5EC69B47B0F}">
  <sheetPr>
    <pageSetUpPr fitToPage="1"/>
  </sheetPr>
  <dimension ref="A1:E16"/>
  <sheetViews>
    <sheetView workbookViewId="0">
      <selection activeCell="C10" activeCellId="5" sqref="B4 C4 B6 C6 B10 C10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42.75" customHeight="1" x14ac:dyDescent="0.2">
      <c r="A1" s="73" t="s">
        <v>146</v>
      </c>
      <c r="B1" s="73"/>
      <c r="C1" s="73"/>
      <c r="D1" s="73"/>
      <c r="E1" s="73"/>
    </row>
    <row r="2" spans="1:5" ht="24.95" customHeight="1" x14ac:dyDescent="0.2">
      <c r="A2" s="14" t="s">
        <v>16</v>
      </c>
      <c r="B2" s="25" t="s">
        <v>48</v>
      </c>
      <c r="C2" s="25" t="s">
        <v>47</v>
      </c>
      <c r="D2" s="13" t="s">
        <v>3</v>
      </c>
      <c r="E2" s="12" t="s">
        <v>4</v>
      </c>
    </row>
    <row r="3" spans="1:5" x14ac:dyDescent="0.2">
      <c r="A3" s="10" t="s">
        <v>121</v>
      </c>
      <c r="B3" s="17">
        <v>95705</v>
      </c>
      <c r="C3" s="17">
        <v>109371</v>
      </c>
      <c r="D3" s="6">
        <f>SUM(StateSenatorSenateDistrict7General[[#This Row],[Nassau County Vote Results]:[Suffolk County Vote Results]])</f>
        <v>205076</v>
      </c>
      <c r="E3" s="11">
        <f>SUM(D3,D5,D9)</f>
        <v>470397</v>
      </c>
    </row>
    <row r="4" spans="1:5" x14ac:dyDescent="0.2">
      <c r="A4" s="10" t="s">
        <v>122</v>
      </c>
      <c r="B4" s="17">
        <v>95138</v>
      </c>
      <c r="C4" s="17">
        <v>107376</v>
      </c>
      <c r="D4" s="6">
        <f>SUM(StateSenatorSenateDistrict7General[[#This Row],[Nassau County Vote Results]:[Suffolk County Vote Results]])</f>
        <v>202514</v>
      </c>
      <c r="E4" s="11">
        <f>SUM(D4,D6,D10)</f>
        <v>469998</v>
      </c>
    </row>
    <row r="5" spans="1:5" x14ac:dyDescent="0.2">
      <c r="A5" s="10" t="s">
        <v>124</v>
      </c>
      <c r="B5" s="17">
        <v>110408</v>
      </c>
      <c r="C5" s="17">
        <v>109967</v>
      </c>
      <c r="D5" s="6">
        <f>SUM(StateSenatorSenateDistrict7General[[#This Row],[Nassau County Vote Results]:[Suffolk County Vote Results]])</f>
        <v>220375</v>
      </c>
      <c r="E5" s="46"/>
    </row>
    <row r="6" spans="1:5" x14ac:dyDescent="0.2">
      <c r="A6" s="10" t="s">
        <v>123</v>
      </c>
      <c r="B6" s="17">
        <v>111545</v>
      </c>
      <c r="C6" s="17">
        <v>110388</v>
      </c>
      <c r="D6" s="6">
        <f>SUM(StateSenatorSenateDistrict7General[[#This Row],[Nassau County Vote Results]:[Suffolk County Vote Results]])</f>
        <v>221933</v>
      </c>
      <c r="E6" s="46"/>
    </row>
    <row r="7" spans="1:5" x14ac:dyDescent="0.2">
      <c r="A7" s="53" t="s">
        <v>125</v>
      </c>
      <c r="B7" s="55">
        <v>123749</v>
      </c>
      <c r="C7" s="55">
        <v>124504</v>
      </c>
      <c r="D7" s="54">
        <f>SUM(StateSenatorSenateDistrict7General[[#This Row],[Nassau County Vote Results]:[Suffolk County Vote Results]])</f>
        <v>248253</v>
      </c>
      <c r="E7" s="11">
        <f>SUM(D7,D11)</f>
        <v>305171</v>
      </c>
    </row>
    <row r="8" spans="1:5" x14ac:dyDescent="0.2">
      <c r="A8" s="10" t="s">
        <v>126</v>
      </c>
      <c r="B8" s="17">
        <v>125904</v>
      </c>
      <c r="C8" s="17">
        <v>128603</v>
      </c>
      <c r="D8" s="6">
        <f>SUM(StateSenatorSenateDistrict7General[[#This Row],[Nassau County Vote Results]:[Suffolk County Vote Results]])</f>
        <v>254507</v>
      </c>
      <c r="E8" s="11">
        <f>SUM(D8,D12)</f>
        <v>312829</v>
      </c>
    </row>
    <row r="9" spans="1:5" x14ac:dyDescent="0.2">
      <c r="A9" s="10" t="s">
        <v>130</v>
      </c>
      <c r="B9" s="17">
        <v>16417</v>
      </c>
      <c r="C9" s="17">
        <v>28529</v>
      </c>
      <c r="D9" s="6">
        <f>SUM(StateSenatorSenateDistrict7General[[#This Row],[Nassau County Vote Results]:[Suffolk County Vote Results]])</f>
        <v>44946</v>
      </c>
      <c r="E9" s="5"/>
    </row>
    <row r="10" spans="1:5" x14ac:dyDescent="0.2">
      <c r="A10" s="10" t="s">
        <v>129</v>
      </c>
      <c r="B10" s="17">
        <v>16767</v>
      </c>
      <c r="C10" s="17">
        <v>28784</v>
      </c>
      <c r="D10" s="6">
        <f>SUM(StateSenatorSenateDistrict7General[[#This Row],[Nassau County Vote Results]:[Suffolk County Vote Results]])</f>
        <v>45551</v>
      </c>
      <c r="E10" s="5"/>
    </row>
    <row r="11" spans="1:5" x14ac:dyDescent="0.2">
      <c r="A11" s="10" t="s">
        <v>128</v>
      </c>
      <c r="B11" s="17">
        <v>21308</v>
      </c>
      <c r="C11" s="17">
        <v>35610</v>
      </c>
      <c r="D11" s="6">
        <f>SUM(StateSenatorSenateDistrict7General[[#This Row],[Nassau County Vote Results]:[Suffolk County Vote Results]])</f>
        <v>56918</v>
      </c>
      <c r="E11" s="5"/>
    </row>
    <row r="12" spans="1:5" x14ac:dyDescent="0.2">
      <c r="A12" s="10" t="s">
        <v>127</v>
      </c>
      <c r="B12" s="17">
        <v>21726</v>
      </c>
      <c r="C12" s="17">
        <v>36596</v>
      </c>
      <c r="D12" s="6">
        <f>SUM(StateSenatorSenateDistrict7General[[#This Row],[Nassau County Vote Results]:[Suffolk County Vote Results]])</f>
        <v>58322</v>
      </c>
      <c r="E12" s="5"/>
    </row>
    <row r="13" spans="1:5" x14ac:dyDescent="0.2">
      <c r="A13" s="9" t="s">
        <v>0</v>
      </c>
      <c r="B13" s="17">
        <v>254741</v>
      </c>
      <c r="C13" s="17">
        <v>319252</v>
      </c>
      <c r="D13" s="6">
        <f>SUM(StateSenatorSenateDistrict7General[[#This Row],[Nassau County Vote Results]:[Suffolk County Vote Results]])</f>
        <v>573993</v>
      </c>
      <c r="E13" s="5"/>
    </row>
    <row r="14" spans="1:5" x14ac:dyDescent="0.2">
      <c r="A14" s="9" t="s">
        <v>1</v>
      </c>
      <c r="B14" s="17">
        <v>244</v>
      </c>
      <c r="C14" s="17">
        <v>220</v>
      </c>
      <c r="D14" s="6">
        <f>SUM(StateSenatorSenateDistrict7General[[#This Row],[Nassau County Vote Results]:[Suffolk County Vote Results]])</f>
        <v>464</v>
      </c>
      <c r="E14" s="5"/>
    </row>
    <row r="15" spans="1:5" x14ac:dyDescent="0.2">
      <c r="A15" s="9" t="s">
        <v>8</v>
      </c>
      <c r="B15" s="17">
        <v>4788</v>
      </c>
      <c r="C15" s="17">
        <v>2724</v>
      </c>
      <c r="D15" s="6">
        <f>SUM(StateSenatorSenateDistrict7General[[#This Row],[Nassau County Vote Results]:[Suffolk County Vote Results]])</f>
        <v>7512</v>
      </c>
      <c r="E15" s="5"/>
    </row>
    <row r="16" spans="1:5" s="28" customFormat="1" x14ac:dyDescent="0.2">
      <c r="A16" s="44" t="s">
        <v>2</v>
      </c>
      <c r="B16" s="26">
        <f>SUM(StateSenatorSenateDistrict7General[Nassau County Vote Results])</f>
        <v>998440</v>
      </c>
      <c r="C16" s="26">
        <f>SUM(StateSenatorSenateDistrict7General[Suffolk County Vote Results])</f>
        <v>1141924</v>
      </c>
      <c r="D16" s="45">
        <f>SUM(StateSenatorSenateDistrict7General[Total Votes by Party])</f>
        <v>2140364</v>
      </c>
      <c r="E16" s="38"/>
    </row>
  </sheetData>
  <mergeCells count="1">
    <mergeCell ref="A1:E1"/>
  </mergeCells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9</vt:i4>
      </vt:variant>
    </vt:vector>
  </HeadingPairs>
  <TitlesOfParts>
    <vt:vector size="23" baseType="lpstr">
      <vt:lpstr>1st JD</vt:lpstr>
      <vt:lpstr>2nd JD</vt:lpstr>
      <vt:lpstr>3rd JD</vt:lpstr>
      <vt:lpstr>4th JD</vt:lpstr>
      <vt:lpstr>5th JD</vt:lpstr>
      <vt:lpstr>6th JD</vt:lpstr>
      <vt:lpstr>7th JD</vt:lpstr>
      <vt:lpstr>9th JD</vt:lpstr>
      <vt:lpstr>10th JD</vt:lpstr>
      <vt:lpstr>11th JD</vt:lpstr>
      <vt:lpstr>12th JD</vt:lpstr>
      <vt:lpstr>Proposition 1</vt:lpstr>
      <vt:lpstr>Proposition 2</vt:lpstr>
      <vt:lpstr>Revision History</vt:lpstr>
      <vt:lpstr>'11th JD'!Print_Area</vt:lpstr>
      <vt:lpstr>'12th JD'!Print_Area</vt:lpstr>
      <vt:lpstr>'1st JD'!Print_Area</vt:lpstr>
      <vt:lpstr>'2nd JD'!Print_Area</vt:lpstr>
      <vt:lpstr>'3rd JD'!Print_Area</vt:lpstr>
      <vt:lpstr>'Proposition 1'!Print_Area</vt:lpstr>
      <vt:lpstr>'Proposition 2'!Print_Area</vt:lpstr>
      <vt:lpstr>'Proposition 1'!Print_Titles</vt:lpstr>
      <vt:lpstr>'Proposition 2'!Print_Titles</vt:lpstr>
    </vt:vector>
  </TitlesOfParts>
  <Manager/>
  <Company>NYSBOE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pjorczak</dc:creator>
  <cp:keywords/>
  <dc:description/>
  <cp:lastModifiedBy>Cornell, Joyce (ELECTIONS)</cp:lastModifiedBy>
  <cp:revision/>
  <cp:lastPrinted>2022-12-22T20:23:12Z</cp:lastPrinted>
  <dcterms:created xsi:type="dcterms:W3CDTF">2008-10-28T18:22:21Z</dcterms:created>
  <dcterms:modified xsi:type="dcterms:W3CDTF">2023-12-11T22:35:41Z</dcterms:modified>
  <cp:category/>
  <cp:contentStatus/>
</cp:coreProperties>
</file>