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94648686-2C05-4C92-AFD5-92EE4A74DA52}" xr6:coauthVersionLast="47" xr6:coauthVersionMax="47" xr10:uidLastSave="{00000000-0000-0000-0000-000000000000}"/>
  <bookViews>
    <workbookView xWindow="780" yWindow="780" windowWidth="18000" windowHeight="9360" activeTab="6" xr2:uid="{891B21B1-E3DF-4A3A-B585-AC66E1D2F66D}"/>
  </bookViews>
  <sheets>
    <sheet name="1st CD" sheetId="1" r:id="rId1"/>
    <sheet name="2nd CD" sheetId="2" r:id="rId2"/>
    <sheet name="3rd CD" sheetId="3" r:id="rId3"/>
    <sheet name="4th CD" sheetId="4" r:id="rId4"/>
    <sheet name="5th CD" sheetId="5" r:id="rId5"/>
    <sheet name="6th CD" sheetId="6" r:id="rId6"/>
    <sheet name="7th CD" sheetId="7" r:id="rId7"/>
    <sheet name="8th CD" sheetId="8" r:id="rId8"/>
    <sheet name="9th CD" sheetId="9" r:id="rId9"/>
    <sheet name="10th CD" sheetId="10" r:id="rId10"/>
    <sheet name="11th CD" sheetId="11" r:id="rId11"/>
    <sheet name="12th CD" sheetId="12" r:id="rId12"/>
    <sheet name="13th CD" sheetId="13" r:id="rId13"/>
    <sheet name="14th CD" sheetId="14" r:id="rId14"/>
    <sheet name="15th CD" sheetId="15" r:id="rId15"/>
    <sheet name="16th CD" sheetId="16" r:id="rId16"/>
    <sheet name="17th CD" sheetId="17" r:id="rId17"/>
    <sheet name="18th CD" sheetId="18" r:id="rId18"/>
    <sheet name="19th CD" sheetId="19" r:id="rId19"/>
    <sheet name="20th CD" sheetId="20" r:id="rId20"/>
    <sheet name="21st CD" sheetId="21" r:id="rId21"/>
    <sheet name="22nd CD" sheetId="22" r:id="rId22"/>
    <sheet name="23rd CD" sheetId="23" r:id="rId23"/>
    <sheet name="24th CD" sheetId="24" r:id="rId24"/>
    <sheet name="25th CD" sheetId="25" r:id="rId25"/>
    <sheet name="26th CD" sheetId="26" r:id="rId26"/>
  </sheets>
  <externalReferences>
    <externalReference r:id="rId2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8" l="1"/>
  <c r="C8" i="8"/>
  <c r="C7" i="8"/>
  <c r="C6" i="8"/>
  <c r="C5" i="8"/>
  <c r="C4" i="8"/>
  <c r="C3" i="8"/>
  <c r="D3" i="7"/>
  <c r="D4" i="7"/>
  <c r="D5" i="7"/>
  <c r="D6" i="7"/>
  <c r="D7" i="7"/>
  <c r="D8" i="7"/>
  <c r="D9" i="7"/>
  <c r="D3" i="26"/>
  <c r="D10" i="26" s="1"/>
  <c r="D4" i="26"/>
  <c r="E4" i="26" s="1"/>
  <c r="D5" i="26"/>
  <c r="D6" i="26"/>
  <c r="E3" i="26" s="1"/>
  <c r="D7" i="26"/>
  <c r="D8" i="26"/>
  <c r="D9" i="26"/>
  <c r="B10" i="26"/>
  <c r="C10" i="26"/>
  <c r="D3" i="25"/>
  <c r="D4" i="25"/>
  <c r="D5" i="25"/>
  <c r="E4" i="25" s="1"/>
  <c r="D6" i="25"/>
  <c r="D7" i="25"/>
  <c r="D8" i="25"/>
  <c r="D9" i="25"/>
  <c r="B10" i="25"/>
  <c r="C10" i="25"/>
  <c r="N3" i="24"/>
  <c r="O3" i="24" s="1"/>
  <c r="N4" i="24"/>
  <c r="N5" i="24"/>
  <c r="N6" i="24"/>
  <c r="N7" i="24"/>
  <c r="N8" i="24"/>
  <c r="B9" i="24"/>
  <c r="C9" i="24"/>
  <c r="D9" i="24"/>
  <c r="E9" i="24"/>
  <c r="F9" i="24"/>
  <c r="G9" i="24"/>
  <c r="H9" i="24"/>
  <c r="I9" i="24"/>
  <c r="J9" i="24"/>
  <c r="K9" i="24"/>
  <c r="L9" i="24"/>
  <c r="M9" i="24"/>
  <c r="I3" i="23"/>
  <c r="J3" i="23" s="1"/>
  <c r="I4" i="23"/>
  <c r="I5" i="23"/>
  <c r="I6" i="23"/>
  <c r="I7" i="23"/>
  <c r="I8" i="23"/>
  <c r="B9" i="23"/>
  <c r="C9" i="23"/>
  <c r="D9" i="23"/>
  <c r="E9" i="23"/>
  <c r="F9" i="23"/>
  <c r="G9" i="23"/>
  <c r="H9" i="23"/>
  <c r="F3" i="22"/>
  <c r="G3" i="22" s="1"/>
  <c r="F4" i="22"/>
  <c r="F5" i="22"/>
  <c r="F6" i="22"/>
  <c r="F7" i="22"/>
  <c r="F8" i="22"/>
  <c r="B9" i="22"/>
  <c r="C9" i="22"/>
  <c r="D9" i="22"/>
  <c r="E9" i="22"/>
  <c r="Q3" i="21"/>
  <c r="Q4" i="21"/>
  <c r="Q5" i="21"/>
  <c r="Q6" i="21"/>
  <c r="Q7" i="21"/>
  <c r="Q8" i="21"/>
  <c r="Q9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F3" i="20"/>
  <c r="F4" i="20"/>
  <c r="F5" i="20"/>
  <c r="F6" i="20"/>
  <c r="F7" i="20"/>
  <c r="F8" i="20"/>
  <c r="F9" i="20"/>
  <c r="B10" i="20"/>
  <c r="C10" i="20"/>
  <c r="D10" i="20"/>
  <c r="E10" i="20"/>
  <c r="M3" i="19"/>
  <c r="M4" i="19"/>
  <c r="M5" i="19"/>
  <c r="M6" i="19"/>
  <c r="M7" i="19"/>
  <c r="M8" i="19"/>
  <c r="M9" i="19"/>
  <c r="B10" i="19"/>
  <c r="C10" i="19"/>
  <c r="D10" i="19"/>
  <c r="E10" i="19"/>
  <c r="F10" i="19"/>
  <c r="G10" i="19"/>
  <c r="H10" i="19"/>
  <c r="I10" i="19"/>
  <c r="J10" i="19"/>
  <c r="K10" i="19"/>
  <c r="L10" i="19"/>
  <c r="E3" i="18"/>
  <c r="E4" i="18"/>
  <c r="E5" i="18"/>
  <c r="E6" i="18"/>
  <c r="E7" i="18"/>
  <c r="E8" i="18"/>
  <c r="E9" i="18"/>
  <c r="B10" i="18"/>
  <c r="C10" i="18"/>
  <c r="D10" i="18"/>
  <c r="F3" i="17"/>
  <c r="F4" i="17"/>
  <c r="F5" i="17"/>
  <c r="F6" i="17"/>
  <c r="F7" i="17"/>
  <c r="F8" i="17"/>
  <c r="F9" i="17"/>
  <c r="B10" i="17"/>
  <c r="C10" i="17"/>
  <c r="D10" i="17"/>
  <c r="E10" i="17"/>
  <c r="D3" i="16"/>
  <c r="D4" i="16"/>
  <c r="E4" i="16" s="1"/>
  <c r="D5" i="16"/>
  <c r="D6" i="16"/>
  <c r="D7" i="16"/>
  <c r="D8" i="16"/>
  <c r="B9" i="16"/>
  <c r="C9" i="16"/>
  <c r="C3" i="15"/>
  <c r="D3" i="15" s="1"/>
  <c r="C4" i="15"/>
  <c r="D4" i="15" s="1"/>
  <c r="C5" i="15"/>
  <c r="C6" i="15"/>
  <c r="C7" i="15"/>
  <c r="B8" i="15"/>
  <c r="D3" i="14"/>
  <c r="D4" i="14"/>
  <c r="E4" i="14" s="1"/>
  <c r="D5" i="14"/>
  <c r="E5" i="14" s="1"/>
  <c r="D6" i="14"/>
  <c r="D7" i="14"/>
  <c r="D8" i="14"/>
  <c r="D9" i="14"/>
  <c r="B10" i="14"/>
  <c r="C10" i="14"/>
  <c r="D3" i="13"/>
  <c r="E3" i="13" s="1"/>
  <c r="D4" i="13"/>
  <c r="D5" i="13"/>
  <c r="D6" i="13"/>
  <c r="B7" i="13"/>
  <c r="C7" i="13"/>
  <c r="C3" i="12"/>
  <c r="C4" i="12"/>
  <c r="C5" i="12"/>
  <c r="C6" i="12"/>
  <c r="C7" i="12"/>
  <c r="C8" i="12"/>
  <c r="D8" i="12" s="1"/>
  <c r="C9" i="12"/>
  <c r="C10" i="12"/>
  <c r="C11" i="12"/>
  <c r="B12" i="12"/>
  <c r="D3" i="11"/>
  <c r="E3" i="11" s="1"/>
  <c r="D4" i="11"/>
  <c r="D5" i="11"/>
  <c r="D6" i="11"/>
  <c r="D7" i="11"/>
  <c r="D8" i="11"/>
  <c r="B9" i="11"/>
  <c r="C9" i="11"/>
  <c r="D3" i="10"/>
  <c r="E3" i="10" s="1"/>
  <c r="D4" i="10"/>
  <c r="D5" i="10"/>
  <c r="D6" i="10"/>
  <c r="E6" i="10" s="1"/>
  <c r="D7" i="10"/>
  <c r="D8" i="10"/>
  <c r="D9" i="10"/>
  <c r="B10" i="10"/>
  <c r="C10" i="10"/>
  <c r="C3" i="9"/>
  <c r="C4" i="9"/>
  <c r="D4" i="9" s="1"/>
  <c r="C5" i="9"/>
  <c r="C6" i="9"/>
  <c r="C7" i="9"/>
  <c r="C8" i="9"/>
  <c r="B9" i="9"/>
  <c r="D3" i="8"/>
  <c r="B8" i="8"/>
  <c r="B10" i="7"/>
  <c r="C10" i="7"/>
  <c r="C3" i="6"/>
  <c r="D3" i="6" s="1"/>
  <c r="C4" i="6"/>
  <c r="C5" i="6"/>
  <c r="C6" i="6"/>
  <c r="C7" i="6"/>
  <c r="C8" i="6"/>
  <c r="C9" i="6"/>
  <c r="B10" i="6"/>
  <c r="C3" i="5"/>
  <c r="D3" i="5" s="1"/>
  <c r="C4" i="5"/>
  <c r="C5" i="5"/>
  <c r="C6" i="5"/>
  <c r="C7" i="5"/>
  <c r="C8" i="5"/>
  <c r="B9" i="5"/>
  <c r="C3" i="4"/>
  <c r="D3" i="4" s="1"/>
  <c r="C4" i="4"/>
  <c r="C5" i="4"/>
  <c r="C6" i="4"/>
  <c r="C7" i="4"/>
  <c r="C8" i="4"/>
  <c r="B9" i="4"/>
  <c r="D3" i="3"/>
  <c r="D4" i="3"/>
  <c r="D5" i="3"/>
  <c r="D6" i="3"/>
  <c r="D7" i="3"/>
  <c r="D8" i="3"/>
  <c r="D9" i="3"/>
  <c r="B10" i="3"/>
  <c r="C10" i="3"/>
  <c r="D3" i="2"/>
  <c r="D4" i="2"/>
  <c r="D5" i="2"/>
  <c r="D6" i="2"/>
  <c r="D7" i="2"/>
  <c r="D8" i="2"/>
  <c r="D9" i="2"/>
  <c r="B10" i="2"/>
  <c r="C10" i="2"/>
  <c r="C3" i="1"/>
  <c r="C4" i="1"/>
  <c r="C5" i="1"/>
  <c r="C6" i="1"/>
  <c r="C7" i="1"/>
  <c r="C8" i="1"/>
  <c r="C9" i="1"/>
  <c r="B10" i="1"/>
  <c r="O4" i="24" l="1"/>
  <c r="D10" i="25"/>
  <c r="G4" i="20"/>
  <c r="R3" i="21"/>
  <c r="G4" i="22"/>
  <c r="J4" i="23"/>
  <c r="E3" i="25"/>
  <c r="I9" i="23"/>
  <c r="N9" i="24"/>
  <c r="N4" i="19"/>
  <c r="R4" i="21"/>
  <c r="F9" i="22"/>
  <c r="Q10" i="21"/>
  <c r="D3" i="9"/>
  <c r="F4" i="18"/>
  <c r="N3" i="19"/>
  <c r="C8" i="15"/>
  <c r="F10" i="20"/>
  <c r="G3" i="20"/>
  <c r="F3" i="18"/>
  <c r="M10" i="19"/>
  <c r="G3" i="17"/>
  <c r="E3" i="16"/>
  <c r="E10" i="18"/>
  <c r="G4" i="17"/>
  <c r="F10" i="17"/>
  <c r="E4" i="11"/>
  <c r="D9" i="16"/>
  <c r="D4" i="12"/>
  <c r="D7" i="13"/>
  <c r="E3" i="14"/>
  <c r="D10" i="14"/>
  <c r="D3" i="12"/>
  <c r="D4" i="5"/>
  <c r="E4" i="7"/>
  <c r="E4" i="10"/>
  <c r="D9" i="11"/>
  <c r="C12" i="12"/>
  <c r="D4" i="8"/>
  <c r="C9" i="9"/>
  <c r="D10" i="10"/>
  <c r="D4" i="6"/>
  <c r="E3" i="7"/>
  <c r="C10" i="6"/>
  <c r="B9" i="8"/>
  <c r="D10" i="7"/>
  <c r="C9" i="5"/>
  <c r="D10" i="3"/>
  <c r="E4" i="3"/>
  <c r="D4" i="4"/>
  <c r="D4" i="1"/>
  <c r="C9" i="4"/>
  <c r="E3" i="3"/>
  <c r="E3" i="2"/>
  <c r="E4" i="2"/>
  <c r="D3" i="1"/>
  <c r="D10" i="2"/>
  <c r="C10" i="1"/>
</calcChain>
</file>

<file path=xl/sharedStrings.xml><?xml version="1.0" encoding="utf-8"?>
<sst xmlns="http://schemas.openxmlformats.org/spreadsheetml/2006/main" count="388" uniqueCount="188">
  <si>
    <t>Total Votes by County</t>
  </si>
  <si>
    <t>Scattering</t>
  </si>
  <si>
    <t>Void</t>
  </si>
  <si>
    <t>Blank</t>
  </si>
  <si>
    <t>Bridget Fleming (WOR)</t>
  </si>
  <si>
    <t>Nicholas J. LaLota (CON)</t>
  </si>
  <si>
    <t>Nicholas J. LaLota (REP)</t>
  </si>
  <si>
    <t>Bridget Fleming (DEM)</t>
  </si>
  <si>
    <t>Total Votes by Candidate</t>
  </si>
  <si>
    <t>Total Votes by Party</t>
  </si>
  <si>
    <t>Part of Suffolk County Vote Results</t>
  </si>
  <si>
    <t>Candidate Name (Party)</t>
  </si>
  <si>
    <t>Representative in Congress 1st Congressional District - General Election - November 8, 2022</t>
  </si>
  <si>
    <t>Jackie Gordon (WOR)</t>
  </si>
  <si>
    <t>Andrew R. Garbarino (CON)</t>
  </si>
  <si>
    <t>Andrew R. Garbarino (REP)</t>
  </si>
  <si>
    <t>Jackie Gordon (DEM)</t>
  </si>
  <si>
    <t>Part of Nassau County Vote Results</t>
  </si>
  <si>
    <t>Representative in Congress 2nd Congressional District - General Election - November 8, 2022</t>
  </si>
  <si>
    <t>Robert P. Zimmerman (WOR)</t>
  </si>
  <si>
    <t>George A. D. Santos (CON)</t>
  </si>
  <si>
    <t>George A. D. Santos (REP)</t>
  </si>
  <si>
    <t>Robert P. Zimmerman (DEM)</t>
  </si>
  <si>
    <t>Part of Queens County Vote Results</t>
  </si>
  <si>
    <t>Representative in Congress 3rd Congressional District - General Election - November 8, 2022</t>
  </si>
  <si>
    <t>Anthony P. D'Esposito (CON)</t>
  </si>
  <si>
    <t>Anthony P. D'Esposito (REP)</t>
  </si>
  <si>
    <t>Laura A. Gillen (DEM)</t>
  </si>
  <si>
    <t>Representative in Congress 4th Congressional District - General Election - November 8, 2022</t>
  </si>
  <si>
    <t>Paul King (CON)</t>
  </si>
  <si>
    <t>Paul King (REP)</t>
  </si>
  <si>
    <t>Gregory W. Meeks (DEM)</t>
  </si>
  <si>
    <t>Representative in Congress 5th Congressional District - General Election - November 8, 2022</t>
  </si>
  <si>
    <t>Thomas J. Zmich (Medical)</t>
  </si>
  <si>
    <t>Thomas J. Zmich (CON)</t>
  </si>
  <si>
    <t>Thomas J. Zmich (REP)</t>
  </si>
  <si>
    <t>Grace Meng (DEM)</t>
  </si>
  <si>
    <t>Representative in Congress 6th Congressional District - General Election - November 8, 2022</t>
  </si>
  <si>
    <t>Nydia M. Velazquez (WOR)</t>
  </si>
  <si>
    <t>Juan Pagan (CON)</t>
  </si>
  <si>
    <t>Juan Pagan (REP)</t>
  </si>
  <si>
    <t>Nydia M. Velazquez (DEM)</t>
  </si>
  <si>
    <t>Part of Kings County Vote Results</t>
  </si>
  <si>
    <t>Representative in Congress 7th Congressional District - General Election - November 8, 2022</t>
  </si>
  <si>
    <t>Yuri Dashevsky (CON)</t>
  </si>
  <si>
    <t>Yuri Dashevsky (REP)</t>
  </si>
  <si>
    <t>Hakeem S. Jeffries (DEM)</t>
  </si>
  <si>
    <t>Representative in Congress 8th Congressional District - General Election - November 8, 2022</t>
  </si>
  <si>
    <t>Yvette D. Clarke (WOR)</t>
  </si>
  <si>
    <t>Menachem M. Raitport (CON)</t>
  </si>
  <si>
    <t>Yvette D. Clarke (DEM)</t>
  </si>
  <si>
    <t>Representative in Congress 9th Congressional District - General Election - November 8, 2022</t>
  </si>
  <si>
    <t>Steve F. Speer (Medical)</t>
  </si>
  <si>
    <t>Benine A. Hamdan (CON)</t>
  </si>
  <si>
    <t>Benine A. Hamdan (REP)</t>
  </si>
  <si>
    <t>Daniel Goldman (DEM)</t>
  </si>
  <si>
    <t>Part of New York County Vote Results</t>
  </si>
  <si>
    <t>Representative in Congress 10th Congressional District - General Election - November 8, 2022</t>
  </si>
  <si>
    <t>Nicole Malliotakis (CON)</t>
  </si>
  <si>
    <t>Nicole Malliotakis (REP)</t>
  </si>
  <si>
    <t>Max N. Rose (DEM)</t>
  </si>
  <si>
    <t>Richmond County Vote Results</t>
  </si>
  <si>
    <t>Representative in Congress 11th Congressional District - General Election - November 8, 2022</t>
  </si>
  <si>
    <t>Mikhail Itkis (Itkis)</t>
  </si>
  <si>
    <t>Michael K. Zumbluskas (Parent)</t>
  </si>
  <si>
    <t>Jerrold L. Nadler (WOR)</t>
  </si>
  <si>
    <t>Michael K. Zumbluskas (CON)</t>
  </si>
  <si>
    <t>Michael K. Zumbluskas (REP)</t>
  </si>
  <si>
    <t>Jerrold L. Nadler (DEM)</t>
  </si>
  <si>
    <t>Representative in Congress 12th Congressional District - General Election - November 8, 2022</t>
  </si>
  <si>
    <t>Adriano Espaillat (DEM)</t>
  </si>
  <si>
    <t>Part of Bronx County Vote Results</t>
  </si>
  <si>
    <t>Representative in Congress 13th Congressional District - General Election - November 8, 2022</t>
  </si>
  <si>
    <t>Alexandria Ocasio-Cortez (WOR)</t>
  </si>
  <si>
    <t>Desi Cuellar (CON)</t>
  </si>
  <si>
    <t>Tina Forte (REP)</t>
  </si>
  <si>
    <t>Alexandria Ocasio-Cortez (DEM)</t>
  </si>
  <si>
    <t>Representative in Congress 14th Congressional District - General Election - November 8, 2022</t>
  </si>
  <si>
    <t>Stylo A. Sapaskis (REP)</t>
  </si>
  <si>
    <t>Ritchie Torres (DEM)</t>
  </si>
  <si>
    <t>Representative in Congress 15th Congressional District - General Election - November 8, 2022</t>
  </si>
  <si>
    <t>Jamaal Bowman (WOR)</t>
  </si>
  <si>
    <t>Miriam L. Flisser (REP)</t>
  </si>
  <si>
    <t>Jamaal Bowman (DEM)</t>
  </si>
  <si>
    <t>Part of Westchester County Vote Results</t>
  </si>
  <si>
    <t>Representative in Congress 16th Congressional District - General Election - November 8, 2022</t>
  </si>
  <si>
    <t>Sean Patrick Maloney (WOR)</t>
  </si>
  <si>
    <t>Mike Lawler (CON)</t>
  </si>
  <si>
    <t>Mike Lawler (REP)</t>
  </si>
  <si>
    <t>Sean Patrick Maloney (DEM)</t>
  </si>
  <si>
    <t>Rockland County Vote Results</t>
  </si>
  <si>
    <t>Putnam County Vote Results</t>
  </si>
  <si>
    <t>Part of Dutchess County Vote Results</t>
  </si>
  <si>
    <t>Representative in Congress 17th Congressional District - General Election - November 8, 2022</t>
  </si>
  <si>
    <t>Pat Ryan (WOR)</t>
  </si>
  <si>
    <t>Colin J. Schmitt (CON)</t>
  </si>
  <si>
    <t>Colin J. Schmitt (REP)</t>
  </si>
  <si>
    <t>Pat Ryan (DEM)</t>
  </si>
  <si>
    <t>Part of Ulster County Vote Results</t>
  </si>
  <si>
    <t>Orange County Vote Results</t>
  </si>
  <si>
    <t>Representative in Congress 18th Congressional District - General Election - November 8, 2022</t>
  </si>
  <si>
    <t>Josh Riley (WOR)</t>
  </si>
  <si>
    <t>Marcus Molinaro (CON)</t>
  </si>
  <si>
    <t>Marcus Molinaro (REP)</t>
  </si>
  <si>
    <t>Josh Riley (DEM)</t>
  </si>
  <si>
    <t>Tompkins County Vote Results</t>
  </si>
  <si>
    <t>Tioga County Vote Results</t>
  </si>
  <si>
    <t>Sullivan County Vote Results</t>
  </si>
  <si>
    <t>Part of Otsego County Vote Results</t>
  </si>
  <si>
    <t>Greene County Vote Results</t>
  </si>
  <si>
    <t>Delaware County Vote Results</t>
  </si>
  <si>
    <t>Cortland County Vote Results</t>
  </si>
  <si>
    <t>Columbia County Vote Results</t>
  </si>
  <si>
    <t>Chenango County Vote Results</t>
  </si>
  <si>
    <t>Broome County Vote Results</t>
  </si>
  <si>
    <t>Representative in Congress 19th Congressional District - General Election - November 8, 2022</t>
  </si>
  <si>
    <t>Paul D. Tonko (WOR)</t>
  </si>
  <si>
    <t>Elizabeth L. Joy (CON)</t>
  </si>
  <si>
    <t>Elizabeth L. Joy (REP)</t>
  </si>
  <si>
    <t>Paul D. Tonko (DEM)</t>
  </si>
  <si>
    <t>Schenectady County Vote Results</t>
  </si>
  <si>
    <t>Saratoga County Vote Results</t>
  </si>
  <si>
    <t>Part of Rensselaer County Vote Results</t>
  </si>
  <si>
    <t>Albany County Vote Results</t>
  </si>
  <si>
    <t>Representative in Congress 20th Congressional District - General Election - November 8, 2022</t>
  </si>
  <si>
    <t>Matt Castelli (MOD)</t>
  </si>
  <si>
    <t>Elise M. Stefanik (CON)</t>
  </si>
  <si>
    <t>Elise M. Stefanik (REP)</t>
  </si>
  <si>
    <t>Matt Castelli (DEM)</t>
  </si>
  <si>
    <t>Washington County Vote Results</t>
  </si>
  <si>
    <t>Warren County Vote Results</t>
  </si>
  <si>
    <t>Schoharie County Vote Results</t>
  </si>
  <si>
    <t>St. Lawrence County Vote Results</t>
  </si>
  <si>
    <t>Montgomery County Vote Results</t>
  </si>
  <si>
    <t>Lewis County Vote Results</t>
  </si>
  <si>
    <t>Part of Jefferson County Vote Results</t>
  </si>
  <si>
    <t>Herkimer County Vote Results</t>
  </si>
  <si>
    <t>Hamilton County Vote Results</t>
  </si>
  <si>
    <t>Fulton County Vote Results</t>
  </si>
  <si>
    <t>Franklin County Vote Results</t>
  </si>
  <si>
    <t>Essex County Vote Results</t>
  </si>
  <si>
    <t>Clinton County Vote Results</t>
  </si>
  <si>
    <t>Representative in Congress 21st Congressional District - General Election - November 8, 2022</t>
  </si>
  <si>
    <t>Brandon M. Williams (CON)</t>
  </si>
  <si>
    <t>Brandon M. Williams (REP)</t>
  </si>
  <si>
    <t>Francis Conole (DEM)</t>
  </si>
  <si>
    <t>Part of Oswego County Vote Results</t>
  </si>
  <si>
    <t>Onondaga County Vote Results</t>
  </si>
  <si>
    <t>Oneida County Vote Results</t>
  </si>
  <si>
    <t>Madison County Vote Results</t>
  </si>
  <si>
    <t>Representative in Congress 22nd Congressional District - General Election - November 8, 2022</t>
  </si>
  <si>
    <t>Nick Langworthy (CON)</t>
  </si>
  <si>
    <t>Nick Langworthy (REP)</t>
  </si>
  <si>
    <t>Max H. Della Pia (DEM)</t>
  </si>
  <si>
    <t>Steuben County Vote Results</t>
  </si>
  <si>
    <t>Schuyler County Vote Results</t>
  </si>
  <si>
    <t>Part of Erie County Vote Results</t>
  </si>
  <si>
    <t>Chemung County Vote Results</t>
  </si>
  <si>
    <t>Chautauqua County Vote Results</t>
  </si>
  <si>
    <t>Cattaraugus County Vote Results</t>
  </si>
  <si>
    <t>Allegany County Vote Results</t>
  </si>
  <si>
    <t>Representative in Congress 23rd Congressional District - General Election - November 8, 2022</t>
  </si>
  <si>
    <t>Claudia Tenney (CON)</t>
  </si>
  <si>
    <t>Claudia Tenney (REP)</t>
  </si>
  <si>
    <t>Steven Holden (DEM)</t>
  </si>
  <si>
    <t>Yates County Vote Results</t>
  </si>
  <si>
    <t>Wyoming County Vote Results</t>
  </si>
  <si>
    <t>Wayne County Vote Results</t>
  </si>
  <si>
    <t>Seneca County Vote Results</t>
  </si>
  <si>
    <t>Part of Orleans County Vote Results</t>
  </si>
  <si>
    <t>Ontario County Vote Results</t>
  </si>
  <si>
    <t>Niagara County Vote Results</t>
  </si>
  <si>
    <t>Livingston County Vote Results</t>
  </si>
  <si>
    <t>Genesee County Vote Results</t>
  </si>
  <si>
    <t>Cayuga County Vote Results</t>
  </si>
  <si>
    <t>Representative in Congress 24th Congressional District - General Election - November 8, 2022</t>
  </si>
  <si>
    <t>Joseph D. Morelle (WOR)</t>
  </si>
  <si>
    <t>La'Ron D. Singletary (CON)</t>
  </si>
  <si>
    <t>La'Ron D. Singletary (REP)</t>
  </si>
  <si>
    <t>Joseph D. Morelle (DEM)</t>
  </si>
  <si>
    <t>Monroe County Vote Results</t>
  </si>
  <si>
    <t>Representative in Congress 25th Congressional District - General Election - November 8, 2022</t>
  </si>
  <si>
    <t>Brian Higgins (WOR)</t>
  </si>
  <si>
    <t>Steven L. Sams, II (CON)</t>
  </si>
  <si>
    <t>Steven L. Sams, II (REP)</t>
  </si>
  <si>
    <t>Brian Higgins (DEM)</t>
  </si>
  <si>
    <t>Part of Niagara County Vote Results</t>
  </si>
  <si>
    <t>Representative in Congress 26th Congressional District - General Election - November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</si>
</sst>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2" borderId="1" xfId="0" applyNumberFormat="1" applyFont="1" applyFill="1" applyBorder="1"/>
    <xf numFmtId="3" fontId="1" fillId="3" borderId="1" xfId="0" applyNumberFormat="1" applyFont="1" applyFill="1" applyBorder="1"/>
    <xf numFmtId="3" fontId="1" fillId="0" borderId="1" xfId="0" applyNumberFormat="1" applyFont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3" fontId="1" fillId="5" borderId="1" xfId="0" applyNumberFormat="1" applyFont="1" applyFill="1" applyBorder="1"/>
    <xf numFmtId="0" fontId="2" fillId="6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2" fillId="3" borderId="1" xfId="0" applyNumberFormat="1" applyFont="1" applyFill="1" applyBorder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4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jwilson\AppData\Local\Microsoft\Windows\INetCache\Content.Outlook\8PAAKBLM\Statewide%20General%20Election%20Certified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ernor"/>
      <sheetName val="Comptroller"/>
      <sheetName val="Attorney General"/>
      <sheetName val="United States Senator"/>
      <sheetName val="1st JD"/>
      <sheetName val="2nd JD"/>
      <sheetName val="3rd JD"/>
      <sheetName val="4th JD"/>
      <sheetName val="5th JD"/>
      <sheetName val="7th JD"/>
      <sheetName val="8th JD"/>
      <sheetName val="9th JD"/>
      <sheetName val="10th JD"/>
      <sheetName val="11th JD"/>
      <sheetName val="12th JD"/>
      <sheetName val="13th JD"/>
      <sheetName val="1st CD"/>
      <sheetName val="2nd CD"/>
      <sheetName val="3rd CD"/>
      <sheetName val="4th CD"/>
      <sheetName val="5th CD"/>
      <sheetName val="6th CD"/>
      <sheetName val="7th CD"/>
      <sheetName val="8th CD"/>
      <sheetName val="9th CD"/>
      <sheetName val="10th CD"/>
      <sheetName val="11th CD"/>
      <sheetName val="12th CD"/>
      <sheetName val="13th CD"/>
      <sheetName val="14th CD"/>
      <sheetName val="15th CD"/>
      <sheetName val="16th CD"/>
      <sheetName val="17th CD"/>
      <sheetName val="18th CD"/>
      <sheetName val="19th CD"/>
      <sheetName val="20th CD"/>
      <sheetName val="21st CD"/>
      <sheetName val="22nd CD"/>
      <sheetName val="23rd CD"/>
      <sheetName val="24th CD"/>
      <sheetName val="25th CD"/>
      <sheetName val="26th CD"/>
      <sheetName val="1st SD"/>
      <sheetName val="2nd SD"/>
      <sheetName val="3rd SD"/>
      <sheetName val="4th SD"/>
      <sheetName val="5th SD"/>
      <sheetName val="6th SD"/>
      <sheetName val="7th SD"/>
      <sheetName val="8th SD"/>
      <sheetName val="9th SD"/>
      <sheetName val="10th SD"/>
      <sheetName val="11th SD"/>
      <sheetName val="12th SD"/>
      <sheetName val="13th SD"/>
      <sheetName val="14th SD"/>
      <sheetName val="15th SD"/>
      <sheetName val="16th SD"/>
      <sheetName val="17th SD"/>
      <sheetName val="18th SD"/>
      <sheetName val="19th SD"/>
      <sheetName val="20th SD"/>
      <sheetName val="21st SD"/>
      <sheetName val="22nd SD"/>
      <sheetName val="23rd SD"/>
      <sheetName val="24th SD"/>
      <sheetName val="25th SD"/>
      <sheetName val="26th SD"/>
      <sheetName val="27th SD"/>
      <sheetName val="28th SD"/>
      <sheetName val="29th SD"/>
      <sheetName val="30th SD"/>
      <sheetName val="31st SD"/>
      <sheetName val="32nd SD"/>
      <sheetName val="33rd SD"/>
      <sheetName val="34th SD"/>
      <sheetName val="35th SD"/>
      <sheetName val="36th SD"/>
      <sheetName val="37th SD"/>
      <sheetName val="38th SD"/>
      <sheetName val="39th SD"/>
      <sheetName val="40th SD"/>
      <sheetName val="41st SD"/>
      <sheetName val="42nd SD"/>
      <sheetName val="43rd SD"/>
      <sheetName val="44th SD"/>
      <sheetName val="45th SD"/>
      <sheetName val="46th SD"/>
      <sheetName val="47th SD"/>
      <sheetName val="48th SD"/>
      <sheetName val="49th SD"/>
      <sheetName val="50th SD"/>
      <sheetName val="51st SD"/>
      <sheetName val="52nd SD"/>
      <sheetName val="53rd SD"/>
      <sheetName val="54th SD"/>
      <sheetName val="55th SD"/>
      <sheetName val="56th SD"/>
      <sheetName val="57th SD"/>
      <sheetName val="58th SD"/>
      <sheetName val="59th SD"/>
      <sheetName val="60th SD"/>
      <sheetName val="61st SD"/>
      <sheetName val="62nd SD"/>
      <sheetName val="63rd SD"/>
      <sheetName val="1st AD"/>
      <sheetName val="2nd AD"/>
      <sheetName val="3rd AD"/>
      <sheetName val="4th AD"/>
      <sheetName val="5th AD"/>
      <sheetName val="6th AD"/>
      <sheetName val="7th AD"/>
      <sheetName val="8th AD"/>
      <sheetName val="9th AD"/>
      <sheetName val="10th AD"/>
      <sheetName val="11th AD"/>
      <sheetName val="12th AD"/>
      <sheetName val="13th AD"/>
      <sheetName val="14th AD"/>
      <sheetName val="15th AD"/>
      <sheetName val="16th AD"/>
      <sheetName val="17th AD"/>
      <sheetName val="18th AD"/>
      <sheetName val="19th AD"/>
      <sheetName val="20th AD"/>
      <sheetName val="21st AD"/>
      <sheetName val="22nd AD"/>
      <sheetName val="23rd AD"/>
      <sheetName val="24th AD"/>
      <sheetName val="25th AD"/>
      <sheetName val="26th AD"/>
      <sheetName val="27th AD"/>
      <sheetName val="28th AD"/>
      <sheetName val="29th AD"/>
      <sheetName val="30th AD"/>
      <sheetName val="31st AD"/>
      <sheetName val="32nd AD"/>
      <sheetName val="33rd AD"/>
      <sheetName val="34th AD"/>
      <sheetName val="35th AD"/>
      <sheetName val="36th AD"/>
      <sheetName val="37th AD"/>
      <sheetName val="38th AD"/>
      <sheetName val="39th AD"/>
      <sheetName val="40th AD"/>
      <sheetName val="41st AD"/>
      <sheetName val="42nd AD"/>
      <sheetName val="43rd AD"/>
      <sheetName val="44th AD"/>
      <sheetName val="45th AD"/>
      <sheetName val="46th AD"/>
      <sheetName val="47th AD"/>
      <sheetName val="48th AD"/>
      <sheetName val="49th AD"/>
      <sheetName val="50th AD"/>
      <sheetName val="52nd AD"/>
      <sheetName val="51st AD"/>
      <sheetName val="53rd AD"/>
      <sheetName val="54th AD"/>
      <sheetName val="55th AD"/>
      <sheetName val="56th AD"/>
      <sheetName val="57th AD"/>
      <sheetName val="58th AD"/>
      <sheetName val="59th AD"/>
      <sheetName val="60th AD"/>
      <sheetName val="61st AD"/>
      <sheetName val="62nd AD"/>
      <sheetName val="63rd AD"/>
      <sheetName val="64th AD"/>
      <sheetName val="65th AD"/>
      <sheetName val="66th AD"/>
      <sheetName val="67th AD"/>
      <sheetName val="68th AD"/>
      <sheetName val="69th AD"/>
      <sheetName val="70th AD"/>
      <sheetName val="71st AD"/>
      <sheetName val="72nd AD"/>
      <sheetName val="73rd AD"/>
      <sheetName val="74th AD"/>
      <sheetName val="75th AD"/>
      <sheetName val="76th AD"/>
      <sheetName val="77th AD"/>
      <sheetName val="78th AD"/>
      <sheetName val="79th AD"/>
      <sheetName val="80th AD"/>
      <sheetName val="81st AD"/>
      <sheetName val="82nd AD"/>
      <sheetName val="83rd AD"/>
      <sheetName val="84th AD"/>
      <sheetName val="85th AD"/>
      <sheetName val="86th AD"/>
      <sheetName val="87th AD"/>
      <sheetName val="88th AD"/>
      <sheetName val="89th AD"/>
      <sheetName val="90th AD"/>
      <sheetName val="91st AD"/>
      <sheetName val="92nd AD"/>
      <sheetName val="93rd AD"/>
      <sheetName val="94th AD"/>
      <sheetName val="95th AD"/>
      <sheetName val="96th AD"/>
      <sheetName val="97th AD"/>
      <sheetName val="98th AD"/>
      <sheetName val="99th AD"/>
      <sheetName val="100th AD"/>
      <sheetName val="101st AD"/>
      <sheetName val="102nd AD"/>
      <sheetName val="103rd AD"/>
      <sheetName val="104th AD"/>
      <sheetName val="105th AD"/>
      <sheetName val="106th AD"/>
      <sheetName val="107th AD"/>
      <sheetName val="108th AD"/>
      <sheetName val="109th AD"/>
      <sheetName val="110th AD"/>
      <sheetName val="111th AD"/>
      <sheetName val="112th AD"/>
      <sheetName val="113th AD"/>
      <sheetName val="114th AD"/>
      <sheetName val="115th AD"/>
      <sheetName val="116th AD"/>
      <sheetName val="117th AD"/>
      <sheetName val="118th AD"/>
      <sheetName val="119th AD"/>
      <sheetName val="120th AD"/>
      <sheetName val="121st AD"/>
      <sheetName val="122nd AD"/>
      <sheetName val="123rd AD"/>
      <sheetName val="124th AD"/>
      <sheetName val="125th AD"/>
      <sheetName val="126th AD"/>
      <sheetName val="127th AD"/>
      <sheetName val="128th AD"/>
      <sheetName val="129th AD"/>
      <sheetName val="130th AD"/>
      <sheetName val="131st AD"/>
      <sheetName val="132nd AD"/>
      <sheetName val="133rd AD"/>
      <sheetName val="134th AD"/>
      <sheetName val="135th AD"/>
      <sheetName val="136th AD"/>
      <sheetName val="137th AD"/>
      <sheetName val="138th AD"/>
      <sheetName val="139th AD"/>
      <sheetName val="140th AD"/>
      <sheetName val="141st AD"/>
      <sheetName val="142nd AD"/>
      <sheetName val="143rd AD"/>
      <sheetName val="144th AD"/>
      <sheetName val="145th AD"/>
      <sheetName val="146th AD"/>
      <sheetName val="147th AD"/>
      <sheetName val="148th AD"/>
      <sheetName val="149th AD"/>
      <sheetName val="150th AD"/>
      <sheetName val="Proposition 1"/>
      <sheetName val="Revision History"/>
      <sheetName val="Statewide General Election Ce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6A56C0-F635-4DFB-B0E4-3E9F5E40280D}" name="StateSenatorSenateDistrict7General14" displayName="StateSenatorSenateDistrict7General14" ref="A2:D10" totalsRowCount="1" headerRowDxfId="487" dataDxfId="485" totalsRowDxfId="483" headerRowBorderDxfId="486" tableBorderDxfId="484" totalsRowBorderDxfId="482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B2E16876-6E79-434C-BDC5-81FF28312457}" name="Candidate Name (Party)" totalsRowLabel="Total Votes by County" dataDxfId="481" totalsRowDxfId="480"/>
    <tableColumn id="5" xr3:uid="{B4BCBE3E-0F89-454A-9EC4-24E4A7437D95}" name="Part of Suffolk County Vote Results" totalsRowFunction="custom" dataDxfId="479" totalsRowDxfId="478">
      <totalsRowFormula>SUM(StateSenatorSenateDistrict7General14[Part of Suffolk County Vote Results])</totalsRowFormula>
    </tableColumn>
    <tableColumn id="3" xr3:uid="{8B806684-C532-4E51-8897-A5E0EFF4BE72}" name="Total Votes by Party" totalsRowFunction="custom" dataDxfId="477" totalsRowDxfId="476">
      <calculatedColumnFormula>SUM(B3)</calculatedColumnFormula>
      <totalsRowFormula>SUM(StateSenatorSenateDistrict7General14[Total Votes by Party])</totalsRowFormula>
    </tableColumn>
    <tableColumn id="2" xr3:uid="{F517C2B1-83A7-456C-A376-F592E2BBD276}" name="Total Votes by Candidate" dataDxfId="475" totalsRowDxfId="474">
      <calculatedColumnFormula>SUM(StateSenatorSenateDistrict7General14[[#This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D3AE372-EBFD-4EDD-9BCD-D91C61A205CC}" name="StateSenatorSenateDistrict7General14151617181920212223" displayName="StateSenatorSenateDistrict7General14151617181920212223" ref="A2:E10" totalsRowCount="1" headerRowDxfId="355" dataDxfId="353" totalsRowDxfId="351" headerRowBorderDxfId="354" tableBorderDxfId="352" totalsRowBorderDxfId="350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CE398AA-6963-45AA-8CE4-3279B3D54782}" name="Candidate Name (Party)" totalsRowLabel="Total Votes by County" dataDxfId="349" totalsRowDxfId="348"/>
    <tableColumn id="5" xr3:uid="{5586E333-54A5-4DB1-AE9F-20EE08850870}" name="Part of Kings County Vote Results" totalsRowFunction="custom" dataDxfId="347" totalsRowDxfId="346">
      <totalsRowFormula>SUM(StateSenatorSenateDistrict7General14151617181920212223[Part of Kings County Vote Results])</totalsRowFormula>
    </tableColumn>
    <tableColumn id="7" xr3:uid="{90D2C75D-DD05-4933-8FFC-D945E55DF2ED}" name="Part of New York County Vote Results" totalsRowFunction="custom" dataDxfId="345" totalsRowDxfId="344">
      <totalsRowFormula>SUM(StateSenatorSenateDistrict7General14151617181920212223[Part of New York County Vote Results])</totalsRowFormula>
    </tableColumn>
    <tableColumn id="3" xr3:uid="{E1B94CC8-7C81-41C0-8FDD-5EE91DD77879}" name="Total Votes by Party" totalsRowFunction="custom" dataDxfId="343" totalsRowDxfId="342">
      <calculatedColumnFormula>SUM(B3:C3)</calculatedColumnFormula>
      <totalsRowFormula>SUM(StateSenatorSenateDistrict7General14151617181920212223[Total Votes by Party])</totalsRowFormula>
    </tableColumn>
    <tableColumn id="2" xr3:uid="{38D2C3E5-8F14-4E93-905B-2E00768DB3BB}" name="Total Votes by Candidate" dataDxfId="341" totalsRowDxfId="340">
      <calculatedColumnFormula>SUM(StateSenatorSenateDistrict7General14151617181920212223[[#This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81611A3-77B4-475A-954E-D32C298540E7}" name="StateSenatorSenateDistrict7General1415161718192021222324" displayName="StateSenatorSenateDistrict7General1415161718192021222324" ref="A2:E9" totalsRowCount="1" headerRowDxfId="339" dataDxfId="337" totalsRowDxfId="335" headerRowBorderDxfId="338" tableBorderDxfId="336" totalsRowBorderDxfId="334">
  <autoFilter ref="A2:E8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CD9432-30BE-4694-A740-742A55EDEBC5}" name="Candidate Name (Party)" totalsRowLabel="Total Votes by County" dataDxfId="333" totalsRowDxfId="332"/>
    <tableColumn id="5" xr3:uid="{4E7B4594-CECC-4D92-BF0E-D4BE55EDAB00}" name="Part of Kings County Vote Results" totalsRowFunction="custom" dataDxfId="331" totalsRowDxfId="330">
      <totalsRowFormula>SUM(StateSenatorSenateDistrict7General1415161718192021222324[Part of Kings County Vote Results])</totalsRowFormula>
    </tableColumn>
    <tableColumn id="7" xr3:uid="{397945BA-D23D-46B0-813C-A06021F39E44}" name="Richmond County Vote Results" totalsRowFunction="custom" dataDxfId="329" totalsRowDxfId="328">
      <totalsRowFormula>SUM(StateSenatorSenateDistrict7General1415161718192021222324[Richmond County Vote Results])</totalsRowFormula>
    </tableColumn>
    <tableColumn id="3" xr3:uid="{2EC362A8-278A-446F-86AE-E44707FD1D5D}" name="Total Votes by Party" totalsRowFunction="custom" dataDxfId="327" totalsRowDxfId="326">
      <calculatedColumnFormula>SUM(B3:C3)</calculatedColumnFormula>
      <totalsRowFormula>SUM(StateSenatorSenateDistrict7General1415161718192021222324[Total Votes by Party])</totalsRowFormula>
    </tableColumn>
    <tableColumn id="2" xr3:uid="{7C821627-382E-41C7-951B-5632FA8450C0}" name="Total Votes by Candidate" dataDxfId="325" totalsRowDxfId="324">
      <calculatedColumnFormula>SUM(StateSenatorSenateDistrict7General1415161718192021222324[[#This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404DC8E-1C70-478C-B566-588B21FA113D}" name="StateSenatorSenateDistrict7General141516171819202122232425" displayName="StateSenatorSenateDistrict7General141516171819202122232425" ref="A2:D12" totalsRowCount="1" headerRowDxfId="323" dataDxfId="321" totalsRowDxfId="319" headerRowBorderDxfId="322" tableBorderDxfId="320" totalsRowBorderDxfId="318">
  <autoFilter ref="A2:D11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5DD28F8D-7AF0-46D2-BEE9-ECC69CE11F2F}" name="Candidate Name (Party)" totalsRowLabel="Total Votes by County" dataDxfId="317" totalsRowDxfId="316"/>
    <tableColumn id="5" xr3:uid="{CB8BDA31-E10E-46A6-A1B8-5EFAC3FC5FFA}" name="Part of New York County Vote Results" totalsRowFunction="custom" dataDxfId="315" totalsRowDxfId="314">
      <totalsRowFormula>SUM(StateSenatorSenateDistrict7General141516171819202122232425[Part of New York County Vote Results])</totalsRowFormula>
    </tableColumn>
    <tableColumn id="3" xr3:uid="{5757AA7E-4997-4AC3-A78B-D86DF73E3D63}" name="Total Votes by Party" totalsRowFunction="custom" dataDxfId="313" totalsRowDxfId="312">
      <calculatedColumnFormula>SUM(B3)</calculatedColumnFormula>
      <totalsRowFormula>SUM(StateSenatorSenateDistrict7General141516171819202122232425[Total Votes by Party])</totalsRowFormula>
    </tableColumn>
    <tableColumn id="2" xr3:uid="{EEEB92D9-8765-4072-AAD8-2A8076A18F1C}" name="Total Votes by Candidate" dataDxfId="311" totalsRowDxfId="310">
      <calculatedColumnFormula>SUM(StateSenatorSenateDistrict7General141516171819202122232425[[#This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223A1C2-845C-44A5-A75B-CD9E62B9431E}" name="StateSenatorSenateDistrict7General14151617181920212223242526" displayName="StateSenatorSenateDistrict7General14151617181920212223242526" ref="A2:E7" totalsRowCount="1" headerRowDxfId="309" dataDxfId="307" totalsRowDxfId="305" headerRowBorderDxfId="308" tableBorderDxfId="306" totalsRowBorderDxfId="304">
  <autoFilter ref="A2:E6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027A7C7-1610-4037-A27A-7D09D2658A78}" name="Candidate Name (Party)" totalsRowLabel="Total Votes by County" dataDxfId="303" totalsRowDxfId="302"/>
    <tableColumn id="5" xr3:uid="{E7DA541D-9EBB-4063-A5CD-9EC0BD6E5774}" name="Part of Bronx County Vote Results" totalsRowFunction="custom" dataDxfId="301" totalsRowDxfId="300">
      <totalsRowFormula>SUM(StateSenatorSenateDistrict7General14151617181920212223242526[Part of Bronx County Vote Results])</totalsRowFormula>
    </tableColumn>
    <tableColumn id="4" xr3:uid="{DEFFB708-481C-438F-967A-3A3A785A8DBD}" name="Part of New York County Vote Results" totalsRowFunction="custom" dataDxfId="299" totalsRowDxfId="298">
      <totalsRowFormula>SUM(StateSenatorSenateDistrict7General14151617181920212223242526[Part of New York County Vote Results])</totalsRowFormula>
    </tableColumn>
    <tableColumn id="3" xr3:uid="{50192814-BF84-44D6-861B-EB563AFC0ECF}" name="Total Votes by Party" totalsRowFunction="custom" dataDxfId="297" totalsRowDxfId="296">
      <calculatedColumnFormula>SUM(B3:C3)</calculatedColumnFormula>
      <totalsRowFormula>SUM(StateSenatorSenateDistrict7General14151617181920212223242526[Total Votes by Party])</totalsRowFormula>
    </tableColumn>
    <tableColumn id="2" xr3:uid="{4E493321-F44D-4E00-ABC3-DBC2563575A7}" name="Total Votes by Candidate" dataDxfId="295" totalsRowDxfId="294">
      <calculatedColumnFormula>SUM(D3)</calculatedColumnFormula>
    </tableColumn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955BD08-173F-4888-8E3F-6CE3AB7F7A2F}" name="StateSenatorSenateDistrict7General14151617181920212223242527" displayName="StateSenatorSenateDistrict7General14151617181920212223242527" ref="A2:E10" totalsRowCount="1" headerRowDxfId="293" dataDxfId="291" totalsRowDxfId="289" headerRowBorderDxfId="292" tableBorderDxfId="290" totalsRowBorderDxfId="288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EDDD2A1-2E86-481B-8778-309F4327000C}" name="Candidate Name (Party)" totalsRowLabel="Total Votes by County" dataDxfId="287" totalsRowDxfId="286"/>
    <tableColumn id="5" xr3:uid="{43127CEE-7582-4B0A-8222-E3A7A196E4C0}" name="Part of Bronx County Vote Results" totalsRowFunction="custom" dataDxfId="285" totalsRowDxfId="284">
      <totalsRowFormula>SUM(StateSenatorSenateDistrict7General14151617181920212223242527[Part of Bronx County Vote Results])</totalsRowFormula>
    </tableColumn>
    <tableColumn id="4" xr3:uid="{906AEA31-634C-40DA-B5A7-A6A44CAD0317}" name="Part of Queens County Vote Results" totalsRowFunction="custom" dataDxfId="283" totalsRowDxfId="282">
      <totalsRowFormula>SUM(StateSenatorSenateDistrict7General14151617181920212223242527[Part of Queens County Vote Results])</totalsRowFormula>
    </tableColumn>
    <tableColumn id="3" xr3:uid="{737B8979-DB9A-46AC-B8B1-4433C046B1F0}" name="Total Votes by Party" totalsRowFunction="custom" dataDxfId="281" totalsRowDxfId="280">
      <calculatedColumnFormula>SUM(B3:C3)</calculatedColumnFormula>
      <totalsRowFormula>SUM(StateSenatorSenateDistrict7General14151617181920212223242527[Total Votes by Party])</totalsRowFormula>
    </tableColumn>
    <tableColumn id="2" xr3:uid="{CA023199-9957-4126-ACF7-E6A2019A1829}" name="Total Votes by Candidate" dataDxfId="279" totalsRowDxfId="278">
      <calculatedColumnFormula>SUM(StateSenatorSenateDistrict7General14151617181920212223242527[[#This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109F214-DF2D-4A57-BA65-CAD79D62FDF6}" name="StateSenatorSenateDistrict7General14151617181920212223242528" displayName="StateSenatorSenateDistrict7General14151617181920212223242528" ref="A2:D8" totalsRowCount="1" headerRowDxfId="277" dataDxfId="275" totalsRowDxfId="273" headerRowBorderDxfId="276" tableBorderDxfId="274" totalsRowBorderDxfId="272">
  <autoFilter ref="A2:D7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3E18311E-BA48-46C5-A4A1-CC3D197F6C7F}" name="Candidate Name (Party)" totalsRowLabel="Total Votes by County" dataDxfId="271" totalsRowDxfId="270"/>
    <tableColumn id="5" xr3:uid="{8EF2702E-9E66-4977-9299-CCA10F26C503}" name="Part of Bronx County Vote Results" totalsRowFunction="custom" dataDxfId="269" totalsRowDxfId="268">
      <totalsRowFormula>SUM(StateSenatorSenateDistrict7General14151617181920212223242528[Part of Bronx County Vote Results])</totalsRowFormula>
    </tableColumn>
    <tableColumn id="3" xr3:uid="{A5471F96-7835-4DE2-AB53-5657C41237B8}" name="Total Votes by Party" totalsRowFunction="custom" dataDxfId="267" totalsRowDxfId="266">
      <calculatedColumnFormula>SUM(B3)</calculatedColumnFormula>
      <totalsRowFormula>SUM(StateSenatorSenateDistrict7General14151617181920212223242528[Total Votes by Party])</totalsRowFormula>
    </tableColumn>
    <tableColumn id="2" xr3:uid="{857735CA-AE72-46DE-8526-0A3F4B56DEF8}" name="Total Votes by Candidate" dataDxfId="265" totalsRowDxfId="264">
      <calculatedColumnFormula>SUM(StateSenatorSenateDistrict7General14151617181920212223242528[[#This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ED01460-1C11-4062-859F-E075EDAA3B3D}" name="StateSenatorSenateDistrict7General1415161718192021222324252829" displayName="StateSenatorSenateDistrict7General1415161718192021222324252829" ref="A2:E9" totalsRowCount="1" headerRowDxfId="263" dataDxfId="261" totalsRowDxfId="259" headerRowBorderDxfId="262" tableBorderDxfId="260" totalsRowBorderDxfId="258">
  <autoFilter ref="A2:E8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1FD13BA-322F-46FF-9890-61B590A41ABC}" name="Candidate Name (Party)" totalsRowLabel="Total Votes by County" dataDxfId="257" totalsRowDxfId="256"/>
    <tableColumn id="5" xr3:uid="{28E0AFA7-42EE-4E45-943B-C9E24AAB156E}" name="Part of Bronx County Vote Results" totalsRowFunction="custom" dataDxfId="255" totalsRowDxfId="254">
      <totalsRowFormula>SUM(StateSenatorSenateDistrict7General1415161718192021222324252829[Part of Bronx County Vote Results])</totalsRowFormula>
    </tableColumn>
    <tableColumn id="4" xr3:uid="{B7DC8F6C-8282-400D-89B4-B4C7A6AB54FE}" name="Part of Westchester County Vote Results" totalsRowFunction="custom" dataDxfId="253" totalsRowDxfId="252">
      <totalsRowFormula>SUM(StateSenatorSenateDistrict7General1415161718192021222324252829[Part of Westchester County Vote Results])</totalsRowFormula>
    </tableColumn>
    <tableColumn id="3" xr3:uid="{2012E786-5D5B-463A-9C7C-45F532BD9EAB}" name="Total Votes by Party" totalsRowFunction="custom" dataDxfId="251" totalsRowDxfId="250">
      <calculatedColumnFormula>SUM(B3:C3)</calculatedColumnFormula>
      <totalsRowFormula>SUM(StateSenatorSenateDistrict7General1415161718192021222324252829[Total Votes by Party])</totalsRowFormula>
    </tableColumn>
    <tableColumn id="2" xr3:uid="{555B8357-AD79-4976-8963-5E6506DF6274}" name="Total Votes by Candidate" dataDxfId="249" totalsRowDxfId="248">
      <calculatedColumnFormula>SUM(StateSenatorSenateDistrict7General1415161718192021222324252829[[#This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1449BFB-8471-42E6-B449-5D13B8A4E467}" name="StateSenatorSenateDistrict7General141516171819202122232425282930" displayName="StateSenatorSenateDistrict7General141516171819202122232425282930" ref="A2:G10" totalsRowCount="1" headerRowDxfId="247" dataDxfId="245" totalsRowDxfId="243" headerRowBorderDxfId="246" tableBorderDxfId="244" totalsRowBorderDxfId="242">
  <autoFilter ref="A2:G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7364EE3-F128-40E7-B6A3-B2645C721B4A}" name="Candidate Name (Party)" totalsRowLabel="Total Votes by County" dataDxfId="241" totalsRowDxfId="240"/>
    <tableColumn id="5" xr3:uid="{515DC793-3F39-43EB-A8BB-2806CB4C7B5C}" name="Part of Dutchess County Vote Results" totalsRowFunction="custom" dataDxfId="239" totalsRowDxfId="238">
      <totalsRowFormula>SUM(StateSenatorSenateDistrict7General141516171819202122232425282930[Part of Dutchess County Vote Results])</totalsRowFormula>
    </tableColumn>
    <tableColumn id="7" xr3:uid="{E814B1F0-A439-4445-91F4-1CB265B0E9EC}" name="Putnam County Vote Results" totalsRowFunction="custom" dataDxfId="237" totalsRowDxfId="236">
      <totalsRowFormula>SUM(StateSenatorSenateDistrict7General141516171819202122232425282930[Putnam County Vote Results])</totalsRowFormula>
    </tableColumn>
    <tableColumn id="6" xr3:uid="{5781B4A2-E543-4041-9D13-8D1CF4260641}" name="Rockland County Vote Results" totalsRowFunction="custom" dataDxfId="235" totalsRowDxfId="234">
      <totalsRowFormula>SUM(StateSenatorSenateDistrict7General141516171819202122232425282930[Rockland County Vote Results])</totalsRowFormula>
    </tableColumn>
    <tableColumn id="4" xr3:uid="{00B34EE4-E1E4-4993-A905-D0E4FCBD5692}" name="Part of Westchester County Vote Results" totalsRowFunction="custom" dataDxfId="233" totalsRowDxfId="232">
      <totalsRowFormula>SUM(StateSenatorSenateDistrict7General141516171819202122232425282930[Part of Westchester County Vote Results])</totalsRowFormula>
    </tableColumn>
    <tableColumn id="3" xr3:uid="{BEC480DF-232D-4CF7-BA41-F19A9D2821F2}" name="Total Votes by Party" totalsRowFunction="custom" dataDxfId="231" totalsRowDxfId="230">
      <calculatedColumnFormula>SUM(B3:E3)</calculatedColumnFormula>
      <totalsRowFormula>SUM(StateSenatorSenateDistrict7General141516171819202122232425282930[Total Votes by Party])</totalsRowFormula>
    </tableColumn>
    <tableColumn id="2" xr3:uid="{7355E532-6EB2-405F-AFF2-ACF5961E0D27}" name="Total Votes by Candidate" dataDxfId="229" totalsRowDxfId="228">
      <calculatedColumnFormula>SUM(StateSenatorSenateDistrict7General141516171819202122232425282930[[#This Row],[Total Votes by Party]],F3,#REF!,#REF!)</calculatedColumnFormula>
    </tableColumn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F0A9E06-E994-45B0-BBFD-4BB509153D7F}" name="StateSenatorSenateDistrict7General14151617181920212223242528293031" displayName="StateSenatorSenateDistrict7General14151617181920212223242528293031" ref="A2:F10" totalsRowCount="1" headerRowDxfId="227" dataDxfId="225" totalsRowDxfId="223" headerRowBorderDxfId="226" tableBorderDxfId="224" totalsRowBorderDxfId="222">
  <autoFilter ref="A2:F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CE8D7D5-7ABF-4F5E-8E79-EF6045024D16}" name="Candidate Name (Party)" totalsRowLabel="Total Votes by County" dataDxfId="221" totalsRowDxfId="220"/>
    <tableColumn id="5" xr3:uid="{912512E8-32F4-48BE-B674-746C160201D6}" name="Part of Dutchess County Vote Results" totalsRowFunction="custom" dataDxfId="219" totalsRowDxfId="218">
      <totalsRowFormula>SUM(StateSenatorSenateDistrict7General14151617181920212223242528293031[Part of Dutchess County Vote Results])</totalsRowFormula>
    </tableColumn>
    <tableColumn id="7" xr3:uid="{B883D287-1D5D-4979-A52D-AC61C5202F93}" name="Orange County Vote Results" totalsRowFunction="custom" dataDxfId="217" totalsRowDxfId="216">
      <totalsRowFormula>SUM(StateSenatorSenateDistrict7General14151617181920212223242528293031[Orange County Vote Results])</totalsRowFormula>
    </tableColumn>
    <tableColumn id="4" xr3:uid="{DB699BC5-6B21-4DF5-9C64-546B051E89DB}" name="Part of Ulster County Vote Results" totalsRowFunction="custom" dataDxfId="215" totalsRowDxfId="214">
      <totalsRowFormula>SUM(StateSenatorSenateDistrict7General14151617181920212223242528293031[Part of Ulster County Vote Results])</totalsRowFormula>
    </tableColumn>
    <tableColumn id="3" xr3:uid="{46EF9E23-70CD-45A9-9AA1-5EF13093EEF6}" name="Total Votes by Party" totalsRowFunction="custom" dataDxfId="213" totalsRowDxfId="212">
      <calculatedColumnFormula>SUM(B3:D3)</calculatedColumnFormula>
      <totalsRowFormula>SUM(StateSenatorSenateDistrict7General14151617181920212223242528293031[Total Votes by Party])</totalsRowFormula>
    </tableColumn>
    <tableColumn id="2" xr3:uid="{42061A54-E75C-458F-B752-73402146F8E8}" name="Total Votes by Candidate" dataDxfId="211" totalsRowDxfId="210">
      <calculatedColumnFormula>SUM(StateSenatorSenateDistrict7General14151617181920212223242528293031[[#This Row],[Total Votes by Party]],E3,#REF!,#REF!)</calculatedColumnFormula>
    </tableColumn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201D11A-1CB5-4908-B50F-60553DA25935}" name="StateSenatorSenateDistrict7General1415161718192021222324252829303132" displayName="StateSenatorSenateDistrict7General1415161718192021222324252829303132" ref="A2:N10" totalsRowCount="1" headerRowDxfId="209" dataDxfId="207" totalsRowDxfId="205" headerRowBorderDxfId="208" tableBorderDxfId="206" totalsRowBorderDxfId="204">
  <autoFilter ref="A2:N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F643FE6-BEAA-449F-9518-6BAB443C0E5C}" name="Candidate Name (Party)" totalsRowLabel="Total Votes by County" dataDxfId="203" totalsRowDxfId="202"/>
    <tableColumn id="5" xr3:uid="{3D03E8FF-776D-4984-ADDC-6A073804A0B8}" name="Broome County Vote Results" totalsRowFunction="custom" dataDxfId="201" totalsRowDxfId="200">
      <totalsRowFormula>SUM(StateSenatorSenateDistrict7General1415161718192021222324252829303132[Broome County Vote Results])</totalsRowFormula>
    </tableColumn>
    <tableColumn id="7" xr3:uid="{F9D021A2-3F0A-4A58-8D82-35BC7AAB6206}" name="Chenango County Vote Results" totalsRowFunction="custom" dataDxfId="199" totalsRowDxfId="198">
      <totalsRowFormula>SUM(StateSenatorSenateDistrict7General1415161718192021222324252829303132[Chenango County Vote Results])</totalsRowFormula>
    </tableColumn>
    <tableColumn id="9" xr3:uid="{C81F64F7-F84B-4C2E-831F-C8A5D27EE6E9}" name="Columbia County Vote Results" totalsRowFunction="custom" dataDxfId="197" totalsRowDxfId="196">
      <totalsRowFormula>SUM(StateSenatorSenateDistrict7General1415161718192021222324252829303132[Columbia County Vote Results])</totalsRowFormula>
    </tableColumn>
    <tableColumn id="8" xr3:uid="{3EAC7E9A-D560-44F9-ADE3-95185D283366}" name="Cortland County Vote Results" totalsRowFunction="custom" dataDxfId="195" totalsRowDxfId="194">
      <totalsRowFormula>SUM(StateSenatorSenateDistrict7General1415161718192021222324252829303132[Cortland County Vote Results])</totalsRowFormula>
    </tableColumn>
    <tableColumn id="11" xr3:uid="{86C89AC9-7ECA-4147-BF3C-DAF1EB34E69B}" name="Delaware County Vote Results" totalsRowFunction="custom" dataDxfId="193" totalsRowDxfId="192">
      <totalsRowFormula>SUM(StateSenatorSenateDistrict7General1415161718192021222324252829303132[Delaware County Vote Results])</totalsRowFormula>
    </tableColumn>
    <tableColumn id="10" xr3:uid="{8F63AE24-755D-4AA7-869A-DCEF6D8F5F61}" name="Greene County Vote Results" totalsRowFunction="custom" dataDxfId="191" totalsRowDxfId="190">
      <totalsRowFormula>SUM(StateSenatorSenateDistrict7General1415161718192021222324252829303132[Greene County Vote Results])</totalsRowFormula>
    </tableColumn>
    <tableColumn id="15" xr3:uid="{A0DA73F6-445D-42F8-8D73-D990727BFA82}" name="Part of Otsego County Vote Results" totalsRowFunction="custom" dataDxfId="189" totalsRowDxfId="188">
      <totalsRowFormula>SUM(StateSenatorSenateDistrict7General1415161718192021222324252829303132[Part of Otsego County Vote Results])</totalsRowFormula>
    </tableColumn>
    <tableColumn id="14" xr3:uid="{FF5C5718-BAB2-420A-9017-F6B09C5B6D9C}" name="Sullivan County Vote Results" totalsRowFunction="custom" dataDxfId="187" totalsRowDxfId="186">
      <totalsRowFormula>SUM(StateSenatorSenateDistrict7General1415161718192021222324252829303132[Sullivan County Vote Results])</totalsRowFormula>
    </tableColumn>
    <tableColumn id="13" xr3:uid="{423FB105-1505-4844-AA10-28115924CD66}" name="Tioga County Vote Results" totalsRowFunction="custom" dataDxfId="185" totalsRowDxfId="184">
      <totalsRowFormula>SUM(StateSenatorSenateDistrict7General1415161718192021222324252829303132[Tioga County Vote Results])</totalsRowFormula>
    </tableColumn>
    <tableColumn id="12" xr3:uid="{C76E796A-BE0E-4AFA-B3D8-3E3A55C2B6AB}" name="Tompkins County Vote Results" totalsRowFunction="custom" dataDxfId="183" totalsRowDxfId="182">
      <totalsRowFormula>SUM(StateSenatorSenateDistrict7General1415161718192021222324252829303132[Tompkins County Vote Results])</totalsRowFormula>
    </tableColumn>
    <tableColumn id="4" xr3:uid="{EF4EE13C-7450-40E1-8B44-68F5BCFCAAF2}" name="Part of Ulster County Vote Results" totalsRowFunction="custom" dataDxfId="181" totalsRowDxfId="180">
      <totalsRowFormula>SUM(StateSenatorSenateDistrict7General1415161718192021222324252829303132[Part of Ulster County Vote Results])</totalsRowFormula>
    </tableColumn>
    <tableColumn id="3" xr3:uid="{78045AA7-825E-43D5-87A7-FD133C45BD44}" name="Total Votes by Party" totalsRowFunction="custom" dataDxfId="179" totalsRowDxfId="178">
      <calculatedColumnFormula>SUM(B3:L3)</calculatedColumnFormula>
      <totalsRowFormula>SUM(StateSenatorSenateDistrict7General1415161718192021222324252829303132[Total Votes by Party])</totalsRowFormula>
    </tableColumn>
    <tableColumn id="2" xr3:uid="{036056F5-D403-4BA5-BC36-510F283F9F1E}" name="Total Votes by Candidate" dataDxfId="177" totalsRowDxfId="176">
      <calculatedColumnFormula>SUM(StateSenatorSenateDistrict7General1415161718192021222324252829303132[[#This Row],[Total Votes by Party]],M3,#REF!,#REF!)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881450-050B-4320-AEFC-66B8E57012F5}" name="StateSenatorSenateDistrict7General1415" displayName="StateSenatorSenateDistrict7General1415" ref="A2:E10" totalsRowCount="1" headerRowDxfId="473" dataDxfId="471" totalsRowDxfId="469" headerRowBorderDxfId="472" tableBorderDxfId="470" totalsRowBorderDxfId="468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E7196D8-0918-4FED-AC3E-559E7798F468}" name="Candidate Name (Party)" totalsRowLabel="Total Votes by County" dataDxfId="467" totalsRowDxfId="466"/>
    <tableColumn id="5" xr3:uid="{5173ACD0-A3BA-464F-9C6B-54BCAA3F792F}" name="Part of Nassau County Vote Results" totalsRowFunction="custom" dataDxfId="465" totalsRowDxfId="464">
      <totalsRowFormula>SUM(StateSenatorSenateDistrict7General1415[Part of Nassau County Vote Results])</totalsRowFormula>
    </tableColumn>
    <tableColumn id="4" xr3:uid="{6A49282B-184E-491F-A1C9-5C58E26428F2}" name="Part of Suffolk County Vote Results" totalsRowFunction="custom" dataDxfId="463" totalsRowDxfId="462">
      <totalsRowFormula>SUM(StateSenatorSenateDistrict7General1415[Part of Suffolk County Vote Results])</totalsRowFormula>
    </tableColumn>
    <tableColumn id="3" xr3:uid="{5ED070AB-D5BF-4C27-A8CB-B63356632CD5}" name="Total Votes by Party" totalsRowFunction="custom" dataDxfId="461" totalsRowDxfId="460">
      <calculatedColumnFormula>SUM(B3:C3)</calculatedColumnFormula>
      <totalsRowFormula>SUM(StateSenatorSenateDistrict7General1415[Total Votes by Party])</totalsRowFormula>
    </tableColumn>
    <tableColumn id="2" xr3:uid="{4C1AB162-FD9C-4CD6-A340-08D941D03290}" name="Total Votes by Candidate" dataDxfId="459" totalsRowDxfId="458">
      <calculatedColumnFormula>SUM(StateSenatorSenateDistrict7General1415[[#This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CC4475B-028F-4AAD-B07A-B712808D42C0}" name="StateSenatorSenateDistrict7General141516171819202122232425282930313233" displayName="StateSenatorSenateDistrict7General141516171819202122232425282930313233" ref="A2:G10" totalsRowCount="1" headerRowDxfId="175" dataDxfId="173" totalsRowDxfId="171" headerRowBorderDxfId="174" tableBorderDxfId="172" totalsRowBorderDxfId="170">
  <autoFilter ref="A2:G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BB60BFD-0319-44C7-82EC-2BEB231CBE7A}" name="Candidate Name (Party)" totalsRowLabel="Total Votes by County" dataDxfId="169" totalsRowDxfId="168"/>
    <tableColumn id="5" xr3:uid="{CD6566CE-4DE8-4A63-B63C-36785542DA7C}" name="Albany County Vote Results" totalsRowFunction="custom" dataDxfId="167" totalsRowDxfId="166">
      <totalsRowFormula>SUM(StateSenatorSenateDistrict7General141516171819202122232425282930313233[Albany County Vote Results])</totalsRowFormula>
    </tableColumn>
    <tableColumn id="7" xr3:uid="{EEB5D8C1-0A82-42B8-B127-1D4212ADF906}" name="Part of Rensselaer County Vote Results" totalsRowFunction="custom" dataDxfId="165" totalsRowDxfId="164">
      <totalsRowFormula>SUM(StateSenatorSenateDistrict7General141516171819202122232425282930313233[Part of Rensselaer County Vote Results])</totalsRowFormula>
    </tableColumn>
    <tableColumn id="9" xr3:uid="{95692F54-FDA0-43CB-9861-060E9DD782D3}" name="Saratoga County Vote Results" totalsRowFunction="custom" dataDxfId="163" totalsRowDxfId="162">
      <totalsRowFormula>SUM(StateSenatorSenateDistrict7General141516171819202122232425282930313233[Saratoga County Vote Results])</totalsRowFormula>
    </tableColumn>
    <tableColumn id="4" xr3:uid="{258DF9EA-F4A7-4DF8-B8C5-BF801CC7A792}" name="Schenectady County Vote Results" totalsRowFunction="custom" dataDxfId="161" totalsRowDxfId="160">
      <totalsRowFormula>SUM(StateSenatorSenateDistrict7General141516171819202122232425282930313233[Schenectady County Vote Results])</totalsRowFormula>
    </tableColumn>
    <tableColumn id="3" xr3:uid="{3F77700A-A1C9-4E15-965B-A90C8A8F2BB9}" name="Total Votes by Party" totalsRowFunction="custom" dataDxfId="159" totalsRowDxfId="158">
      <calculatedColumnFormula>SUM(B3:E3)</calculatedColumnFormula>
      <totalsRowFormula>SUM(StateSenatorSenateDistrict7General141516171819202122232425282930313233[Total Votes by Party])</totalsRowFormula>
    </tableColumn>
    <tableColumn id="2" xr3:uid="{CED4D707-3ED9-4EBA-BE5C-8B840A16681B}" name="Total Votes by Candidate" dataDxfId="157" totalsRowDxfId="156">
      <calculatedColumnFormula>SUM(StateSenatorSenateDistrict7General141516171819202122232425282930313233[[#This Row],[Total Votes by Party]],F3,#REF!,#REF!)</calculatedColumnFormula>
    </tableColumn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FE2887A-CF12-4A1B-8548-C15B85849FFB}" name="StateSenatorSenateDistrict7General141516171819202122232425282930313234" displayName="StateSenatorSenateDistrict7General141516171819202122232425282930313234" ref="A2:R10" totalsRowCount="1" headerRowDxfId="155" dataDxfId="153" totalsRowDxfId="151" headerRowBorderDxfId="154" tableBorderDxfId="152" totalsRowBorderDxfId="150">
  <autoFilter ref="A2:R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3B9A24B6-9720-4216-B658-6494BA5B9582}" name="Candidate Name (Party)" totalsRowLabel="Total Votes by County" dataDxfId="149" totalsRowDxfId="148"/>
    <tableColumn id="5" xr3:uid="{6041838A-46AC-4116-BF1C-7C7980552D6E}" name="Clinton County Vote Results" totalsRowFunction="custom" dataDxfId="147" totalsRowDxfId="146">
      <totalsRowFormula>SUM(StateSenatorSenateDistrict7General141516171819202122232425282930313234[Clinton County Vote Results])</totalsRowFormula>
    </tableColumn>
    <tableColumn id="7" xr3:uid="{02E309DE-EEC2-4026-BD3F-906EEDC961D9}" name="Essex County Vote Results" totalsRowFunction="custom" dataDxfId="145" totalsRowDxfId="144">
      <totalsRowFormula>SUM(StateSenatorSenateDistrict7General141516171819202122232425282930313234[Essex County Vote Results])</totalsRowFormula>
    </tableColumn>
    <tableColumn id="9" xr3:uid="{A5C16D37-A801-42CA-B82B-32F218477D6E}" name="Franklin County Vote Results" totalsRowFunction="custom" dataDxfId="143" totalsRowDxfId="142">
      <totalsRowFormula>SUM(StateSenatorSenateDistrict7General141516171819202122232425282930313234[Franklin County Vote Results])</totalsRowFormula>
    </tableColumn>
    <tableColumn id="8" xr3:uid="{23E3AE4C-1256-40F9-A9A4-84B9FEAD9952}" name="Fulton County Vote Results" totalsRowFunction="custom" dataDxfId="141" totalsRowDxfId="140">
      <totalsRowFormula>SUM(StateSenatorSenateDistrict7General141516171819202122232425282930313234[Fulton County Vote Results])</totalsRowFormula>
    </tableColumn>
    <tableColumn id="11" xr3:uid="{BED0CE9C-0434-4053-8111-F88102D7E867}" name="Hamilton County Vote Results" totalsRowFunction="custom" dataDxfId="139" totalsRowDxfId="138">
      <totalsRowFormula>SUM(StateSenatorSenateDistrict7General141516171819202122232425282930313234[Hamilton County Vote Results])</totalsRowFormula>
    </tableColumn>
    <tableColumn id="10" xr3:uid="{833A40CE-67AD-46C5-B769-202D0D04DC6E}" name="Herkimer County Vote Results" totalsRowFunction="custom" dataDxfId="137" totalsRowDxfId="136">
      <totalsRowFormula>SUM(StateSenatorSenateDistrict7General141516171819202122232425282930313234[Herkimer County Vote Results])</totalsRowFormula>
    </tableColumn>
    <tableColumn id="15" xr3:uid="{4B7C331E-4F87-4654-8E04-2DDF68F29B02}" name="Part of Jefferson County Vote Results" totalsRowFunction="custom" dataDxfId="135" totalsRowDxfId="134">
      <totalsRowFormula>SUM(StateSenatorSenateDistrict7General141516171819202122232425282930313234[Part of Jefferson County Vote Results])</totalsRowFormula>
    </tableColumn>
    <tableColumn id="14" xr3:uid="{2DF0A951-4312-4D2F-B675-507A18FF567F}" name="Lewis County Vote Results" totalsRowFunction="custom" dataDxfId="133" totalsRowDxfId="132">
      <totalsRowFormula>SUM(StateSenatorSenateDistrict7General141516171819202122232425282930313234[Lewis County Vote Results])</totalsRowFormula>
    </tableColumn>
    <tableColumn id="13" xr3:uid="{C04FCADA-76ED-4824-AC96-9E051127A1C0}" name="Montgomery County Vote Results" totalsRowFunction="custom" dataDxfId="131" totalsRowDxfId="130">
      <totalsRowFormula>SUM(StateSenatorSenateDistrict7General141516171819202122232425282930313234[Montgomery County Vote Results])</totalsRowFormula>
    </tableColumn>
    <tableColumn id="12" xr3:uid="{4E82CA08-D02D-4540-AE6B-D985C969485D}" name="Part of Otsego County Vote Results" totalsRowFunction="custom" dataDxfId="129" totalsRowDxfId="128">
      <totalsRowFormula>SUM(StateSenatorSenateDistrict7General141516171819202122232425282930313234[Part of Otsego County Vote Results])</totalsRowFormula>
    </tableColumn>
    <tableColumn id="19" xr3:uid="{173C97E3-FDC0-43B9-94B8-001AFC086EC7}" name="Part of Rensselaer County Vote Results" totalsRowFunction="custom" dataDxfId="127" totalsRowDxfId="126">
      <totalsRowFormula>SUM(StateSenatorSenateDistrict7General141516171819202122232425282930313234[Part of Rensselaer County Vote Results])</totalsRowFormula>
    </tableColumn>
    <tableColumn id="18" xr3:uid="{8F1B4170-CB7E-45B9-BC44-C5149157E57E}" name="St. Lawrence County Vote Results" totalsRowFunction="custom" dataDxfId="125" totalsRowDxfId="124">
      <totalsRowFormula>SUM(StateSenatorSenateDistrict7General141516171819202122232425282930313234[St. Lawrence County Vote Results])</totalsRowFormula>
    </tableColumn>
    <tableColumn id="17" xr3:uid="{DFFF2437-18FA-445D-86ED-ADB73AC6CA33}" name="Schoharie County Vote Results" totalsRowFunction="custom" dataDxfId="123" totalsRowDxfId="122">
      <totalsRowFormula>SUM(StateSenatorSenateDistrict7General141516171819202122232425282930313234[Schoharie County Vote Results])</totalsRowFormula>
    </tableColumn>
    <tableColumn id="16" xr3:uid="{58495F77-1976-4893-BDA2-F07E64B044DB}" name="Warren County Vote Results" totalsRowFunction="custom" dataDxfId="121" totalsRowDxfId="120">
      <totalsRowFormula>SUM(StateSenatorSenateDistrict7General141516171819202122232425282930313234[Warren County Vote Results])</totalsRowFormula>
    </tableColumn>
    <tableColumn id="4" xr3:uid="{84FA4B02-43BB-4012-B4DF-74EB34283562}" name="Washington County Vote Results" totalsRowFunction="custom" dataDxfId="119" totalsRowDxfId="118">
      <totalsRowFormula>SUM(StateSenatorSenateDistrict7General141516171819202122232425282930313234[Washington County Vote Results])</totalsRowFormula>
    </tableColumn>
    <tableColumn id="3" xr3:uid="{F4E4195E-83AD-4785-9AE5-B9F4B4C26CBF}" name="Total Votes by Party" totalsRowFunction="custom" dataDxfId="117" totalsRowDxfId="116">
      <calculatedColumnFormula>SUM(B3:P3)</calculatedColumnFormula>
      <totalsRowFormula>SUM(StateSenatorSenateDistrict7General141516171819202122232425282930313234[Total Votes by Party])</totalsRowFormula>
    </tableColumn>
    <tableColumn id="2" xr3:uid="{DE48B22A-09DA-497B-8CA1-468DA935C7CA}" name="Total Votes by Candidate" dataDxfId="115" totalsRowDxfId="114">
      <calculatedColumnFormula>SUM(StateSenatorSenateDistrict7General141516171819202122232425282930313234[[#This Row],[Total Votes by Party]],Q3,#REF!,#REF!)</calculatedColumnFormula>
    </tableColumn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FD5988D-6B23-4845-8637-948D616E158B}" name="StateSenatorSenateDistrict7General14151617181920212223242528293031323435" displayName="StateSenatorSenateDistrict7General14151617181920212223242528293031323435" ref="A2:G9" totalsRowCount="1" headerRowDxfId="113" dataDxfId="111" totalsRowDxfId="109" headerRowBorderDxfId="112" tableBorderDxfId="110" totalsRowBorderDxfId="108">
  <autoFilter ref="A2:G8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0F25416-EF6D-436B-A579-9F9E003520F0}" name="Candidate Name (Party)" totalsRowLabel="Total Votes by County" dataDxfId="107" totalsRowDxfId="106"/>
    <tableColumn id="5" xr3:uid="{6C1458F1-D4C8-4B1D-9D1E-918C018B8E74}" name="Madison County Vote Results" totalsRowFunction="custom" dataDxfId="105" totalsRowDxfId="104">
      <totalsRowFormula>SUM(StateSenatorSenateDistrict7General14151617181920212223242528293031323435[Madison County Vote Results])</totalsRowFormula>
    </tableColumn>
    <tableColumn id="7" xr3:uid="{2BEB903F-F46A-4439-B85B-2AC89AA613B2}" name="Oneida County Vote Results" totalsRowFunction="custom" dataDxfId="103" totalsRowDxfId="102">
      <totalsRowFormula>SUM(StateSenatorSenateDistrict7General14151617181920212223242528293031323435[Oneida County Vote Results])</totalsRowFormula>
    </tableColumn>
    <tableColumn id="9" xr3:uid="{CD1F2D32-3426-44CD-91A4-1BFE47972C62}" name="Onondaga County Vote Results" totalsRowFunction="custom" dataDxfId="101" totalsRowDxfId="100">
      <totalsRowFormula>SUM(StateSenatorSenateDistrict7General14151617181920212223242528293031323435[Onondaga County Vote Results])</totalsRowFormula>
    </tableColumn>
    <tableColumn id="4" xr3:uid="{972E5D35-1C02-430F-BE27-1881440B5C50}" name="Part of Oswego County Vote Results" totalsRowFunction="custom" dataDxfId="99" totalsRowDxfId="98">
      <totalsRowFormula>SUM(StateSenatorSenateDistrict7General14151617181920212223242528293031323435[Part of Oswego County Vote Results])</totalsRowFormula>
    </tableColumn>
    <tableColumn id="3" xr3:uid="{5E46DDEA-722F-4552-B4A5-20DE4F1E7ED0}" name="Total Votes by Party" totalsRowFunction="custom" dataDxfId="97" totalsRowDxfId="96">
      <calculatedColumnFormula>SUM(B3:E3)</calculatedColumnFormula>
      <totalsRowFormula>SUM(StateSenatorSenateDistrict7General14151617181920212223242528293031323435[Total Votes by Party])</totalsRowFormula>
    </tableColumn>
    <tableColumn id="2" xr3:uid="{8D51598C-BA71-4591-8AFE-CA9F228CE27E}" name="Total Votes by Candidate" dataDxfId="95" totalsRowDxfId="94">
      <calculatedColumnFormula>SUM(StateSenatorSenateDistrict7General14151617181920212223242528293031323435[[#This Row],[Total Votes by Party]],F3,#REF!,#REF!)</calculatedColumnFormula>
    </tableColumn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12AC3A8-5938-4515-A70D-1394313BDC4C}" name="StateSenatorSenateDistrict7General1415161718192021222324252829303132343536" displayName="StateSenatorSenateDistrict7General1415161718192021222324252829303132343536" ref="A2:J9" totalsRowCount="1" headerRowDxfId="93" dataDxfId="91" totalsRowDxfId="89" headerRowBorderDxfId="92" tableBorderDxfId="90" totalsRowBorderDxfId="88">
  <autoFilter ref="A2:J8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9640906-E42C-438E-AFC6-6C6CACBDA4D6}" name="Candidate Name (Party)" totalsRowLabel="Total Votes by County" dataDxfId="87" totalsRowDxfId="86"/>
    <tableColumn id="5" xr3:uid="{12B7E3DA-CFAE-4171-842E-71BED4205289}" name="Allegany County Vote Results" totalsRowFunction="custom" dataDxfId="85" totalsRowDxfId="84">
      <totalsRowFormula>SUM(StateSenatorSenateDistrict7General1415161718192021222324252829303132343536[Allegany County Vote Results])</totalsRowFormula>
    </tableColumn>
    <tableColumn id="7" xr3:uid="{6244D5B5-AB30-40F6-B400-C136050EE247}" name="Cattaraugus County Vote Results" totalsRowFunction="custom" dataDxfId="83" totalsRowDxfId="82">
      <totalsRowFormula>SUM(StateSenatorSenateDistrict7General1415161718192021222324252829303132343536[Cattaraugus County Vote Results])</totalsRowFormula>
    </tableColumn>
    <tableColumn id="9" xr3:uid="{FEA8CCD6-5057-4081-9596-0B82CA9CAA6C}" name="Chautauqua County Vote Results" totalsRowFunction="custom" dataDxfId="81" totalsRowDxfId="80">
      <totalsRowFormula>SUM(StateSenatorSenateDistrict7General1415161718192021222324252829303132343536[Chautauqua County Vote Results])</totalsRowFormula>
    </tableColumn>
    <tableColumn id="22" xr3:uid="{844F0D49-8E3B-4D7E-A434-5928D54E4645}" name="Chemung County Vote Results" totalsRowFunction="custom" dataDxfId="79" totalsRowDxfId="78">
      <totalsRowFormula>SUM(StateSenatorSenateDistrict7General1415161718192021222324252829303132343536[Chemung County Vote Results])</totalsRowFormula>
    </tableColumn>
    <tableColumn id="21" xr3:uid="{83873E96-68ED-42A1-87EA-AE920D73E16E}" name="Part of Erie County Vote Results" totalsRowFunction="custom" dataDxfId="77" totalsRowDxfId="76">
      <totalsRowFormula>SUM(StateSenatorSenateDistrict7General1415161718192021222324252829303132343536[Part of Erie County Vote Results])</totalsRowFormula>
    </tableColumn>
    <tableColumn id="20" xr3:uid="{9ACAE2F7-806D-43B8-AF20-9CCBA317F197}" name="Schuyler County Vote Results" totalsRowFunction="custom" dataDxfId="75" totalsRowDxfId="74">
      <totalsRowFormula>SUM(StateSenatorSenateDistrict7General1415161718192021222324252829303132343536[Schuyler County Vote Results])</totalsRowFormula>
    </tableColumn>
    <tableColumn id="4" xr3:uid="{BBA9DA1C-7008-43F5-B347-1BC7F4C9F6FC}" name="Steuben County Vote Results" totalsRowFunction="custom" dataDxfId="73" totalsRowDxfId="72">
      <totalsRowFormula>SUM(StateSenatorSenateDistrict7General1415161718192021222324252829303132343536[Steuben County Vote Results])</totalsRowFormula>
    </tableColumn>
    <tableColumn id="3" xr3:uid="{7F450F7A-E2F3-4CD1-9532-CBDBC6C3D1CA}" name="Total Votes by Party" totalsRowFunction="custom" dataDxfId="71" totalsRowDxfId="70">
      <calculatedColumnFormula>SUM(B3:H3)</calculatedColumnFormula>
      <totalsRowFormula>SUM(StateSenatorSenateDistrict7General1415161718192021222324252829303132343536[Total Votes by Party])</totalsRowFormula>
    </tableColumn>
    <tableColumn id="2" xr3:uid="{1D49201B-8E6B-429E-9C8B-459910ADD1EE}" name="Total Votes by Candidate" dataDxfId="69" totalsRowDxfId="68">
      <calculatedColumnFormula>SUM(StateSenatorSenateDistrict7General1415161718192021222324252829303132343536[[#This Row],[Total Votes by Party]],I3,#REF!,#REF!)</calculatedColumnFormula>
    </tableColumn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FFFAC7B-028D-4676-A0D6-095CA2A854B2}" name="StateSenatorSenateDistrict7General141516171819202122232425282930313234353637" displayName="StateSenatorSenateDistrict7General141516171819202122232425282930313234353637" ref="A2:O9" totalsRowCount="1" headerRowDxfId="67" dataDxfId="65" totalsRowDxfId="63" headerRowBorderDxfId="66" tableBorderDxfId="64" totalsRowBorderDxfId="62">
  <autoFilter ref="A2:O8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78E423D6-4E97-4C8E-9E32-21EC6A99EF59}" name="Candidate Name (Party)" totalsRowLabel="Total Votes by County" dataDxfId="61" totalsRowDxfId="60"/>
    <tableColumn id="5" xr3:uid="{3DCDCF87-82E4-4332-BF2A-FD07E2722981}" name="Cayuga County Vote Results" totalsRowFunction="custom" dataDxfId="59" totalsRowDxfId="58">
      <totalsRowFormula>SUM(StateSenatorSenateDistrict7General141516171819202122232425282930313234353637[Cayuga County Vote Results])</totalsRowFormula>
    </tableColumn>
    <tableColumn id="7" xr3:uid="{968EE76B-7994-4829-9711-738C91A9D622}" name="Genesee County Vote Results" totalsRowFunction="custom" dataDxfId="57" totalsRowDxfId="56">
      <totalsRowFormula>SUM(StateSenatorSenateDistrict7General141516171819202122232425282930313234353637[Genesee County Vote Results])</totalsRowFormula>
    </tableColumn>
    <tableColumn id="9" xr3:uid="{B329576B-CAFE-4658-BD8C-F423A4F761D7}" name="Part of Jefferson County Vote Results" totalsRowFunction="custom" dataDxfId="55" totalsRowDxfId="54">
      <totalsRowFormula>SUM(StateSenatorSenateDistrict7General141516171819202122232425282930313234353637[Part of Jefferson County Vote Results])</totalsRowFormula>
    </tableColumn>
    <tableColumn id="22" xr3:uid="{EC2E2893-2DB5-4CC1-AA67-C52D38D1A0EB}" name="Livingston County Vote Results" totalsRowFunction="custom" dataDxfId="53" totalsRowDxfId="52">
      <totalsRowFormula>SUM(StateSenatorSenateDistrict7General141516171819202122232425282930313234353637[Livingston County Vote Results])</totalsRowFormula>
    </tableColumn>
    <tableColumn id="21" xr3:uid="{94F7B011-9054-40CC-A129-CA7832E38667}" name="Niagara County Vote Results" totalsRowFunction="custom" dataDxfId="51" totalsRowDxfId="50">
      <totalsRowFormula>SUM(StateSenatorSenateDistrict7General141516171819202122232425282930313234353637[Niagara County Vote Results])</totalsRowFormula>
    </tableColumn>
    <tableColumn id="20" xr3:uid="{0ABBE94A-B8D2-4E3B-AFCD-A53094F90716}" name="Ontario County Vote Results" totalsRowFunction="custom" dataDxfId="49" totalsRowDxfId="48">
      <totalsRowFormula>SUM(StateSenatorSenateDistrict7General141516171819202122232425282930313234353637[Ontario County Vote Results])</totalsRowFormula>
    </tableColumn>
    <tableColumn id="24" xr3:uid="{61D8F4B1-28FB-40C8-BD5A-3BBB882A588D}" name="Part of Orleans County Vote Results" totalsRowFunction="custom" dataDxfId="47" totalsRowDxfId="46">
      <totalsRowFormula>SUM(StateSenatorSenateDistrict7General141516171819202122232425282930313234353637[Part of Orleans County Vote Results])</totalsRowFormula>
    </tableColumn>
    <tableColumn id="23" xr3:uid="{E130DB12-E816-4771-8709-F935DCAD52D3}" name="Part of Oswego County Vote Results" totalsRowFunction="custom" dataDxfId="45" totalsRowDxfId="44">
      <totalsRowFormula>SUM(StateSenatorSenateDistrict7General141516171819202122232425282930313234353637[Part of Oswego County Vote Results])</totalsRowFormula>
    </tableColumn>
    <tableColumn id="27" xr3:uid="{671415F2-1811-496E-904A-03B39ADDB2BC}" name="Seneca County Vote Results" totalsRowFunction="custom" dataDxfId="43" totalsRowDxfId="42">
      <totalsRowFormula>SUM(StateSenatorSenateDistrict7General141516171819202122232425282930313234353637[Seneca County Vote Results])</totalsRowFormula>
    </tableColumn>
    <tableColumn id="26" xr3:uid="{C3457507-C65D-4C32-8220-1EA26AC6EFA4}" name="Wayne County Vote Results" totalsRowFunction="custom" dataDxfId="41" totalsRowDxfId="40">
      <totalsRowFormula>SUM(StateSenatorSenateDistrict7General141516171819202122232425282930313234353637[Wayne County Vote Results])</totalsRowFormula>
    </tableColumn>
    <tableColumn id="25" xr3:uid="{C891E615-25A4-4965-B09E-0E0B129A21AF}" name="Wyoming County Vote Results" totalsRowFunction="custom" dataDxfId="39" totalsRowDxfId="38">
      <totalsRowFormula>SUM(StateSenatorSenateDistrict7General141516171819202122232425282930313234353637[Wyoming County Vote Results])</totalsRowFormula>
    </tableColumn>
    <tableColumn id="4" xr3:uid="{7FC0D690-3FE6-492C-8AAE-7D5279951E5D}" name="Yates County Vote Results" totalsRowFunction="custom" dataDxfId="37" totalsRowDxfId="36">
      <totalsRowFormula>SUM(StateSenatorSenateDistrict7General141516171819202122232425282930313234353637[Yates County Vote Results])</totalsRowFormula>
    </tableColumn>
    <tableColumn id="3" xr3:uid="{828D5D28-7455-4FB9-9502-ED972FCE9323}" name="Total Votes by Party" totalsRowFunction="custom" dataDxfId="35" totalsRowDxfId="34">
      <calculatedColumnFormula>SUM(B3:M3)</calculatedColumnFormula>
      <totalsRowFormula>SUM(StateSenatorSenateDistrict7General141516171819202122232425282930313234353637[Total Votes by Party])</totalsRowFormula>
    </tableColumn>
    <tableColumn id="2" xr3:uid="{B70A8BD9-0137-4205-B9E3-9301744B307C}" name="Total Votes by Candidate" dataDxfId="33" totalsRowDxfId="32">
      <calculatedColumnFormula>SUM(StateSenatorSenateDistrict7General141516171819202122232425282930313234353637[[#This Row],[Total Votes by Party]],N3,#REF!,#REF!)</calculatedColumnFormula>
    </tableColumn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4571D4-FEE7-467F-B759-590DBEC78BAE}" name="StateSenatorSenateDistrict7General1415161718192021222324252738" displayName="StateSenatorSenateDistrict7General1415161718192021222324252738" ref="A2:E10" totalsRowCount="1" headerRowDxfId="31" dataDxfId="29" totalsRowDxfId="27" headerRowBorderDxfId="30" tableBorderDxfId="28" totalsRowBorderDxfId="26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9F8146A-EA66-4E93-ACB5-42CEC7253B9B}" name="Candidate Name (Party)" totalsRowLabel="Total Votes by County" dataDxfId="25" totalsRowDxfId="24"/>
    <tableColumn id="5" xr3:uid="{D66233A5-C7A7-4761-80F4-D33D68C3A0A8}" name="Monroe County Vote Results" totalsRowFunction="custom" dataDxfId="23" totalsRowDxfId="22">
      <totalsRowFormula>SUM(StateSenatorSenateDistrict7General1415161718192021222324252738[Monroe County Vote Results])</totalsRowFormula>
    </tableColumn>
    <tableColumn id="4" xr3:uid="{54AFDC4D-1E94-45C0-BDA5-5C8F8E695372}" name="Part of Orleans County Vote Results" totalsRowFunction="custom" dataDxfId="21" totalsRowDxfId="20">
      <totalsRowFormula>SUM(StateSenatorSenateDistrict7General1415161718192021222324252738[Part of Orleans County Vote Results])</totalsRowFormula>
    </tableColumn>
    <tableColumn id="3" xr3:uid="{4BD443A6-F411-4AB2-AAA1-EE3A7987B7EC}" name="Total Votes by Party" totalsRowFunction="custom" dataDxfId="19" totalsRowDxfId="18">
      <calculatedColumnFormula>SUM(B3:C3)</calculatedColumnFormula>
      <totalsRowFormula>SUM(StateSenatorSenateDistrict7General1415161718192021222324252738[Total Votes by Party])</totalsRowFormula>
    </tableColumn>
    <tableColumn id="2" xr3:uid="{E6B1B97F-85D1-45A7-8F02-8894AE0B1F52}" name="Total Votes by Candidate" dataDxfId="17" totalsRowDxfId="16">
      <calculatedColumnFormula>SUM(StateSenatorSenateDistrict7General1415161718192021222324252738[[#This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A2E774E-FF1C-47AA-8660-3852F950C21D}" name="StateSenatorSenateDistrict7General141516171819202122232425273839" displayName="StateSenatorSenateDistrict7General141516171819202122232425273839" ref="A2:E10" totalsRowCount="1" headerRowDxfId="15" dataDxfId="13" totalsRowDxfId="11" headerRowBorderDxfId="14" tableBorderDxfId="12" totalsRowBorderDxfId="10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3492490-20AA-46E3-83CC-19B8D6C12E3E}" name="Candidate Name (Party)" totalsRowLabel="Total Votes by County" dataDxfId="9" totalsRowDxfId="8"/>
    <tableColumn id="5" xr3:uid="{90FACD34-DA38-4AFE-AA78-169E6BF38C14}" name="Part of Erie County Vote Results" totalsRowFunction="custom" dataDxfId="7" totalsRowDxfId="6">
      <totalsRowFormula>SUM(StateSenatorSenateDistrict7General141516171819202122232425273839[Part of Erie County Vote Results])</totalsRowFormula>
    </tableColumn>
    <tableColumn id="4" xr3:uid="{502C5652-8E9C-41FD-B4F4-9866418938DE}" name="Part of Niagara County Vote Results" totalsRowFunction="custom" dataDxfId="5" totalsRowDxfId="4">
      <totalsRowFormula>SUM(StateSenatorSenateDistrict7General141516171819202122232425273839[Part of Niagara County Vote Results])</totalsRowFormula>
    </tableColumn>
    <tableColumn id="3" xr3:uid="{BDFC06B7-6EA1-462E-8BCF-7117DFB1CB15}" name="Total Votes by Party" totalsRowFunction="custom" dataDxfId="3" totalsRowDxfId="2">
      <calculatedColumnFormula>SUM(B3:C3)</calculatedColumnFormula>
      <totalsRowFormula>SUM(StateSenatorSenateDistrict7General141516171819202122232425273839[Total Votes by Party])</totalsRowFormula>
    </tableColumn>
    <tableColumn id="2" xr3:uid="{EC4E6D92-B359-4D15-BF20-2E8F4BA94451}" name="Total Votes by Candidate" dataDxfId="1" totalsRowDxfId="0">
      <calculatedColumnFormula>SUM(StateSenatorSenateDistrict7General141516171819202122232425273839[[#This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99EF11-8BB5-4A5F-9788-DD03A1A3827F}" name="StateSenatorSenateDistrict7General141516" displayName="StateSenatorSenateDistrict7General141516" ref="A2:E10" totalsRowCount="1" headerRowDxfId="457" dataDxfId="455" totalsRowDxfId="453" headerRowBorderDxfId="456" tableBorderDxfId="454" totalsRowBorderDxfId="452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28B04D7-8205-42EE-953C-C3173DF6EFD1}" name="Candidate Name (Party)" totalsRowLabel="Total Votes by County" dataDxfId="451" totalsRowDxfId="450"/>
    <tableColumn id="5" xr3:uid="{A9E7D17E-A4C6-41DB-AE1C-589E9070C708}" name="Part of Nassau County Vote Results" totalsRowFunction="custom" dataDxfId="449" totalsRowDxfId="448">
      <totalsRowFormula>SUM(StateSenatorSenateDistrict7General141516[Part of Nassau County Vote Results])</totalsRowFormula>
    </tableColumn>
    <tableColumn id="4" xr3:uid="{74BF5C24-1694-4AEC-87DB-60D8C4C0E347}" name="Part of Queens County Vote Results" totalsRowFunction="custom" dataDxfId="447" totalsRowDxfId="446">
      <totalsRowFormula>SUM(StateSenatorSenateDistrict7General141516[Part of Queens County Vote Results])</totalsRowFormula>
    </tableColumn>
    <tableColumn id="3" xr3:uid="{B7946760-C317-4305-8AAC-91A4A91EE9D2}" name="Total Votes by Party" totalsRowFunction="custom" dataDxfId="445" totalsRowDxfId="444">
      <calculatedColumnFormula>SUM(B3:C3)</calculatedColumnFormula>
      <totalsRowFormula>SUM(StateSenatorSenateDistrict7General141516[Total Votes by Party])</totalsRowFormula>
    </tableColumn>
    <tableColumn id="2" xr3:uid="{B7E52A1F-CE56-4215-A16D-B975E8C06F67}" name="Total Votes by Candidate" dataDxfId="443" totalsRowDxfId="442">
      <calculatedColumnFormula>SUM(StateSenatorSenateDistrict7General141516[[#This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7380A2-C352-4B6F-84BF-10757DC5862D}" name="StateSenatorSenateDistrict7General14151617" displayName="StateSenatorSenateDistrict7General14151617" ref="A2:D9" totalsRowCount="1" headerRowDxfId="441" dataDxfId="439" totalsRowDxfId="437" headerRowBorderDxfId="440" tableBorderDxfId="438" totalsRowBorderDxfId="436">
  <autoFilter ref="A2:D8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15DE7279-453B-4E7B-85A1-7D7FBE5C13B4}" name="Candidate Name (Party)" totalsRowLabel="Total Votes by County" dataDxfId="435" totalsRowDxfId="434"/>
    <tableColumn id="5" xr3:uid="{60A0C16D-990F-4C65-9832-E4509824B3BA}" name="Part of Nassau County Vote Results" totalsRowFunction="custom" dataDxfId="433" totalsRowDxfId="432">
      <totalsRowFormula>SUM(StateSenatorSenateDistrict7General14151617[Part of Nassau County Vote Results])</totalsRowFormula>
    </tableColumn>
    <tableColumn id="3" xr3:uid="{035C593B-BD45-47FB-9E73-A2C6899C41D7}" name="Total Votes by Party" totalsRowFunction="custom" dataDxfId="431" totalsRowDxfId="430">
      <calculatedColumnFormula>SUM(B3)</calculatedColumnFormula>
      <totalsRowFormula>SUM(StateSenatorSenateDistrict7General14151617[Total Votes by Party])</totalsRowFormula>
    </tableColumn>
    <tableColumn id="2" xr3:uid="{BABB6092-A166-4660-90CD-34E894BBF7B7}" name="Total Votes by Candidate" dataDxfId="429" totalsRowDxfId="428">
      <calculatedColumnFormula>SUM(StateSenatorSenateDistrict7General14151617[[#This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3C961ED-6A75-459D-9835-E514548A8C80}" name="StateSenatorSenateDistrict7General1415161718" displayName="StateSenatorSenateDistrict7General1415161718" ref="A2:D9" totalsRowCount="1" headerRowDxfId="427" dataDxfId="425" totalsRowDxfId="423" headerRowBorderDxfId="426" tableBorderDxfId="424" totalsRowBorderDxfId="422">
  <autoFilter ref="A2:D8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A16B06E3-04F1-4910-BE7B-434C30DB29ED}" name="Candidate Name (Party)" totalsRowLabel="Total Votes by County" dataDxfId="421" totalsRowDxfId="420"/>
    <tableColumn id="5" xr3:uid="{F3C584AA-E477-4294-95CD-56A523D2D5F9}" name="Part of Queens County Vote Results" totalsRowFunction="custom" dataDxfId="419" totalsRowDxfId="418">
      <totalsRowFormula>SUM(StateSenatorSenateDistrict7General1415161718[Part of Queens County Vote Results])</totalsRowFormula>
    </tableColumn>
    <tableColumn id="3" xr3:uid="{B48BBBA8-E658-436D-B49D-756593684D36}" name="Total Votes by Party" totalsRowFunction="custom" dataDxfId="417" totalsRowDxfId="416">
      <calculatedColumnFormula>SUM(B3)</calculatedColumnFormula>
      <totalsRowFormula>SUM(StateSenatorSenateDistrict7General1415161718[Total Votes by Party])</totalsRowFormula>
    </tableColumn>
    <tableColumn id="2" xr3:uid="{C6282FEB-3D05-4535-9AB6-25BD59BCFA14}" name="Total Votes by Candidate" dataDxfId="415" totalsRowDxfId="414">
      <calculatedColumnFormula>SUM(StateSenatorSenateDistrict7General1415161718[[#This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8D017A3-734D-4C31-8744-FEC25D49E1FB}" name="StateSenatorSenateDistrict7General141516171819" displayName="StateSenatorSenateDistrict7General141516171819" ref="A2:D10" totalsRowCount="1" headerRowDxfId="413" dataDxfId="411" totalsRowDxfId="409" headerRowBorderDxfId="412" tableBorderDxfId="410" totalsRowBorderDxfId="408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CB237F92-0F8C-431C-86AE-8012B386C32C}" name="Candidate Name (Party)" totalsRowLabel="Total Votes by County" dataDxfId="407" totalsRowDxfId="406"/>
    <tableColumn id="5" xr3:uid="{CB17FD1B-3F27-4274-8B50-79C54F635C00}" name="Part of Queens County Vote Results" totalsRowFunction="custom" dataDxfId="405" totalsRowDxfId="404">
      <totalsRowFormula>SUM(StateSenatorSenateDistrict7General141516171819[Part of Queens County Vote Results])</totalsRowFormula>
    </tableColumn>
    <tableColumn id="3" xr3:uid="{D50F92D0-4531-4032-91D3-707150638521}" name="Total Votes by Party" totalsRowFunction="custom" dataDxfId="403" totalsRowDxfId="402">
      <calculatedColumnFormula>SUM(B3)</calculatedColumnFormula>
      <totalsRowFormula>SUM(StateSenatorSenateDistrict7General141516171819[Total Votes by Party])</totalsRowFormula>
    </tableColumn>
    <tableColumn id="2" xr3:uid="{20DEF2B0-BCB1-4AC9-859B-86FAE7A1A738}" name="Total Votes by Candidate" dataDxfId="401" totalsRowDxfId="400">
      <calculatedColumnFormula>SUM(StateSenatorSenateDistrict7General141516171819[[#This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3FD7AFD-E89B-4A14-AAD6-44D30A6F3A66}" name="StateSenatorSenateDistrict7General14151617181920" displayName="StateSenatorSenateDistrict7General14151617181920" ref="A2:E10" totalsRowCount="1" headerRowDxfId="399" dataDxfId="397" totalsRowDxfId="395" headerRowBorderDxfId="398" tableBorderDxfId="396" totalsRowBorderDxfId="394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6DD6CAC-4318-4196-BF91-E3C7FE097B4C}" name="Candidate Name (Party)" totalsRowLabel="Total Votes by County" dataDxfId="393" totalsRowDxfId="392"/>
    <tableColumn id="5" xr3:uid="{64A8C057-A7A3-4BDB-804A-8A22B8CF6A2B}" name="Part of Kings County Vote Results" totalsRowFunction="custom" dataDxfId="391" totalsRowDxfId="390">
      <totalsRowFormula>SUM(StateSenatorSenateDistrict7General14151617181920[Part of Kings County Vote Results])</totalsRowFormula>
    </tableColumn>
    <tableColumn id="6" xr3:uid="{9AE8347E-9D54-4AA4-90FE-A2AEC84E0D5F}" name="Part of Queens County Vote Results" totalsRowFunction="custom" dataDxfId="389" totalsRowDxfId="388">
      <totalsRowFormula>SUM(StateSenatorSenateDistrict7General14151617181920[Part of Queens County Vote Results])</totalsRowFormula>
    </tableColumn>
    <tableColumn id="3" xr3:uid="{6CA8BEB6-3D0C-41A4-AEA4-E0EE3AFFE7C6}" name="Total Votes by Party" totalsRowFunction="custom" dataDxfId="387" totalsRowDxfId="386">
      <calculatedColumnFormula>SUM(StateSenatorSenateDistrict7General14151617181920[[#This Row],[Part of Kings County Vote Results]:[Part of Queens County Vote Results]])</calculatedColumnFormula>
      <totalsRowFormula>SUM(StateSenatorSenateDistrict7General14151617181920[Total Votes by Party])</totalsRowFormula>
    </tableColumn>
    <tableColumn id="2" xr3:uid="{0ADABC05-7D4C-46AE-88A0-60583FE269B9}" name="Total Votes by Candidate" dataDxfId="385" totalsRowDxfId="384">
      <calculatedColumnFormula>SUM(StateSenatorSenateDistrict7General14151617181920[[#This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2BBA24A-65EA-467A-B8EA-3C5FE0C0B324}" name="StateSenatorSenateDistrict7General1415161718192021" displayName="StateSenatorSenateDistrict7General1415161718192021" ref="A2:D9" totalsRowCount="1" headerRowDxfId="383" dataDxfId="381" totalsRowDxfId="379" headerRowBorderDxfId="382" tableBorderDxfId="380" totalsRowBorderDxfId="378">
  <autoFilter ref="A2:D8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130E5169-3B4C-4AF2-BF3E-483939B713EF}" name="Candidate Name (Party)" totalsRowLabel="Total Votes by County" dataDxfId="377" totalsRowDxfId="376"/>
    <tableColumn id="5" xr3:uid="{71C1CEB9-B7A6-4EF7-A82E-1C3C3F1F3BE8}" name="Part of Kings County Vote Results" totalsRowFunction="custom" dataDxfId="375" totalsRowDxfId="374">
      <totalsRowFormula>SUM(StateSenatorSenateDistrict7General1415161718192021[Part of Kings County Vote Results])</totalsRowFormula>
    </tableColumn>
    <tableColumn id="3" xr3:uid="{C6A7E008-BC3C-4DBF-9156-03208A943EC4}" name="Total Votes by Party" totalsRowFunction="custom" dataDxfId="373" totalsRowDxfId="372">
      <calculatedColumnFormula>SUM(B3:B3)</calculatedColumnFormula>
      <totalsRowFormula>SUM([1]!StateSenatorSenateDistrict7General1415161718192021[Total Votes by Party])</totalsRowFormula>
    </tableColumn>
    <tableColumn id="2" xr3:uid="{98A8FAD6-0458-45A3-BD03-27B7BBEFA94A}" name="Total Votes by Candidate" dataDxfId="371" totalsRowDxfId="370">
      <calculatedColumnFormula>SUM(StateSenatorSenateDistrict7General1415161718192021[[#This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B8115C5-0A61-4886-BAA5-BBE63DCA2695}" name="StateSenatorSenateDistrict7General141516171819202122" displayName="StateSenatorSenateDistrict7General141516171819202122" ref="A2:D9" totalsRowCount="1" headerRowDxfId="369" dataDxfId="367" totalsRowDxfId="365" headerRowBorderDxfId="368" tableBorderDxfId="366" totalsRowBorderDxfId="364">
  <autoFilter ref="A2:D8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BDDE75F1-EFF5-4BC1-B2D5-E9BB138B3404}" name="Candidate Name (Party)" totalsRowLabel="Total Votes by County" dataDxfId="363" totalsRowDxfId="362"/>
    <tableColumn id="5" xr3:uid="{F2D9FE4C-9292-4B1E-A567-07D088EB2858}" name="Part of Kings County Vote Results" totalsRowFunction="custom" dataDxfId="361" totalsRowDxfId="360">
      <totalsRowFormula>SUM(StateSenatorSenateDistrict7General141516171819202122[Part of Kings County Vote Results])</totalsRowFormula>
    </tableColumn>
    <tableColumn id="3" xr3:uid="{915C9471-C8EC-4997-8E10-DBDE8BBB16F0}" name="Total Votes by Party" totalsRowFunction="custom" dataDxfId="359" totalsRowDxfId="358">
      <calculatedColumnFormula>SUM(B3)</calculatedColumnFormula>
      <totalsRowFormula>SUM(StateSenatorSenateDistrict7General141516171819202122[Total Votes by Party])</totalsRowFormula>
    </tableColumn>
    <tableColumn id="2" xr3:uid="{8AF40300-2941-426D-B128-60488E0EC894}" name="Total Votes by Candidate" dataDxfId="357" totalsRowDxfId="356">
      <calculatedColumnFormula>SUM(StateSenatorSenateDistrict7General141516171819202122[[#This Row],[Total Votes by Party]],C3,#REF!,#REF!)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939E-A848-4634-8765-47E2FDEF64F1}">
  <sheetPr>
    <pageSetUpPr fitToPage="1"/>
  </sheetPr>
  <dimension ref="A1:D10"/>
  <sheetViews>
    <sheetView workbookViewId="0">
      <selection activeCell="A10" sqref="A10:XFD10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12</v>
      </c>
    </row>
    <row r="2" spans="1:4" ht="24.95" customHeight="1" x14ac:dyDescent="0.2">
      <c r="A2" s="11" t="s">
        <v>11</v>
      </c>
      <c r="B2" s="10" t="s">
        <v>10</v>
      </c>
      <c r="C2" s="9" t="s">
        <v>9</v>
      </c>
      <c r="D2" s="8" t="s">
        <v>8</v>
      </c>
    </row>
    <row r="3" spans="1:4" x14ac:dyDescent="0.2">
      <c r="A3" s="6" t="s">
        <v>7</v>
      </c>
      <c r="B3" s="3">
        <v>135170</v>
      </c>
      <c r="C3" s="2">
        <f t="shared" ref="C3:C9" si="0">SUM(B3)</f>
        <v>135170</v>
      </c>
      <c r="D3" s="7">
        <f>SUM(C3,C6)</f>
        <v>141907</v>
      </c>
    </row>
    <row r="4" spans="1:4" x14ac:dyDescent="0.2">
      <c r="A4" s="6" t="s">
        <v>6</v>
      </c>
      <c r="B4" s="3">
        <v>154046</v>
      </c>
      <c r="C4" s="2">
        <f t="shared" si="0"/>
        <v>154046</v>
      </c>
      <c r="D4" s="7">
        <f>SUM(C4,C5)</f>
        <v>177040</v>
      </c>
    </row>
    <row r="5" spans="1:4" x14ac:dyDescent="0.2">
      <c r="A5" s="6" t="s">
        <v>5</v>
      </c>
      <c r="B5" s="3">
        <v>22994</v>
      </c>
      <c r="C5" s="2">
        <f t="shared" si="0"/>
        <v>22994</v>
      </c>
      <c r="D5" s="1"/>
    </row>
    <row r="6" spans="1:4" x14ac:dyDescent="0.2">
      <c r="A6" s="6" t="s">
        <v>4</v>
      </c>
      <c r="B6" s="3">
        <v>6737</v>
      </c>
      <c r="C6" s="2">
        <f t="shared" si="0"/>
        <v>6737</v>
      </c>
      <c r="D6" s="1"/>
    </row>
    <row r="7" spans="1:4" x14ac:dyDescent="0.2">
      <c r="A7" s="5" t="s">
        <v>3</v>
      </c>
      <c r="B7" s="3">
        <v>7991</v>
      </c>
      <c r="C7" s="2">
        <f t="shared" si="0"/>
        <v>7991</v>
      </c>
      <c r="D7" s="1"/>
    </row>
    <row r="8" spans="1:4" x14ac:dyDescent="0.2">
      <c r="A8" s="5" t="s">
        <v>2</v>
      </c>
      <c r="B8" s="3">
        <v>66</v>
      </c>
      <c r="C8" s="2">
        <f t="shared" si="0"/>
        <v>66</v>
      </c>
      <c r="D8" s="1"/>
    </row>
    <row r="9" spans="1:4" x14ac:dyDescent="0.2">
      <c r="A9" s="5" t="s">
        <v>1</v>
      </c>
      <c r="B9" s="3">
        <v>48</v>
      </c>
      <c r="C9" s="2">
        <f t="shared" si="0"/>
        <v>48</v>
      </c>
      <c r="D9" s="1"/>
    </row>
    <row r="10" spans="1:4" x14ac:dyDescent="0.2">
      <c r="A10" s="4" t="s">
        <v>0</v>
      </c>
      <c r="B10" s="3">
        <f>SUM(StateSenatorSenateDistrict7General14[Part of Suffolk County Vote Results])</f>
        <v>327052</v>
      </c>
      <c r="C10" s="2">
        <f>SUM(StateSenatorSenateDistrict7General14[Total Votes by Party])</f>
        <v>327052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E05E4-8004-48B8-B016-5D2E989EA164}">
  <sheetPr>
    <pageSetUpPr fitToPage="1"/>
  </sheetPr>
  <dimension ref="A1:E10"/>
  <sheetViews>
    <sheetView workbookViewId="0">
      <selection activeCell="A5" sqref="A5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2" t="s">
        <v>57</v>
      </c>
    </row>
    <row r="2" spans="1:5" ht="24.95" customHeight="1" x14ac:dyDescent="0.2">
      <c r="A2" s="11" t="s">
        <v>11</v>
      </c>
      <c r="B2" s="10" t="s">
        <v>42</v>
      </c>
      <c r="C2" s="10" t="s">
        <v>56</v>
      </c>
      <c r="D2" s="9" t="s">
        <v>9</v>
      </c>
      <c r="E2" s="8" t="s">
        <v>8</v>
      </c>
    </row>
    <row r="3" spans="1:5" x14ac:dyDescent="0.2">
      <c r="A3" s="6" t="s">
        <v>55</v>
      </c>
      <c r="B3" s="3">
        <v>90381</v>
      </c>
      <c r="C3" s="3">
        <v>70201</v>
      </c>
      <c r="D3" s="2">
        <f t="shared" ref="D3:D9" si="0">SUM(B3:C3)</f>
        <v>160582</v>
      </c>
      <c r="E3" s="7">
        <f>SUM(D3)</f>
        <v>160582</v>
      </c>
    </row>
    <row r="4" spans="1:5" x14ac:dyDescent="0.2">
      <c r="A4" s="6" t="s">
        <v>54</v>
      </c>
      <c r="B4" s="3">
        <v>14178</v>
      </c>
      <c r="C4" s="3">
        <v>12533</v>
      </c>
      <c r="D4" s="2">
        <f t="shared" si="0"/>
        <v>26711</v>
      </c>
      <c r="E4" s="7">
        <f>SUM(D4,D5)</f>
        <v>29058</v>
      </c>
    </row>
    <row r="5" spans="1:5" x14ac:dyDescent="0.2">
      <c r="A5" s="6" t="s">
        <v>53</v>
      </c>
      <c r="B5" s="3">
        <v>1478</v>
      </c>
      <c r="C5" s="3">
        <v>869</v>
      </c>
      <c r="D5" s="2">
        <f t="shared" si="0"/>
        <v>2347</v>
      </c>
      <c r="E5" s="1"/>
    </row>
    <row r="6" spans="1:5" x14ac:dyDescent="0.2">
      <c r="A6" s="6" t="s">
        <v>52</v>
      </c>
      <c r="B6" s="3">
        <v>693</v>
      </c>
      <c r="C6" s="3">
        <v>754</v>
      </c>
      <c r="D6" s="2">
        <f t="shared" si="0"/>
        <v>1447</v>
      </c>
      <c r="E6" s="7">
        <f>SUM(D6)</f>
        <v>1447</v>
      </c>
    </row>
    <row r="7" spans="1:5" x14ac:dyDescent="0.2">
      <c r="A7" s="5" t="s">
        <v>3</v>
      </c>
      <c r="B7" s="3">
        <v>5880</v>
      </c>
      <c r="C7" s="3">
        <v>3904</v>
      </c>
      <c r="D7" s="2">
        <f t="shared" si="0"/>
        <v>9784</v>
      </c>
      <c r="E7" s="1"/>
    </row>
    <row r="8" spans="1:5" x14ac:dyDescent="0.2">
      <c r="A8" s="5" t="s">
        <v>2</v>
      </c>
      <c r="B8" s="3">
        <v>0</v>
      </c>
      <c r="C8" s="3">
        <v>0</v>
      </c>
      <c r="D8" s="2">
        <f t="shared" si="0"/>
        <v>0</v>
      </c>
      <c r="E8" s="1"/>
    </row>
    <row r="9" spans="1:5" x14ac:dyDescent="0.2">
      <c r="A9" s="5" t="s">
        <v>1</v>
      </c>
      <c r="B9" s="3">
        <v>869</v>
      </c>
      <c r="C9" s="3">
        <v>391</v>
      </c>
      <c r="D9" s="2">
        <f t="shared" si="0"/>
        <v>1260</v>
      </c>
      <c r="E9" s="1"/>
    </row>
    <row r="10" spans="1:5" x14ac:dyDescent="0.2">
      <c r="A10" s="4" t="s">
        <v>0</v>
      </c>
      <c r="B10" s="3">
        <f>SUM(StateSenatorSenateDistrict7General14151617181920212223[Part of Kings County Vote Results])</f>
        <v>113479</v>
      </c>
      <c r="C10" s="3">
        <f>SUM(StateSenatorSenateDistrict7General14151617181920212223[Part of New York County Vote Results])</f>
        <v>88652</v>
      </c>
      <c r="D10" s="2">
        <f>SUM(StateSenatorSenateDistrict7General14151617181920212223[Total Votes by Party])</f>
        <v>202131</v>
      </c>
      <c r="E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2269-82A4-4E2B-8E84-A552CF57A631}">
  <sheetPr>
    <pageSetUpPr fitToPage="1"/>
  </sheetPr>
  <dimension ref="A1:E9"/>
  <sheetViews>
    <sheetView workbookViewId="0">
      <selection activeCell="A6" sqref="A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2" t="s">
        <v>62</v>
      </c>
    </row>
    <row r="2" spans="1:5" ht="24.95" customHeight="1" x14ac:dyDescent="0.2">
      <c r="A2" s="11" t="s">
        <v>11</v>
      </c>
      <c r="B2" s="10" t="s">
        <v>42</v>
      </c>
      <c r="C2" s="10" t="s">
        <v>61</v>
      </c>
      <c r="D2" s="9" t="s">
        <v>9</v>
      </c>
      <c r="E2" s="8" t="s">
        <v>8</v>
      </c>
    </row>
    <row r="3" spans="1:5" x14ac:dyDescent="0.2">
      <c r="A3" s="6" t="s">
        <v>60</v>
      </c>
      <c r="B3" s="3">
        <v>22807</v>
      </c>
      <c r="C3" s="3">
        <v>48994</v>
      </c>
      <c r="D3" s="2">
        <f t="shared" ref="D3:D8" si="0">SUM(B3:C3)</f>
        <v>71801</v>
      </c>
      <c r="E3" s="7">
        <f>SUM(D3)</f>
        <v>71801</v>
      </c>
    </row>
    <row r="4" spans="1:5" x14ac:dyDescent="0.2">
      <c r="A4" s="6" t="s">
        <v>59</v>
      </c>
      <c r="B4" s="3">
        <v>22846</v>
      </c>
      <c r="C4" s="3">
        <v>85143</v>
      </c>
      <c r="D4" s="2">
        <f t="shared" si="0"/>
        <v>107989</v>
      </c>
      <c r="E4" s="7">
        <f>SUM(D4,D5)</f>
        <v>115992</v>
      </c>
    </row>
    <row r="5" spans="1:5" x14ac:dyDescent="0.2">
      <c r="A5" s="6" t="s">
        <v>58</v>
      </c>
      <c r="B5" s="3">
        <v>1930</v>
      </c>
      <c r="C5" s="3">
        <v>6073</v>
      </c>
      <c r="D5" s="2">
        <f t="shared" si="0"/>
        <v>8003</v>
      </c>
      <c r="E5" s="1"/>
    </row>
    <row r="6" spans="1:5" x14ac:dyDescent="0.2">
      <c r="A6" s="5" t="s">
        <v>3</v>
      </c>
      <c r="B6" s="3">
        <v>1461</v>
      </c>
      <c r="C6" s="3">
        <v>1523</v>
      </c>
      <c r="D6" s="2">
        <f t="shared" si="0"/>
        <v>2984</v>
      </c>
      <c r="E6" s="1"/>
    </row>
    <row r="7" spans="1:5" x14ac:dyDescent="0.2">
      <c r="A7" s="5" t="s">
        <v>2</v>
      </c>
      <c r="B7" s="3">
        <v>0</v>
      </c>
      <c r="C7" s="3">
        <v>0</v>
      </c>
      <c r="D7" s="2">
        <f t="shared" si="0"/>
        <v>0</v>
      </c>
      <c r="E7" s="1"/>
    </row>
    <row r="8" spans="1:5" x14ac:dyDescent="0.2">
      <c r="A8" s="5" t="s">
        <v>1</v>
      </c>
      <c r="B8" s="3">
        <v>64</v>
      </c>
      <c r="C8" s="3">
        <v>242</v>
      </c>
      <c r="D8" s="2">
        <f t="shared" si="0"/>
        <v>306</v>
      </c>
      <c r="E8" s="1"/>
    </row>
    <row r="9" spans="1:5" x14ac:dyDescent="0.2">
      <c r="A9" s="4" t="s">
        <v>0</v>
      </c>
      <c r="B9" s="3">
        <f>SUM(StateSenatorSenateDistrict7General1415161718192021222324[Part of Kings County Vote Results])</f>
        <v>49108</v>
      </c>
      <c r="C9" s="3">
        <f>SUM(StateSenatorSenateDistrict7General1415161718192021222324[Richmond County Vote Results])</f>
        <v>141975</v>
      </c>
      <c r="D9" s="2">
        <f>SUM(StateSenatorSenateDistrict7General1415161718192021222324[Total Votes by Party])</f>
        <v>191083</v>
      </c>
      <c r="E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A15C-08AD-4086-9FD4-6B0C04C4974E}">
  <sheetPr>
    <pageSetUpPr fitToPage="1"/>
  </sheetPr>
  <dimension ref="A1:D12"/>
  <sheetViews>
    <sheetView workbookViewId="0">
      <selection activeCell="B12" sqref="B1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69</v>
      </c>
    </row>
    <row r="2" spans="1:4" ht="24.95" customHeight="1" x14ac:dyDescent="0.2">
      <c r="A2" s="11" t="s">
        <v>11</v>
      </c>
      <c r="B2" s="10" t="s">
        <v>56</v>
      </c>
      <c r="C2" s="9" t="s">
        <v>9</v>
      </c>
      <c r="D2" s="8" t="s">
        <v>8</v>
      </c>
    </row>
    <row r="3" spans="1:4" x14ac:dyDescent="0.2">
      <c r="A3" s="6" t="s">
        <v>68</v>
      </c>
      <c r="B3" s="3">
        <v>184872</v>
      </c>
      <c r="C3" s="2">
        <f t="shared" ref="C3:C11" si="0">SUM(B3)</f>
        <v>184872</v>
      </c>
      <c r="D3" s="7">
        <f>SUM(C3,C6)</f>
        <v>200890</v>
      </c>
    </row>
    <row r="4" spans="1:4" x14ac:dyDescent="0.2">
      <c r="A4" s="6" t="s">
        <v>67</v>
      </c>
      <c r="B4" s="3">
        <v>40994</v>
      </c>
      <c r="C4" s="2">
        <f t="shared" si="0"/>
        <v>40994</v>
      </c>
      <c r="D4" s="7">
        <f>SUM(C4,C5,C7)</f>
        <v>44173</v>
      </c>
    </row>
    <row r="5" spans="1:4" x14ac:dyDescent="0.2">
      <c r="A5" s="6" t="s">
        <v>66</v>
      </c>
      <c r="B5" s="3">
        <v>2715</v>
      </c>
      <c r="C5" s="2">
        <f t="shared" si="0"/>
        <v>2715</v>
      </c>
      <c r="D5" s="1"/>
    </row>
    <row r="6" spans="1:4" x14ac:dyDescent="0.2">
      <c r="A6" s="6" t="s">
        <v>65</v>
      </c>
      <c r="B6" s="3">
        <v>16018</v>
      </c>
      <c r="C6" s="2">
        <f t="shared" si="0"/>
        <v>16018</v>
      </c>
      <c r="D6" s="1"/>
    </row>
    <row r="7" spans="1:4" x14ac:dyDescent="0.2">
      <c r="A7" s="6" t="s">
        <v>64</v>
      </c>
      <c r="B7" s="3">
        <v>464</v>
      </c>
      <c r="C7" s="2">
        <f t="shared" si="0"/>
        <v>464</v>
      </c>
      <c r="D7" s="1"/>
    </row>
    <row r="8" spans="1:4" x14ac:dyDescent="0.2">
      <c r="A8" s="6" t="s">
        <v>63</v>
      </c>
      <c r="B8" s="3">
        <v>631</v>
      </c>
      <c r="C8" s="2">
        <f t="shared" si="0"/>
        <v>631</v>
      </c>
      <c r="D8" s="7">
        <f>SUM(C8)</f>
        <v>631</v>
      </c>
    </row>
    <row r="9" spans="1:4" x14ac:dyDescent="0.2">
      <c r="A9" s="5" t="s">
        <v>3</v>
      </c>
      <c r="B9" s="3">
        <v>4973</v>
      </c>
      <c r="C9" s="2">
        <f t="shared" si="0"/>
        <v>4973</v>
      </c>
      <c r="D9" s="1"/>
    </row>
    <row r="10" spans="1:4" x14ac:dyDescent="0.2">
      <c r="A10" s="5" t="s">
        <v>2</v>
      </c>
      <c r="B10" s="3">
        <v>0</v>
      </c>
      <c r="C10" s="2">
        <f t="shared" si="0"/>
        <v>0</v>
      </c>
      <c r="D10" s="1"/>
    </row>
    <row r="11" spans="1:4" x14ac:dyDescent="0.2">
      <c r="A11" s="5" t="s">
        <v>1</v>
      </c>
      <c r="B11" s="3">
        <v>411</v>
      </c>
      <c r="C11" s="2">
        <f t="shared" si="0"/>
        <v>411</v>
      </c>
      <c r="D11" s="1"/>
    </row>
    <row r="12" spans="1:4" x14ac:dyDescent="0.2">
      <c r="A12" s="4" t="s">
        <v>0</v>
      </c>
      <c r="B12" s="3">
        <f>SUM(StateSenatorSenateDistrict7General141516171819202122232425[Part of New York County Vote Results])</f>
        <v>251078</v>
      </c>
      <c r="C12" s="2">
        <f>SUM(StateSenatorSenateDistrict7General141516171819202122232425[Total Votes by Party])</f>
        <v>251078</v>
      </c>
      <c r="D12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4FB3-1CB8-460B-8A34-C7B190C15D04}">
  <sheetPr>
    <pageSetUpPr fitToPage="1"/>
  </sheetPr>
  <dimension ref="A1:E7"/>
  <sheetViews>
    <sheetView workbookViewId="0">
      <selection activeCell="A3" sqref="A3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2" t="s">
        <v>72</v>
      </c>
    </row>
    <row r="2" spans="1:5" ht="24.95" customHeight="1" x14ac:dyDescent="0.2">
      <c r="A2" s="11" t="s">
        <v>11</v>
      </c>
      <c r="B2" s="10" t="s">
        <v>71</v>
      </c>
      <c r="C2" s="10" t="s">
        <v>56</v>
      </c>
      <c r="D2" s="9" t="s">
        <v>9</v>
      </c>
      <c r="E2" s="8" t="s">
        <v>8</v>
      </c>
    </row>
    <row r="3" spans="1:5" x14ac:dyDescent="0.2">
      <c r="A3" s="6" t="s">
        <v>70</v>
      </c>
      <c r="B3" s="3">
        <v>17044</v>
      </c>
      <c r="C3" s="3">
        <v>99545</v>
      </c>
      <c r="D3" s="2">
        <f>SUM(B3:C3)</f>
        <v>116589</v>
      </c>
      <c r="E3" s="7">
        <f>SUM(D3)</f>
        <v>116589</v>
      </c>
    </row>
    <row r="4" spans="1:5" x14ac:dyDescent="0.2">
      <c r="A4" s="5" t="s">
        <v>3</v>
      </c>
      <c r="B4" s="3">
        <v>5641</v>
      </c>
      <c r="C4" s="3">
        <v>19308</v>
      </c>
      <c r="D4" s="2">
        <f>SUM(B4:C4)</f>
        <v>24949</v>
      </c>
      <c r="E4" s="1"/>
    </row>
    <row r="5" spans="1:5" x14ac:dyDescent="0.2">
      <c r="A5" s="5" t="s">
        <v>2</v>
      </c>
      <c r="B5" s="3">
        <v>0</v>
      </c>
      <c r="C5" s="3">
        <v>0</v>
      </c>
      <c r="D5" s="2">
        <f>SUM(B5:C5)</f>
        <v>0</v>
      </c>
      <c r="E5" s="1"/>
    </row>
    <row r="6" spans="1:5" x14ac:dyDescent="0.2">
      <c r="A6" s="5" t="s">
        <v>1</v>
      </c>
      <c r="B6" s="3">
        <v>93</v>
      </c>
      <c r="C6" s="3">
        <v>1164</v>
      </c>
      <c r="D6" s="2">
        <f>SUM(B6:C6)</f>
        <v>1257</v>
      </c>
      <c r="E6" s="1"/>
    </row>
    <row r="7" spans="1:5" x14ac:dyDescent="0.2">
      <c r="A7" s="4" t="s">
        <v>0</v>
      </c>
      <c r="B7" s="3">
        <f>SUM(StateSenatorSenateDistrict7General14151617181920212223242526[Part of Bronx County Vote Results])</f>
        <v>22778</v>
      </c>
      <c r="C7" s="3">
        <f>SUM(StateSenatorSenateDistrict7General14151617181920212223242526[Part of New York County Vote Results])</f>
        <v>120017</v>
      </c>
      <c r="D7" s="2">
        <f>SUM(StateSenatorSenateDistrict7General14151617181920212223242526[Total Votes by Party])</f>
        <v>142795</v>
      </c>
      <c r="E7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7AC3-AD8E-44B8-9147-54BE24986CF7}">
  <sheetPr>
    <pageSetUpPr fitToPage="1"/>
  </sheetPr>
  <dimension ref="A1:E10"/>
  <sheetViews>
    <sheetView workbookViewId="0">
      <selection activeCell="A5" sqref="A5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2" t="s">
        <v>77</v>
      </c>
    </row>
    <row r="2" spans="1:5" ht="24.95" customHeight="1" x14ac:dyDescent="0.2">
      <c r="A2" s="11" t="s">
        <v>11</v>
      </c>
      <c r="B2" s="10" t="s">
        <v>71</v>
      </c>
      <c r="C2" s="10" t="s">
        <v>23</v>
      </c>
      <c r="D2" s="9" t="s">
        <v>9</v>
      </c>
      <c r="E2" s="8" t="s">
        <v>8</v>
      </c>
    </row>
    <row r="3" spans="1:5" x14ac:dyDescent="0.2">
      <c r="A3" s="6" t="s">
        <v>76</v>
      </c>
      <c r="B3" s="3">
        <v>44173</v>
      </c>
      <c r="C3" s="3">
        <v>29877</v>
      </c>
      <c r="D3" s="2">
        <f t="shared" ref="D3:D9" si="0">SUM(B3:C3)</f>
        <v>74050</v>
      </c>
      <c r="E3" s="7">
        <f>SUM(D3,D6)</f>
        <v>82453</v>
      </c>
    </row>
    <row r="4" spans="1:5" x14ac:dyDescent="0.2">
      <c r="A4" s="6" t="s">
        <v>75</v>
      </c>
      <c r="B4" s="3">
        <v>16510</v>
      </c>
      <c r="C4" s="3">
        <v>15425</v>
      </c>
      <c r="D4" s="2">
        <f t="shared" si="0"/>
        <v>31935</v>
      </c>
      <c r="E4" s="7">
        <f>SUM(D4)</f>
        <v>31935</v>
      </c>
    </row>
    <row r="5" spans="1:5" x14ac:dyDescent="0.2">
      <c r="A5" s="6" t="s">
        <v>74</v>
      </c>
      <c r="B5" s="3">
        <v>1030</v>
      </c>
      <c r="C5" s="3">
        <v>1178</v>
      </c>
      <c r="D5" s="2">
        <f t="shared" si="0"/>
        <v>2208</v>
      </c>
      <c r="E5" s="7">
        <f>SUM(D5)</f>
        <v>2208</v>
      </c>
    </row>
    <row r="6" spans="1:5" x14ac:dyDescent="0.2">
      <c r="A6" s="6" t="s">
        <v>73</v>
      </c>
      <c r="B6" s="3">
        <v>2107</v>
      </c>
      <c r="C6" s="3">
        <v>6296</v>
      </c>
      <c r="D6" s="2">
        <f t="shared" si="0"/>
        <v>8403</v>
      </c>
      <c r="E6" s="1"/>
    </row>
    <row r="7" spans="1:5" x14ac:dyDescent="0.2">
      <c r="A7" s="5" t="s">
        <v>3</v>
      </c>
      <c r="B7" s="3">
        <v>3956</v>
      </c>
      <c r="C7" s="3">
        <v>1836</v>
      </c>
      <c r="D7" s="2">
        <f t="shared" si="0"/>
        <v>5792</v>
      </c>
      <c r="E7" s="1"/>
    </row>
    <row r="8" spans="1:5" x14ac:dyDescent="0.2">
      <c r="A8" s="5" t="s">
        <v>2</v>
      </c>
      <c r="B8" s="3">
        <v>0</v>
      </c>
      <c r="C8" s="3">
        <v>0</v>
      </c>
      <c r="D8" s="2">
        <f t="shared" si="0"/>
        <v>0</v>
      </c>
      <c r="E8" s="1"/>
    </row>
    <row r="9" spans="1:5" x14ac:dyDescent="0.2">
      <c r="A9" s="5" t="s">
        <v>1</v>
      </c>
      <c r="B9" s="3">
        <v>55</v>
      </c>
      <c r="C9" s="3">
        <v>139</v>
      </c>
      <c r="D9" s="2">
        <f t="shared" si="0"/>
        <v>194</v>
      </c>
      <c r="E9" s="1"/>
    </row>
    <row r="10" spans="1:5" x14ac:dyDescent="0.2">
      <c r="A10" s="4" t="s">
        <v>0</v>
      </c>
      <c r="B10" s="3">
        <f>SUM(StateSenatorSenateDistrict7General14151617181920212223242527[Part of Bronx County Vote Results])</f>
        <v>67831</v>
      </c>
      <c r="C10" s="3">
        <f>SUM(StateSenatorSenateDistrict7General14151617181920212223242527[Part of Queens County Vote Results])</f>
        <v>54751</v>
      </c>
      <c r="D10" s="2">
        <f>SUM(StateSenatorSenateDistrict7General14151617181920212223242527[Total Votes by Party])</f>
        <v>122582</v>
      </c>
      <c r="E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1C21-4CAD-4664-8297-7B699C123707}">
  <sheetPr>
    <pageSetUpPr fitToPage="1"/>
  </sheetPr>
  <dimension ref="A1:D8"/>
  <sheetViews>
    <sheetView workbookViewId="0">
      <selection activeCell="A5" sqref="A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80</v>
      </c>
    </row>
    <row r="2" spans="1:4" ht="24.95" customHeight="1" x14ac:dyDescent="0.2">
      <c r="A2" s="11" t="s">
        <v>11</v>
      </c>
      <c r="B2" s="10" t="s">
        <v>71</v>
      </c>
      <c r="C2" s="9" t="s">
        <v>9</v>
      </c>
      <c r="D2" s="8" t="s">
        <v>8</v>
      </c>
    </row>
    <row r="3" spans="1:4" x14ac:dyDescent="0.2">
      <c r="A3" s="6" t="s">
        <v>79</v>
      </c>
      <c r="B3" s="3">
        <v>76406</v>
      </c>
      <c r="C3" s="2">
        <f>SUM(B3)</f>
        <v>76406</v>
      </c>
      <c r="D3" s="7">
        <f>SUM(C3)</f>
        <v>76406</v>
      </c>
    </row>
    <row r="4" spans="1:4" x14ac:dyDescent="0.2">
      <c r="A4" s="6" t="s">
        <v>78</v>
      </c>
      <c r="B4" s="3">
        <v>15882</v>
      </c>
      <c r="C4" s="2">
        <f>SUM(B4)</f>
        <v>15882</v>
      </c>
      <c r="D4" s="7">
        <f>SUM(C4)</f>
        <v>15882</v>
      </c>
    </row>
    <row r="5" spans="1:4" x14ac:dyDescent="0.2">
      <c r="A5" s="5" t="s">
        <v>3</v>
      </c>
      <c r="B5" s="3">
        <v>9342</v>
      </c>
      <c r="C5" s="2">
        <f>SUM(B5)</f>
        <v>9342</v>
      </c>
      <c r="D5" s="1"/>
    </row>
    <row r="6" spans="1:4" x14ac:dyDescent="0.2">
      <c r="A6" s="5" t="s">
        <v>2</v>
      </c>
      <c r="B6" s="3">
        <v>0</v>
      </c>
      <c r="C6" s="2">
        <f>SUM(B6)</f>
        <v>0</v>
      </c>
      <c r="D6" s="1"/>
    </row>
    <row r="7" spans="1:4" x14ac:dyDescent="0.2">
      <c r="A7" s="5" t="s">
        <v>1</v>
      </c>
      <c r="B7" s="3">
        <v>102</v>
      </c>
      <c r="C7" s="2">
        <f>SUM(B7)</f>
        <v>102</v>
      </c>
      <c r="D7" s="1"/>
    </row>
    <row r="8" spans="1:4" x14ac:dyDescent="0.2">
      <c r="A8" s="4" t="s">
        <v>0</v>
      </c>
      <c r="B8" s="3">
        <f>SUM(StateSenatorSenateDistrict7General14151617181920212223242528[Part of Bronx County Vote Results])</f>
        <v>101732</v>
      </c>
      <c r="C8" s="2">
        <f>SUM(StateSenatorSenateDistrict7General14151617181920212223242528[Total Votes by Party])</f>
        <v>101732</v>
      </c>
      <c r="D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68B1-0954-49A1-A1AA-30A48DF4D5C7}">
  <sheetPr>
    <pageSetUpPr fitToPage="1"/>
  </sheetPr>
  <dimension ref="A1:E9"/>
  <sheetViews>
    <sheetView workbookViewId="0">
      <selection activeCell="B26" sqref="B2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2" t="s">
        <v>85</v>
      </c>
    </row>
    <row r="2" spans="1:5" ht="24.95" customHeight="1" x14ac:dyDescent="0.2">
      <c r="A2" s="11" t="s">
        <v>11</v>
      </c>
      <c r="B2" s="10" t="s">
        <v>71</v>
      </c>
      <c r="C2" s="10" t="s">
        <v>84</v>
      </c>
      <c r="D2" s="9" t="s">
        <v>9</v>
      </c>
      <c r="E2" s="8" t="s">
        <v>8</v>
      </c>
    </row>
    <row r="3" spans="1:5" x14ac:dyDescent="0.2">
      <c r="A3" s="6" t="s">
        <v>83</v>
      </c>
      <c r="B3" s="3">
        <v>9394</v>
      </c>
      <c r="C3" s="3">
        <v>117630</v>
      </c>
      <c r="D3" s="2">
        <f t="shared" ref="D3:D8" si="0">SUM(B3:C3)</f>
        <v>127024</v>
      </c>
      <c r="E3" s="7">
        <f>SUM(D3,D5)</f>
        <v>133567</v>
      </c>
    </row>
    <row r="4" spans="1:5" x14ac:dyDescent="0.2">
      <c r="A4" s="6" t="s">
        <v>82</v>
      </c>
      <c r="B4" s="3">
        <v>806</v>
      </c>
      <c r="C4" s="3">
        <v>73350</v>
      </c>
      <c r="D4" s="2">
        <f t="shared" si="0"/>
        <v>74156</v>
      </c>
      <c r="E4" s="7">
        <f>SUM(D4)</f>
        <v>74156</v>
      </c>
    </row>
    <row r="5" spans="1:5" x14ac:dyDescent="0.2">
      <c r="A5" s="6" t="s">
        <v>81</v>
      </c>
      <c r="B5" s="3">
        <v>249</v>
      </c>
      <c r="C5" s="3">
        <v>6294</v>
      </c>
      <c r="D5" s="2">
        <f t="shared" si="0"/>
        <v>6543</v>
      </c>
      <c r="E5" s="1"/>
    </row>
    <row r="6" spans="1:5" x14ac:dyDescent="0.2">
      <c r="A6" s="5" t="s">
        <v>3</v>
      </c>
      <c r="B6" s="3">
        <v>608</v>
      </c>
      <c r="C6" s="3">
        <v>13061</v>
      </c>
      <c r="D6" s="2">
        <f t="shared" si="0"/>
        <v>13669</v>
      </c>
      <c r="E6" s="1"/>
    </row>
    <row r="7" spans="1:5" x14ac:dyDescent="0.2">
      <c r="A7" s="5" t="s">
        <v>2</v>
      </c>
      <c r="B7" s="3">
        <v>0</v>
      </c>
      <c r="C7" s="3"/>
      <c r="D7" s="2">
        <f t="shared" si="0"/>
        <v>0</v>
      </c>
      <c r="E7" s="1"/>
    </row>
    <row r="8" spans="1:5" x14ac:dyDescent="0.2">
      <c r="A8" s="5" t="s">
        <v>1</v>
      </c>
      <c r="B8" s="3">
        <v>4</v>
      </c>
      <c r="C8" s="3">
        <v>201</v>
      </c>
      <c r="D8" s="2">
        <f t="shared" si="0"/>
        <v>205</v>
      </c>
      <c r="E8" s="1"/>
    </row>
    <row r="9" spans="1:5" x14ac:dyDescent="0.2">
      <c r="A9" s="4" t="s">
        <v>0</v>
      </c>
      <c r="B9" s="3">
        <f>SUM(StateSenatorSenateDistrict7General1415161718192021222324252829[Part of Bronx County Vote Results])</f>
        <v>11061</v>
      </c>
      <c r="C9" s="3">
        <f>SUM(StateSenatorSenateDistrict7General1415161718192021222324252829[Part of Westchester County Vote Results])</f>
        <v>210536</v>
      </c>
      <c r="D9" s="2">
        <f>SUM(StateSenatorSenateDistrict7General1415161718192021222324252829[Total Votes by Party])</f>
        <v>221597</v>
      </c>
      <c r="E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7C8D-822B-43D0-91EB-21405B13B6BA}">
  <sheetPr>
    <pageSetUpPr fitToPage="1"/>
  </sheetPr>
  <dimension ref="A1:G10"/>
  <sheetViews>
    <sheetView workbookViewId="0">
      <selection activeCell="E2" sqref="E2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95" customHeight="1" x14ac:dyDescent="0.2">
      <c r="A1" s="12" t="s">
        <v>93</v>
      </c>
    </row>
    <row r="2" spans="1:7" ht="24.95" customHeight="1" x14ac:dyDescent="0.2">
      <c r="A2" s="11" t="s">
        <v>11</v>
      </c>
      <c r="B2" s="10" t="s">
        <v>92</v>
      </c>
      <c r="C2" s="10" t="s">
        <v>91</v>
      </c>
      <c r="D2" s="10" t="s">
        <v>90</v>
      </c>
      <c r="E2" s="10" t="s">
        <v>84</v>
      </c>
      <c r="F2" s="9" t="s">
        <v>9</v>
      </c>
      <c r="G2" s="8" t="s">
        <v>8</v>
      </c>
    </row>
    <row r="3" spans="1:7" x14ac:dyDescent="0.2">
      <c r="A3" s="6" t="s">
        <v>89</v>
      </c>
      <c r="B3" s="3">
        <v>6282</v>
      </c>
      <c r="C3" s="3">
        <v>15643</v>
      </c>
      <c r="D3" s="3">
        <v>46250</v>
      </c>
      <c r="E3" s="3">
        <v>65282</v>
      </c>
      <c r="F3" s="2">
        <f t="shared" ref="F3:F9" si="0">SUM(B3:E3)</f>
        <v>133457</v>
      </c>
      <c r="G3" s="7">
        <f>SUM(F3,F6)</f>
        <v>141730</v>
      </c>
    </row>
    <row r="4" spans="1:7" x14ac:dyDescent="0.2">
      <c r="A4" s="6" t="s">
        <v>88</v>
      </c>
      <c r="B4" s="3">
        <v>10053</v>
      </c>
      <c r="C4" s="3">
        <v>21476</v>
      </c>
      <c r="D4" s="3">
        <v>49602</v>
      </c>
      <c r="E4" s="3">
        <v>44607</v>
      </c>
      <c r="F4" s="2">
        <f t="shared" si="0"/>
        <v>125738</v>
      </c>
      <c r="G4" s="7">
        <f>SUM(F4,F5)</f>
        <v>143550</v>
      </c>
    </row>
    <row r="5" spans="1:7" x14ac:dyDescent="0.2">
      <c r="A5" s="6" t="s">
        <v>87</v>
      </c>
      <c r="B5" s="3">
        <v>1282</v>
      </c>
      <c r="C5" s="3">
        <v>2595</v>
      </c>
      <c r="D5" s="3">
        <v>9518</v>
      </c>
      <c r="E5" s="3">
        <v>4417</v>
      </c>
      <c r="F5" s="2">
        <f t="shared" si="0"/>
        <v>17812</v>
      </c>
      <c r="G5" s="1"/>
    </row>
    <row r="6" spans="1:7" x14ac:dyDescent="0.2">
      <c r="A6" s="6" t="s">
        <v>86</v>
      </c>
      <c r="B6" s="3">
        <v>489</v>
      </c>
      <c r="C6" s="3">
        <v>1290</v>
      </c>
      <c r="D6" s="3">
        <v>2475</v>
      </c>
      <c r="E6" s="3">
        <v>4019</v>
      </c>
      <c r="F6" s="2">
        <f t="shared" si="0"/>
        <v>8273</v>
      </c>
      <c r="G6" s="1"/>
    </row>
    <row r="7" spans="1:7" x14ac:dyDescent="0.2">
      <c r="A7" s="5" t="s">
        <v>3</v>
      </c>
      <c r="B7" s="3">
        <v>199</v>
      </c>
      <c r="C7" s="3">
        <v>668</v>
      </c>
      <c r="D7" s="3">
        <v>2262</v>
      </c>
      <c r="E7" s="3">
        <v>2697</v>
      </c>
      <c r="F7" s="2">
        <f t="shared" si="0"/>
        <v>5826</v>
      </c>
      <c r="G7" s="1"/>
    </row>
    <row r="8" spans="1:7" x14ac:dyDescent="0.2">
      <c r="A8" s="5" t="s">
        <v>2</v>
      </c>
      <c r="B8" s="3">
        <v>4</v>
      </c>
      <c r="C8" s="3">
        <v>0</v>
      </c>
      <c r="D8" s="3">
        <v>48</v>
      </c>
      <c r="E8" s="3"/>
      <c r="F8" s="2">
        <f t="shared" si="0"/>
        <v>52</v>
      </c>
      <c r="G8" s="1"/>
    </row>
    <row r="9" spans="1:7" x14ac:dyDescent="0.2">
      <c r="A9" s="5" t="s">
        <v>1</v>
      </c>
      <c r="B9" s="3">
        <v>3</v>
      </c>
      <c r="C9" s="3">
        <v>7</v>
      </c>
      <c r="D9" s="3">
        <v>112</v>
      </c>
      <c r="E9" s="3">
        <v>28</v>
      </c>
      <c r="F9" s="2">
        <f t="shared" si="0"/>
        <v>150</v>
      </c>
      <c r="G9" s="1"/>
    </row>
    <row r="10" spans="1:7" x14ac:dyDescent="0.2">
      <c r="A10" s="4" t="s">
        <v>0</v>
      </c>
      <c r="B10" s="3">
        <f>SUM(StateSenatorSenateDistrict7General141516171819202122232425282930[Part of Dutchess County Vote Results])</f>
        <v>18312</v>
      </c>
      <c r="C10" s="3">
        <f>SUM(StateSenatorSenateDistrict7General141516171819202122232425282930[Putnam County Vote Results])</f>
        <v>41679</v>
      </c>
      <c r="D10" s="3">
        <f>SUM(StateSenatorSenateDistrict7General141516171819202122232425282930[Rockland County Vote Results])</f>
        <v>110267</v>
      </c>
      <c r="E10" s="3">
        <f>SUM(StateSenatorSenateDistrict7General141516171819202122232425282930[Part of Westchester County Vote Results])</f>
        <v>121050</v>
      </c>
      <c r="F10" s="2">
        <f>SUM(StateSenatorSenateDistrict7General141516171819202122232425282930[Total Votes by Party])</f>
        <v>291308</v>
      </c>
      <c r="G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BA87F-35F2-4A58-B5A8-B0054E425993}">
  <sheetPr>
    <pageSetUpPr fitToPage="1"/>
  </sheetPr>
  <dimension ref="A1:F10"/>
  <sheetViews>
    <sheetView workbookViewId="0">
      <selection activeCell="D2" sqref="D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95" customHeight="1" x14ac:dyDescent="0.2">
      <c r="A1" s="12" t="s">
        <v>100</v>
      </c>
    </row>
    <row r="2" spans="1:6" ht="24.95" customHeight="1" x14ac:dyDescent="0.2">
      <c r="A2" s="11" t="s">
        <v>11</v>
      </c>
      <c r="B2" s="10" t="s">
        <v>92</v>
      </c>
      <c r="C2" s="10" t="s">
        <v>99</v>
      </c>
      <c r="D2" s="10" t="s">
        <v>98</v>
      </c>
      <c r="E2" s="9" t="s">
        <v>9</v>
      </c>
      <c r="F2" s="8" t="s">
        <v>8</v>
      </c>
    </row>
    <row r="3" spans="1:6" x14ac:dyDescent="0.2">
      <c r="A3" s="6" t="s">
        <v>97</v>
      </c>
      <c r="B3" s="3">
        <v>45601</v>
      </c>
      <c r="C3" s="3">
        <v>52930</v>
      </c>
      <c r="D3" s="3">
        <v>24637</v>
      </c>
      <c r="E3" s="2">
        <f t="shared" ref="E3:E9" si="0">SUM(B3:D3)</f>
        <v>123168</v>
      </c>
      <c r="F3" s="7">
        <f>SUM(E3,E6)</f>
        <v>135245</v>
      </c>
    </row>
    <row r="4" spans="1:6" x14ac:dyDescent="0.2">
      <c r="A4" s="6" t="s">
        <v>96</v>
      </c>
      <c r="B4" s="3">
        <v>40324</v>
      </c>
      <c r="C4" s="3">
        <v>59121</v>
      </c>
      <c r="D4" s="3">
        <v>17527</v>
      </c>
      <c r="E4" s="2">
        <f t="shared" si="0"/>
        <v>116972</v>
      </c>
      <c r="F4" s="7">
        <f>SUM(E4,E5)</f>
        <v>131653</v>
      </c>
    </row>
    <row r="5" spans="1:6" x14ac:dyDescent="0.2">
      <c r="A5" s="6" t="s">
        <v>95</v>
      </c>
      <c r="B5" s="3">
        <v>5530</v>
      </c>
      <c r="C5" s="3">
        <v>6417</v>
      </c>
      <c r="D5" s="3">
        <v>2734</v>
      </c>
      <c r="E5" s="2">
        <f t="shared" si="0"/>
        <v>14681</v>
      </c>
      <c r="F5" s="1"/>
    </row>
    <row r="6" spans="1:6" x14ac:dyDescent="0.2">
      <c r="A6" s="6" t="s">
        <v>94</v>
      </c>
      <c r="B6" s="3">
        <v>4669</v>
      </c>
      <c r="C6" s="3">
        <v>2956</v>
      </c>
      <c r="D6" s="3">
        <v>4452</v>
      </c>
      <c r="E6" s="2">
        <f t="shared" si="0"/>
        <v>12077</v>
      </c>
      <c r="F6" s="1"/>
    </row>
    <row r="7" spans="1:6" x14ac:dyDescent="0.2">
      <c r="A7" s="5" t="s">
        <v>3</v>
      </c>
      <c r="B7" s="3">
        <v>1425</v>
      </c>
      <c r="C7" s="3">
        <v>3404</v>
      </c>
      <c r="D7" s="3">
        <v>653</v>
      </c>
      <c r="E7" s="2">
        <f t="shared" si="0"/>
        <v>5482</v>
      </c>
      <c r="F7" s="1"/>
    </row>
    <row r="8" spans="1:6" x14ac:dyDescent="0.2">
      <c r="A8" s="5" t="s">
        <v>2</v>
      </c>
      <c r="B8" s="3">
        <v>20</v>
      </c>
      <c r="C8" s="3">
        <v>50</v>
      </c>
      <c r="D8" s="3">
        <v>12</v>
      </c>
      <c r="E8" s="2">
        <f t="shared" si="0"/>
        <v>82</v>
      </c>
      <c r="F8" s="1"/>
    </row>
    <row r="9" spans="1:6" x14ac:dyDescent="0.2">
      <c r="A9" s="5" t="s">
        <v>1</v>
      </c>
      <c r="B9" s="3">
        <v>39</v>
      </c>
      <c r="C9" s="3">
        <v>84</v>
      </c>
      <c r="D9" s="3">
        <v>32</v>
      </c>
      <c r="E9" s="2">
        <f t="shared" si="0"/>
        <v>155</v>
      </c>
      <c r="F9" s="1"/>
    </row>
    <row r="10" spans="1:6" x14ac:dyDescent="0.2">
      <c r="A10" s="4" t="s">
        <v>0</v>
      </c>
      <c r="B10" s="3">
        <f>SUM(StateSenatorSenateDistrict7General14151617181920212223242528293031[Part of Dutchess County Vote Results])</f>
        <v>97608</v>
      </c>
      <c r="C10" s="3">
        <f>SUM(StateSenatorSenateDistrict7General14151617181920212223242528293031[Orange County Vote Results])</f>
        <v>124962</v>
      </c>
      <c r="D10" s="3">
        <f>SUM(StateSenatorSenateDistrict7General14151617181920212223242528293031[Part of Ulster County Vote Results])</f>
        <v>50047</v>
      </c>
      <c r="E10" s="2">
        <f>SUM(StateSenatorSenateDistrict7General14151617181920212223242528293031[Total Votes by Party])</f>
        <v>272617</v>
      </c>
      <c r="F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E4A92-FE38-4197-87C9-6827B067348C}">
  <sheetPr>
    <pageSetUpPr fitToPage="1"/>
  </sheetPr>
  <dimension ref="A1:N10"/>
  <sheetViews>
    <sheetView workbookViewId="0">
      <pane xSplit="1" topLeftCell="B1" activePane="topRight" state="frozen"/>
      <selection pane="topRight" activeCell="E18" sqref="E18"/>
    </sheetView>
  </sheetViews>
  <sheetFormatPr defaultRowHeight="12.75" x14ac:dyDescent="0.2"/>
  <cols>
    <col min="1" max="1" width="25.5703125" customWidth="1"/>
    <col min="2" max="12" width="19" customWidth="1"/>
    <col min="13" max="14" width="20.5703125" customWidth="1"/>
    <col min="15" max="16" width="23.5703125" customWidth="1"/>
  </cols>
  <sheetData>
    <row r="1" spans="1:14" ht="24.95" customHeight="1" x14ac:dyDescent="0.2">
      <c r="A1" s="14" t="s">
        <v>115</v>
      </c>
      <c r="B1" s="14"/>
      <c r="C1" s="14"/>
      <c r="D1" s="14"/>
      <c r="E1" s="14"/>
      <c r="F1" s="14"/>
      <c r="G1" s="14"/>
    </row>
    <row r="2" spans="1:14" ht="24.95" customHeight="1" x14ac:dyDescent="0.2">
      <c r="A2" s="11" t="s">
        <v>11</v>
      </c>
      <c r="B2" s="10" t="s">
        <v>114</v>
      </c>
      <c r="C2" s="10" t="s">
        <v>113</v>
      </c>
      <c r="D2" s="10" t="s">
        <v>112</v>
      </c>
      <c r="E2" s="10" t="s">
        <v>111</v>
      </c>
      <c r="F2" s="10" t="s">
        <v>110</v>
      </c>
      <c r="G2" s="10" t="s">
        <v>109</v>
      </c>
      <c r="H2" s="10" t="s">
        <v>108</v>
      </c>
      <c r="I2" s="10" t="s">
        <v>107</v>
      </c>
      <c r="J2" s="10" t="s">
        <v>106</v>
      </c>
      <c r="K2" s="10" t="s">
        <v>105</v>
      </c>
      <c r="L2" s="10" t="s">
        <v>98</v>
      </c>
      <c r="M2" s="9" t="s">
        <v>9</v>
      </c>
      <c r="N2" s="8" t="s">
        <v>8</v>
      </c>
    </row>
    <row r="3" spans="1:14" x14ac:dyDescent="0.2">
      <c r="A3" s="6" t="s">
        <v>104</v>
      </c>
      <c r="B3" s="3">
        <v>29700</v>
      </c>
      <c r="C3" s="3">
        <v>5165</v>
      </c>
      <c r="D3" s="3">
        <v>14276</v>
      </c>
      <c r="E3" s="3">
        <v>6552</v>
      </c>
      <c r="F3" s="3">
        <v>6242</v>
      </c>
      <c r="G3" s="3">
        <v>6728</v>
      </c>
      <c r="H3" s="3">
        <v>5254</v>
      </c>
      <c r="I3" s="3">
        <v>8878</v>
      </c>
      <c r="J3" s="3">
        <v>6377</v>
      </c>
      <c r="K3" s="3">
        <v>21123</v>
      </c>
      <c r="L3" s="3">
        <v>14101</v>
      </c>
      <c r="M3" s="2">
        <f t="shared" ref="M3:M9" si="0">SUM(B3:L3)</f>
        <v>124396</v>
      </c>
      <c r="N3" s="7">
        <f>SUM(M3,M6)</f>
        <v>141509</v>
      </c>
    </row>
    <row r="4" spans="1:14" x14ac:dyDescent="0.2">
      <c r="A4" s="6" t="s">
        <v>103</v>
      </c>
      <c r="B4" s="3">
        <v>31322</v>
      </c>
      <c r="C4" s="3">
        <v>10061</v>
      </c>
      <c r="D4" s="3">
        <v>11436</v>
      </c>
      <c r="E4" s="3">
        <v>7858</v>
      </c>
      <c r="F4" s="3">
        <v>10504</v>
      </c>
      <c r="G4" s="3">
        <v>10431</v>
      </c>
      <c r="H4" s="3">
        <v>6229</v>
      </c>
      <c r="I4" s="3">
        <v>12879</v>
      </c>
      <c r="J4" s="3">
        <v>10916</v>
      </c>
      <c r="K4" s="3">
        <v>8245</v>
      </c>
      <c r="L4" s="3">
        <v>10079</v>
      </c>
      <c r="M4" s="2">
        <f t="shared" si="0"/>
        <v>129960</v>
      </c>
      <c r="N4" s="7">
        <f>SUM(M4,M5)</f>
        <v>146004</v>
      </c>
    </row>
    <row r="5" spans="1:14" x14ac:dyDescent="0.2">
      <c r="A5" s="6" t="s">
        <v>102</v>
      </c>
      <c r="B5" s="3">
        <v>3467</v>
      </c>
      <c r="C5" s="3">
        <v>887</v>
      </c>
      <c r="D5" s="3">
        <v>1992</v>
      </c>
      <c r="E5" s="3">
        <v>917</v>
      </c>
      <c r="F5" s="3">
        <v>936</v>
      </c>
      <c r="G5" s="3">
        <v>1830</v>
      </c>
      <c r="H5" s="3">
        <v>621</v>
      </c>
      <c r="I5" s="3">
        <v>1650</v>
      </c>
      <c r="J5" s="3">
        <v>977</v>
      </c>
      <c r="K5" s="3">
        <v>955</v>
      </c>
      <c r="L5" s="3">
        <v>1812</v>
      </c>
      <c r="M5" s="2">
        <f t="shared" si="0"/>
        <v>16044</v>
      </c>
      <c r="N5" s="1"/>
    </row>
    <row r="6" spans="1:14" x14ac:dyDescent="0.2">
      <c r="A6" s="6" t="s">
        <v>101</v>
      </c>
      <c r="B6" s="3">
        <v>3206</v>
      </c>
      <c r="C6" s="3">
        <v>582</v>
      </c>
      <c r="D6" s="3">
        <v>1842</v>
      </c>
      <c r="E6" s="3">
        <v>680</v>
      </c>
      <c r="F6" s="3">
        <v>769</v>
      </c>
      <c r="G6" s="3">
        <v>965</v>
      </c>
      <c r="H6" s="3">
        <v>558</v>
      </c>
      <c r="I6" s="3">
        <v>889</v>
      </c>
      <c r="J6" s="3">
        <v>580</v>
      </c>
      <c r="K6" s="3">
        <v>4810</v>
      </c>
      <c r="L6" s="3">
        <v>2232</v>
      </c>
      <c r="M6" s="2">
        <f t="shared" si="0"/>
        <v>17113</v>
      </c>
      <c r="N6" s="1"/>
    </row>
    <row r="7" spans="1:14" x14ac:dyDescent="0.2">
      <c r="A7" s="5" t="s">
        <v>3</v>
      </c>
      <c r="B7" s="3">
        <v>1187</v>
      </c>
      <c r="C7" s="3">
        <v>265</v>
      </c>
      <c r="D7" s="3">
        <v>429</v>
      </c>
      <c r="E7" s="3">
        <v>263</v>
      </c>
      <c r="F7" s="3">
        <v>245</v>
      </c>
      <c r="G7" s="3">
        <v>424</v>
      </c>
      <c r="H7" s="3">
        <v>279</v>
      </c>
      <c r="I7" s="3">
        <v>702</v>
      </c>
      <c r="J7" s="3">
        <v>276</v>
      </c>
      <c r="K7" s="3">
        <v>390</v>
      </c>
      <c r="L7" s="3">
        <v>434</v>
      </c>
      <c r="M7" s="2">
        <f t="shared" si="0"/>
        <v>4894</v>
      </c>
      <c r="N7" s="1"/>
    </row>
    <row r="8" spans="1:14" x14ac:dyDescent="0.2">
      <c r="A8" s="5" t="s">
        <v>2</v>
      </c>
      <c r="B8" s="3">
        <v>24</v>
      </c>
      <c r="C8" s="3">
        <v>2</v>
      </c>
      <c r="D8" s="3">
        <v>4</v>
      </c>
      <c r="E8" s="3">
        <v>1</v>
      </c>
      <c r="F8" s="3">
        <v>0</v>
      </c>
      <c r="G8" s="3">
        <v>6</v>
      </c>
      <c r="H8" s="3">
        <v>5</v>
      </c>
      <c r="I8" s="3">
        <v>2</v>
      </c>
      <c r="J8" s="3">
        <v>9</v>
      </c>
      <c r="K8" s="3">
        <v>6</v>
      </c>
      <c r="L8" s="3">
        <v>6</v>
      </c>
      <c r="M8" s="2">
        <f t="shared" si="0"/>
        <v>65</v>
      </c>
      <c r="N8" s="1"/>
    </row>
    <row r="9" spans="1:14" x14ac:dyDescent="0.2">
      <c r="A9" s="5" t="s">
        <v>1</v>
      </c>
      <c r="B9" s="3">
        <v>29</v>
      </c>
      <c r="C9" s="3">
        <v>12</v>
      </c>
      <c r="D9" s="3">
        <v>7</v>
      </c>
      <c r="E9" s="3">
        <v>8</v>
      </c>
      <c r="F9" s="3">
        <v>2</v>
      </c>
      <c r="G9" s="3">
        <v>5</v>
      </c>
      <c r="H9" s="3">
        <v>5</v>
      </c>
      <c r="I9" s="3">
        <v>5</v>
      </c>
      <c r="J9" s="3">
        <v>5</v>
      </c>
      <c r="K9" s="3">
        <v>14</v>
      </c>
      <c r="L9" s="3">
        <v>13</v>
      </c>
      <c r="M9" s="2">
        <f t="shared" si="0"/>
        <v>105</v>
      </c>
      <c r="N9" s="1"/>
    </row>
    <row r="10" spans="1:14" x14ac:dyDescent="0.2">
      <c r="A10" s="4" t="s">
        <v>0</v>
      </c>
      <c r="B10" s="3">
        <f>SUM(StateSenatorSenateDistrict7General1415161718192021222324252829303132[Broome County Vote Results])</f>
        <v>68935</v>
      </c>
      <c r="C10" s="3">
        <f>SUM(StateSenatorSenateDistrict7General1415161718192021222324252829303132[Chenango County Vote Results])</f>
        <v>16974</v>
      </c>
      <c r="D10" s="3">
        <f>SUM(StateSenatorSenateDistrict7General1415161718192021222324252829303132[Columbia County Vote Results])</f>
        <v>29986</v>
      </c>
      <c r="E10" s="3">
        <f>SUM(StateSenatorSenateDistrict7General1415161718192021222324252829303132[Cortland County Vote Results])</f>
        <v>16279</v>
      </c>
      <c r="F10" s="3">
        <f>SUM(StateSenatorSenateDistrict7General1415161718192021222324252829303132[Delaware County Vote Results])</f>
        <v>18698</v>
      </c>
      <c r="G10" s="3">
        <f>SUM(StateSenatorSenateDistrict7General1415161718192021222324252829303132[Greene County Vote Results])</f>
        <v>20389</v>
      </c>
      <c r="H10" s="3">
        <f>SUM(StateSenatorSenateDistrict7General1415161718192021222324252829303132[Part of Otsego County Vote Results])</f>
        <v>12951</v>
      </c>
      <c r="I10" s="3">
        <f>SUM(StateSenatorSenateDistrict7General1415161718192021222324252829303132[Sullivan County Vote Results])</f>
        <v>25005</v>
      </c>
      <c r="J10" s="3">
        <f>SUM(StateSenatorSenateDistrict7General1415161718192021222324252829303132[Tioga County Vote Results])</f>
        <v>19140</v>
      </c>
      <c r="K10" s="3">
        <f>SUM(StateSenatorSenateDistrict7General1415161718192021222324252829303132[Tompkins County Vote Results])</f>
        <v>35543</v>
      </c>
      <c r="L10" s="3">
        <f>SUM(StateSenatorSenateDistrict7General1415161718192021222324252829303132[Part of Ulster County Vote Results])</f>
        <v>28677</v>
      </c>
      <c r="M10" s="2">
        <f>SUM(StateSenatorSenateDistrict7General1415161718192021222324252829303132[Total Votes by Party])</f>
        <v>292577</v>
      </c>
      <c r="N10" s="1"/>
    </row>
  </sheetData>
  <mergeCells count="1">
    <mergeCell ref="A1:G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2520-D888-4830-8E1D-522AF2E24148}">
  <sheetPr>
    <pageSetUpPr fitToPage="1"/>
  </sheetPr>
  <dimension ref="A1:E10"/>
  <sheetViews>
    <sheetView workbookViewId="0">
      <selection activeCell="A10" sqref="A10:XFD10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2" t="s">
        <v>18</v>
      </c>
    </row>
    <row r="2" spans="1:5" ht="24.95" customHeight="1" x14ac:dyDescent="0.2">
      <c r="A2" s="11" t="s">
        <v>11</v>
      </c>
      <c r="B2" s="10" t="s">
        <v>17</v>
      </c>
      <c r="C2" s="10" t="s">
        <v>10</v>
      </c>
      <c r="D2" s="9" t="s">
        <v>9</v>
      </c>
      <c r="E2" s="8" t="s">
        <v>8</v>
      </c>
    </row>
    <row r="3" spans="1:5" x14ac:dyDescent="0.2">
      <c r="A3" s="6" t="s">
        <v>16</v>
      </c>
      <c r="B3" s="3">
        <v>3617</v>
      </c>
      <c r="C3" s="3">
        <v>89682</v>
      </c>
      <c r="D3" s="2">
        <f t="shared" ref="D3:D9" si="0">SUM(B3:C3)</f>
        <v>93299</v>
      </c>
      <c r="E3" s="7">
        <f>SUM(D3,D6)</f>
        <v>97774</v>
      </c>
    </row>
    <row r="4" spans="1:5" x14ac:dyDescent="0.2">
      <c r="A4" s="6" t="s">
        <v>15</v>
      </c>
      <c r="B4" s="3">
        <v>8859</v>
      </c>
      <c r="C4" s="3">
        <v>121939</v>
      </c>
      <c r="D4" s="2">
        <f t="shared" si="0"/>
        <v>130798</v>
      </c>
      <c r="E4" s="7">
        <f>SUM(D4,D5)</f>
        <v>151178</v>
      </c>
    </row>
    <row r="5" spans="1:5" x14ac:dyDescent="0.2">
      <c r="A5" s="6" t="s">
        <v>14</v>
      </c>
      <c r="B5" s="3">
        <v>776</v>
      </c>
      <c r="C5" s="3">
        <v>19604</v>
      </c>
      <c r="D5" s="2">
        <f t="shared" si="0"/>
        <v>20380</v>
      </c>
      <c r="E5" s="1"/>
    </row>
    <row r="6" spans="1:5" x14ac:dyDescent="0.2">
      <c r="A6" s="6" t="s">
        <v>13</v>
      </c>
      <c r="B6" s="3">
        <v>107</v>
      </c>
      <c r="C6" s="3">
        <v>4368</v>
      </c>
      <c r="D6" s="2">
        <f t="shared" si="0"/>
        <v>4475</v>
      </c>
      <c r="E6" s="1"/>
    </row>
    <row r="7" spans="1:5" x14ac:dyDescent="0.2">
      <c r="A7" s="5" t="s">
        <v>3</v>
      </c>
      <c r="B7" s="3">
        <v>406</v>
      </c>
      <c r="C7" s="3">
        <v>6573</v>
      </c>
      <c r="D7" s="2">
        <f t="shared" si="0"/>
        <v>6979</v>
      </c>
      <c r="E7" s="1"/>
    </row>
    <row r="8" spans="1:5" x14ac:dyDescent="0.2">
      <c r="A8" s="5" t="s">
        <v>2</v>
      </c>
      <c r="B8" s="3">
        <v>7</v>
      </c>
      <c r="C8" s="3">
        <v>99</v>
      </c>
      <c r="D8" s="2">
        <f t="shared" si="0"/>
        <v>106</v>
      </c>
      <c r="E8" s="1"/>
    </row>
    <row r="9" spans="1:5" x14ac:dyDescent="0.2">
      <c r="A9" s="5" t="s">
        <v>1</v>
      </c>
      <c r="B9" s="3">
        <v>6</v>
      </c>
      <c r="C9" s="3">
        <v>74</v>
      </c>
      <c r="D9" s="2">
        <f t="shared" si="0"/>
        <v>80</v>
      </c>
      <c r="E9" s="1"/>
    </row>
    <row r="10" spans="1:5" x14ac:dyDescent="0.2">
      <c r="A10" s="4" t="s">
        <v>0</v>
      </c>
      <c r="B10" s="3">
        <f>SUM(StateSenatorSenateDistrict7General1415[Part of Nassau County Vote Results])</f>
        <v>13778</v>
      </c>
      <c r="C10" s="3">
        <f>SUM(StateSenatorSenateDistrict7General1415[Part of Suffolk County Vote Results])</f>
        <v>242339</v>
      </c>
      <c r="D10" s="2">
        <f>SUM(StateSenatorSenateDistrict7General1415[Total Votes by Party])</f>
        <v>256117</v>
      </c>
      <c r="E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A89B-E6F7-4E2E-8FAF-41CDEF29E5AC}">
  <sheetPr>
    <pageSetUpPr fitToPage="1"/>
  </sheetPr>
  <dimension ref="A1:G10"/>
  <sheetViews>
    <sheetView workbookViewId="0">
      <selection activeCell="B4" sqref="B4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95" customHeight="1" x14ac:dyDescent="0.2">
      <c r="A1" s="12" t="s">
        <v>124</v>
      </c>
    </row>
    <row r="2" spans="1:7" ht="24.95" customHeight="1" x14ac:dyDescent="0.2">
      <c r="A2" s="11" t="s">
        <v>11</v>
      </c>
      <c r="B2" s="10" t="s">
        <v>123</v>
      </c>
      <c r="C2" s="10" t="s">
        <v>122</v>
      </c>
      <c r="D2" s="10" t="s">
        <v>121</v>
      </c>
      <c r="E2" s="10" t="s">
        <v>120</v>
      </c>
      <c r="F2" s="9" t="s">
        <v>9</v>
      </c>
      <c r="G2" s="8" t="s">
        <v>8</v>
      </c>
    </row>
    <row r="3" spans="1:7" x14ac:dyDescent="0.2">
      <c r="A3" s="6" t="s">
        <v>119</v>
      </c>
      <c r="B3" s="3">
        <v>64404</v>
      </c>
      <c r="C3" s="3">
        <v>9079</v>
      </c>
      <c r="D3" s="3">
        <v>46272</v>
      </c>
      <c r="E3" s="3">
        <v>26173</v>
      </c>
      <c r="F3" s="2">
        <f t="shared" ref="F3:F9" si="0">SUM(B3:E3)</f>
        <v>145928</v>
      </c>
      <c r="G3" s="7">
        <f>SUM(F3,F6)</f>
        <v>160420</v>
      </c>
    </row>
    <row r="4" spans="1:7" x14ac:dyDescent="0.2">
      <c r="A4" s="6" t="s">
        <v>118</v>
      </c>
      <c r="B4" s="3">
        <v>37371</v>
      </c>
      <c r="C4" s="3">
        <v>5684</v>
      </c>
      <c r="D4" s="3">
        <v>46560</v>
      </c>
      <c r="E4" s="3">
        <v>21288</v>
      </c>
      <c r="F4" s="2">
        <f t="shared" si="0"/>
        <v>110903</v>
      </c>
      <c r="G4" s="7">
        <f>SUM(F4,F5)</f>
        <v>130869</v>
      </c>
    </row>
    <row r="5" spans="1:7" x14ac:dyDescent="0.2">
      <c r="A5" s="6" t="s">
        <v>117</v>
      </c>
      <c r="B5" s="3">
        <v>7110</v>
      </c>
      <c r="C5" s="3">
        <v>1372</v>
      </c>
      <c r="D5" s="3">
        <v>7263</v>
      </c>
      <c r="E5" s="3">
        <v>4221</v>
      </c>
      <c r="F5" s="2">
        <f t="shared" si="0"/>
        <v>19966</v>
      </c>
      <c r="G5" s="1"/>
    </row>
    <row r="6" spans="1:7" x14ac:dyDescent="0.2">
      <c r="A6" s="6" t="s">
        <v>116</v>
      </c>
      <c r="B6" s="3">
        <v>7238</v>
      </c>
      <c r="C6" s="3">
        <v>1402</v>
      </c>
      <c r="D6" s="3">
        <v>3314</v>
      </c>
      <c r="E6" s="3">
        <v>2538</v>
      </c>
      <c r="F6" s="2">
        <f t="shared" si="0"/>
        <v>14492</v>
      </c>
      <c r="G6" s="1"/>
    </row>
    <row r="7" spans="1:7" x14ac:dyDescent="0.2">
      <c r="A7" s="5" t="s">
        <v>3</v>
      </c>
      <c r="B7" s="3">
        <v>1688</v>
      </c>
      <c r="C7" s="3">
        <v>330</v>
      </c>
      <c r="D7" s="3">
        <v>1398</v>
      </c>
      <c r="E7" s="3">
        <v>768</v>
      </c>
      <c r="F7" s="2">
        <f t="shared" si="0"/>
        <v>4184</v>
      </c>
      <c r="G7" s="1"/>
    </row>
    <row r="8" spans="1:7" x14ac:dyDescent="0.2">
      <c r="A8" s="5" t="s">
        <v>2</v>
      </c>
      <c r="B8" s="3">
        <v>62</v>
      </c>
      <c r="C8" s="3">
        <v>0</v>
      </c>
      <c r="D8" s="3">
        <v>18</v>
      </c>
      <c r="E8" s="3">
        <v>25</v>
      </c>
      <c r="F8" s="2">
        <f t="shared" si="0"/>
        <v>105</v>
      </c>
      <c r="G8" s="1"/>
    </row>
    <row r="9" spans="1:7" x14ac:dyDescent="0.2">
      <c r="A9" s="5" t="s">
        <v>1</v>
      </c>
      <c r="B9" s="3">
        <v>83</v>
      </c>
      <c r="C9" s="3">
        <v>7</v>
      </c>
      <c r="D9" s="3">
        <v>21</v>
      </c>
      <c r="E9" s="3">
        <v>33</v>
      </c>
      <c r="F9" s="2">
        <f t="shared" si="0"/>
        <v>144</v>
      </c>
      <c r="G9" s="1"/>
    </row>
    <row r="10" spans="1:7" x14ac:dyDescent="0.2">
      <c r="A10" s="4" t="s">
        <v>0</v>
      </c>
      <c r="B10" s="3">
        <f>SUM(StateSenatorSenateDistrict7General141516171819202122232425282930313233[Albany County Vote Results])</f>
        <v>117956</v>
      </c>
      <c r="C10" s="3">
        <f>SUM(StateSenatorSenateDistrict7General141516171819202122232425282930313233[Part of Rensselaer County Vote Results])</f>
        <v>17874</v>
      </c>
      <c r="D10" s="3">
        <f>SUM(StateSenatorSenateDistrict7General141516171819202122232425282930313233[Saratoga County Vote Results])</f>
        <v>104846</v>
      </c>
      <c r="E10" s="3">
        <f>SUM(StateSenatorSenateDistrict7General141516171819202122232425282930313233[Schenectady County Vote Results])</f>
        <v>55046</v>
      </c>
      <c r="F10" s="2">
        <f>SUM(StateSenatorSenateDistrict7General141516171819202122232425282930313233[Total Votes by Party])</f>
        <v>295722</v>
      </c>
      <c r="G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15FF-31F4-41CB-93FD-D055668BFAA2}">
  <sheetPr>
    <pageSetUpPr fitToPage="1"/>
  </sheetPr>
  <dimension ref="A1:R10"/>
  <sheetViews>
    <sheetView workbookViewId="0">
      <pane xSplit="1" topLeftCell="L1" activePane="topRight" state="frozen"/>
      <selection pane="topRight" activeCell="P2" sqref="P2"/>
    </sheetView>
  </sheetViews>
  <sheetFormatPr defaultRowHeight="12.75" x14ac:dyDescent="0.2"/>
  <cols>
    <col min="1" max="1" width="25.5703125" customWidth="1"/>
    <col min="2" max="18" width="20.5703125" customWidth="1"/>
    <col min="19" max="20" width="23.5703125" customWidth="1"/>
  </cols>
  <sheetData>
    <row r="1" spans="1:18" ht="24.95" customHeight="1" x14ac:dyDescent="0.2">
      <c r="A1" s="14" t="s">
        <v>142</v>
      </c>
      <c r="B1" s="14"/>
      <c r="C1" s="14"/>
      <c r="D1" s="14"/>
      <c r="E1" s="14"/>
    </row>
    <row r="2" spans="1:18" ht="24.95" customHeight="1" x14ac:dyDescent="0.2">
      <c r="A2" s="11" t="s">
        <v>11</v>
      </c>
      <c r="B2" s="10" t="s">
        <v>141</v>
      </c>
      <c r="C2" s="10" t="s">
        <v>140</v>
      </c>
      <c r="D2" s="10" t="s">
        <v>139</v>
      </c>
      <c r="E2" s="10" t="s">
        <v>138</v>
      </c>
      <c r="F2" s="10" t="s">
        <v>137</v>
      </c>
      <c r="G2" s="10" t="s">
        <v>136</v>
      </c>
      <c r="H2" s="10" t="s">
        <v>135</v>
      </c>
      <c r="I2" s="10" t="s">
        <v>134</v>
      </c>
      <c r="J2" s="10" t="s">
        <v>133</v>
      </c>
      <c r="K2" s="10" t="s">
        <v>108</v>
      </c>
      <c r="L2" s="10" t="s">
        <v>122</v>
      </c>
      <c r="M2" s="10" t="s">
        <v>132</v>
      </c>
      <c r="N2" s="10" t="s">
        <v>131</v>
      </c>
      <c r="O2" s="10" t="s">
        <v>130</v>
      </c>
      <c r="P2" s="10" t="s">
        <v>129</v>
      </c>
      <c r="Q2" s="9" t="s">
        <v>9</v>
      </c>
      <c r="R2" s="8" t="s">
        <v>8</v>
      </c>
    </row>
    <row r="3" spans="1:18" x14ac:dyDescent="0.2">
      <c r="A3" s="6" t="s">
        <v>128</v>
      </c>
      <c r="B3" s="3">
        <v>13639</v>
      </c>
      <c r="C3" s="3">
        <v>7695</v>
      </c>
      <c r="D3" s="3">
        <v>7097</v>
      </c>
      <c r="E3" s="3">
        <v>5650</v>
      </c>
      <c r="F3" s="3">
        <v>909</v>
      </c>
      <c r="G3" s="3">
        <v>6070</v>
      </c>
      <c r="H3" s="3">
        <v>2075</v>
      </c>
      <c r="I3" s="3">
        <v>2664</v>
      </c>
      <c r="J3" s="3">
        <v>5368</v>
      </c>
      <c r="K3" s="3">
        <v>3389</v>
      </c>
      <c r="L3" s="3">
        <v>18834</v>
      </c>
      <c r="M3" s="3">
        <v>13983</v>
      </c>
      <c r="N3" s="3">
        <v>4072</v>
      </c>
      <c r="O3" s="3">
        <v>12879</v>
      </c>
      <c r="P3" s="3">
        <v>8321</v>
      </c>
      <c r="Q3" s="2">
        <f t="shared" ref="Q3:Q9" si="0">SUM(B3:P3)</f>
        <v>112645</v>
      </c>
      <c r="R3" s="7">
        <f>SUM(Q3,Q6)</f>
        <v>116421</v>
      </c>
    </row>
    <row r="4" spans="1:18" x14ac:dyDescent="0.2">
      <c r="A4" s="6" t="s">
        <v>127</v>
      </c>
      <c r="B4" s="3">
        <v>12605</v>
      </c>
      <c r="C4" s="3">
        <v>7150</v>
      </c>
      <c r="D4" s="3">
        <v>7384</v>
      </c>
      <c r="E4" s="3">
        <v>11654</v>
      </c>
      <c r="F4" s="3">
        <v>1758</v>
      </c>
      <c r="G4" s="3">
        <v>13604</v>
      </c>
      <c r="H4" s="3">
        <v>4032</v>
      </c>
      <c r="I4" s="3">
        <v>7243</v>
      </c>
      <c r="J4" s="3">
        <v>8934</v>
      </c>
      <c r="K4" s="3">
        <v>5055</v>
      </c>
      <c r="L4" s="3">
        <v>20117</v>
      </c>
      <c r="M4" s="3">
        <v>18198</v>
      </c>
      <c r="N4" s="3">
        <v>7263</v>
      </c>
      <c r="O4" s="3">
        <v>13465</v>
      </c>
      <c r="P4" s="3">
        <v>12133</v>
      </c>
      <c r="Q4" s="2">
        <f t="shared" si="0"/>
        <v>150595</v>
      </c>
      <c r="R4" s="7">
        <f>SUM(Q4,Q5)</f>
        <v>168579</v>
      </c>
    </row>
    <row r="5" spans="1:18" x14ac:dyDescent="0.2">
      <c r="A5" s="6" t="s">
        <v>126</v>
      </c>
      <c r="B5" s="3">
        <v>1006</v>
      </c>
      <c r="C5" s="3">
        <v>492</v>
      </c>
      <c r="D5" s="3">
        <v>588</v>
      </c>
      <c r="E5" s="3">
        <v>1168</v>
      </c>
      <c r="F5" s="3">
        <v>176</v>
      </c>
      <c r="G5" s="3">
        <v>1499</v>
      </c>
      <c r="H5" s="3">
        <v>374</v>
      </c>
      <c r="I5" s="3">
        <v>626</v>
      </c>
      <c r="J5" s="3">
        <v>1308</v>
      </c>
      <c r="K5" s="3">
        <v>566</v>
      </c>
      <c r="L5" s="3">
        <v>4364</v>
      </c>
      <c r="M5" s="3">
        <v>1872</v>
      </c>
      <c r="N5" s="3">
        <v>1183</v>
      </c>
      <c r="O5" s="3">
        <v>1423</v>
      </c>
      <c r="P5" s="3">
        <v>1339</v>
      </c>
      <c r="Q5" s="2">
        <f t="shared" si="0"/>
        <v>17984</v>
      </c>
      <c r="R5" s="1"/>
    </row>
    <row r="6" spans="1:18" x14ac:dyDescent="0.2">
      <c r="A6" s="6" t="s">
        <v>125</v>
      </c>
      <c r="B6" s="3">
        <v>372</v>
      </c>
      <c r="C6" s="3">
        <v>272</v>
      </c>
      <c r="D6" s="3">
        <v>142</v>
      </c>
      <c r="E6" s="3">
        <v>214</v>
      </c>
      <c r="F6" s="3">
        <v>30</v>
      </c>
      <c r="G6" s="3">
        <v>141</v>
      </c>
      <c r="H6" s="3">
        <v>34</v>
      </c>
      <c r="I6" s="3">
        <v>78</v>
      </c>
      <c r="J6" s="3">
        <v>131</v>
      </c>
      <c r="K6" s="3">
        <v>112</v>
      </c>
      <c r="L6" s="3">
        <v>1102</v>
      </c>
      <c r="M6" s="3">
        <v>344</v>
      </c>
      <c r="N6" s="3">
        <v>213</v>
      </c>
      <c r="O6" s="3">
        <v>342</v>
      </c>
      <c r="P6" s="3">
        <v>249</v>
      </c>
      <c r="Q6" s="2">
        <f t="shared" si="0"/>
        <v>3776</v>
      </c>
      <c r="R6" s="1"/>
    </row>
    <row r="7" spans="1:18" x14ac:dyDescent="0.2">
      <c r="A7" s="5" t="s">
        <v>3</v>
      </c>
      <c r="B7" s="3">
        <v>232</v>
      </c>
      <c r="C7" s="3">
        <v>171</v>
      </c>
      <c r="D7" s="3">
        <v>165</v>
      </c>
      <c r="E7" s="3">
        <v>368</v>
      </c>
      <c r="F7" s="3">
        <v>59</v>
      </c>
      <c r="G7" s="3">
        <v>1174</v>
      </c>
      <c r="H7" s="3">
        <v>73</v>
      </c>
      <c r="I7" s="3">
        <v>160</v>
      </c>
      <c r="J7" s="3">
        <v>322</v>
      </c>
      <c r="K7" s="3">
        <v>204</v>
      </c>
      <c r="L7" s="3">
        <v>603</v>
      </c>
      <c r="M7" s="3">
        <v>428</v>
      </c>
      <c r="N7" s="3">
        <v>216</v>
      </c>
      <c r="O7" s="3">
        <v>264</v>
      </c>
      <c r="P7" s="3">
        <v>32</v>
      </c>
      <c r="Q7" s="2">
        <f t="shared" si="0"/>
        <v>4471</v>
      </c>
      <c r="R7" s="1"/>
    </row>
    <row r="8" spans="1:18" x14ac:dyDescent="0.2">
      <c r="A8" s="5" t="s">
        <v>2</v>
      </c>
      <c r="B8" s="3">
        <v>9</v>
      </c>
      <c r="C8" s="3">
        <v>6</v>
      </c>
      <c r="D8" s="3">
        <v>1</v>
      </c>
      <c r="E8" s="3">
        <v>0</v>
      </c>
      <c r="F8" s="3">
        <v>3</v>
      </c>
      <c r="G8" s="3">
        <v>3</v>
      </c>
      <c r="H8" s="3">
        <v>3</v>
      </c>
      <c r="I8" s="3">
        <v>6</v>
      </c>
      <c r="J8" s="3">
        <v>3</v>
      </c>
      <c r="K8" s="3">
        <v>0</v>
      </c>
      <c r="L8" s="3">
        <v>4</v>
      </c>
      <c r="M8" s="3">
        <v>0</v>
      </c>
      <c r="N8" s="3">
        <v>2</v>
      </c>
      <c r="O8" s="3">
        <v>4</v>
      </c>
      <c r="P8" s="3">
        <v>7</v>
      </c>
      <c r="Q8" s="2">
        <f t="shared" si="0"/>
        <v>51</v>
      </c>
      <c r="R8" s="1"/>
    </row>
    <row r="9" spans="1:18" x14ac:dyDescent="0.2">
      <c r="A9" s="5" t="s">
        <v>1</v>
      </c>
      <c r="B9" s="3">
        <v>9</v>
      </c>
      <c r="C9" s="3">
        <v>2</v>
      </c>
      <c r="D9" s="3">
        <v>3</v>
      </c>
      <c r="E9" s="3">
        <v>6</v>
      </c>
      <c r="F9" s="3">
        <v>0</v>
      </c>
      <c r="G9" s="3">
        <v>5</v>
      </c>
      <c r="H9" s="3">
        <v>4</v>
      </c>
      <c r="I9" s="3">
        <v>2</v>
      </c>
      <c r="J9" s="3">
        <v>5</v>
      </c>
      <c r="K9" s="3">
        <v>3</v>
      </c>
      <c r="L9" s="3">
        <v>15</v>
      </c>
      <c r="M9" s="3">
        <v>13</v>
      </c>
      <c r="N9" s="3">
        <v>4</v>
      </c>
      <c r="O9" s="3">
        <v>16</v>
      </c>
      <c r="P9" s="3">
        <v>8</v>
      </c>
      <c r="Q9" s="2">
        <f t="shared" si="0"/>
        <v>95</v>
      </c>
      <c r="R9" s="1"/>
    </row>
    <row r="10" spans="1:18" x14ac:dyDescent="0.2">
      <c r="A10" s="4" t="s">
        <v>0</v>
      </c>
      <c r="B10" s="3">
        <f>SUM(StateSenatorSenateDistrict7General141516171819202122232425282930313234[Clinton County Vote Results])</f>
        <v>27872</v>
      </c>
      <c r="C10" s="3">
        <f>SUM(StateSenatorSenateDistrict7General141516171819202122232425282930313234[Essex County Vote Results])</f>
        <v>15788</v>
      </c>
      <c r="D10" s="3">
        <f>SUM(StateSenatorSenateDistrict7General141516171819202122232425282930313234[Franklin County Vote Results])</f>
        <v>15380</v>
      </c>
      <c r="E10" s="3">
        <f>SUM(StateSenatorSenateDistrict7General141516171819202122232425282930313234[Fulton County Vote Results])</f>
        <v>19060</v>
      </c>
      <c r="F10" s="3">
        <f>SUM(StateSenatorSenateDistrict7General141516171819202122232425282930313234[Hamilton County Vote Results])</f>
        <v>2935</v>
      </c>
      <c r="G10" s="3">
        <f>SUM(StateSenatorSenateDistrict7General141516171819202122232425282930313234[Herkimer County Vote Results])</f>
        <v>22496</v>
      </c>
      <c r="H10" s="3">
        <f>SUM(StateSenatorSenateDistrict7General141516171819202122232425282930313234[Part of Jefferson County Vote Results])</f>
        <v>6595</v>
      </c>
      <c r="I10" s="3">
        <f>SUM(StateSenatorSenateDistrict7General141516171819202122232425282930313234[Lewis County Vote Results])</f>
        <v>10779</v>
      </c>
      <c r="J10" s="3">
        <f>SUM(StateSenatorSenateDistrict7General141516171819202122232425282930313234[Montgomery County Vote Results])</f>
        <v>16071</v>
      </c>
      <c r="K10" s="3">
        <f>SUM(StateSenatorSenateDistrict7General141516171819202122232425282930313234[Part of Otsego County Vote Results])</f>
        <v>9329</v>
      </c>
      <c r="L10" s="3">
        <f>SUM(StateSenatorSenateDistrict7General141516171819202122232425282930313234[Part of Rensselaer County Vote Results])</f>
        <v>45039</v>
      </c>
      <c r="M10" s="3">
        <f>SUM(StateSenatorSenateDistrict7General141516171819202122232425282930313234[St. Lawrence County Vote Results])</f>
        <v>34838</v>
      </c>
      <c r="N10" s="3">
        <f>SUM(StateSenatorSenateDistrict7General141516171819202122232425282930313234[Schoharie County Vote Results])</f>
        <v>12953</v>
      </c>
      <c r="O10" s="3">
        <f>SUM(StateSenatorSenateDistrict7General141516171819202122232425282930313234[Warren County Vote Results])</f>
        <v>28393</v>
      </c>
      <c r="P10" s="3">
        <f>SUM(StateSenatorSenateDistrict7General141516171819202122232425282930313234[Washington County Vote Results])</f>
        <v>22089</v>
      </c>
      <c r="Q10" s="2">
        <f>SUM(StateSenatorSenateDistrict7General141516171819202122232425282930313234[Total Votes by Party])</f>
        <v>289617</v>
      </c>
      <c r="R10" s="1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9F0E-58ED-492F-AE30-EDBA617B1E5B}">
  <sheetPr>
    <pageSetUpPr fitToPage="1"/>
  </sheetPr>
  <dimension ref="A1:G9"/>
  <sheetViews>
    <sheetView workbookViewId="0">
      <selection activeCell="E2" sqref="E2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95" customHeight="1" x14ac:dyDescent="0.2">
      <c r="A1" s="12" t="s">
        <v>150</v>
      </c>
    </row>
    <row r="2" spans="1:7" ht="24.95" customHeight="1" x14ac:dyDescent="0.2">
      <c r="A2" s="11" t="s">
        <v>11</v>
      </c>
      <c r="B2" s="10" t="s">
        <v>149</v>
      </c>
      <c r="C2" s="10" t="s">
        <v>148</v>
      </c>
      <c r="D2" s="10" t="s">
        <v>147</v>
      </c>
      <c r="E2" s="10" t="s">
        <v>146</v>
      </c>
      <c r="F2" s="9" t="s">
        <v>9</v>
      </c>
      <c r="G2" s="8" t="s">
        <v>8</v>
      </c>
    </row>
    <row r="3" spans="1:7" x14ac:dyDescent="0.2">
      <c r="A3" s="6" t="s">
        <v>145</v>
      </c>
      <c r="B3" s="3">
        <v>10786</v>
      </c>
      <c r="C3" s="3">
        <v>27835</v>
      </c>
      <c r="D3" s="3">
        <v>94265</v>
      </c>
      <c r="E3" s="3">
        <v>27</v>
      </c>
      <c r="F3" s="2">
        <f t="shared" ref="F3:F8" si="0">SUM(B3:E3)</f>
        <v>132913</v>
      </c>
      <c r="G3" s="7">
        <f>SUM(F3)</f>
        <v>132913</v>
      </c>
    </row>
    <row r="4" spans="1:7" x14ac:dyDescent="0.2">
      <c r="A4" s="6" t="s">
        <v>144</v>
      </c>
      <c r="B4" s="3">
        <v>13032</v>
      </c>
      <c r="C4" s="3">
        <v>41188</v>
      </c>
      <c r="D4" s="3">
        <v>62222</v>
      </c>
      <c r="E4" s="3">
        <v>87</v>
      </c>
      <c r="F4" s="2">
        <f t="shared" si="0"/>
        <v>116529</v>
      </c>
      <c r="G4" s="7">
        <f>SUM(F4,F5)</f>
        <v>135544</v>
      </c>
    </row>
    <row r="5" spans="1:7" x14ac:dyDescent="0.2">
      <c r="A5" s="6" t="s">
        <v>143</v>
      </c>
      <c r="B5" s="3">
        <v>2208</v>
      </c>
      <c r="C5" s="3">
        <v>4955</v>
      </c>
      <c r="D5" s="3">
        <v>11833</v>
      </c>
      <c r="E5" s="3">
        <v>19</v>
      </c>
      <c r="F5" s="2">
        <f t="shared" si="0"/>
        <v>19015</v>
      </c>
      <c r="G5" s="1"/>
    </row>
    <row r="6" spans="1:7" x14ac:dyDescent="0.2">
      <c r="A6" s="5" t="s">
        <v>3</v>
      </c>
      <c r="B6" s="3">
        <v>500</v>
      </c>
      <c r="C6" s="3">
        <v>2054</v>
      </c>
      <c r="D6" s="3">
        <v>2756</v>
      </c>
      <c r="E6" s="3">
        <v>5</v>
      </c>
      <c r="F6" s="2">
        <f t="shared" si="0"/>
        <v>5315</v>
      </c>
      <c r="G6" s="1"/>
    </row>
    <row r="7" spans="1:7" x14ac:dyDescent="0.2">
      <c r="A7" s="5" t="s">
        <v>2</v>
      </c>
      <c r="B7" s="3">
        <v>3</v>
      </c>
      <c r="C7" s="3">
        <v>12</v>
      </c>
      <c r="D7" s="3">
        <v>43</v>
      </c>
      <c r="E7" s="3">
        <v>0</v>
      </c>
      <c r="F7" s="2">
        <f t="shared" si="0"/>
        <v>58</v>
      </c>
      <c r="G7" s="1"/>
    </row>
    <row r="8" spans="1:7" x14ac:dyDescent="0.2">
      <c r="A8" s="5" t="s">
        <v>1</v>
      </c>
      <c r="B8" s="3">
        <v>32</v>
      </c>
      <c r="C8" s="3">
        <v>29</v>
      </c>
      <c r="D8" s="3">
        <v>90</v>
      </c>
      <c r="E8" s="3">
        <v>0</v>
      </c>
      <c r="F8" s="2">
        <f t="shared" si="0"/>
        <v>151</v>
      </c>
      <c r="G8" s="1"/>
    </row>
    <row r="9" spans="1:7" x14ac:dyDescent="0.2">
      <c r="A9" s="4" t="s">
        <v>0</v>
      </c>
      <c r="B9" s="3">
        <f>SUM(StateSenatorSenateDistrict7General14151617181920212223242528293031323435[Madison County Vote Results])</f>
        <v>26561</v>
      </c>
      <c r="C9" s="3">
        <f>SUM(StateSenatorSenateDistrict7General14151617181920212223242528293031323435[Oneida County Vote Results])</f>
        <v>76073</v>
      </c>
      <c r="D9" s="3">
        <f>SUM(StateSenatorSenateDistrict7General14151617181920212223242528293031323435[Onondaga County Vote Results])</f>
        <v>171209</v>
      </c>
      <c r="E9" s="3">
        <f>SUM(StateSenatorSenateDistrict7General14151617181920212223242528293031323435[Part of Oswego County Vote Results])</f>
        <v>138</v>
      </c>
      <c r="F9" s="2">
        <f>SUM(StateSenatorSenateDistrict7General14151617181920212223242528293031323435[Total Votes by Party])</f>
        <v>273981</v>
      </c>
      <c r="G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1B708-8214-4CA5-BCD4-4C2DE63DC5F0}">
  <sheetPr>
    <pageSetUpPr fitToPage="1"/>
  </sheetPr>
  <dimension ref="A1:J9"/>
  <sheetViews>
    <sheetView workbookViewId="0">
      <pane xSplit="1" topLeftCell="B1" activePane="topRight" state="frozen"/>
      <selection pane="topRight" activeCell="H2" sqref="H2"/>
    </sheetView>
  </sheetViews>
  <sheetFormatPr defaultRowHeight="12.75" x14ac:dyDescent="0.2"/>
  <cols>
    <col min="1" max="1" width="25.5703125" customWidth="1"/>
    <col min="2" max="10" width="20.5703125" customWidth="1"/>
    <col min="11" max="12" width="23.5703125" customWidth="1"/>
  </cols>
  <sheetData>
    <row r="1" spans="1:10" ht="24.95" customHeight="1" x14ac:dyDescent="0.2">
      <c r="A1" s="12" t="s">
        <v>161</v>
      </c>
    </row>
    <row r="2" spans="1:10" ht="24.95" customHeight="1" x14ac:dyDescent="0.2">
      <c r="A2" s="11" t="s">
        <v>11</v>
      </c>
      <c r="B2" s="10" t="s">
        <v>160</v>
      </c>
      <c r="C2" s="10" t="s">
        <v>159</v>
      </c>
      <c r="D2" s="10" t="s">
        <v>158</v>
      </c>
      <c r="E2" s="10" t="s">
        <v>157</v>
      </c>
      <c r="F2" s="10" t="s">
        <v>156</v>
      </c>
      <c r="G2" s="10" t="s">
        <v>155</v>
      </c>
      <c r="H2" s="10" t="s">
        <v>154</v>
      </c>
      <c r="I2" s="9" t="s">
        <v>9</v>
      </c>
      <c r="J2" s="8" t="s">
        <v>8</v>
      </c>
    </row>
    <row r="3" spans="1:10" x14ac:dyDescent="0.2">
      <c r="A3" s="6" t="s">
        <v>153</v>
      </c>
      <c r="B3" s="3">
        <v>3643</v>
      </c>
      <c r="C3" s="3">
        <v>7342</v>
      </c>
      <c r="D3" s="3">
        <v>14281</v>
      </c>
      <c r="E3" s="3">
        <v>9668</v>
      </c>
      <c r="F3" s="3">
        <v>56727</v>
      </c>
      <c r="G3" s="3">
        <v>2731</v>
      </c>
      <c r="H3" s="3">
        <v>9722</v>
      </c>
      <c r="I3" s="2">
        <f t="shared" ref="I3:I8" si="0">SUM(B3:H3)</f>
        <v>104114</v>
      </c>
      <c r="J3" s="7">
        <f>SUM(I3)</f>
        <v>104114</v>
      </c>
    </row>
    <row r="4" spans="1:10" x14ac:dyDescent="0.2">
      <c r="A4" s="6" t="s">
        <v>152</v>
      </c>
      <c r="B4" s="3">
        <v>10670</v>
      </c>
      <c r="C4" s="3">
        <v>15969</v>
      </c>
      <c r="D4" s="3">
        <v>24667</v>
      </c>
      <c r="E4" s="3">
        <v>16059</v>
      </c>
      <c r="F4" s="3">
        <v>68987</v>
      </c>
      <c r="G4" s="3">
        <v>4450</v>
      </c>
      <c r="H4" s="3">
        <v>22198</v>
      </c>
      <c r="I4" s="2">
        <f t="shared" si="0"/>
        <v>163000</v>
      </c>
      <c r="J4" s="7">
        <f>SUM(I4,I5)</f>
        <v>192694</v>
      </c>
    </row>
    <row r="5" spans="1:10" x14ac:dyDescent="0.2">
      <c r="A5" s="6" t="s">
        <v>151</v>
      </c>
      <c r="B5" s="3">
        <v>1142</v>
      </c>
      <c r="C5" s="3">
        <v>2112</v>
      </c>
      <c r="D5" s="3">
        <v>3742</v>
      </c>
      <c r="E5" s="3">
        <v>1605</v>
      </c>
      <c r="F5" s="3">
        <v>18585</v>
      </c>
      <c r="G5" s="3">
        <v>473</v>
      </c>
      <c r="H5" s="3">
        <v>2035</v>
      </c>
      <c r="I5" s="2">
        <f t="shared" si="0"/>
        <v>29694</v>
      </c>
      <c r="J5" s="1"/>
    </row>
    <row r="6" spans="1:10" x14ac:dyDescent="0.2">
      <c r="A6" s="5" t="s">
        <v>3</v>
      </c>
      <c r="B6" s="3">
        <v>516</v>
      </c>
      <c r="C6" s="3">
        <v>926</v>
      </c>
      <c r="D6" s="3">
        <v>1128</v>
      </c>
      <c r="E6" s="3">
        <v>742</v>
      </c>
      <c r="F6" s="3">
        <v>4744</v>
      </c>
      <c r="G6" s="3">
        <v>159</v>
      </c>
      <c r="H6" s="3">
        <v>798</v>
      </c>
      <c r="I6" s="2">
        <f t="shared" si="0"/>
        <v>9013</v>
      </c>
      <c r="J6" s="1"/>
    </row>
    <row r="7" spans="1:10" x14ac:dyDescent="0.2">
      <c r="A7" s="5" t="s">
        <v>2</v>
      </c>
      <c r="B7" s="3">
        <v>3</v>
      </c>
      <c r="C7" s="3">
        <v>6</v>
      </c>
      <c r="D7" s="3">
        <v>13</v>
      </c>
      <c r="E7" s="3">
        <v>0</v>
      </c>
      <c r="F7" s="3">
        <v>38</v>
      </c>
      <c r="G7" s="3">
        <v>1</v>
      </c>
      <c r="H7" s="3">
        <v>11</v>
      </c>
      <c r="I7" s="2">
        <f t="shared" si="0"/>
        <v>72</v>
      </c>
      <c r="J7" s="1"/>
    </row>
    <row r="8" spans="1:10" x14ac:dyDescent="0.2">
      <c r="A8" s="5" t="s">
        <v>1</v>
      </c>
      <c r="B8" s="3">
        <v>8</v>
      </c>
      <c r="C8" s="3">
        <v>7</v>
      </c>
      <c r="D8" s="3">
        <v>25</v>
      </c>
      <c r="E8" s="3">
        <v>34</v>
      </c>
      <c r="F8" s="3">
        <v>148</v>
      </c>
      <c r="G8" s="3">
        <v>1</v>
      </c>
      <c r="H8" s="3">
        <v>10</v>
      </c>
      <c r="I8" s="2">
        <f t="shared" si="0"/>
        <v>233</v>
      </c>
      <c r="J8" s="1"/>
    </row>
    <row r="9" spans="1:10" x14ac:dyDescent="0.2">
      <c r="A9" s="4" t="s">
        <v>0</v>
      </c>
      <c r="B9" s="3">
        <f>SUM(StateSenatorSenateDistrict7General1415161718192021222324252829303132343536[Allegany County Vote Results])</f>
        <v>15982</v>
      </c>
      <c r="C9" s="3">
        <f>SUM(StateSenatorSenateDistrict7General1415161718192021222324252829303132343536[Cattaraugus County Vote Results])</f>
        <v>26362</v>
      </c>
      <c r="D9" s="3">
        <f>SUM(StateSenatorSenateDistrict7General1415161718192021222324252829303132343536[Chautauqua County Vote Results])</f>
        <v>43856</v>
      </c>
      <c r="E9" s="3">
        <f>SUM(StateSenatorSenateDistrict7General1415161718192021222324252829303132343536[Chemung County Vote Results])</f>
        <v>28108</v>
      </c>
      <c r="F9" s="3">
        <f>SUM(StateSenatorSenateDistrict7General1415161718192021222324252829303132343536[Part of Erie County Vote Results])</f>
        <v>149229</v>
      </c>
      <c r="G9" s="3">
        <f>SUM(StateSenatorSenateDistrict7General1415161718192021222324252829303132343536[Schuyler County Vote Results])</f>
        <v>7815</v>
      </c>
      <c r="H9" s="3">
        <f>SUM(StateSenatorSenateDistrict7General1415161718192021222324252829303132343536[Steuben County Vote Results])</f>
        <v>34774</v>
      </c>
      <c r="I9" s="2">
        <f>SUM(StateSenatorSenateDistrict7General1415161718192021222324252829303132343536[Total Votes by Party])</f>
        <v>306126</v>
      </c>
      <c r="J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46612-0F80-4EFC-8BE9-B46CEDECA40F}">
  <sheetPr>
    <pageSetUpPr fitToPage="1"/>
  </sheetPr>
  <dimension ref="A1:O9"/>
  <sheetViews>
    <sheetView workbookViewId="0">
      <pane xSplit="1" topLeftCell="B1" activePane="topRight" state="frozen"/>
      <selection pane="topRight" activeCell="M2" sqref="M2"/>
    </sheetView>
  </sheetViews>
  <sheetFormatPr defaultRowHeight="12.75" x14ac:dyDescent="0.2"/>
  <cols>
    <col min="1" max="1" width="25.5703125" customWidth="1"/>
    <col min="2" max="15" width="20.5703125" customWidth="1"/>
    <col min="16" max="17" width="23.5703125" customWidth="1"/>
  </cols>
  <sheetData>
    <row r="1" spans="1:15" ht="24.95" customHeight="1" x14ac:dyDescent="0.2">
      <c r="A1" s="12" t="s">
        <v>175</v>
      </c>
    </row>
    <row r="2" spans="1:15" ht="24.95" customHeight="1" x14ac:dyDescent="0.2">
      <c r="A2" s="11" t="s">
        <v>11</v>
      </c>
      <c r="B2" s="10" t="s">
        <v>174</v>
      </c>
      <c r="C2" s="10" t="s">
        <v>173</v>
      </c>
      <c r="D2" s="10" t="s">
        <v>135</v>
      </c>
      <c r="E2" s="10" t="s">
        <v>172</v>
      </c>
      <c r="F2" s="10" t="s">
        <v>171</v>
      </c>
      <c r="G2" s="10" t="s">
        <v>170</v>
      </c>
      <c r="H2" s="10" t="s">
        <v>169</v>
      </c>
      <c r="I2" s="10" t="s">
        <v>146</v>
      </c>
      <c r="J2" s="10" t="s">
        <v>168</v>
      </c>
      <c r="K2" s="10" t="s">
        <v>167</v>
      </c>
      <c r="L2" s="10" t="s">
        <v>166</v>
      </c>
      <c r="M2" s="10" t="s">
        <v>165</v>
      </c>
      <c r="N2" s="9" t="s">
        <v>9</v>
      </c>
      <c r="O2" s="8" t="s">
        <v>8</v>
      </c>
    </row>
    <row r="3" spans="1:15" x14ac:dyDescent="0.2">
      <c r="A3" s="6" t="s">
        <v>164</v>
      </c>
      <c r="B3" s="3">
        <v>10412</v>
      </c>
      <c r="C3" s="3">
        <v>5932</v>
      </c>
      <c r="D3" s="3">
        <v>7967</v>
      </c>
      <c r="E3" s="3">
        <v>7882</v>
      </c>
      <c r="F3" s="3">
        <v>7443</v>
      </c>
      <c r="G3" s="3">
        <v>19639</v>
      </c>
      <c r="H3" s="3">
        <v>1645</v>
      </c>
      <c r="I3" s="3">
        <v>13008</v>
      </c>
      <c r="J3" s="3">
        <v>4682</v>
      </c>
      <c r="K3" s="3">
        <v>10342</v>
      </c>
      <c r="L3" s="3">
        <v>3168</v>
      </c>
      <c r="M3" s="3">
        <v>2908</v>
      </c>
      <c r="N3" s="2">
        <f t="shared" ref="N3:N8" si="0">SUM(B3:M3)</f>
        <v>95028</v>
      </c>
      <c r="O3" s="7">
        <f>SUM(N3)</f>
        <v>95028</v>
      </c>
    </row>
    <row r="4" spans="1:15" x14ac:dyDescent="0.2">
      <c r="A4" s="6" t="s">
        <v>163</v>
      </c>
      <c r="B4" s="3">
        <v>13883</v>
      </c>
      <c r="C4" s="3">
        <v>13224</v>
      </c>
      <c r="D4" s="3">
        <v>14991</v>
      </c>
      <c r="E4" s="3">
        <v>13703</v>
      </c>
      <c r="F4" s="3">
        <v>11488</v>
      </c>
      <c r="G4" s="3">
        <v>21964</v>
      </c>
      <c r="H4" s="3">
        <v>4341</v>
      </c>
      <c r="I4" s="3">
        <v>23344</v>
      </c>
      <c r="J4" s="3">
        <v>5980</v>
      </c>
      <c r="K4" s="3">
        <v>18831</v>
      </c>
      <c r="L4" s="3">
        <v>10018</v>
      </c>
      <c r="M4" s="3">
        <v>4580</v>
      </c>
      <c r="N4" s="2">
        <f t="shared" si="0"/>
        <v>156347</v>
      </c>
      <c r="O4" s="7">
        <f>SUM(N4,N5)</f>
        <v>182054</v>
      </c>
    </row>
    <row r="5" spans="1:15" x14ac:dyDescent="0.2">
      <c r="A5" s="6" t="s">
        <v>162</v>
      </c>
      <c r="B5" s="3">
        <v>2185</v>
      </c>
      <c r="C5" s="3">
        <v>2413</v>
      </c>
      <c r="D5" s="3">
        <v>1562</v>
      </c>
      <c r="E5" s="3">
        <v>2352</v>
      </c>
      <c r="F5" s="3">
        <v>2668</v>
      </c>
      <c r="G5" s="3">
        <v>3859</v>
      </c>
      <c r="H5" s="3">
        <v>673</v>
      </c>
      <c r="I5" s="3">
        <v>3159</v>
      </c>
      <c r="J5" s="3">
        <v>732</v>
      </c>
      <c r="K5" s="3">
        <v>3832</v>
      </c>
      <c r="L5" s="3">
        <v>1626</v>
      </c>
      <c r="M5" s="3">
        <v>646</v>
      </c>
      <c r="N5" s="2">
        <f t="shared" si="0"/>
        <v>25707</v>
      </c>
      <c r="O5" s="1"/>
    </row>
    <row r="6" spans="1:15" x14ac:dyDescent="0.2">
      <c r="A6" s="5" t="s">
        <v>3</v>
      </c>
      <c r="B6" s="3">
        <v>633</v>
      </c>
      <c r="C6" s="3">
        <v>857</v>
      </c>
      <c r="D6" s="3">
        <v>886</v>
      </c>
      <c r="E6" s="3">
        <v>595</v>
      </c>
      <c r="F6" s="3">
        <v>1050</v>
      </c>
      <c r="G6" s="3">
        <v>1059</v>
      </c>
      <c r="H6" s="3">
        <v>426</v>
      </c>
      <c r="I6" s="3">
        <v>832</v>
      </c>
      <c r="J6" s="3">
        <v>244</v>
      </c>
      <c r="K6" s="3">
        <v>847</v>
      </c>
      <c r="L6" s="3">
        <v>564</v>
      </c>
      <c r="M6" s="3">
        <v>222</v>
      </c>
      <c r="N6" s="2">
        <f t="shared" si="0"/>
        <v>8215</v>
      </c>
      <c r="O6" s="1"/>
    </row>
    <row r="7" spans="1:15" x14ac:dyDescent="0.2">
      <c r="A7" s="5" t="s">
        <v>2</v>
      </c>
      <c r="B7" s="3">
        <v>5</v>
      </c>
      <c r="C7" s="3">
        <v>12</v>
      </c>
      <c r="D7" s="3">
        <v>4</v>
      </c>
      <c r="E7" s="3">
        <v>5</v>
      </c>
      <c r="F7" s="3">
        <v>6</v>
      </c>
      <c r="G7" s="3">
        <v>5</v>
      </c>
      <c r="H7" s="3">
        <v>1</v>
      </c>
      <c r="I7" s="3">
        <v>6</v>
      </c>
      <c r="J7" s="3">
        <v>3</v>
      </c>
      <c r="K7" s="3">
        <v>2</v>
      </c>
      <c r="L7" s="3">
        <v>8</v>
      </c>
      <c r="M7" s="3">
        <v>0</v>
      </c>
      <c r="N7" s="2">
        <f t="shared" si="0"/>
        <v>57</v>
      </c>
      <c r="O7" s="1"/>
    </row>
    <row r="8" spans="1:15" x14ac:dyDescent="0.2">
      <c r="A8" s="5" t="s">
        <v>1</v>
      </c>
      <c r="B8" s="3">
        <v>16</v>
      </c>
      <c r="C8" s="3">
        <v>16</v>
      </c>
      <c r="D8" s="3">
        <v>13</v>
      </c>
      <c r="E8" s="3">
        <v>8</v>
      </c>
      <c r="F8" s="3">
        <v>17</v>
      </c>
      <c r="G8" s="3">
        <v>34</v>
      </c>
      <c r="H8" s="3">
        <v>0</v>
      </c>
      <c r="I8" s="3">
        <v>32</v>
      </c>
      <c r="J8" s="3">
        <v>8</v>
      </c>
      <c r="K8" s="3">
        <v>18</v>
      </c>
      <c r="L8" s="3">
        <v>3</v>
      </c>
      <c r="M8" s="3">
        <v>6</v>
      </c>
      <c r="N8" s="2">
        <f t="shared" si="0"/>
        <v>171</v>
      </c>
      <c r="O8" s="1"/>
    </row>
    <row r="9" spans="1:15" x14ac:dyDescent="0.2">
      <c r="A9" s="4" t="s">
        <v>0</v>
      </c>
      <c r="B9" s="3">
        <f>SUM(StateSenatorSenateDistrict7General141516171819202122232425282930313234353637[Cayuga County Vote Results])</f>
        <v>27134</v>
      </c>
      <c r="C9" s="3">
        <f>SUM(StateSenatorSenateDistrict7General141516171819202122232425282930313234353637[Genesee County Vote Results])</f>
        <v>22454</v>
      </c>
      <c r="D9" s="3">
        <f>SUM(StateSenatorSenateDistrict7General141516171819202122232425282930313234353637[Part of Jefferson County Vote Results])</f>
        <v>25423</v>
      </c>
      <c r="E9" s="3">
        <f>SUM(StateSenatorSenateDistrict7General141516171819202122232425282930313234353637[Livingston County Vote Results])</f>
        <v>24545</v>
      </c>
      <c r="F9" s="3">
        <f>SUM(StateSenatorSenateDistrict7General141516171819202122232425282930313234353637[Niagara County Vote Results])</f>
        <v>22672</v>
      </c>
      <c r="G9" s="3">
        <f>SUM(StateSenatorSenateDistrict7General141516171819202122232425282930313234353637[Ontario County Vote Results])</f>
        <v>46560</v>
      </c>
      <c r="H9" s="3">
        <f>SUM(StateSenatorSenateDistrict7General141516171819202122232425282930313234353637[Part of Orleans County Vote Results])</f>
        <v>7086</v>
      </c>
      <c r="I9" s="3">
        <f>SUM(StateSenatorSenateDistrict7General141516171819202122232425282930313234353637[Part of Oswego County Vote Results])</f>
        <v>40381</v>
      </c>
      <c r="J9" s="3">
        <f>SUM(StateSenatorSenateDistrict7General141516171819202122232425282930313234353637[Seneca County Vote Results])</f>
        <v>11649</v>
      </c>
      <c r="K9" s="3">
        <f>SUM(StateSenatorSenateDistrict7General141516171819202122232425282930313234353637[Wayne County Vote Results])</f>
        <v>33872</v>
      </c>
      <c r="L9" s="3">
        <f>SUM(StateSenatorSenateDistrict7General141516171819202122232425282930313234353637[Wyoming County Vote Results])</f>
        <v>15387</v>
      </c>
      <c r="M9" s="3">
        <f>SUM(StateSenatorSenateDistrict7General141516171819202122232425282930313234353637[Yates County Vote Results])</f>
        <v>8362</v>
      </c>
      <c r="N9" s="2">
        <f>SUM(StateSenatorSenateDistrict7General141516171819202122232425282930313234353637[Total Votes by Party])</f>
        <v>285525</v>
      </c>
      <c r="O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6DB4-4EC5-4D34-B198-494D03A44F5D}">
  <sheetPr>
    <pageSetUpPr fitToPage="1"/>
  </sheetPr>
  <dimension ref="A1:E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2" t="s">
        <v>181</v>
      </c>
    </row>
    <row r="2" spans="1:5" ht="24.95" customHeight="1" x14ac:dyDescent="0.2">
      <c r="A2" s="11" t="s">
        <v>11</v>
      </c>
      <c r="B2" s="10" t="s">
        <v>180</v>
      </c>
      <c r="C2" s="10" t="s">
        <v>169</v>
      </c>
      <c r="D2" s="9" t="s">
        <v>9</v>
      </c>
      <c r="E2" s="8" t="s">
        <v>8</v>
      </c>
    </row>
    <row r="3" spans="1:5" x14ac:dyDescent="0.2">
      <c r="A3" s="6" t="s">
        <v>179</v>
      </c>
      <c r="B3" s="3">
        <v>138418</v>
      </c>
      <c r="C3" s="3">
        <v>1457</v>
      </c>
      <c r="D3" s="2">
        <f t="shared" ref="D3:D9" si="0">SUM(B3:C3)</f>
        <v>139875</v>
      </c>
      <c r="E3" s="7">
        <f>SUM(D3,D6)</f>
        <v>152022</v>
      </c>
    </row>
    <row r="4" spans="1:5" x14ac:dyDescent="0.2">
      <c r="A4" s="6" t="s">
        <v>178</v>
      </c>
      <c r="B4" s="3">
        <v>103814</v>
      </c>
      <c r="C4" s="3">
        <v>4196</v>
      </c>
      <c r="D4" s="2">
        <f t="shared" si="0"/>
        <v>108010</v>
      </c>
      <c r="E4" s="7">
        <f>SUM(D4,D5)</f>
        <v>130190</v>
      </c>
    </row>
    <row r="5" spans="1:5" x14ac:dyDescent="0.2">
      <c r="A5" s="6" t="s">
        <v>177</v>
      </c>
      <c r="B5" s="3">
        <v>21477</v>
      </c>
      <c r="C5" s="3">
        <v>703</v>
      </c>
      <c r="D5" s="2">
        <f t="shared" si="0"/>
        <v>22180</v>
      </c>
      <c r="E5" s="1"/>
    </row>
    <row r="6" spans="1:5" x14ac:dyDescent="0.2">
      <c r="A6" s="6" t="s">
        <v>176</v>
      </c>
      <c r="B6" s="3">
        <v>12011</v>
      </c>
      <c r="C6" s="3">
        <v>136</v>
      </c>
      <c r="D6" s="2">
        <f t="shared" si="0"/>
        <v>12147</v>
      </c>
      <c r="E6" s="1"/>
    </row>
    <row r="7" spans="1:5" x14ac:dyDescent="0.2">
      <c r="A7" s="5" t="s">
        <v>3</v>
      </c>
      <c r="B7" s="3">
        <v>2374</v>
      </c>
      <c r="C7" s="3">
        <v>203</v>
      </c>
      <c r="D7" s="2">
        <f t="shared" si="0"/>
        <v>2577</v>
      </c>
      <c r="E7" s="1"/>
    </row>
    <row r="8" spans="1:5" x14ac:dyDescent="0.2">
      <c r="A8" s="5" t="s">
        <v>2</v>
      </c>
      <c r="B8" s="3">
        <v>67</v>
      </c>
      <c r="C8" s="3">
        <v>2</v>
      </c>
      <c r="D8" s="2">
        <f t="shared" si="0"/>
        <v>69</v>
      </c>
      <c r="E8" s="1"/>
    </row>
    <row r="9" spans="1:5" x14ac:dyDescent="0.2">
      <c r="A9" s="5" t="s">
        <v>1</v>
      </c>
      <c r="B9" s="3">
        <v>130</v>
      </c>
      <c r="C9" s="3">
        <v>2</v>
      </c>
      <c r="D9" s="2">
        <f t="shared" si="0"/>
        <v>132</v>
      </c>
      <c r="E9" s="1"/>
    </row>
    <row r="10" spans="1:5" x14ac:dyDescent="0.2">
      <c r="A10" s="4" t="s">
        <v>0</v>
      </c>
      <c r="B10" s="3">
        <f>SUM(StateSenatorSenateDistrict7General1415161718192021222324252738[Monroe County Vote Results])</f>
        <v>278291</v>
      </c>
      <c r="C10" s="3">
        <f>SUM(StateSenatorSenateDistrict7General1415161718192021222324252738[Part of Orleans County Vote Results])</f>
        <v>6699</v>
      </c>
      <c r="D10" s="2">
        <f>SUM(StateSenatorSenateDistrict7General1415161718192021222324252738[Total Votes by Party])</f>
        <v>284990</v>
      </c>
      <c r="E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FAE2-FC72-4A7A-A652-AE6CDFE584CE}">
  <sheetPr>
    <pageSetUpPr fitToPage="1"/>
  </sheetPr>
  <dimension ref="A1:E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2" t="s">
        <v>187</v>
      </c>
    </row>
    <row r="2" spans="1:5" ht="24.95" customHeight="1" x14ac:dyDescent="0.2">
      <c r="A2" s="11" t="s">
        <v>11</v>
      </c>
      <c r="B2" s="10" t="s">
        <v>156</v>
      </c>
      <c r="C2" s="10" t="s">
        <v>186</v>
      </c>
      <c r="D2" s="9" t="s">
        <v>9</v>
      </c>
      <c r="E2" s="8" t="s">
        <v>8</v>
      </c>
    </row>
    <row r="3" spans="1:5" x14ac:dyDescent="0.2">
      <c r="A3" s="6" t="s">
        <v>185</v>
      </c>
      <c r="B3" s="3">
        <v>119002</v>
      </c>
      <c r="C3" s="3">
        <v>22940</v>
      </c>
      <c r="D3" s="2">
        <f t="shared" ref="D3:D9" si="0">SUM(B3:C3)</f>
        <v>141942</v>
      </c>
      <c r="E3" s="7">
        <f>SUM(D3,D6)</f>
        <v>156883</v>
      </c>
    </row>
    <row r="4" spans="1:5" x14ac:dyDescent="0.2">
      <c r="A4" s="6" t="s">
        <v>184</v>
      </c>
      <c r="B4" s="3">
        <v>48011</v>
      </c>
      <c r="C4" s="3">
        <v>22536</v>
      </c>
      <c r="D4" s="2">
        <f t="shared" si="0"/>
        <v>70547</v>
      </c>
      <c r="E4" s="7">
        <f>SUM(D4,D5)</f>
        <v>88339</v>
      </c>
    </row>
    <row r="5" spans="1:5" x14ac:dyDescent="0.2">
      <c r="A5" s="6" t="s">
        <v>183</v>
      </c>
      <c r="B5" s="3">
        <v>12734</v>
      </c>
      <c r="C5" s="3">
        <v>5058</v>
      </c>
      <c r="D5" s="2">
        <f t="shared" si="0"/>
        <v>17792</v>
      </c>
      <c r="E5" s="1"/>
    </row>
    <row r="6" spans="1:5" x14ac:dyDescent="0.2">
      <c r="A6" s="6" t="s">
        <v>182</v>
      </c>
      <c r="B6" s="3">
        <v>12890</v>
      </c>
      <c r="C6" s="3">
        <v>2051</v>
      </c>
      <c r="D6" s="2">
        <f t="shared" si="0"/>
        <v>14941</v>
      </c>
      <c r="E6" s="1"/>
    </row>
    <row r="7" spans="1:5" x14ac:dyDescent="0.2">
      <c r="A7" s="5" t="s">
        <v>3</v>
      </c>
      <c r="B7" s="3">
        <v>3998</v>
      </c>
      <c r="C7" s="3">
        <v>1835</v>
      </c>
      <c r="D7" s="2">
        <f t="shared" si="0"/>
        <v>5833</v>
      </c>
      <c r="E7" s="1"/>
    </row>
    <row r="8" spans="1:5" x14ac:dyDescent="0.2">
      <c r="A8" s="5" t="s">
        <v>2</v>
      </c>
      <c r="B8" s="3">
        <v>84</v>
      </c>
      <c r="C8" s="3">
        <v>12</v>
      </c>
      <c r="D8" s="2">
        <f t="shared" si="0"/>
        <v>96</v>
      </c>
      <c r="E8" s="1"/>
    </row>
    <row r="9" spans="1:5" x14ac:dyDescent="0.2">
      <c r="A9" s="5" t="s">
        <v>1</v>
      </c>
      <c r="B9" s="3">
        <v>139</v>
      </c>
      <c r="C9" s="3">
        <v>10</v>
      </c>
      <c r="D9" s="2">
        <f t="shared" si="0"/>
        <v>149</v>
      </c>
      <c r="E9" s="1"/>
    </row>
    <row r="10" spans="1:5" x14ac:dyDescent="0.2">
      <c r="A10" s="4" t="s">
        <v>0</v>
      </c>
      <c r="B10" s="3">
        <f>SUM(StateSenatorSenateDistrict7General141516171819202122232425273839[Part of Erie County Vote Results])</f>
        <v>196858</v>
      </c>
      <c r="C10" s="3">
        <f>SUM(StateSenatorSenateDistrict7General141516171819202122232425273839[Part of Niagara County Vote Results])</f>
        <v>54442</v>
      </c>
      <c r="D10" s="2">
        <f>SUM(StateSenatorSenateDistrict7General141516171819202122232425273839[Total Votes by Party])</f>
        <v>251300</v>
      </c>
      <c r="E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F3D0-B18F-4B20-AA3B-02C43B6008A2}">
  <sheetPr>
    <pageSetUpPr fitToPage="1"/>
  </sheetPr>
  <dimension ref="A1:E10"/>
  <sheetViews>
    <sheetView workbookViewId="0">
      <selection activeCell="A10" sqref="A10:XFD10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2" t="s">
        <v>24</v>
      </c>
    </row>
    <row r="2" spans="1:5" ht="24.95" customHeight="1" x14ac:dyDescent="0.2">
      <c r="A2" s="11" t="s">
        <v>11</v>
      </c>
      <c r="B2" s="10" t="s">
        <v>17</v>
      </c>
      <c r="C2" s="10" t="s">
        <v>23</v>
      </c>
      <c r="D2" s="9" t="s">
        <v>9</v>
      </c>
      <c r="E2" s="8" t="s">
        <v>8</v>
      </c>
    </row>
    <row r="3" spans="1:5" x14ac:dyDescent="0.2">
      <c r="A3" s="6" t="s">
        <v>22</v>
      </c>
      <c r="B3" s="3">
        <v>96405</v>
      </c>
      <c r="C3" s="3">
        <v>23640</v>
      </c>
      <c r="D3" s="2">
        <f t="shared" ref="D3:D9" si="0">SUM(B3:C3)</f>
        <v>120045</v>
      </c>
      <c r="E3" s="7">
        <f>SUM(D3,D6)</f>
        <v>125404</v>
      </c>
    </row>
    <row r="4" spans="1:5" x14ac:dyDescent="0.2">
      <c r="A4" s="6" t="s">
        <v>21</v>
      </c>
      <c r="B4" s="3">
        <v>112299</v>
      </c>
      <c r="C4" s="3">
        <v>21560</v>
      </c>
      <c r="D4" s="2">
        <f t="shared" si="0"/>
        <v>133859</v>
      </c>
      <c r="E4" s="7">
        <f>SUM(D4,D5)</f>
        <v>145824</v>
      </c>
    </row>
    <row r="5" spans="1:5" x14ac:dyDescent="0.2">
      <c r="A5" s="6" t="s">
        <v>20</v>
      </c>
      <c r="B5" s="3">
        <v>10089</v>
      </c>
      <c r="C5" s="3">
        <v>1876</v>
      </c>
      <c r="D5" s="2">
        <f t="shared" si="0"/>
        <v>11965</v>
      </c>
      <c r="E5" s="1"/>
    </row>
    <row r="6" spans="1:5" x14ac:dyDescent="0.2">
      <c r="A6" s="6" t="s">
        <v>19</v>
      </c>
      <c r="B6" s="3">
        <v>3631</v>
      </c>
      <c r="C6" s="3">
        <v>1728</v>
      </c>
      <c r="D6" s="2">
        <f t="shared" si="0"/>
        <v>5359</v>
      </c>
      <c r="E6" s="1"/>
    </row>
    <row r="7" spans="1:5" x14ac:dyDescent="0.2">
      <c r="A7" s="5" t="s">
        <v>3</v>
      </c>
      <c r="B7" s="3">
        <v>7050</v>
      </c>
      <c r="C7" s="3">
        <v>1290</v>
      </c>
      <c r="D7" s="2">
        <f t="shared" si="0"/>
        <v>8340</v>
      </c>
      <c r="E7" s="1"/>
    </row>
    <row r="8" spans="1:5" x14ac:dyDescent="0.2">
      <c r="A8" s="5" t="s">
        <v>2</v>
      </c>
      <c r="B8" s="3">
        <v>101</v>
      </c>
      <c r="C8" s="3">
        <v>0</v>
      </c>
      <c r="D8" s="2">
        <f t="shared" si="0"/>
        <v>101</v>
      </c>
      <c r="E8" s="1"/>
    </row>
    <row r="9" spans="1:5" x14ac:dyDescent="0.2">
      <c r="A9" s="5" t="s">
        <v>1</v>
      </c>
      <c r="B9" s="3">
        <v>76</v>
      </c>
      <c r="C9" s="3">
        <v>27</v>
      </c>
      <c r="D9" s="2">
        <f t="shared" si="0"/>
        <v>103</v>
      </c>
      <c r="E9" s="1"/>
    </row>
    <row r="10" spans="1:5" x14ac:dyDescent="0.2">
      <c r="A10" s="4" t="s">
        <v>0</v>
      </c>
      <c r="B10" s="3">
        <f>SUM(StateSenatorSenateDistrict7General141516[Part of Nassau County Vote Results])</f>
        <v>229651</v>
      </c>
      <c r="C10" s="3">
        <f>SUM(StateSenatorSenateDistrict7General141516[Part of Queens County Vote Results])</f>
        <v>50121</v>
      </c>
      <c r="D10" s="2">
        <f>SUM(StateSenatorSenateDistrict7General141516[Total Votes by Party])</f>
        <v>279772</v>
      </c>
      <c r="E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0A48E-8683-4178-9B56-9038E3ACFC31}">
  <sheetPr>
    <pageSetUpPr fitToPage="1"/>
  </sheetPr>
  <dimension ref="A1:D9"/>
  <sheetViews>
    <sheetView workbookViewId="0">
      <selection activeCell="A9" sqref="A9:XFD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28</v>
      </c>
    </row>
    <row r="2" spans="1:4" ht="24.95" customHeight="1" x14ac:dyDescent="0.2">
      <c r="A2" s="11" t="s">
        <v>11</v>
      </c>
      <c r="B2" s="10" t="s">
        <v>17</v>
      </c>
      <c r="C2" s="9" t="s">
        <v>9</v>
      </c>
      <c r="D2" s="8" t="s">
        <v>8</v>
      </c>
    </row>
    <row r="3" spans="1:4" x14ac:dyDescent="0.2">
      <c r="A3" s="6" t="s">
        <v>27</v>
      </c>
      <c r="B3" s="3">
        <v>130871</v>
      </c>
      <c r="C3" s="2">
        <f>SUM(B3)</f>
        <v>130871</v>
      </c>
      <c r="D3" s="7">
        <f>SUM(C3)</f>
        <v>130871</v>
      </c>
    </row>
    <row r="4" spans="1:4" x14ac:dyDescent="0.2">
      <c r="A4" s="6" t="s">
        <v>26</v>
      </c>
      <c r="B4" s="3">
        <v>129353</v>
      </c>
      <c r="C4" s="2">
        <f>SUM(B4)</f>
        <v>129353</v>
      </c>
      <c r="D4" s="7">
        <f>SUM(C4,C5)</f>
        <v>140622</v>
      </c>
    </row>
    <row r="5" spans="1:4" x14ac:dyDescent="0.2">
      <c r="A5" s="6" t="s">
        <v>25</v>
      </c>
      <c r="B5" s="3">
        <v>11269</v>
      </c>
      <c r="C5" s="2">
        <f>SUM(B5)</f>
        <v>11269</v>
      </c>
      <c r="D5" s="1"/>
    </row>
    <row r="6" spans="1:4" x14ac:dyDescent="0.2">
      <c r="A6" s="5" t="s">
        <v>3</v>
      </c>
      <c r="B6" s="3">
        <v>6904</v>
      </c>
      <c r="C6" s="2">
        <f>SUM(B6)</f>
        <v>6904</v>
      </c>
      <c r="D6" s="1"/>
    </row>
    <row r="7" spans="1:4" x14ac:dyDescent="0.2">
      <c r="A7" s="5" t="s">
        <v>2</v>
      </c>
      <c r="B7" s="3">
        <v>84</v>
      </c>
      <c r="C7" s="2">
        <f>SUM(B7)</f>
        <v>84</v>
      </c>
      <c r="D7" s="1"/>
    </row>
    <row r="8" spans="1:4" x14ac:dyDescent="0.2">
      <c r="A8" s="5" t="s">
        <v>1</v>
      </c>
      <c r="B8" s="3">
        <v>67</v>
      </c>
      <c r="C8" s="2">
        <f>SUM(B8)</f>
        <v>67</v>
      </c>
      <c r="D8" s="1"/>
    </row>
    <row r="9" spans="1:4" x14ac:dyDescent="0.2">
      <c r="A9" s="4" t="s">
        <v>0</v>
      </c>
      <c r="B9" s="3">
        <f>SUM(StateSenatorSenateDistrict7General14151617[Part of Nassau County Vote Results])</f>
        <v>278548</v>
      </c>
      <c r="C9" s="2">
        <f>SUM(StateSenatorSenateDistrict7General14151617[Total Votes by Party])</f>
        <v>278548</v>
      </c>
      <c r="D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E5CD-08BB-4B07-8252-16A70D70B147}">
  <sheetPr>
    <pageSetUpPr fitToPage="1"/>
  </sheetPr>
  <dimension ref="A1:D9"/>
  <sheetViews>
    <sheetView workbookViewId="0">
      <selection activeCell="A5" sqref="A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32</v>
      </c>
    </row>
    <row r="2" spans="1:4" ht="24.95" customHeight="1" x14ac:dyDescent="0.2">
      <c r="A2" s="11" t="s">
        <v>11</v>
      </c>
      <c r="B2" s="10" t="s">
        <v>23</v>
      </c>
      <c r="C2" s="9" t="s">
        <v>9</v>
      </c>
      <c r="D2" s="8" t="s">
        <v>8</v>
      </c>
    </row>
    <row r="3" spans="1:4" x14ac:dyDescent="0.2">
      <c r="A3" s="6" t="s">
        <v>31</v>
      </c>
      <c r="B3" s="3">
        <v>104396</v>
      </c>
      <c r="C3" s="2">
        <f>SUM(B3)</f>
        <v>104396</v>
      </c>
      <c r="D3" s="7">
        <f>SUM(C3)</f>
        <v>104396</v>
      </c>
    </row>
    <row r="4" spans="1:4" x14ac:dyDescent="0.2">
      <c r="A4" s="6" t="s">
        <v>30</v>
      </c>
      <c r="B4" s="3">
        <v>31405</v>
      </c>
      <c r="C4" s="2">
        <f>SUM(B4)</f>
        <v>31405</v>
      </c>
      <c r="D4" s="7">
        <f>SUM(C4,C5)</f>
        <v>34407</v>
      </c>
    </row>
    <row r="5" spans="1:4" x14ac:dyDescent="0.2">
      <c r="A5" s="6" t="s">
        <v>29</v>
      </c>
      <c r="B5" s="3">
        <v>3002</v>
      </c>
      <c r="C5" s="2">
        <f>SUM(B5)</f>
        <v>3002</v>
      </c>
      <c r="D5" s="1"/>
    </row>
    <row r="6" spans="1:4" x14ac:dyDescent="0.2">
      <c r="A6" s="5" t="s">
        <v>3</v>
      </c>
      <c r="B6" s="3">
        <v>5329</v>
      </c>
      <c r="C6" s="2">
        <f>SUM(B6)</f>
        <v>5329</v>
      </c>
      <c r="D6" s="1"/>
    </row>
    <row r="7" spans="1:4" x14ac:dyDescent="0.2">
      <c r="A7" s="5" t="s">
        <v>2</v>
      </c>
      <c r="B7" s="3">
        <v>0</v>
      </c>
      <c r="C7" s="2">
        <f>SUM(B7)</f>
        <v>0</v>
      </c>
      <c r="D7" s="1"/>
    </row>
    <row r="8" spans="1:4" x14ac:dyDescent="0.2">
      <c r="A8" s="5" t="s">
        <v>1</v>
      </c>
      <c r="B8" s="3">
        <v>184</v>
      </c>
      <c r="C8" s="2">
        <f>SUM(B8)</f>
        <v>184</v>
      </c>
      <c r="D8" s="1"/>
    </row>
    <row r="9" spans="1:4" x14ac:dyDescent="0.2">
      <c r="A9" s="4" t="s">
        <v>0</v>
      </c>
      <c r="B9" s="3">
        <f>SUM(StateSenatorSenateDistrict7General1415161718[Part of Queens County Vote Results])</f>
        <v>144316</v>
      </c>
      <c r="C9" s="2">
        <f>SUM(StateSenatorSenateDistrict7General1415161718[Total Votes by Party])</f>
        <v>144316</v>
      </c>
      <c r="D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CD82-BA6B-4D1A-B60E-C7FBF82ECF3E}">
  <sheetPr>
    <pageSetUpPr fitToPage="1"/>
  </sheetPr>
  <dimension ref="A1:D10"/>
  <sheetViews>
    <sheetView workbookViewId="0">
      <selection activeCell="A31" sqref="A3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37</v>
      </c>
    </row>
    <row r="2" spans="1:4" ht="24.95" customHeight="1" x14ac:dyDescent="0.2">
      <c r="A2" s="11" t="s">
        <v>11</v>
      </c>
      <c r="B2" s="10" t="s">
        <v>23</v>
      </c>
      <c r="C2" s="9" t="s">
        <v>9</v>
      </c>
      <c r="D2" s="8" t="s">
        <v>8</v>
      </c>
    </row>
    <row r="3" spans="1:4" x14ac:dyDescent="0.2">
      <c r="A3" s="6" t="s">
        <v>36</v>
      </c>
      <c r="B3" s="3">
        <v>85049</v>
      </c>
      <c r="C3" s="2">
        <f>SUM(B3)</f>
        <v>85049</v>
      </c>
      <c r="D3" s="7">
        <f>SUM(C3)</f>
        <v>85049</v>
      </c>
    </row>
    <row r="4" spans="1:4" x14ac:dyDescent="0.2">
      <c r="A4" s="6" t="s">
        <v>35</v>
      </c>
      <c r="B4" s="3">
        <v>44264</v>
      </c>
      <c r="C4" s="2">
        <f t="shared" ref="C4:C9" si="0">SUM(B4)</f>
        <v>44264</v>
      </c>
      <c r="D4" s="7">
        <f>SUM(C4,C5,C6)</f>
        <v>47935</v>
      </c>
    </row>
    <row r="5" spans="1:4" x14ac:dyDescent="0.2">
      <c r="A5" s="6" t="s">
        <v>34</v>
      </c>
      <c r="B5" s="3">
        <v>3240</v>
      </c>
      <c r="C5" s="2">
        <f t="shared" si="0"/>
        <v>3240</v>
      </c>
      <c r="D5" s="1"/>
    </row>
    <row r="6" spans="1:4" x14ac:dyDescent="0.2">
      <c r="A6" s="6" t="s">
        <v>33</v>
      </c>
      <c r="B6" s="3">
        <v>431</v>
      </c>
      <c r="C6" s="13">
        <f t="shared" si="0"/>
        <v>431</v>
      </c>
      <c r="D6" s="1"/>
    </row>
    <row r="7" spans="1:4" x14ac:dyDescent="0.2">
      <c r="A7" s="5" t="s">
        <v>3</v>
      </c>
      <c r="B7" s="3">
        <v>4578</v>
      </c>
      <c r="C7" s="2">
        <f t="shared" si="0"/>
        <v>4578</v>
      </c>
      <c r="D7" s="1"/>
    </row>
    <row r="8" spans="1:4" x14ac:dyDescent="0.2">
      <c r="A8" s="5" t="s">
        <v>2</v>
      </c>
      <c r="B8" s="3">
        <v>0</v>
      </c>
      <c r="C8" s="2">
        <f t="shared" si="0"/>
        <v>0</v>
      </c>
      <c r="D8" s="1"/>
    </row>
    <row r="9" spans="1:4" x14ac:dyDescent="0.2">
      <c r="A9" s="5" t="s">
        <v>1</v>
      </c>
      <c r="B9" s="3">
        <v>130</v>
      </c>
      <c r="C9" s="2">
        <f t="shared" si="0"/>
        <v>130</v>
      </c>
      <c r="D9" s="1"/>
    </row>
    <row r="10" spans="1:4" x14ac:dyDescent="0.2">
      <c r="A10" s="4" t="s">
        <v>0</v>
      </c>
      <c r="B10" s="3">
        <f>SUM(StateSenatorSenateDistrict7General141516171819[Part of Queens County Vote Results])</f>
        <v>137692</v>
      </c>
      <c r="C10" s="2">
        <f>SUM(StateSenatorSenateDistrict7General141516171819[Total Votes by Party])</f>
        <v>137692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1A16-B238-4FB4-9D24-9F180D5C6A20}">
  <sheetPr>
    <pageSetUpPr fitToPage="1"/>
  </sheetPr>
  <dimension ref="A1:E10"/>
  <sheetViews>
    <sheetView tabSelected="1" workbookViewId="0">
      <selection activeCell="G13" sqref="G13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2" t="s">
        <v>43</v>
      </c>
    </row>
    <row r="2" spans="1:5" ht="24.95" customHeight="1" x14ac:dyDescent="0.2">
      <c r="A2" s="11" t="s">
        <v>11</v>
      </c>
      <c r="B2" s="10" t="s">
        <v>42</v>
      </c>
      <c r="C2" s="10" t="s">
        <v>23</v>
      </c>
      <c r="D2" s="9" t="s">
        <v>9</v>
      </c>
      <c r="E2" s="8" t="s">
        <v>8</v>
      </c>
    </row>
    <row r="3" spans="1:5" x14ac:dyDescent="0.2">
      <c r="A3" s="6" t="s">
        <v>41</v>
      </c>
      <c r="B3" s="3">
        <v>64289</v>
      </c>
      <c r="C3" s="3">
        <v>31356</v>
      </c>
      <c r="D3" s="2">
        <f>SUM(StateSenatorSenateDistrict7General14151617181920[[#This Row],[Part of Kings County Vote Results]:[Part of Queens County Vote Results]])</f>
        <v>95645</v>
      </c>
      <c r="E3" s="7">
        <f>SUM(D3,D6)</f>
        <v>119473</v>
      </c>
    </row>
    <row r="4" spans="1:5" x14ac:dyDescent="0.2">
      <c r="A4" s="6" t="s">
        <v>40</v>
      </c>
      <c r="B4" s="3">
        <v>12176</v>
      </c>
      <c r="C4" s="3">
        <v>14175</v>
      </c>
      <c r="D4" s="2">
        <f>SUM(StateSenatorSenateDistrict7General14151617181920[[#This Row],[Part of Kings County Vote Results]:[Part of Queens County Vote Results]])</f>
        <v>26351</v>
      </c>
      <c r="E4" s="7">
        <f>SUM(D4,D5)</f>
        <v>28597</v>
      </c>
    </row>
    <row r="5" spans="1:5" x14ac:dyDescent="0.2">
      <c r="A5" s="6" t="s">
        <v>39</v>
      </c>
      <c r="B5" s="3">
        <v>941</v>
      </c>
      <c r="C5" s="3">
        <v>1305</v>
      </c>
      <c r="D5" s="2">
        <f>SUM(StateSenatorSenateDistrict7General14151617181920[[#This Row],[Part of Kings County Vote Results]:[Part of Queens County Vote Results]])</f>
        <v>2246</v>
      </c>
      <c r="E5" s="1"/>
    </row>
    <row r="6" spans="1:5" x14ac:dyDescent="0.2">
      <c r="A6" s="6" t="s">
        <v>38</v>
      </c>
      <c r="B6" s="3">
        <v>16951</v>
      </c>
      <c r="C6" s="3">
        <v>6877</v>
      </c>
      <c r="D6" s="2">
        <f>SUM(StateSenatorSenateDistrict7General14151617181920[[#This Row],[Part of Kings County Vote Results]:[Part of Queens County Vote Results]])</f>
        <v>23828</v>
      </c>
      <c r="E6" s="1"/>
    </row>
    <row r="7" spans="1:5" x14ac:dyDescent="0.2">
      <c r="A7" s="5" t="s">
        <v>3</v>
      </c>
      <c r="B7" s="3">
        <v>3480</v>
      </c>
      <c r="C7" s="3">
        <v>1773</v>
      </c>
      <c r="D7" s="2">
        <f>SUM(StateSenatorSenateDistrict7General14151617181920[[#This Row],[Part of Kings County Vote Results]:[Part of Queens County Vote Results]])</f>
        <v>5253</v>
      </c>
      <c r="E7" s="1"/>
    </row>
    <row r="8" spans="1:5" x14ac:dyDescent="0.2">
      <c r="A8" s="5" t="s">
        <v>2</v>
      </c>
      <c r="B8" s="3">
        <v>0</v>
      </c>
      <c r="C8" s="3">
        <v>0</v>
      </c>
      <c r="D8" s="2">
        <f>SUM(StateSenatorSenateDistrict7General14151617181920[[#This Row],[Part of Kings County Vote Results]:[Part of Queens County Vote Results]])</f>
        <v>0</v>
      </c>
      <c r="E8" s="1"/>
    </row>
    <row r="9" spans="1:5" x14ac:dyDescent="0.2">
      <c r="A9" s="5" t="s">
        <v>1</v>
      </c>
      <c r="B9" s="3">
        <v>162</v>
      </c>
      <c r="C9" s="3">
        <v>72</v>
      </c>
      <c r="D9" s="2">
        <f>SUM(StateSenatorSenateDistrict7General14151617181920[[#This Row],[Part of Kings County Vote Results]:[Part of Queens County Vote Results]])</f>
        <v>234</v>
      </c>
      <c r="E9" s="1"/>
    </row>
    <row r="10" spans="1:5" x14ac:dyDescent="0.2">
      <c r="A10" s="4" t="s">
        <v>0</v>
      </c>
      <c r="B10" s="3">
        <f>SUM(StateSenatorSenateDistrict7General14151617181920[Part of Kings County Vote Results])</f>
        <v>97999</v>
      </c>
      <c r="C10" s="3">
        <f>SUM(StateSenatorSenateDistrict7General14151617181920[Part of Queens County Vote Results])</f>
        <v>55558</v>
      </c>
      <c r="D10" s="2">
        <f>SUM(StateSenatorSenateDistrict7General14151617181920[Total Votes by Party])</f>
        <v>153557</v>
      </c>
      <c r="E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CDAD-2717-4A5E-ABD2-20D6E3BFDF80}">
  <sheetPr>
    <pageSetUpPr fitToPage="1"/>
  </sheetPr>
  <dimension ref="A1:D9"/>
  <sheetViews>
    <sheetView workbookViewId="0">
      <selection activeCell="F3" sqref="F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47</v>
      </c>
    </row>
    <row r="2" spans="1:4" ht="24.95" customHeight="1" x14ac:dyDescent="0.2">
      <c r="A2" s="11" t="s">
        <v>11</v>
      </c>
      <c r="B2" s="10" t="s">
        <v>42</v>
      </c>
      <c r="C2" s="9" t="s">
        <v>9</v>
      </c>
      <c r="D2" s="8" t="s">
        <v>8</v>
      </c>
    </row>
    <row r="3" spans="1:4" x14ac:dyDescent="0.2">
      <c r="A3" s="6" t="s">
        <v>46</v>
      </c>
      <c r="B3" s="3">
        <v>99079</v>
      </c>
      <c r="C3" s="2">
        <f>SUM(B3:B3)</f>
        <v>99079</v>
      </c>
      <c r="D3" s="7">
        <f>SUM(C3)</f>
        <v>99079</v>
      </c>
    </row>
    <row r="4" spans="1:4" x14ac:dyDescent="0.2">
      <c r="A4" s="6" t="s">
        <v>45</v>
      </c>
      <c r="B4" s="3">
        <v>36776</v>
      </c>
      <c r="C4" s="2">
        <f t="shared" ref="C4:C8" si="0">SUM(B4:B4)</f>
        <v>36776</v>
      </c>
      <c r="D4" s="7">
        <f>SUM(C4,C5)</f>
        <v>39060</v>
      </c>
    </row>
    <row r="5" spans="1:4" x14ac:dyDescent="0.2">
      <c r="A5" s="6" t="s">
        <v>44</v>
      </c>
      <c r="B5" s="3">
        <v>2284</v>
      </c>
      <c r="C5" s="2">
        <f t="shared" si="0"/>
        <v>2284</v>
      </c>
      <c r="D5" s="1"/>
    </row>
    <row r="6" spans="1:4" x14ac:dyDescent="0.2">
      <c r="A6" s="5" t="s">
        <v>3</v>
      </c>
      <c r="B6" s="3">
        <v>6146</v>
      </c>
      <c r="C6" s="2">
        <f t="shared" si="0"/>
        <v>6146</v>
      </c>
      <c r="D6" s="1"/>
    </row>
    <row r="7" spans="1:4" x14ac:dyDescent="0.2">
      <c r="A7" s="5" t="s">
        <v>2</v>
      </c>
      <c r="B7" s="3">
        <v>0</v>
      </c>
      <c r="C7" s="2">
        <f t="shared" si="0"/>
        <v>0</v>
      </c>
      <c r="D7" s="1"/>
    </row>
    <row r="8" spans="1:4" x14ac:dyDescent="0.2">
      <c r="A8" s="5" t="s">
        <v>1</v>
      </c>
      <c r="B8" s="3">
        <f>148+43</f>
        <v>191</v>
      </c>
      <c r="C8" s="2">
        <f t="shared" si="0"/>
        <v>191</v>
      </c>
      <c r="D8" s="1"/>
    </row>
    <row r="9" spans="1:4" x14ac:dyDescent="0.2">
      <c r="A9" s="4" t="s">
        <v>0</v>
      </c>
      <c r="B9" s="3">
        <f>SUM(StateSenatorSenateDistrict7General1415161718192021[Part of Kings County Vote Results])</f>
        <v>144476</v>
      </c>
      <c r="C9" s="2">
        <f>SUM([1]!StateSenatorSenateDistrict7General1415161718192021[Total Votes by Party])</f>
        <v>144476</v>
      </c>
      <c r="D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1C20-D25D-4EF8-81E7-6F537E74D6F2}">
  <sheetPr>
    <pageSetUpPr fitToPage="1"/>
  </sheetPr>
  <dimension ref="A1:D9"/>
  <sheetViews>
    <sheetView workbookViewId="0">
      <selection activeCell="C4" sqref="C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51</v>
      </c>
    </row>
    <row r="2" spans="1:4" ht="24.95" customHeight="1" x14ac:dyDescent="0.2">
      <c r="A2" s="11" t="s">
        <v>11</v>
      </c>
      <c r="B2" s="10" t="s">
        <v>42</v>
      </c>
      <c r="C2" s="9" t="s">
        <v>9</v>
      </c>
      <c r="D2" s="8" t="s">
        <v>8</v>
      </c>
    </row>
    <row r="3" spans="1:4" x14ac:dyDescent="0.2">
      <c r="A3" s="6" t="s">
        <v>50</v>
      </c>
      <c r="B3" s="3">
        <v>99771</v>
      </c>
      <c r="C3" s="2">
        <f t="shared" ref="C3:C8" si="0">SUM(B3)</f>
        <v>99771</v>
      </c>
      <c r="D3" s="7">
        <f>SUM(C3,C5)</f>
        <v>116970</v>
      </c>
    </row>
    <row r="4" spans="1:4" x14ac:dyDescent="0.2">
      <c r="A4" s="6" t="s">
        <v>49</v>
      </c>
      <c r="B4" s="3">
        <v>26521</v>
      </c>
      <c r="C4" s="2">
        <f t="shared" si="0"/>
        <v>26521</v>
      </c>
      <c r="D4" s="7">
        <f>SUM(C4)</f>
        <v>26521</v>
      </c>
    </row>
    <row r="5" spans="1:4" x14ac:dyDescent="0.2">
      <c r="A5" s="6" t="s">
        <v>48</v>
      </c>
      <c r="B5" s="3">
        <v>17199</v>
      </c>
      <c r="C5" s="2">
        <f t="shared" si="0"/>
        <v>17199</v>
      </c>
      <c r="D5" s="1"/>
    </row>
    <row r="6" spans="1:4" x14ac:dyDescent="0.2">
      <c r="A6" s="5" t="s">
        <v>3</v>
      </c>
      <c r="B6" s="3">
        <v>23680</v>
      </c>
      <c r="C6" s="2">
        <f t="shared" si="0"/>
        <v>23680</v>
      </c>
      <c r="D6" s="1"/>
    </row>
    <row r="7" spans="1:4" x14ac:dyDescent="0.2">
      <c r="A7" s="5" t="s">
        <v>2</v>
      </c>
      <c r="B7" s="3">
        <v>0</v>
      </c>
      <c r="C7" s="2">
        <f t="shared" si="0"/>
        <v>0</v>
      </c>
      <c r="D7" s="1"/>
    </row>
    <row r="8" spans="1:4" x14ac:dyDescent="0.2">
      <c r="A8" s="5" t="s">
        <v>1</v>
      </c>
      <c r="B8" s="3">
        <v>362</v>
      </c>
      <c r="C8" s="2">
        <f t="shared" si="0"/>
        <v>362</v>
      </c>
      <c r="D8" s="1"/>
    </row>
    <row r="9" spans="1:4" x14ac:dyDescent="0.2">
      <c r="A9" s="4" t="s">
        <v>0</v>
      </c>
      <c r="B9" s="3">
        <f>SUM(StateSenatorSenateDistrict7General141516171819202122[Part of Kings County Vote Results])</f>
        <v>167533</v>
      </c>
      <c r="C9" s="2">
        <f>SUM(StateSenatorSenateDistrict7General141516171819202122[Total Votes by Party])</f>
        <v>167533</v>
      </c>
      <c r="D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1st CD</vt:lpstr>
      <vt:lpstr>2nd CD</vt:lpstr>
      <vt:lpstr>3rd CD</vt:lpstr>
      <vt:lpstr>4th CD</vt:lpstr>
      <vt:lpstr>5th CD</vt:lpstr>
      <vt:lpstr>6th CD</vt:lpstr>
      <vt:lpstr>7th CD</vt:lpstr>
      <vt:lpstr>8th CD</vt:lpstr>
      <vt:lpstr>9th CD</vt:lpstr>
      <vt:lpstr>10th CD</vt:lpstr>
      <vt:lpstr>11th CD</vt:lpstr>
      <vt:lpstr>12th CD</vt:lpstr>
      <vt:lpstr>13th CD</vt:lpstr>
      <vt:lpstr>14th CD</vt:lpstr>
      <vt:lpstr>15th CD</vt:lpstr>
      <vt:lpstr>16th CD</vt:lpstr>
      <vt:lpstr>17th CD</vt:lpstr>
      <vt:lpstr>18th CD</vt:lpstr>
      <vt:lpstr>19th CD</vt:lpstr>
      <vt:lpstr>20th CD</vt:lpstr>
      <vt:lpstr>21st CD</vt:lpstr>
      <vt:lpstr>22nd CD</vt:lpstr>
      <vt:lpstr>23rd CD</vt:lpstr>
      <vt:lpstr>24th CD</vt:lpstr>
      <vt:lpstr>25th CD</vt:lpstr>
      <vt:lpstr>26th 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Wilson</dc:creator>
  <cp:lastModifiedBy>Joyce Cornell</cp:lastModifiedBy>
  <dcterms:created xsi:type="dcterms:W3CDTF">2022-12-16T14:42:46Z</dcterms:created>
  <dcterms:modified xsi:type="dcterms:W3CDTF">2022-12-19T18:49:14Z</dcterms:modified>
</cp:coreProperties>
</file>