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87B3D4FB-B637-4E46-A398-289671F7F1E2}" xr6:coauthVersionLast="47" xr6:coauthVersionMax="47" xr10:uidLastSave="{00000000-0000-0000-0000-000000000000}"/>
  <bookViews>
    <workbookView xWindow="780" yWindow="780" windowWidth="18000" windowHeight="9360" firstSheet="2" activeTab="11" xr2:uid="{038EB2BC-1553-4CDF-9EDC-A74A01F1688E}"/>
  </bookViews>
  <sheets>
    <sheet name="1st JD" sheetId="1" r:id="rId1"/>
    <sheet name="2nd JD" sheetId="2" r:id="rId2"/>
    <sheet name="3rd JD" sheetId="3" r:id="rId3"/>
    <sheet name="4th JD" sheetId="4" r:id="rId4"/>
    <sheet name="5th JD" sheetId="5" r:id="rId5"/>
    <sheet name="7th JD" sheetId="6" r:id="rId6"/>
    <sheet name="8th JD" sheetId="7" r:id="rId7"/>
    <sheet name="9th JD" sheetId="8" r:id="rId8"/>
    <sheet name="10th JD" sheetId="9" r:id="rId9"/>
    <sheet name="11th JD" sheetId="10" r:id="rId10"/>
    <sheet name="12th JD" sheetId="11" r:id="rId11"/>
    <sheet name="13th JD" sheetId="12" r:id="rId12"/>
  </sheets>
  <definedNames>
    <definedName name="_xlnm.Print_Area" localSheetId="9">'11th JD'!$A$1:$D$14</definedName>
    <definedName name="_xlnm.Print_Area" localSheetId="10">'12th JD'!$A$1:$D$9</definedName>
    <definedName name="_xlnm.Print_Area" localSheetId="11">'13th JD'!$A$1:$D$13</definedName>
    <definedName name="_xlnm.Print_Area" localSheetId="0">'1st JD'!$A$1:$D$9</definedName>
    <definedName name="_xlnm.Print_Area" localSheetId="1">'2nd JD'!$A$1:$D$37</definedName>
    <definedName name="_xlnm.Print_Area" localSheetId="2">'3rd JD'!$A$1:$J$11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2" l="1"/>
  <c r="C4" i="12"/>
  <c r="C5" i="12"/>
  <c r="C6" i="12"/>
  <c r="C7" i="12"/>
  <c r="C8" i="12"/>
  <c r="C9" i="12"/>
  <c r="C10" i="12"/>
  <c r="C11" i="12"/>
  <c r="C12" i="12"/>
  <c r="B13" i="12"/>
  <c r="C3" i="11"/>
  <c r="D3" i="11" s="1"/>
  <c r="C4" i="11"/>
  <c r="D4" i="11" s="1"/>
  <c r="C5" i="11"/>
  <c r="D5" i="11" s="1"/>
  <c r="C6" i="11"/>
  <c r="C7" i="11"/>
  <c r="C8" i="11"/>
  <c r="B9" i="11"/>
  <c r="C3" i="10"/>
  <c r="C4" i="10"/>
  <c r="C5" i="10"/>
  <c r="C6" i="10"/>
  <c r="C7" i="10"/>
  <c r="C8" i="10"/>
  <c r="C9" i="10"/>
  <c r="D5" i="10" s="1"/>
  <c r="C10" i="10"/>
  <c r="C11" i="10"/>
  <c r="C12" i="10"/>
  <c r="C13" i="10"/>
  <c r="B14" i="10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B24" i="9"/>
  <c r="C24" i="9"/>
  <c r="G3" i="8"/>
  <c r="G4" i="8"/>
  <c r="G5" i="8"/>
  <c r="H5" i="8" s="1"/>
  <c r="G6" i="8"/>
  <c r="H6" i="8" s="1"/>
  <c r="G7" i="8"/>
  <c r="G8" i="8"/>
  <c r="G9" i="8"/>
  <c r="G10" i="8"/>
  <c r="H10" i="8" s="1"/>
  <c r="G11" i="8"/>
  <c r="H11" i="8" s="1"/>
  <c r="G12" i="8"/>
  <c r="G13" i="8"/>
  <c r="G14" i="8"/>
  <c r="H14" i="8" s="1"/>
  <c r="G15" i="8"/>
  <c r="H15" i="8" s="1"/>
  <c r="G16" i="8"/>
  <c r="H16" i="8" s="1"/>
  <c r="G17" i="8"/>
  <c r="G18" i="8"/>
  <c r="G19" i="8"/>
  <c r="G20" i="8"/>
  <c r="G21" i="8"/>
  <c r="G22" i="8"/>
  <c r="G23" i="8"/>
  <c r="G24" i="8"/>
  <c r="G25" i="8"/>
  <c r="G26" i="8"/>
  <c r="B27" i="8"/>
  <c r="C27" i="8"/>
  <c r="D27" i="8"/>
  <c r="E27" i="8"/>
  <c r="F27" i="8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B24" i="7"/>
  <c r="C24" i="7"/>
  <c r="D24" i="7"/>
  <c r="E24" i="7"/>
  <c r="F24" i="7"/>
  <c r="G24" i="7"/>
  <c r="H24" i="7"/>
  <c r="I24" i="7"/>
  <c r="J3" i="6"/>
  <c r="K3" i="6" s="1"/>
  <c r="J4" i="6"/>
  <c r="K4" i="6" s="1"/>
  <c r="J5" i="6"/>
  <c r="J6" i="6"/>
  <c r="J7" i="6"/>
  <c r="J8" i="6"/>
  <c r="J9" i="6"/>
  <c r="J10" i="6"/>
  <c r="J11" i="6"/>
  <c r="B12" i="6"/>
  <c r="C12" i="6"/>
  <c r="D12" i="6"/>
  <c r="E12" i="6"/>
  <c r="F12" i="6"/>
  <c r="G12" i="6"/>
  <c r="H12" i="6"/>
  <c r="I12" i="6"/>
  <c r="H3" i="5"/>
  <c r="I3" i="5" s="1"/>
  <c r="H4" i="5"/>
  <c r="I4" i="5" s="1"/>
  <c r="H5" i="5"/>
  <c r="I5" i="5" s="1"/>
  <c r="H6" i="5"/>
  <c r="I6" i="5" s="1"/>
  <c r="H7" i="5"/>
  <c r="H8" i="5"/>
  <c r="H9" i="5"/>
  <c r="H10" i="5"/>
  <c r="H11" i="5"/>
  <c r="I7" i="5" s="1"/>
  <c r="H12" i="5"/>
  <c r="I8" i="5" s="1"/>
  <c r="H13" i="5"/>
  <c r="I9" i="5" s="1"/>
  <c r="H14" i="5"/>
  <c r="I10" i="5" s="1"/>
  <c r="H15" i="5"/>
  <c r="H16" i="5"/>
  <c r="H17" i="5"/>
  <c r="B18" i="5"/>
  <c r="C18" i="5"/>
  <c r="D18" i="5"/>
  <c r="E18" i="5"/>
  <c r="F18" i="5"/>
  <c r="G18" i="5"/>
  <c r="M3" i="4"/>
  <c r="N3" i="4" s="1"/>
  <c r="M4" i="4"/>
  <c r="M5" i="4"/>
  <c r="M6" i="4"/>
  <c r="M7" i="4"/>
  <c r="N7" i="4" s="1"/>
  <c r="M8" i="4"/>
  <c r="N8" i="4" s="1"/>
  <c r="M9" i="4"/>
  <c r="M10" i="4"/>
  <c r="M11" i="4"/>
  <c r="M12" i="4"/>
  <c r="M13" i="4"/>
  <c r="M14" i="4"/>
  <c r="B15" i="4"/>
  <c r="C15" i="4"/>
  <c r="D15" i="4"/>
  <c r="E15" i="4"/>
  <c r="F15" i="4"/>
  <c r="G15" i="4"/>
  <c r="H15" i="4"/>
  <c r="I15" i="4"/>
  <c r="J15" i="4"/>
  <c r="K15" i="4"/>
  <c r="L15" i="4"/>
  <c r="I3" i="3"/>
  <c r="J3" i="3" s="1"/>
  <c r="I4" i="3"/>
  <c r="J4" i="3" s="1"/>
  <c r="I5" i="3"/>
  <c r="J5" i="3" s="1"/>
  <c r="I6" i="3"/>
  <c r="I7" i="3"/>
  <c r="I8" i="3"/>
  <c r="I9" i="3"/>
  <c r="I10" i="3"/>
  <c r="B11" i="3"/>
  <c r="C11" i="3"/>
  <c r="D11" i="3"/>
  <c r="E11" i="3"/>
  <c r="F11" i="3"/>
  <c r="G11" i="3"/>
  <c r="H11" i="3"/>
  <c r="C3" i="2"/>
  <c r="C4" i="2"/>
  <c r="D4" i="2" s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B37" i="2"/>
  <c r="C3" i="1"/>
  <c r="D3" i="1" s="1"/>
  <c r="C4" i="1"/>
  <c r="D4" i="1" s="1"/>
  <c r="C5" i="1"/>
  <c r="D5" i="1" s="1"/>
  <c r="C6" i="1"/>
  <c r="C7" i="1"/>
  <c r="C8" i="1"/>
  <c r="B9" i="1"/>
  <c r="D5" i="12" l="1"/>
  <c r="D4" i="12"/>
  <c r="C13" i="12"/>
  <c r="E8" i="9"/>
  <c r="E4" i="9"/>
  <c r="D3" i="12"/>
  <c r="E6" i="9"/>
  <c r="D4" i="10"/>
  <c r="E7" i="9"/>
  <c r="D6" i="10"/>
  <c r="K8" i="7"/>
  <c r="C9" i="11"/>
  <c r="K5" i="6"/>
  <c r="H8" i="8"/>
  <c r="E5" i="9"/>
  <c r="C14" i="10"/>
  <c r="K3" i="7"/>
  <c r="D3" i="10"/>
  <c r="G27" i="8"/>
  <c r="H9" i="8"/>
  <c r="H12" i="8"/>
  <c r="E3" i="9"/>
  <c r="D24" i="9"/>
  <c r="K4" i="7"/>
  <c r="H13" i="8"/>
  <c r="J24" i="7"/>
  <c r="K6" i="7"/>
  <c r="H7" i="8"/>
  <c r="H4" i="8"/>
  <c r="H3" i="8"/>
  <c r="N4" i="4"/>
  <c r="K6" i="6"/>
  <c r="K5" i="7"/>
  <c r="K7" i="7"/>
  <c r="J12" i="6"/>
  <c r="H18" i="5"/>
  <c r="N5" i="4"/>
  <c r="N6" i="4"/>
  <c r="D7" i="2"/>
  <c r="D8" i="2"/>
  <c r="J6" i="3"/>
  <c r="D10" i="2"/>
  <c r="D14" i="2"/>
  <c r="M15" i="4"/>
  <c r="D11" i="2"/>
  <c r="D3" i="2"/>
  <c r="D12" i="2"/>
  <c r="D13" i="2"/>
  <c r="D9" i="2"/>
  <c r="D6" i="2"/>
  <c r="I11" i="3"/>
  <c r="D5" i="2"/>
  <c r="C37" i="2"/>
  <c r="C9" i="1"/>
</calcChain>
</file>

<file path=xl/sharedStrings.xml><?xml version="1.0" encoding="utf-8"?>
<sst xmlns="http://schemas.openxmlformats.org/spreadsheetml/2006/main" count="289" uniqueCount="212">
  <si>
    <t>Total Votes by County</t>
  </si>
  <si>
    <t>Scattering</t>
  </si>
  <si>
    <t>Void</t>
  </si>
  <si>
    <t>Blank</t>
  </si>
  <si>
    <t>Lisa A. Sokoloff (DEM)</t>
  </si>
  <si>
    <t>Dakota D. Ramseur (DM)</t>
  </si>
  <si>
    <t>Sabrina B. Kraus (DEM)</t>
  </si>
  <si>
    <t>Total Votes by Candidate</t>
  </si>
  <si>
    <t>Total Votes by Party</t>
  </si>
  <si>
    <t>New York County Vote Results</t>
  </si>
  <si>
    <t>Candidate Name (Party)</t>
  </si>
  <si>
    <t>Supreme Court Justice District 1 - General Election - November 8, 2022
Vote for 3</t>
  </si>
  <si>
    <t>Patria Frias-Colon (CON)</t>
  </si>
  <si>
    <t>Lorna McAllister (CON)</t>
  </si>
  <si>
    <t>Anne J. Swern (CON)</t>
  </si>
  <si>
    <t>Susan Quirk (CON)</t>
  </si>
  <si>
    <t>Craig S. Walker (CON)</t>
  </si>
  <si>
    <t>Cheryl J. Gonzales (CON)</t>
  </si>
  <si>
    <t>Aaron D. Maslow (CON)</t>
  </si>
  <si>
    <t>Robin K. Sheares (CON)</t>
  </si>
  <si>
    <t>Cenceria P. Edwards (REP)</t>
  </si>
  <si>
    <t>Patria Frias-Colon (REP)</t>
  </si>
  <si>
    <t>Lorna McAllister (REP)</t>
  </si>
  <si>
    <t>Anne J. Swern (REP)</t>
  </si>
  <si>
    <t>Susan Quirk (REP)</t>
  </si>
  <si>
    <t>Craig S. Walker (REP)</t>
  </si>
  <si>
    <t>Cheryl J. Gonzales (REP)</t>
  </si>
  <si>
    <t>Dweynie Esther Paul (REP)</t>
  </si>
  <si>
    <t>Aaron D. Maslow (REP)</t>
  </si>
  <si>
    <t>Robin K. Sheares (REP)</t>
  </si>
  <si>
    <t>Ellen M. Spodek (REP)</t>
  </si>
  <si>
    <t>Cenceria P. Edwards (DEM)</t>
  </si>
  <si>
    <t>Patria Frias-Colon (DEM)</t>
  </si>
  <si>
    <t>Lorna McAllister (DEM)</t>
  </si>
  <si>
    <t>Anne J. Swern (DEM)</t>
  </si>
  <si>
    <t>Susan Quirk (DEM)</t>
  </si>
  <si>
    <t>Craig S. Walker (DEM)</t>
  </si>
  <si>
    <t>Cheryl J. Gonzales (DEM)</t>
  </si>
  <si>
    <t>Dweynie Esther Paul (DEM)</t>
  </si>
  <si>
    <t>Aaron D. Maslow (DEM)</t>
  </si>
  <si>
    <t>Robin K. Sheares (DEM)</t>
  </si>
  <si>
    <t>Richard Velasquez (DEM)</t>
  </si>
  <si>
    <t>Ellen M. Spodek (DEM)</t>
  </si>
  <si>
    <t>Kings County Vote Results</t>
  </si>
  <si>
    <t>Supreme Court Justice District 2 - General Election - November 8, 2022
Vote for 12</t>
  </si>
  <si>
    <t>Thomas J. Marcelle (CON)</t>
  </si>
  <si>
    <t>Thomas J. Marcelle (REP)</t>
  </si>
  <si>
    <t>Meagan K. Galligan (DEM)</t>
  </si>
  <si>
    <t>Sharon A. Graff (DEM)</t>
  </si>
  <si>
    <t>Heidi Thais Cochrane (DEM)</t>
  </si>
  <si>
    <t>Ulster County Vote Results</t>
  </si>
  <si>
    <t>Sullivan County Vote Results</t>
  </si>
  <si>
    <t>Schoharie County Vote Results</t>
  </si>
  <si>
    <t>Rensselaer County Vote Results</t>
  </si>
  <si>
    <t>Greene County Vote Results</t>
  </si>
  <si>
    <t>Columbia County Vote Results</t>
  </si>
  <si>
    <t>Albany County Vote Results</t>
  </si>
  <si>
    <t>Supreme Court Justice District 3 - General Election - November 8, 2022
Vote for 3</t>
  </si>
  <si>
    <t>Vincent W. Versaci (CON)</t>
  </si>
  <si>
    <t>Robert J. Muller (CON)</t>
  </si>
  <si>
    <t>Allison M. McGahay (CON)</t>
  </si>
  <si>
    <t>Chris Obstarczyk (REP)</t>
  </si>
  <si>
    <t>Richard A. Kupferman (REP)</t>
  </si>
  <si>
    <t>Allison M. McGahay (REP)</t>
  </si>
  <si>
    <t>Vincent W. Versaci (DEM)</t>
  </si>
  <si>
    <t>Robert J. Muller (DEM)</t>
  </si>
  <si>
    <t>Teneka Frost (DEM)</t>
  </si>
  <si>
    <t>Washington County Vote Results</t>
  </si>
  <si>
    <t>Warren County Vote Results</t>
  </si>
  <si>
    <t>Schenectady County Vote Results</t>
  </si>
  <si>
    <t>Saratoga County Vote Results</t>
  </si>
  <si>
    <t>St. Lawrence County Vote Results</t>
  </si>
  <si>
    <t>Montgomery County Vote Results</t>
  </si>
  <si>
    <t>Hamilton County Vote Results</t>
  </si>
  <si>
    <t>Fulton County Vote Results</t>
  </si>
  <si>
    <t>Franklin County Vote Results</t>
  </si>
  <si>
    <t>Essex County Vote Results</t>
  </si>
  <si>
    <t>Clinton County Vote Results</t>
  </si>
  <si>
    <t>Supreme Court Justice District 4 - General Election - November 8, 2022
Vote for 3</t>
  </si>
  <si>
    <t>William F. Ramseier (CON)</t>
  </si>
  <si>
    <t>Mark Rose (CON)</t>
  </si>
  <si>
    <t>Julie Grow Denton (CON)</t>
  </si>
  <si>
    <t>Kevin P. Kuehner (CON)</t>
  </si>
  <si>
    <t>William F. Ramseier (REP)</t>
  </si>
  <si>
    <t>Mark Rose (REP)</t>
  </si>
  <si>
    <t>Julie Grow Denton (REP)</t>
  </si>
  <si>
    <t>Kevin P. Kuehner (REP)</t>
  </si>
  <si>
    <t>John W. Dillon (DEM)</t>
  </si>
  <si>
    <t>Charles A. Keller (DEM)</t>
  </si>
  <si>
    <t>Christina Cagnina (DEM)</t>
  </si>
  <si>
    <t>David Murad (DEM)</t>
  </si>
  <si>
    <t>Oswego County Vote Results</t>
  </si>
  <si>
    <t>Onondaga County Vote Results</t>
  </si>
  <si>
    <t>Oneida County Vote Results</t>
  </si>
  <si>
    <t>Lewis County Vote Results</t>
  </si>
  <si>
    <t>Jefferson County Vote Results</t>
  </si>
  <si>
    <t>Herkimer County Vote Results</t>
  </si>
  <si>
    <t>Supreme Court Justice District 5 - General Election - November 8, 2022
Vote for 4</t>
  </si>
  <si>
    <t>Jason L. Cook (CON)</t>
  </si>
  <si>
    <t>James A. Vazzana (CON)</t>
  </si>
  <si>
    <t>Jason L. Cook (REP)</t>
  </si>
  <si>
    <t>James A. Vazzana (REP)</t>
  </si>
  <si>
    <t>Maroun Ajaka (DEM)</t>
  </si>
  <si>
    <t>Roman Misula (DEM)</t>
  </si>
  <si>
    <t>Yates County Vote Results</t>
  </si>
  <si>
    <t>Wayne County Vote Results</t>
  </si>
  <si>
    <t>Steuben County Vote Results</t>
  </si>
  <si>
    <t>Seneca County Vote Results</t>
  </si>
  <si>
    <t>Ontario County Vote Results</t>
  </si>
  <si>
    <t>Monroe County Vote Results</t>
  </si>
  <si>
    <t>Livingston County Vote Results</t>
  </si>
  <si>
    <t>Cayuga County Vote Results</t>
  </si>
  <si>
    <t>Supreme Court Justice District 7 - General Election - November 8, 2022
Vote for 2</t>
  </si>
  <si>
    <t>Craig Hannah (WOR)</t>
  </si>
  <si>
    <t>Tracey A. Bannister (WOR)</t>
  </si>
  <si>
    <t>Shannon Heneghan (WOR)</t>
  </si>
  <si>
    <t>Gerald J. Greenan, III (CON)</t>
  </si>
  <si>
    <t>Kelly A. Vacco (CON)</t>
  </si>
  <si>
    <t>Craig Hannah (CON)</t>
  </si>
  <si>
    <t>Tracey A. Bannister (CON)</t>
  </si>
  <si>
    <t>Joseph C. Lorigo (CON)</t>
  </si>
  <si>
    <t>Gerald J. Greenan, III (REP)</t>
  </si>
  <si>
    <t>Kelly A. Vacco (REP)</t>
  </si>
  <si>
    <t>Craig Hannah (REP)</t>
  </si>
  <si>
    <t>Tracey A. Bannister (REP)</t>
  </si>
  <si>
    <t>Joseph C. Lorigo (REP)</t>
  </si>
  <si>
    <t>Gerald J. Greenan, III (DEM)</t>
  </si>
  <si>
    <t>Kelly A. Vacco (DEM)</t>
  </si>
  <si>
    <t>Craig Hannah (DEM)</t>
  </si>
  <si>
    <t>Tracey A. Bannister (DEM)</t>
  </si>
  <si>
    <t>Shannon Heneghan (DEM)</t>
  </si>
  <si>
    <t>Wyoming County Vote Results</t>
  </si>
  <si>
    <t>Orleans County Vote Results</t>
  </si>
  <si>
    <t>Niagara County Vote Results</t>
  </si>
  <si>
    <t>Genesee County Vote Results</t>
  </si>
  <si>
    <t>Erie County Vote Results</t>
  </si>
  <si>
    <t>Chautauqua County Vote Results</t>
  </si>
  <si>
    <t>Cattaraugus County Vote Results</t>
  </si>
  <si>
    <t>Allegany County Vote Results</t>
  </si>
  <si>
    <t>Supreme Court Justice District 8 - General Election - November 8, 2022
Vote for 5</t>
  </si>
  <si>
    <t>David S. Zuckerman (CON)</t>
  </si>
  <si>
    <t>Sherri Eisenpress (CON)</t>
  </si>
  <si>
    <t>Elena M. Goldberg-Velazquez (CON)</t>
  </si>
  <si>
    <t>John Ciampoli (CON)</t>
  </si>
  <si>
    <t>John A. Sarcone, III (CON)</t>
  </si>
  <si>
    <t>David J. Squirrell  (CON)</t>
  </si>
  <si>
    <t>Anne E. Minihan (CON)</t>
  </si>
  <si>
    <t>Michael J. Grace (REP)</t>
  </si>
  <si>
    <t>Joseph I. Farca (REP)</t>
  </si>
  <si>
    <t>Robert S. Cypher, Jr. (REP)</t>
  </si>
  <si>
    <t>John Ciampoli (REP)</t>
  </si>
  <si>
    <t>John A. Sarcone, III (REP)</t>
  </si>
  <si>
    <t>Richard J. Guertin (REP)</t>
  </si>
  <si>
    <t>Linda M. Murray (REP)</t>
  </si>
  <si>
    <t>David S. Zuckerman (DEM)</t>
  </si>
  <si>
    <t>Sherri Eisenpress (DEM)</t>
  </si>
  <si>
    <t>Elena M. Goldberg-Velazquez (DEM)</t>
  </si>
  <si>
    <t>Keri A. Fiore (DEM)</t>
  </si>
  <si>
    <t>Amy S. Puerto (DEM)</t>
  </si>
  <si>
    <t>David J. Squirrell (DEM)</t>
  </si>
  <si>
    <t>Anne E. Minihan (DEM)</t>
  </si>
  <si>
    <t>Westchester Vote Results</t>
  </si>
  <si>
    <t>Rockland County Vote Results</t>
  </si>
  <si>
    <t>Putnam County Vote Results</t>
  </si>
  <si>
    <t>Orange County Vote Results</t>
  </si>
  <si>
    <t>Dutchess County Vote Results</t>
  </si>
  <si>
    <t>Supreme Court Justice District 9 - General Election - November 8, 2022
Vote for 7</t>
  </si>
  <si>
    <t>Fran Ricigliano (CON)</t>
  </si>
  <si>
    <t>Frank A. Tinari (CON)</t>
  </si>
  <si>
    <t>Lisa A. Cairo (CON)</t>
  </si>
  <si>
    <t>Steve Hackeling (CON)</t>
  </si>
  <si>
    <t>Stacy D. Bennett (CON)</t>
  </si>
  <si>
    <t>Hector D. La Salle (CON)</t>
  </si>
  <si>
    <t>Fran Ricigliano (REP)</t>
  </si>
  <si>
    <t>Frank A. Tinari (REP)</t>
  </si>
  <si>
    <t>Lisa A. Cairo (REP)</t>
  </si>
  <si>
    <t>Steve Hackeling (REP)</t>
  </si>
  <si>
    <t>Stacy D. Bennett (REP)</t>
  </si>
  <si>
    <t>Hector D. La Salle (REP)</t>
  </si>
  <si>
    <t>Fran Ricigliano (DEM)</t>
  </si>
  <si>
    <t>Frank A. Tinari (DEM)</t>
  </si>
  <si>
    <t>Lisa A. Cairo (DEM)</t>
  </si>
  <si>
    <t>Steve Hackeling (DEM)</t>
  </si>
  <si>
    <t>Stacy D. Bennett (DEM)</t>
  </si>
  <si>
    <t>Hector D. La Salle (DEM)</t>
  </si>
  <si>
    <t>Suffolk County Vote Results</t>
  </si>
  <si>
    <t>Nassau County Vote Results</t>
  </si>
  <si>
    <t>Supreme Court Justice District 10 - General Election - November 8, 2022
Vote for 6</t>
  </si>
  <si>
    <t>Nestor H. Diaz (REP)</t>
  </si>
  <si>
    <t>Lee A. Mayersohn (REP)</t>
  </si>
  <si>
    <t>Leigh K. Cheng (REP)</t>
  </si>
  <si>
    <t>Denise N. Johnson (REP)</t>
  </si>
  <si>
    <t>Nestor H. Diaz (DEM)</t>
  </si>
  <si>
    <t>Lee A. Mayersohn (DEM)</t>
  </si>
  <si>
    <t>Leigh K. Cheng (DEM)</t>
  </si>
  <si>
    <t>Denise N. Johnson (DEM)</t>
  </si>
  <si>
    <t>Queens County Vote Results</t>
  </si>
  <si>
    <t>Supreme Court Justice District 11 - General Election - November 8, 2022
Vote for 4</t>
  </si>
  <si>
    <t>Connie Morales (DEM)</t>
  </si>
  <si>
    <t>Fidel Gomez (DEM)</t>
  </si>
  <si>
    <t>Myrna Socorro (DEM</t>
  </si>
  <si>
    <t>Bronx County Vote Results</t>
  </si>
  <si>
    <t>Supreme Court Justice District 12 - General Election - November 8, 2022
Vote for 3</t>
  </si>
  <si>
    <t>Brendan T. Lantry (CON)</t>
  </si>
  <si>
    <t>Ann Thompson (REP)</t>
  </si>
  <si>
    <t>Brendan T. Lantry (REP)</t>
  </si>
  <si>
    <t>Judith N. McMahon (REP)</t>
  </si>
  <si>
    <t>Ann Thompson (DEM)</t>
  </si>
  <si>
    <t>Brendan T. Lantry (DEM)</t>
  </si>
  <si>
    <t>Judith N. McMahon (DEM)</t>
  </si>
  <si>
    <t>Richmond County Vote Results</t>
  </si>
  <si>
    <t>Supreme Court Justice District 13 - General Election - November 8, 2022
Vote for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</si>
</sst>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3" fontId="1" fillId="2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3" fontId="1" fillId="3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0" fontId="2" fillId="5" borderId="2" xfId="0" applyFont="1" applyFill="1" applyBorder="1"/>
    <xf numFmtId="3" fontId="1" fillId="6" borderId="1" xfId="0" applyNumberFormat="1" applyFont="1" applyFill="1" applyBorder="1" applyAlignment="1">
      <alignment horizontal="right"/>
    </xf>
    <xf numFmtId="3" fontId="1" fillId="4" borderId="3" xfId="0" applyNumberFormat="1" applyFont="1" applyFill="1" applyBorder="1" applyAlignment="1">
      <alignment horizontal="right"/>
    </xf>
    <xf numFmtId="0" fontId="2" fillId="5" borderId="4" xfId="0" applyFont="1" applyFill="1" applyBorder="1"/>
    <xf numFmtId="0" fontId="2" fillId="7" borderId="5" xfId="0" applyFont="1" applyFill="1" applyBorder="1" applyAlignment="1">
      <alignment horizontal="right" vertical="center"/>
    </xf>
    <xf numFmtId="0" fontId="2" fillId="8" borderId="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 wrapText="1"/>
    </xf>
    <xf numFmtId="0" fontId="2" fillId="8" borderId="6" xfId="0" applyFont="1" applyFill="1" applyBorder="1" applyAlignment="1">
      <alignment vertical="center"/>
    </xf>
    <xf numFmtId="3" fontId="1" fillId="2" borderId="1" xfId="0" applyNumberFormat="1" applyFont="1" applyFill="1" applyBorder="1"/>
    <xf numFmtId="3" fontId="1" fillId="3" borderId="1" xfId="0" applyNumberFormat="1" applyFont="1" applyFill="1" applyBorder="1"/>
    <xf numFmtId="3" fontId="1" fillId="4" borderId="1" xfId="0" applyNumberFormat="1" applyFont="1" applyFill="1" applyBorder="1"/>
    <xf numFmtId="3" fontId="1" fillId="4" borderId="3" xfId="0" applyNumberFormat="1" applyFont="1" applyFill="1" applyBorder="1"/>
    <xf numFmtId="3" fontId="1" fillId="4" borderId="7" xfId="0" applyNumberFormat="1" applyFont="1" applyFill="1" applyBorder="1" applyAlignment="1">
      <alignment horizontal="right" vertical="center" wrapText="1"/>
    </xf>
    <xf numFmtId="3" fontId="1" fillId="4" borderId="5" xfId="0" applyNumberFormat="1" applyFont="1" applyFill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3" fontId="1" fillId="6" borderId="1" xfId="0" applyNumberFormat="1" applyFont="1" applyFill="1" applyBorder="1"/>
    <xf numFmtId="3" fontId="1" fillId="4" borderId="1" xfId="0" applyNumberFormat="1" applyFont="1" applyFill="1" applyBorder="1" applyAlignment="1">
      <alignment horizontal="right" wrapText="1"/>
    </xf>
    <xf numFmtId="3" fontId="1" fillId="4" borderId="7" xfId="0" applyNumberFormat="1" applyFont="1" applyFill="1" applyBorder="1" applyAlignment="1">
      <alignment horizontal="right" wrapText="1"/>
    </xf>
    <xf numFmtId="3" fontId="1" fillId="4" borderId="5" xfId="0" applyNumberFormat="1" applyFont="1" applyFill="1" applyBorder="1" applyAlignment="1">
      <alignment horizontal="right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 wrapText="1"/>
    </xf>
    <xf numFmtId="3" fontId="1" fillId="0" borderId="7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 wrapText="1"/>
    </xf>
    <xf numFmtId="3" fontId="2" fillId="2" borderId="1" xfId="0" applyNumberFormat="1" applyFont="1" applyFill="1" applyBorder="1"/>
    <xf numFmtId="0" fontId="2" fillId="9" borderId="4" xfId="0" applyFont="1" applyFill="1" applyBorder="1"/>
    <xf numFmtId="0" fontId="2" fillId="9" borderId="2" xfId="0" applyFont="1" applyFill="1" applyBorder="1"/>
    <xf numFmtId="0" fontId="2" fillId="9" borderId="1" xfId="0" applyFont="1" applyFill="1" applyBorder="1"/>
    <xf numFmtId="0" fontId="2" fillId="9" borderId="4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2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30DF2A-9409-49F3-B5C8-8968DAD0A0FB}" name="StateSenatorSenateDistrict1General253" displayName="StateSenatorSenateDistrict1General253" ref="A2:D9" totalsRowCount="1" headerRowDxfId="231" dataDxfId="229" totalsRowDxfId="227" headerRowBorderDxfId="230" tableBorderDxfId="228" totalsRowBorderDxfId="226">
  <autoFilter ref="A2:D8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D9B7E033-68CD-40CE-AE4B-1D4F85B5510B}" name="Candidate Name (Party)" totalsRowLabel="Total Votes by County" dataDxfId="225" totalsRowDxfId="224"/>
    <tableColumn id="4" xr3:uid="{2AFED35F-06D3-4D11-81E0-52A7A6931BED}" name="New York County Vote Results" totalsRowFunction="custom" dataDxfId="223" totalsRowDxfId="222">
      <totalsRowFormula>SUM(StateSenatorSenateDistrict1General253[New York County Vote Results])</totalsRowFormula>
    </tableColumn>
    <tableColumn id="3" xr3:uid="{7ECB01D4-5A24-480B-8725-AAAC93239F4E}" name="Total Votes by Party" totalsRowFunction="custom" dataDxfId="221" totalsRowDxfId="220">
      <calculatedColumnFormula>SUM(StateSenatorSenateDistrict1General253[[#This Row],[New York County Vote Results]])</calculatedColumnFormula>
      <totalsRowFormula>SUM(StateSenatorSenateDistrict1General253[Total Votes by Party])</totalsRowFormula>
    </tableColumn>
    <tableColumn id="2" xr3:uid="{2D31C47C-C8B6-40E2-BB45-F9DB73D6F39A}" name="Total Votes by Candidate" dataDxfId="219" totalsRowDxfId="218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BD44EC2-CC05-4BD6-8A35-EC69473CED7A}" name="StateSenatorSenateDistrict1General253254255" displayName="StateSenatorSenateDistrict1General253254255" ref="A2:D14" totalsRowCount="1" headerRowDxfId="41" dataDxfId="39" totalsRowDxfId="37" headerRowBorderDxfId="40" tableBorderDxfId="38" totalsRowBorderDxfId="36">
  <autoFilter ref="A2:D13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5E49A015-398D-415E-899D-7844CA686D97}" name="Candidate Name (Party)" totalsRowLabel="Total Votes by County" dataDxfId="35" totalsRowDxfId="34"/>
    <tableColumn id="4" xr3:uid="{8A0A0713-7516-40CF-88AA-D2CD9AF35B43}" name="Queens County Vote Results" totalsRowFunction="custom" dataDxfId="33" totalsRowDxfId="32">
      <totalsRowFormula>SUM(StateSenatorSenateDistrict1General253254255[Queens County Vote Results])</totalsRowFormula>
    </tableColumn>
    <tableColumn id="3" xr3:uid="{334644A4-AEDD-4340-BD1D-E923396F6593}" name="Total Votes by Party" totalsRowFunction="custom" dataDxfId="31" totalsRowDxfId="30">
      <calculatedColumnFormula>SUM(StateSenatorSenateDistrict1General253254255[[#This Row],[Queens County Vote Results]])</calculatedColumnFormula>
      <totalsRowFormula>SUM(StateSenatorSenateDistrict1General253254255[Total Votes by Party])</totalsRowFormula>
    </tableColumn>
    <tableColumn id="2" xr3:uid="{048B39F9-C1A9-4850-8DED-C537B651561D}" name="Total Votes by Candidate" dataDxfId="29" totalsRowDxfId="28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D9835D5-BD05-4483-8EA9-DC78D174D427}" name="StateSenatorSenateDistrict1General253254255256" displayName="StateSenatorSenateDistrict1General253254255256" ref="A2:D9" totalsRowCount="1" headerRowDxfId="27" dataDxfId="25" totalsRowDxfId="23" headerRowBorderDxfId="26" tableBorderDxfId="24" totalsRowBorderDxfId="22">
  <autoFilter ref="A2:D8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ED4F9A49-9A50-407B-9CE0-30210BAB044E}" name="Candidate Name (Party)" totalsRowLabel="Total Votes by County" dataDxfId="21" totalsRowDxfId="20"/>
    <tableColumn id="4" xr3:uid="{CD447FB3-15FA-4311-B112-52DAB7E26BD0}" name="Bronx County Vote Results" totalsRowFunction="custom" dataDxfId="19" totalsRowDxfId="18">
      <totalsRowFormula>SUM(StateSenatorSenateDistrict1General253254255256[Bronx County Vote Results])</totalsRowFormula>
    </tableColumn>
    <tableColumn id="3" xr3:uid="{4E00F32D-1030-458B-BDDA-01636685A52B}" name="Total Votes by Party" totalsRowFunction="custom" dataDxfId="17" totalsRowDxfId="16">
      <calculatedColumnFormula>SUM(StateSenatorSenateDistrict1General253254255256[[#This Row],[Bronx County Vote Results]])</calculatedColumnFormula>
      <totalsRowFormula>SUM(StateSenatorSenateDistrict1General253254255256[Total Votes by Party])</totalsRowFormula>
    </tableColumn>
    <tableColumn id="2" xr3:uid="{4EC3CC5E-2704-4A13-BC3D-BB9B90916E9E}" name="Total Votes by Candidate" dataDxfId="15" totalsRowDxfId="14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7A40290-2966-4DEE-BE3D-4702538479B9}" name="StateSenatorSenateDistrict1General253254255256257" displayName="StateSenatorSenateDistrict1General253254255256257" ref="A2:D13" totalsRowCount="1" headerRowDxfId="13" dataDxfId="11" totalsRowDxfId="9" headerRowBorderDxfId="12" tableBorderDxfId="10" totalsRowBorderDxfId="8">
  <autoFilter ref="A2:D12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5B9EBB32-278B-4032-AA99-C9C42990FE76}" name="Candidate Name (Party)" totalsRowLabel="Total Votes by County" dataDxfId="7" totalsRowDxfId="6"/>
    <tableColumn id="4" xr3:uid="{395614E3-5358-43E3-A47D-CC324AC5FB15}" name="Richmond County Vote Results" totalsRowFunction="custom" dataDxfId="5" totalsRowDxfId="4">
      <totalsRowFormula>SUM(StateSenatorSenateDistrict1General253254255256257[Richmond County Vote Results])</totalsRowFormula>
    </tableColumn>
    <tableColumn id="3" xr3:uid="{9661C7E1-4D08-4EEA-9EEC-093DC50CB676}" name="Total Votes by Party" totalsRowFunction="custom" dataDxfId="3" totalsRowDxfId="2">
      <calculatedColumnFormula>SUM(StateSenatorSenateDistrict1General253254255256257[[#This Row],[Richmond County Vote Results]])</calculatedColumnFormula>
      <totalsRowFormula>SUM(StateSenatorSenateDistrict1General253254255256257[Total Votes by Party])</totalsRowFormula>
    </tableColumn>
    <tableColumn id="2" xr3:uid="{29172CA8-5A11-48CE-94DC-16F5A8A9E589}" name="Total Votes by Candidate" dataDxfId="1" totalsRowDxfId="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19E087-E4EF-4B7C-A47D-75CA7B6DDD28}" name="StateSenatorSenateDistrict1General253254" displayName="StateSenatorSenateDistrict1General253254" ref="A2:D37" totalsRowCount="1" headerRowDxfId="217" dataDxfId="215" totalsRowDxfId="213" headerRowBorderDxfId="216" tableBorderDxfId="214" totalsRowBorderDxfId="212">
  <autoFilter ref="A2:D36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E4710240-D4D3-4569-9293-FDC2400248BF}" name="Candidate Name (Party)" totalsRowLabel="Total Votes by County" dataDxfId="211" totalsRowDxfId="210"/>
    <tableColumn id="4" xr3:uid="{797DD0F0-CCC4-4990-9030-56DCFC7DDB0B}" name="Kings County Vote Results" totalsRowFunction="custom" dataDxfId="209" totalsRowDxfId="208">
      <totalsRowFormula>SUM(StateSenatorSenateDistrict1General253254[Kings County Vote Results])</totalsRowFormula>
    </tableColumn>
    <tableColumn id="3" xr3:uid="{1BDA1BEB-FEE1-4785-AE4F-32A85701FECC}" name="Total Votes by Party" totalsRowFunction="custom" dataDxfId="207" totalsRowDxfId="206">
      <calculatedColumnFormula>SUM(StateSenatorSenateDistrict1General253254[[#This Row],[Kings County Vote Results]])</calculatedColumnFormula>
      <totalsRowFormula>SUM(StateSenatorSenateDistrict1General253254[Total Votes by Party])</totalsRowFormula>
    </tableColumn>
    <tableColumn id="2" xr3:uid="{176D2F6B-DAB0-4BD1-9E94-1F2BF428CA2F}" name="Total Votes by Candidate" dataDxfId="205" totalsRowDxfId="204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208FAC-DD56-4E9A-8D00-A9DF96EE03C9}" name="StateSenatorSenateDistrict1General" displayName="StateSenatorSenateDistrict1General" ref="A2:J11" totalsRowCount="1" headerRowDxfId="203" dataDxfId="201" totalsRowDxfId="199" headerRowBorderDxfId="202" tableBorderDxfId="200" totalsRowBorderDxfId="198">
  <autoFilter ref="A2:J10" xr:uid="{46E63F8E-8A2F-421C-B164-9C94A0596A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DC13088-07B1-4484-9837-16A749E7ADCD}" name="Candidate Name (Party)" totalsRowLabel="Total Votes by County" dataDxfId="197" totalsRowDxfId="196"/>
    <tableColumn id="4" xr3:uid="{28D1396B-6422-478E-B714-2E6021CA56AB}" name="Albany County Vote Results" totalsRowFunction="custom" dataDxfId="195" totalsRowDxfId="194">
      <totalsRowFormula>SUM(StateSenatorSenateDistrict1General[Albany County Vote Results])</totalsRowFormula>
    </tableColumn>
    <tableColumn id="10" xr3:uid="{EAA00762-0BA1-470C-B973-AAD5A983AC23}" name="Columbia County Vote Results" totalsRowFunction="custom" dataDxfId="193" totalsRowDxfId="192">
      <totalsRowFormula>SUM(StateSenatorSenateDistrict1General[Columbia County Vote Results])</totalsRowFormula>
    </tableColumn>
    <tableColumn id="9" xr3:uid="{BC042534-EAAC-403D-9988-4C0BC408A1EB}" name="Greene County Vote Results" totalsRowFunction="custom" dataDxfId="191" totalsRowDxfId="190">
      <totalsRowFormula>SUM(StateSenatorSenateDistrict1General[Greene County Vote Results])</totalsRowFormula>
    </tableColumn>
    <tableColumn id="8" xr3:uid="{204F293E-5159-4090-9907-1FD265BD1491}" name="Rensselaer County Vote Results" totalsRowFunction="custom" dataDxfId="189" totalsRowDxfId="188">
      <totalsRowFormula>SUM(StateSenatorSenateDistrict1General[Rensselaer County Vote Results])</totalsRowFormula>
    </tableColumn>
    <tableColumn id="7" xr3:uid="{269C15A2-F2E1-4FCF-A2D9-9E7699951B4D}" name="Schoharie County Vote Results" totalsRowFunction="custom" dataDxfId="187" totalsRowDxfId="186">
      <totalsRowFormula>SUM(StateSenatorSenateDistrict1General[Schoharie County Vote Results])</totalsRowFormula>
    </tableColumn>
    <tableColumn id="6" xr3:uid="{4124E6B5-F621-46A4-9A71-648236A233A6}" name="Sullivan County Vote Results" totalsRowFunction="custom" dataDxfId="185" totalsRowDxfId="184">
      <totalsRowFormula>SUM(StateSenatorSenateDistrict1General[Sullivan County Vote Results])</totalsRowFormula>
    </tableColumn>
    <tableColumn id="5" xr3:uid="{4040F29D-F5B6-4ACD-8FB0-C44150AE1BC8}" name="Ulster County Vote Results" totalsRowFunction="custom" dataDxfId="183" totalsRowDxfId="182">
      <totalsRowFormula>SUM(StateSenatorSenateDistrict1General[Ulster County Vote Results])</totalsRowFormula>
    </tableColumn>
    <tableColumn id="3" xr3:uid="{DAC1F272-2DBE-4477-8EDF-312147E6ABDD}" name="Total Votes by Party" totalsRowFunction="custom" dataDxfId="181" totalsRowDxfId="180">
      <calculatedColumnFormula>SUM(StateSenatorSenateDistrict1General[[#This Row],[Albany County Vote Results]:[Ulster County Vote Results]])</calculatedColumnFormula>
      <totalsRowFormula>SUM(StateSenatorSenateDistrict1General[Total Votes by Party])</totalsRowFormula>
    </tableColumn>
    <tableColumn id="2" xr3:uid="{5BE9899B-A094-45B7-A70A-384ECC8109FC}" name="Total Votes by Candidate" dataDxfId="179" totalsRowDxfId="178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A437F1-B952-4362-BFE9-D1CDA2204626}" name="StateSenatorSenateDistrict2General" displayName="StateSenatorSenateDistrict2General" ref="A2:N15" totalsRowCount="1" headerRowDxfId="177" dataDxfId="175" totalsRowDxfId="173" headerRowBorderDxfId="176" tableBorderDxfId="174" totalsRowBorderDxfId="172">
  <autoFilter ref="A2:N14" xr:uid="{08EE2516-64DC-4852-8812-2027C5D0EC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419B2F2-642B-4785-8C7C-58C70147674B}" name="Candidate Name (Party)" totalsRowLabel="Total Votes by County" dataDxfId="171" totalsRowDxfId="170"/>
    <tableColumn id="4" xr3:uid="{E8E7A0BD-A13B-4C62-870E-24C42A83C155}" name="Clinton County Vote Results" totalsRowFunction="custom" dataDxfId="169" totalsRowDxfId="168">
      <totalsRowFormula>SUM(StateSenatorSenateDistrict2General[Clinton County Vote Results])</totalsRowFormula>
    </tableColumn>
    <tableColumn id="15" xr3:uid="{F4552CB4-0FD6-4FAA-9EAF-05334394E99F}" name="Essex County Vote Results" totalsRowFunction="custom" dataDxfId="167" totalsRowDxfId="166">
      <totalsRowFormula>SUM(StateSenatorSenateDistrict2General[Essex County Vote Results])</totalsRowFormula>
    </tableColumn>
    <tableColumn id="14" xr3:uid="{9E0DD892-1436-4516-9435-540B3ABABC65}" name="Franklin County Vote Results" totalsRowFunction="custom" dataDxfId="165" totalsRowDxfId="164">
      <totalsRowFormula>SUM(StateSenatorSenateDistrict2General[Franklin County Vote Results])</totalsRowFormula>
    </tableColumn>
    <tableColumn id="13" xr3:uid="{0BAA17B4-6EA6-47E5-B862-173FDD1F15BD}" name="Fulton County Vote Results" totalsRowFunction="custom" dataDxfId="163" totalsRowDxfId="162">
      <totalsRowFormula>SUM(StateSenatorSenateDistrict2General[Fulton County Vote Results])</totalsRowFormula>
    </tableColumn>
    <tableColumn id="12" xr3:uid="{CBF5517C-5161-48FE-9027-5C32F42B209C}" name="Hamilton County Vote Results" totalsRowFunction="custom" dataDxfId="161" totalsRowDxfId="160">
      <totalsRowFormula>SUM(StateSenatorSenateDistrict2General[Hamilton County Vote Results])</totalsRowFormula>
    </tableColumn>
    <tableColumn id="11" xr3:uid="{F878C7F0-4D46-45CB-AADB-BED1F995E498}" name="Montgomery County Vote Results" totalsRowFunction="custom" dataDxfId="159" totalsRowDxfId="158">
      <totalsRowFormula>SUM(StateSenatorSenateDistrict2General[Montgomery County Vote Results])</totalsRowFormula>
    </tableColumn>
    <tableColumn id="10" xr3:uid="{AE2FF206-5699-41E5-9F37-1192A1DF1E0A}" name="St. Lawrence County Vote Results" totalsRowFunction="custom" dataDxfId="157" totalsRowDxfId="156">
      <totalsRowFormula>SUM(StateSenatorSenateDistrict2General[St. Lawrence County Vote Results])</totalsRowFormula>
    </tableColumn>
    <tableColumn id="9" xr3:uid="{32B74427-B2AE-454F-BD75-BCFC17E5A2DD}" name="Saratoga County Vote Results" totalsRowFunction="custom" dataDxfId="155" totalsRowDxfId="154">
      <totalsRowFormula>SUM(StateSenatorSenateDistrict2General[Saratoga County Vote Results])</totalsRowFormula>
    </tableColumn>
    <tableColumn id="8" xr3:uid="{3A5A51BF-9E65-4103-B8FE-7AA7624C1DFC}" name="Schenectady County Vote Results" totalsRowFunction="custom" dataDxfId="153" totalsRowDxfId="152">
      <totalsRowFormula>SUM(StateSenatorSenateDistrict2General[Schenectady County Vote Results])</totalsRowFormula>
    </tableColumn>
    <tableColumn id="7" xr3:uid="{8915649F-461B-454D-A232-BA4E1E9122DB}" name="Warren County Vote Results" totalsRowFunction="custom" dataDxfId="151" totalsRowDxfId="150">
      <totalsRowFormula>SUM(StateSenatorSenateDistrict2General[Warren County Vote Results])</totalsRowFormula>
    </tableColumn>
    <tableColumn id="6" xr3:uid="{0AD13A5C-4777-448F-9AAB-ADDF939A156F}" name="Washington County Vote Results" totalsRowFunction="custom" dataDxfId="149" totalsRowDxfId="148">
      <totalsRowFormula>SUM(StateSenatorSenateDistrict2General[Washington County Vote Results])</totalsRowFormula>
    </tableColumn>
    <tableColumn id="3" xr3:uid="{1F0A925F-66A0-46B6-B871-EC81EE22306B}" name="Total Votes by Party" totalsRowFunction="custom" dataDxfId="147" totalsRowDxfId="146">
      <calculatedColumnFormula>SUM(B3,C3,D3,E3,F3,G3,H3,I3,J3,K3,L3)</calculatedColumnFormula>
      <totalsRowFormula>SUM(StateSenatorSenateDistrict2General[Total Votes by Party])</totalsRowFormula>
    </tableColumn>
    <tableColumn id="2" xr3:uid="{28EA66D1-8D77-4463-96F8-382C8B4D6386}" name="Total Votes by Candidate" dataDxfId="145" totalsRowDxfId="144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0051BE-CD89-4C53-A17A-D0C64E1D3428}" name="StateSenatorSenateDistrict3General" displayName="StateSenatorSenateDistrict3General" ref="A2:I18" totalsRowCount="1" headerRowDxfId="143" dataDxfId="141" totalsRowDxfId="139" headerRowBorderDxfId="142" tableBorderDxfId="140" totalsRowBorderDxfId="138">
  <autoFilter ref="A2:I17" xr:uid="{E849A2E2-D466-4FEE-AC0E-07449222D7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7C31D8F-8820-429B-AFDC-6A1A12EC577F}" name="Candidate Name (Party)" totalsRowLabel="Total Votes by County" dataDxfId="137" totalsRowDxfId="136"/>
    <tableColumn id="4" xr3:uid="{C671D879-E29C-46B0-BBDC-CF0791FF18FC}" name="Herkimer County Vote Results" totalsRowFunction="custom" dataDxfId="135" totalsRowDxfId="134">
      <totalsRowFormula>SUM(StateSenatorSenateDistrict3General[Herkimer County Vote Results])</totalsRowFormula>
    </tableColumn>
    <tableColumn id="9" xr3:uid="{9A42DEAC-3790-4EDB-AF7E-99F8026E02AE}" name="Jefferson County Vote Results" totalsRowFunction="custom" totalsRowDxfId="133">
      <totalsRowFormula>SUM(StateSenatorSenateDistrict3General[Jefferson County Vote Results])</totalsRowFormula>
    </tableColumn>
    <tableColumn id="8" xr3:uid="{8EDEB0E2-EC54-4E86-8482-53D472948ABB}" name="Lewis County Vote Results" totalsRowFunction="custom" totalsRowDxfId="132">
      <totalsRowFormula>SUM(StateSenatorSenateDistrict3General[Lewis County Vote Results])</totalsRowFormula>
    </tableColumn>
    <tableColumn id="7" xr3:uid="{05343350-09D7-4EAB-A3DB-AACC38C90DBA}" name="Oneida County Vote Results" totalsRowFunction="custom" totalsRowDxfId="131">
      <totalsRowFormula>SUM(StateSenatorSenateDistrict3General[Oneida County Vote Results])</totalsRowFormula>
    </tableColumn>
    <tableColumn id="6" xr3:uid="{EE7D766E-0EB5-4178-9888-4F78980BF6BA}" name="Onondaga County Vote Results" totalsRowFunction="custom" totalsRowDxfId="130">
      <totalsRowFormula>SUM(StateSenatorSenateDistrict3General[Onondaga County Vote Results])</totalsRowFormula>
    </tableColumn>
    <tableColumn id="5" xr3:uid="{6063FAF9-3DBF-4FBB-A013-3C14303CDC7C}" name="Oswego County Vote Results" totalsRowFunction="custom" totalsRowDxfId="129">
      <totalsRowFormula>SUM(StateSenatorSenateDistrict3General[Oswego County Vote Results])</totalsRowFormula>
    </tableColumn>
    <tableColumn id="3" xr3:uid="{6CC0C525-F3EA-4BDC-9BDF-0564602583EA}" name="Total Votes by Party" totalsRowFunction="custom" totalsRowDxfId="128">
      <calculatedColumnFormula>SUM(B3:G3)</calculatedColumnFormula>
      <totalsRowFormula>SUM(StateSenatorSenateDistrict3General[Total Votes by Party])</totalsRowFormula>
    </tableColumn>
    <tableColumn id="2" xr3:uid="{6682A752-3D95-4654-927E-B58D06DFCA00}" name="Total Votes by Candidate" totalsRowDxfId="127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068A76C-E7C7-4DD6-95A5-98CB32992639}" name="StateSenatorSenateDistrict4General" displayName="StateSenatorSenateDistrict4General" ref="A2:K12" totalsRowCount="1" headerRowDxfId="126" dataDxfId="124" totalsRowDxfId="122" headerRowBorderDxfId="125" tableBorderDxfId="123" totalsRowBorderDxfId="121">
  <autoFilter ref="A2:K11" xr:uid="{C6AC5771-4768-43A8-97A4-F9B8EBA4F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7AE50E4-79AF-406E-9C4A-865355E22289}" name="Candidate Name (Party)" totalsRowLabel="Total Votes by County" dataDxfId="120" totalsRowDxfId="119"/>
    <tableColumn id="4" xr3:uid="{CD55AAC6-39D7-45DC-BF23-299481EBD0E7}" name="Cayuga County Vote Results" totalsRowFunction="custom" dataDxfId="118" totalsRowDxfId="117">
      <totalsRowFormula>SUM(StateSenatorSenateDistrict4General[Cayuga County Vote Results])</totalsRowFormula>
    </tableColumn>
    <tableColumn id="11" xr3:uid="{BC237BD0-4F78-43F6-B7D5-D5B683B69336}" name="Livingston County Vote Results" totalsRowFunction="custom" totalsRowDxfId="116">
      <totalsRowFormula>SUM(StateSenatorSenateDistrict4General[Livingston County Vote Results])</totalsRowFormula>
    </tableColumn>
    <tableColumn id="10" xr3:uid="{6F06E72E-301E-4BA6-A224-8EF771C70D9D}" name="Monroe County Vote Results" totalsRowFunction="custom" totalsRowDxfId="115">
      <totalsRowFormula>SUM(StateSenatorSenateDistrict4General[Monroe County Vote Results])</totalsRowFormula>
    </tableColumn>
    <tableColumn id="9" xr3:uid="{B95A23A5-12FE-463F-9D83-A656CFF6D798}" name="Ontario County Vote Results" totalsRowFunction="custom" totalsRowDxfId="114">
      <totalsRowFormula>SUM(StateSenatorSenateDistrict4General[Ontario County Vote Results])</totalsRowFormula>
    </tableColumn>
    <tableColumn id="8" xr3:uid="{06EB2546-8178-431C-B1B7-1297FD65769C}" name="Seneca County Vote Results" totalsRowFunction="custom" totalsRowDxfId="113">
      <totalsRowFormula>SUM(StateSenatorSenateDistrict4General[Seneca County Vote Results])</totalsRowFormula>
    </tableColumn>
    <tableColumn id="7" xr3:uid="{1A8563D2-1399-4BA4-8055-36BB4D5BD8B8}" name="Steuben County Vote Results" totalsRowFunction="custom" totalsRowDxfId="112">
      <totalsRowFormula>SUM(StateSenatorSenateDistrict4General[Steuben County Vote Results])</totalsRowFormula>
    </tableColumn>
    <tableColumn id="6" xr3:uid="{FC116D54-21D3-487F-94B0-E95FC1DA8348}" name="Wayne County Vote Results" totalsRowFunction="custom" totalsRowDxfId="111">
      <totalsRowFormula>SUM(StateSenatorSenateDistrict4General[Wayne County Vote Results])</totalsRowFormula>
    </tableColumn>
    <tableColumn id="5" xr3:uid="{BB77A7DF-CAF3-48B9-8040-BC6F6E5F94D9}" name="Yates County Vote Results" totalsRowFunction="custom" totalsRowDxfId="110">
      <totalsRowFormula>SUM(StateSenatorSenateDistrict4General[Yates County Vote Results])</totalsRowFormula>
    </tableColumn>
    <tableColumn id="3" xr3:uid="{408B8A68-9B25-4451-B95C-5CA6FBB1652A}" name="Total Votes by Party" totalsRowFunction="custom" totalsRowDxfId="109">
      <calculatedColumnFormula>SUM(B3:I3)</calculatedColumnFormula>
      <totalsRowFormula>SUM(StateSenatorSenateDistrict4General[Total Votes by Party])</totalsRowFormula>
    </tableColumn>
    <tableColumn id="2" xr3:uid="{E183562C-0F8B-4BCF-AF09-2D10ABF25683}" name="Total Votes by Candidate" totalsRowDxfId="108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D6EE53E-106A-4708-A5FF-9E7BE812FF0E}" name="StateSenatorSenateDistrict5General" displayName="StateSenatorSenateDistrict5General" ref="A2:K24" totalsRowCount="1" headerRowDxfId="107" dataDxfId="105" totalsRowDxfId="103" headerRowBorderDxfId="106" tableBorderDxfId="104" totalsRowBorderDxfId="102">
  <tableColumns count="11">
    <tableColumn id="1" xr3:uid="{FA3382F2-3A8A-4A6C-9804-7C24265C6ECC}" name="Candidate Name (Party)" totalsRowLabel="Total Votes by County" dataDxfId="101" totalsRowDxfId="100"/>
    <tableColumn id="4" xr3:uid="{A26B8FA2-C658-4FE0-A019-38821A27EB0A}" name="Allegany County Vote Results" totalsRowFunction="custom" dataDxfId="99" totalsRowDxfId="98">
      <totalsRowFormula>SUM(StateSenatorSenateDistrict5General[Allegany County Vote Results])</totalsRowFormula>
    </tableColumn>
    <tableColumn id="11" xr3:uid="{D6C1553F-48B8-41E8-B918-B1909AEB42D0}" name="Cattaraugus County Vote Results" totalsRowFunction="custom" dataDxfId="97" totalsRowDxfId="96">
      <totalsRowFormula>SUM(StateSenatorSenateDistrict5General[Cattaraugus County Vote Results])</totalsRowFormula>
    </tableColumn>
    <tableColumn id="10" xr3:uid="{853B24BF-6E5F-4D36-A695-3207D27E1ECE}" name="Chautauqua County Vote Results" totalsRowFunction="custom" dataDxfId="95" totalsRowDxfId="94">
      <totalsRowFormula>SUM(StateSenatorSenateDistrict5General[Chautauqua County Vote Results])</totalsRowFormula>
    </tableColumn>
    <tableColumn id="9" xr3:uid="{50F89187-4485-4617-A095-642297FBBD84}" name="Erie County Vote Results" totalsRowFunction="custom" dataDxfId="93" totalsRowDxfId="92">
      <totalsRowFormula>SUM(StateSenatorSenateDistrict5General[Erie County Vote Results])</totalsRowFormula>
    </tableColumn>
    <tableColumn id="8" xr3:uid="{D56844BA-4CE8-4DFE-B507-6D930607195F}" name="Genesee County Vote Results" totalsRowFunction="custom" dataDxfId="91" totalsRowDxfId="90">
      <totalsRowFormula>SUM(StateSenatorSenateDistrict5General[Genesee County Vote Results])</totalsRowFormula>
    </tableColumn>
    <tableColumn id="7" xr3:uid="{9D738E0D-7E4E-40A2-9677-A1D86F6A0BD0}" name="Niagara County Vote Results" totalsRowFunction="custom" dataDxfId="89" totalsRowDxfId="88">
      <totalsRowFormula>SUM(StateSenatorSenateDistrict5General[Niagara County Vote Results])</totalsRowFormula>
    </tableColumn>
    <tableColumn id="6" xr3:uid="{0796F04B-EE13-4C69-8BAE-088A6611FE4B}" name="Orleans County Vote Results" totalsRowFunction="custom" dataDxfId="87" totalsRowDxfId="86">
      <totalsRowFormula>SUM(StateSenatorSenateDistrict5General[Orleans County Vote Results])</totalsRowFormula>
    </tableColumn>
    <tableColumn id="2" xr3:uid="{0E706C56-01A8-4B49-9AB1-D3CCC0BFB480}" name="Wyoming County Vote Results" totalsRowFunction="custom" dataDxfId="85" totalsRowDxfId="84">
      <totalsRowFormula>SUM(StateSenatorSenateDistrict5General[Wyoming County Vote Results])</totalsRowFormula>
    </tableColumn>
    <tableColumn id="3" xr3:uid="{5F0E59D5-C90E-4400-A087-DD8A6023F6E7}" name="Total Votes by Party" totalsRowFunction="custom" dataDxfId="83" totalsRowDxfId="82">
      <calculatedColumnFormula>SUM(B3:I3)</calculatedColumnFormula>
      <totalsRowFormula>SUM(StateSenatorSenateDistrict5General[Total Votes by Party])</totalsRowFormula>
    </tableColumn>
    <tableColumn id="5" xr3:uid="{04207B01-E9FA-4F9C-B285-DD3DCBC2AAF1}" name="Total Votes by Candidate" dataDxfId="81" totalsRowDxfId="80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409DD7-56EC-430F-9E36-23B5833F346E}" name="StateSenatorSenateDistrict6General" displayName="StateSenatorSenateDistrict6General" ref="A2:H27" totalsRowCount="1" headerRowDxfId="79" dataDxfId="77" totalsRowDxfId="75" headerRowBorderDxfId="78" tableBorderDxfId="76" totalsRowBorderDxfId="74">
  <autoFilter ref="A2:H26" xr:uid="{0E535243-4216-4E18-AC3D-5955FEAC22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28AE0A0-F1EC-46D6-8B71-9882AD4EDD04}" name="Candidate Name (Party)" totalsRowLabel="Total Votes by County" dataDxfId="73" totalsRowDxfId="72"/>
    <tableColumn id="4" xr3:uid="{08908D80-3A3E-49EA-A608-D3EF4345F4CE}" name="Dutchess County Vote Results" totalsRowFunction="custom" dataDxfId="71" totalsRowDxfId="70">
      <totalsRowFormula>SUM(StateSenatorSenateDistrict6General[Dutchess County Vote Results])</totalsRowFormula>
    </tableColumn>
    <tableColumn id="8" xr3:uid="{F4CD438B-B386-413B-BABA-ED3AD236F284}" name="Orange County Vote Results" totalsRowFunction="custom" dataDxfId="69" totalsRowDxfId="68">
      <totalsRowFormula>SUM(StateSenatorSenateDistrict6General[Orange County Vote Results])</totalsRowFormula>
    </tableColumn>
    <tableColumn id="7" xr3:uid="{33713CDA-029E-42E7-BDAD-CA141421AB4B}" name="Putnam County Vote Results" totalsRowFunction="custom" dataDxfId="67" totalsRowDxfId="66">
      <totalsRowFormula>SUM(StateSenatorSenateDistrict6General[Putnam County Vote Results])</totalsRowFormula>
    </tableColumn>
    <tableColumn id="6" xr3:uid="{ACDD8958-6761-4C9E-B69E-D5AC87F8BDC4}" name="Rockland County Vote Results" totalsRowFunction="custom" dataDxfId="65" totalsRowDxfId="64">
      <totalsRowFormula>SUM(StateSenatorSenateDistrict6General[Rockland County Vote Results])</totalsRowFormula>
    </tableColumn>
    <tableColumn id="5" xr3:uid="{149285A6-C0BE-43EA-86B9-5BB137F3707C}" name="Westchester Vote Results" totalsRowFunction="custom" dataDxfId="63" totalsRowDxfId="62">
      <totalsRowFormula>SUM(StateSenatorSenateDistrict6General[Westchester Vote Results])</totalsRowFormula>
    </tableColumn>
    <tableColumn id="3" xr3:uid="{64FFFE41-4D6F-4B8A-9F40-0FED20793887}" name="Total Votes by Party" totalsRowFunction="custom" dataDxfId="61" totalsRowDxfId="60">
      <calculatedColumnFormula>SUM(B3:F3)</calculatedColumnFormula>
      <totalsRowFormula>SUM(StateSenatorSenateDistrict6General[Total Votes by Party])</totalsRowFormula>
    </tableColumn>
    <tableColumn id="2" xr3:uid="{1697BE14-1FE7-4B16-A9E5-79D46C432982}" name="Total Votes by Candidate" dataDxfId="59" totalsRowDxfId="58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D62AEB-DA9B-4CFB-A9F9-864C295BE517}" name="StateSenatorSenateDistrict7General" displayName="StateSenatorSenateDistrict7General" ref="A2:E24" totalsRowCount="1" headerRowDxfId="57" dataDxfId="55" totalsRowDxfId="53" headerRowBorderDxfId="56" tableBorderDxfId="54" totalsRowBorderDxfId="52">
  <autoFilter ref="A2:E23" xr:uid="{0468737E-A287-4E35-A99A-23695F38BF5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ADFC5B1-0595-428A-98D4-5F11DCFB748A}" name="Candidate Name (Party)" totalsRowLabel="Total Votes by County" dataDxfId="51" totalsRowDxfId="50"/>
    <tableColumn id="4" xr3:uid="{C4BC0DC4-BF91-498F-9858-11DB087B8BC2}" name="Nassau County Vote Results" totalsRowFunction="custom" dataDxfId="49" totalsRowDxfId="48">
      <totalsRowFormula>SUM(StateSenatorSenateDistrict7General[Nassau County Vote Results])</totalsRowFormula>
    </tableColumn>
    <tableColumn id="5" xr3:uid="{EBA9C7A4-8A7B-4256-B237-88AD2457D78E}" name="Suffolk County Vote Results" totalsRowFunction="custom" dataDxfId="47" totalsRowDxfId="46">
      <totalsRowFormula>SUM(StateSenatorSenateDistrict7General[Suffolk County Vote Results])</totalsRowFormula>
    </tableColumn>
    <tableColumn id="3" xr3:uid="{EB90F89A-9104-4F26-A1DC-CB5C5E825AE4}" name="Total Votes by Party" totalsRowFunction="custom" dataDxfId="45" totalsRowDxfId="44">
      <calculatedColumnFormula>SUM(StateSenatorSenateDistrict7General[[#This Row],[Nassau County Vote Results]:[Suffolk County Vote Results]])</calculatedColumnFormula>
      <totalsRowFormula>SUM(StateSenatorSenateDistrict7General[Total Votes by Party])</totalsRowFormula>
    </tableColumn>
    <tableColumn id="2" xr3:uid="{D31F16CE-A4FF-45C5-A8B1-7A2F504A488D}" name="Total Votes by Candidate" dataDxfId="43" totalsRowDxfId="42">
      <calculatedColumnFormula>SUM(D3,D9,D15)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FBFA-E16D-457D-AF28-ED89D0C651C9}">
  <sheetPr>
    <pageSetUpPr fitToPage="1"/>
  </sheetPr>
  <dimension ref="A1:D9"/>
  <sheetViews>
    <sheetView zoomScaleNormal="100" zoomScaleSheetLayoutView="80" workbookViewId="0">
      <selection activeCell="A3" sqref="A3:A9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35" t="s">
        <v>11</v>
      </c>
      <c r="B1" s="35"/>
      <c r="C1" s="35"/>
      <c r="D1" s="35"/>
    </row>
    <row r="2" spans="1:4" ht="24.95" customHeight="1" x14ac:dyDescent="0.2">
      <c r="A2" s="14" t="s">
        <v>10</v>
      </c>
      <c r="B2" s="13" t="s">
        <v>9</v>
      </c>
      <c r="C2" s="12" t="s">
        <v>8</v>
      </c>
      <c r="D2" s="11" t="s">
        <v>7</v>
      </c>
    </row>
    <row r="3" spans="1:4" x14ac:dyDescent="0.2">
      <c r="A3" s="31" t="s">
        <v>6</v>
      </c>
      <c r="B3" s="6">
        <v>324809</v>
      </c>
      <c r="C3" s="5">
        <f>SUM(StateSenatorSenateDistrict1General253[[#This Row],[New York County Vote Results]])</f>
        <v>324809</v>
      </c>
      <c r="D3" s="8">
        <f>SUM(C3)</f>
        <v>324809</v>
      </c>
    </row>
    <row r="4" spans="1:4" x14ac:dyDescent="0.2">
      <c r="A4" s="31" t="s">
        <v>5</v>
      </c>
      <c r="B4" s="6">
        <v>309102</v>
      </c>
      <c r="C4" s="5">
        <f>SUM(StateSenatorSenateDistrict1General253[[#This Row],[New York County Vote Results]])</f>
        <v>309102</v>
      </c>
      <c r="D4" s="8">
        <f>SUM(C4)</f>
        <v>309102</v>
      </c>
    </row>
    <row r="5" spans="1:4" x14ac:dyDescent="0.2">
      <c r="A5" s="31" t="s">
        <v>4</v>
      </c>
      <c r="B5" s="9">
        <v>313751</v>
      </c>
      <c r="C5" s="5">
        <f>SUM(StateSenatorSenateDistrict1General253[[#This Row],[New York County Vote Results]])</f>
        <v>313751</v>
      </c>
      <c r="D5" s="8">
        <f>SUM(C5)</f>
        <v>313751</v>
      </c>
    </row>
    <row r="6" spans="1:4" x14ac:dyDescent="0.2">
      <c r="A6" s="32" t="s">
        <v>3</v>
      </c>
      <c r="B6" s="6">
        <v>412587</v>
      </c>
      <c r="C6" s="5">
        <f>SUM(StateSenatorSenateDistrict1General253[[#This Row],[New York County Vote Results]])</f>
        <v>412587</v>
      </c>
      <c r="D6" s="1"/>
    </row>
    <row r="7" spans="1:4" x14ac:dyDescent="0.2">
      <c r="A7" s="32" t="s">
        <v>2</v>
      </c>
      <c r="B7" s="6">
        <v>10167</v>
      </c>
      <c r="C7" s="5">
        <f>SUM(StateSenatorSenateDistrict1General253[[#This Row],[New York County Vote Results]])</f>
        <v>10167</v>
      </c>
      <c r="D7" s="1"/>
    </row>
    <row r="8" spans="1:4" x14ac:dyDescent="0.2">
      <c r="A8" s="32" t="s">
        <v>1</v>
      </c>
      <c r="B8" s="6">
        <v>8825</v>
      </c>
      <c r="C8" s="5">
        <f>SUM(StateSenatorSenateDistrict1General253[[#This Row],[New York County Vote Results]])</f>
        <v>8825</v>
      </c>
      <c r="D8" s="1"/>
    </row>
    <row r="9" spans="1:4" x14ac:dyDescent="0.2">
      <c r="A9" s="33" t="s">
        <v>0</v>
      </c>
      <c r="B9" s="3">
        <f>SUM(StateSenatorSenateDistrict1General253[New York County Vote Results])</f>
        <v>1379241</v>
      </c>
      <c r="C9" s="2">
        <f>SUM(StateSenatorSenateDistrict1General253[Total Votes by Party])</f>
        <v>1379241</v>
      </c>
      <c r="D9" s="1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1" max="16383" man="1"/>
    <brk id="88" max="16383" man="1"/>
    <brk id="142" max="16383" man="1"/>
    <brk id="196" max="16383" man="1"/>
    <brk id="245" max="16383" man="1"/>
    <brk id="292" max="16383" man="1"/>
    <brk id="341" max="16383" man="1"/>
    <brk id="387" max="16383" man="1"/>
    <brk id="439" max="16383" man="1"/>
    <brk id="492" max="16383" man="1"/>
    <brk id="546" max="16383" man="1"/>
    <brk id="594" max="16383" man="1"/>
    <brk id="630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4CF1-50AA-435F-946A-3BDA7998DC01}">
  <sheetPr>
    <pageSetUpPr fitToPage="1"/>
  </sheetPr>
  <dimension ref="A1:D14"/>
  <sheetViews>
    <sheetView zoomScaleNormal="100" zoomScaleSheetLayoutView="80" workbookViewId="0">
      <selection activeCell="A3" sqref="A3:A14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35" t="s">
        <v>197</v>
      </c>
      <c r="B1" s="35"/>
      <c r="C1" s="35"/>
      <c r="D1" s="35"/>
    </row>
    <row r="2" spans="1:4" ht="24.95" customHeight="1" x14ac:dyDescent="0.2">
      <c r="A2" s="14" t="s">
        <v>10</v>
      </c>
      <c r="B2" s="13" t="s">
        <v>196</v>
      </c>
      <c r="C2" s="12" t="s">
        <v>8</v>
      </c>
      <c r="D2" s="11" t="s">
        <v>7</v>
      </c>
    </row>
    <row r="3" spans="1:4" x14ac:dyDescent="0.2">
      <c r="A3" s="31" t="s">
        <v>195</v>
      </c>
      <c r="B3" s="17">
        <v>256852</v>
      </c>
      <c r="C3" s="16">
        <f>SUM(StateSenatorSenateDistrict1General253254255[[#This Row],[Queens County Vote Results]])</f>
        <v>256852</v>
      </c>
      <c r="D3" s="22">
        <f>SUM(C3,C7)</f>
        <v>379297</v>
      </c>
    </row>
    <row r="4" spans="1:4" x14ac:dyDescent="0.2">
      <c r="A4" s="31" t="s">
        <v>194</v>
      </c>
      <c r="B4" s="17">
        <v>240008</v>
      </c>
      <c r="C4" s="16">
        <f>SUM(StateSenatorSenateDistrict1General253254255[[#This Row],[Queens County Vote Results]])</f>
        <v>240008</v>
      </c>
      <c r="D4" s="22">
        <f>SUM(C4,C8)</f>
        <v>357531</v>
      </c>
    </row>
    <row r="5" spans="1:4" x14ac:dyDescent="0.2">
      <c r="A5" s="31" t="s">
        <v>193</v>
      </c>
      <c r="B5" s="18">
        <v>234529</v>
      </c>
      <c r="C5" s="16">
        <f>SUM(StateSenatorSenateDistrict1General253254255[[#This Row],[Queens County Vote Results]])</f>
        <v>234529</v>
      </c>
      <c r="D5" s="22">
        <f>SUM(C5,C9)</f>
        <v>351365</v>
      </c>
    </row>
    <row r="6" spans="1:4" x14ac:dyDescent="0.2">
      <c r="A6" s="31" t="s">
        <v>192</v>
      </c>
      <c r="B6" s="18">
        <v>237218</v>
      </c>
      <c r="C6" s="16">
        <f>SUM(StateSenatorSenateDistrict1General253254255[[#This Row],[Queens County Vote Results]])</f>
        <v>237218</v>
      </c>
      <c r="D6" s="22">
        <f>SUM(C6,C10)</f>
        <v>352044</v>
      </c>
    </row>
    <row r="7" spans="1:4" x14ac:dyDescent="0.2">
      <c r="A7" s="31" t="s">
        <v>191</v>
      </c>
      <c r="B7" s="18">
        <v>122445</v>
      </c>
      <c r="C7" s="16">
        <f>SUM(StateSenatorSenateDistrict1General253254255[[#This Row],[Queens County Vote Results]])</f>
        <v>122445</v>
      </c>
      <c r="D7" s="15"/>
    </row>
    <row r="8" spans="1:4" x14ac:dyDescent="0.2">
      <c r="A8" s="31" t="s">
        <v>190</v>
      </c>
      <c r="B8" s="18">
        <v>117523</v>
      </c>
      <c r="C8" s="16">
        <f>SUM(StateSenatorSenateDistrict1General253254255[[#This Row],[Queens County Vote Results]])</f>
        <v>117523</v>
      </c>
      <c r="D8" s="15"/>
    </row>
    <row r="9" spans="1:4" x14ac:dyDescent="0.2">
      <c r="A9" s="31" t="s">
        <v>189</v>
      </c>
      <c r="B9" s="17">
        <v>116836</v>
      </c>
      <c r="C9" s="16">
        <f>SUM(StateSenatorSenateDistrict1General253254255[[#This Row],[Queens County Vote Results]])</f>
        <v>116836</v>
      </c>
      <c r="D9" s="15"/>
    </row>
    <row r="10" spans="1:4" x14ac:dyDescent="0.2">
      <c r="A10" s="31" t="s">
        <v>188</v>
      </c>
      <c r="B10" s="17">
        <v>114826</v>
      </c>
      <c r="C10" s="16">
        <f>SUM(StateSenatorSenateDistrict1General253254255[[#This Row],[Queens County Vote Results]])</f>
        <v>114826</v>
      </c>
      <c r="D10" s="15"/>
    </row>
    <row r="11" spans="1:4" x14ac:dyDescent="0.2">
      <c r="A11" s="32" t="s">
        <v>3</v>
      </c>
      <c r="B11" s="17">
        <v>319385</v>
      </c>
      <c r="C11" s="16">
        <f>SUM(StateSenatorSenateDistrict1General253254255[[#This Row],[Queens County Vote Results]])</f>
        <v>319385</v>
      </c>
      <c r="D11" s="15"/>
    </row>
    <row r="12" spans="1:4" x14ac:dyDescent="0.2">
      <c r="A12" s="32" t="s">
        <v>2</v>
      </c>
      <c r="B12" s="17">
        <v>4940</v>
      </c>
      <c r="C12" s="16">
        <f>SUM(StateSenatorSenateDistrict1General253254255[[#This Row],[Queens County Vote Results]])</f>
        <v>4940</v>
      </c>
      <c r="D12" s="15"/>
    </row>
    <row r="13" spans="1:4" x14ac:dyDescent="0.2">
      <c r="A13" s="32" t="s">
        <v>1</v>
      </c>
      <c r="B13" s="17">
        <v>5190</v>
      </c>
      <c r="C13" s="16">
        <f>SUM(StateSenatorSenateDistrict1General253254255[[#This Row],[Queens County Vote Results]])</f>
        <v>5190</v>
      </c>
      <c r="D13" s="15"/>
    </row>
    <row r="14" spans="1:4" x14ac:dyDescent="0.2">
      <c r="A14" s="33" t="s">
        <v>0</v>
      </c>
      <c r="B14" s="17">
        <f>SUM(StateSenatorSenateDistrict1General253254255[Queens County Vote Results])</f>
        <v>1769752</v>
      </c>
      <c r="C14" s="16">
        <f>SUM(StateSenatorSenateDistrict1General253254255[Total Votes by Party])</f>
        <v>1769752</v>
      </c>
      <c r="D14" s="15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6" max="16383" man="1"/>
    <brk id="93" max="16383" man="1"/>
    <brk id="147" max="16383" man="1"/>
    <brk id="201" max="16383" man="1"/>
    <brk id="250" max="16383" man="1"/>
    <brk id="297" max="16383" man="1"/>
    <brk id="346" max="16383" man="1"/>
    <brk id="392" max="16383" man="1"/>
    <brk id="444" max="16383" man="1"/>
    <brk id="497" max="16383" man="1"/>
    <brk id="551" max="16383" man="1"/>
    <brk id="599" max="16383" man="1"/>
    <brk id="635" max="1638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3594-C72C-47EE-A7D6-0AF4C0B794DC}">
  <sheetPr>
    <pageSetUpPr fitToPage="1"/>
  </sheetPr>
  <dimension ref="A1:D9"/>
  <sheetViews>
    <sheetView zoomScaleNormal="100" zoomScaleSheetLayoutView="80" workbookViewId="0">
      <selection activeCell="A3" sqref="A3:A9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35" t="s">
        <v>202</v>
      </c>
      <c r="B1" s="35"/>
      <c r="C1" s="35"/>
      <c r="D1" s="35"/>
    </row>
    <row r="2" spans="1:4" ht="24.95" customHeight="1" x14ac:dyDescent="0.2">
      <c r="A2" s="14" t="s">
        <v>10</v>
      </c>
      <c r="B2" s="13" t="s">
        <v>201</v>
      </c>
      <c r="C2" s="12" t="s">
        <v>8</v>
      </c>
      <c r="D2" s="11" t="s">
        <v>7</v>
      </c>
    </row>
    <row r="3" spans="1:4" x14ac:dyDescent="0.2">
      <c r="A3" s="31" t="s">
        <v>200</v>
      </c>
      <c r="B3" s="17">
        <v>123849</v>
      </c>
      <c r="C3" s="16">
        <f>SUM(StateSenatorSenateDistrict1General253254255256[[#This Row],[Bronx County Vote Results]])</f>
        <v>123849</v>
      </c>
      <c r="D3" s="22">
        <f>SUM(C3)</f>
        <v>123849</v>
      </c>
    </row>
    <row r="4" spans="1:4" x14ac:dyDescent="0.2">
      <c r="A4" s="31" t="s">
        <v>199</v>
      </c>
      <c r="B4" s="17">
        <v>111319</v>
      </c>
      <c r="C4" s="16">
        <f>SUM(StateSenatorSenateDistrict1General253254255256[[#This Row],[Bronx County Vote Results]])</f>
        <v>111319</v>
      </c>
      <c r="D4" s="22">
        <f>SUM(C4)</f>
        <v>111319</v>
      </c>
    </row>
    <row r="5" spans="1:4" x14ac:dyDescent="0.2">
      <c r="A5" s="31" t="s">
        <v>198</v>
      </c>
      <c r="B5" s="18">
        <v>111692</v>
      </c>
      <c r="C5" s="16">
        <f>SUM(StateSenatorSenateDistrict1General253254255256[[#This Row],[Bronx County Vote Results]])</f>
        <v>111692</v>
      </c>
      <c r="D5" s="22">
        <f>SUM(C5)</f>
        <v>111692</v>
      </c>
    </row>
    <row r="6" spans="1:4" x14ac:dyDescent="0.2">
      <c r="A6" s="32" t="s">
        <v>3</v>
      </c>
      <c r="B6" s="17">
        <v>260858</v>
      </c>
      <c r="C6" s="16">
        <f>SUM(StateSenatorSenateDistrict1General253254255256[[#This Row],[Bronx County Vote Results]])</f>
        <v>260858</v>
      </c>
      <c r="D6" s="15"/>
    </row>
    <row r="7" spans="1:4" x14ac:dyDescent="0.2">
      <c r="A7" s="32" t="s">
        <v>2</v>
      </c>
      <c r="B7" s="17">
        <v>1017</v>
      </c>
      <c r="C7" s="16">
        <f>SUM(StateSenatorSenateDistrict1General253254255256[[#This Row],[Bronx County Vote Results]])</f>
        <v>1017</v>
      </c>
      <c r="D7" s="15"/>
    </row>
    <row r="8" spans="1:4" x14ac:dyDescent="0.2">
      <c r="A8" s="32" t="s">
        <v>1</v>
      </c>
      <c r="B8" s="17">
        <v>1471</v>
      </c>
      <c r="C8" s="16">
        <f>SUM(StateSenatorSenateDistrict1General253254255256[[#This Row],[Bronx County Vote Results]])</f>
        <v>1471</v>
      </c>
      <c r="D8" s="15"/>
    </row>
    <row r="9" spans="1:4" x14ac:dyDescent="0.2">
      <c r="A9" s="33" t="s">
        <v>0</v>
      </c>
      <c r="B9" s="17">
        <f>SUM(StateSenatorSenateDistrict1General253254255256[Bronx County Vote Results])</f>
        <v>610206</v>
      </c>
      <c r="C9" s="16">
        <f>SUM(StateSenatorSenateDistrict1General253254255256[Total Votes by Party])</f>
        <v>610206</v>
      </c>
      <c r="D9" s="15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1" max="16383" man="1"/>
    <brk id="88" max="16383" man="1"/>
    <brk id="142" max="16383" man="1"/>
    <brk id="196" max="16383" man="1"/>
    <brk id="245" max="16383" man="1"/>
    <brk id="292" max="16383" man="1"/>
    <brk id="341" max="16383" man="1"/>
    <brk id="387" max="16383" man="1"/>
    <brk id="439" max="16383" man="1"/>
    <brk id="492" max="16383" man="1"/>
    <brk id="546" max="16383" man="1"/>
    <brk id="594" max="16383" man="1"/>
    <brk id="630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5FC8-114B-49C2-9006-966D2D9F2C0F}">
  <sheetPr>
    <pageSetUpPr fitToPage="1"/>
  </sheetPr>
  <dimension ref="A1:D13"/>
  <sheetViews>
    <sheetView tabSelected="1" zoomScaleNormal="100" zoomScaleSheetLayoutView="80" workbookViewId="0">
      <selection activeCell="A3" sqref="A3:A13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35" t="s">
        <v>211</v>
      </c>
      <c r="B1" s="35"/>
      <c r="C1" s="35"/>
      <c r="D1" s="35"/>
    </row>
    <row r="2" spans="1:4" ht="24.95" customHeight="1" x14ac:dyDescent="0.2">
      <c r="A2" s="14" t="s">
        <v>10</v>
      </c>
      <c r="B2" s="13" t="s">
        <v>210</v>
      </c>
      <c r="C2" s="12" t="s">
        <v>8</v>
      </c>
      <c r="D2" s="11" t="s">
        <v>7</v>
      </c>
    </row>
    <row r="3" spans="1:4" x14ac:dyDescent="0.2">
      <c r="A3" s="31" t="s">
        <v>209</v>
      </c>
      <c r="B3" s="17">
        <v>42471</v>
      </c>
      <c r="C3" s="16">
        <f>SUM(StateSenatorSenateDistrict1General253254255256257[[#This Row],[Richmond County Vote Results]])</f>
        <v>42471</v>
      </c>
      <c r="D3" s="22">
        <f>SUM(C3,C6)</f>
        <v>119207</v>
      </c>
    </row>
    <row r="4" spans="1:4" x14ac:dyDescent="0.2">
      <c r="A4" s="31" t="s">
        <v>208</v>
      </c>
      <c r="B4" s="17">
        <v>38448</v>
      </c>
      <c r="C4" s="16">
        <f>SUM(StateSenatorSenateDistrict1General253254255256257[[#This Row],[Richmond County Vote Results]])</f>
        <v>38448</v>
      </c>
      <c r="D4" s="22">
        <f>SUM(C4,C7,C9)</f>
        <v>121114</v>
      </c>
    </row>
    <row r="5" spans="1:4" x14ac:dyDescent="0.2">
      <c r="A5" s="31" t="s">
        <v>207</v>
      </c>
      <c r="B5" s="18">
        <v>39363</v>
      </c>
      <c r="C5" s="16">
        <f>SUM(StateSenatorSenateDistrict1General253254255256257[[#This Row],[Richmond County Vote Results]])</f>
        <v>39363</v>
      </c>
      <c r="D5" s="22">
        <f>SUM(C5,C8)</f>
        <v>111233</v>
      </c>
    </row>
    <row r="6" spans="1:4" x14ac:dyDescent="0.2">
      <c r="A6" s="31" t="s">
        <v>206</v>
      </c>
      <c r="B6" s="18">
        <v>76736</v>
      </c>
      <c r="C6" s="16">
        <f>SUM(StateSenatorSenateDistrict1General253254255256257[[#This Row],[Richmond County Vote Results]])</f>
        <v>76736</v>
      </c>
      <c r="D6" s="15"/>
    </row>
    <row r="7" spans="1:4" x14ac:dyDescent="0.2">
      <c r="A7" s="31" t="s">
        <v>205</v>
      </c>
      <c r="B7" s="18">
        <v>76786</v>
      </c>
      <c r="C7" s="16">
        <f>SUM(StateSenatorSenateDistrict1General253254255256257[[#This Row],[Richmond County Vote Results]])</f>
        <v>76786</v>
      </c>
      <c r="D7" s="15"/>
    </row>
    <row r="8" spans="1:4" x14ac:dyDescent="0.2">
      <c r="A8" s="31" t="s">
        <v>204</v>
      </c>
      <c r="B8" s="17">
        <v>71870</v>
      </c>
      <c r="C8" s="16">
        <f>SUM(StateSenatorSenateDistrict1General253254255256257[[#This Row],[Richmond County Vote Results]])</f>
        <v>71870</v>
      </c>
      <c r="D8" s="15"/>
    </row>
    <row r="9" spans="1:4" x14ac:dyDescent="0.2">
      <c r="A9" s="31" t="s">
        <v>203</v>
      </c>
      <c r="B9" s="17">
        <v>5880</v>
      </c>
      <c r="C9" s="16">
        <f>SUM(StateSenatorSenateDistrict1General253254255256257[[#This Row],[Richmond County Vote Results]])</f>
        <v>5880</v>
      </c>
      <c r="D9" s="15"/>
    </row>
    <row r="10" spans="1:4" x14ac:dyDescent="0.2">
      <c r="A10" s="32" t="s">
        <v>3</v>
      </c>
      <c r="B10" s="17">
        <v>73087</v>
      </c>
      <c r="C10" s="16">
        <f>SUM(StateSenatorSenateDistrict1General253254255256257[[#This Row],[Richmond County Vote Results]])</f>
        <v>73087</v>
      </c>
      <c r="D10" s="15"/>
    </row>
    <row r="11" spans="1:4" x14ac:dyDescent="0.2">
      <c r="A11" s="32" t="s">
        <v>2</v>
      </c>
      <c r="B11" s="17">
        <v>225</v>
      </c>
      <c r="C11" s="16">
        <f>SUM(StateSenatorSenateDistrict1General253254255256257[[#This Row],[Richmond County Vote Results]])</f>
        <v>225</v>
      </c>
      <c r="D11" s="15"/>
    </row>
    <row r="12" spans="1:4" x14ac:dyDescent="0.2">
      <c r="A12" s="32" t="s">
        <v>1</v>
      </c>
      <c r="B12" s="17">
        <v>1059</v>
      </c>
      <c r="C12" s="16">
        <f>SUM(StateSenatorSenateDistrict1General253254255256257[[#This Row],[Richmond County Vote Results]])</f>
        <v>1059</v>
      </c>
      <c r="D12" s="15"/>
    </row>
    <row r="13" spans="1:4" x14ac:dyDescent="0.2">
      <c r="A13" s="33" t="s">
        <v>0</v>
      </c>
      <c r="B13" s="17">
        <f>SUM(StateSenatorSenateDistrict1General253254255256257[Richmond County Vote Results])</f>
        <v>425925</v>
      </c>
      <c r="C13" s="16">
        <f>SUM(StateSenatorSenateDistrict1General253254255256257[Total Votes by Party])</f>
        <v>425925</v>
      </c>
      <c r="D13" s="15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5" max="16383" man="1"/>
    <brk id="92" max="16383" man="1"/>
    <brk id="146" max="16383" man="1"/>
    <brk id="200" max="16383" man="1"/>
    <brk id="249" max="16383" man="1"/>
    <brk id="296" max="16383" man="1"/>
    <brk id="345" max="16383" man="1"/>
    <brk id="391" max="16383" man="1"/>
    <brk id="443" max="16383" man="1"/>
    <brk id="496" max="16383" man="1"/>
    <brk id="550" max="16383" man="1"/>
    <brk id="598" max="16383" man="1"/>
    <brk id="634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73FB-DC5B-4748-A902-2BE140DF7CB9}">
  <sheetPr>
    <pageSetUpPr fitToPage="1"/>
  </sheetPr>
  <dimension ref="A1:D37"/>
  <sheetViews>
    <sheetView zoomScaleNormal="100" zoomScaleSheetLayoutView="80" workbookViewId="0">
      <selection activeCell="A3" sqref="A3:A37"/>
    </sheetView>
  </sheetViews>
  <sheetFormatPr defaultRowHeight="12.75" x14ac:dyDescent="0.2"/>
  <cols>
    <col min="1" max="1" width="31.28515625" customWidth="1"/>
    <col min="2" max="2" width="18.7109375" customWidth="1"/>
    <col min="3" max="4" width="20.5703125" customWidth="1"/>
    <col min="5" max="6" width="23.5703125" customWidth="1"/>
  </cols>
  <sheetData>
    <row r="1" spans="1:4" ht="54" customHeight="1" x14ac:dyDescent="0.2">
      <c r="A1" s="35" t="s">
        <v>44</v>
      </c>
      <c r="B1" s="35"/>
      <c r="C1" s="35"/>
      <c r="D1" s="35"/>
    </row>
    <row r="2" spans="1:4" ht="24.95" customHeight="1" x14ac:dyDescent="0.2">
      <c r="A2" s="14" t="s">
        <v>10</v>
      </c>
      <c r="B2" s="13" t="s">
        <v>43</v>
      </c>
      <c r="C2" s="12" t="s">
        <v>8</v>
      </c>
      <c r="D2" s="11" t="s">
        <v>7</v>
      </c>
    </row>
    <row r="3" spans="1:4" ht="12.75" customHeight="1" x14ac:dyDescent="0.2">
      <c r="A3" s="31" t="s">
        <v>42</v>
      </c>
      <c r="B3" s="21">
        <v>353709</v>
      </c>
      <c r="C3" s="2">
        <f>SUM(StateSenatorSenateDistrict1General253254[[#This Row],[Kings County Vote Results]])</f>
        <v>353709</v>
      </c>
      <c r="D3" s="22">
        <f>SUM(C3,C15)</f>
        <v>469547</v>
      </c>
    </row>
    <row r="4" spans="1:4" ht="12.75" customHeight="1" x14ac:dyDescent="0.2">
      <c r="A4" s="31" t="s">
        <v>41</v>
      </c>
      <c r="B4" s="19">
        <v>375165</v>
      </c>
      <c r="C4" s="2">
        <f>SUM(StateSenatorSenateDistrict1General253254[[#This Row],[Kings County Vote Results]])</f>
        <v>375165</v>
      </c>
      <c r="D4" s="22">
        <f>SUM(C4)</f>
        <v>375165</v>
      </c>
    </row>
    <row r="5" spans="1:4" ht="12.75" customHeight="1" x14ac:dyDescent="0.2">
      <c r="A5" s="31" t="s">
        <v>40</v>
      </c>
      <c r="B5" s="21">
        <v>338671</v>
      </c>
      <c r="C5" s="2">
        <f>SUM(StateSenatorSenateDistrict1General253254[[#This Row],[Kings County Vote Results]])</f>
        <v>338671</v>
      </c>
      <c r="D5" s="22">
        <f>SUM(C5,C16,C26)</f>
        <v>453432</v>
      </c>
    </row>
    <row r="6" spans="1:4" ht="12.75" customHeight="1" x14ac:dyDescent="0.2">
      <c r="A6" s="31" t="s">
        <v>39</v>
      </c>
      <c r="B6" s="20">
        <v>330415</v>
      </c>
      <c r="C6" s="2">
        <f>SUM(StateSenatorSenateDistrict1General253254[[#This Row],[Kings County Vote Results]])</f>
        <v>330415</v>
      </c>
      <c r="D6" s="22">
        <f>SUM(C6,C17,C27)</f>
        <v>444365</v>
      </c>
    </row>
    <row r="7" spans="1:4" ht="12.75" customHeight="1" x14ac:dyDescent="0.2">
      <c r="A7" s="31" t="s">
        <v>38</v>
      </c>
      <c r="B7" s="20">
        <v>333872</v>
      </c>
      <c r="C7" s="2">
        <f>SUM(StateSenatorSenateDistrict1General253254[[#This Row],[Kings County Vote Results]])</f>
        <v>333872</v>
      </c>
      <c r="D7" s="22">
        <f>SUM(C7,C18)</f>
        <v>438292</v>
      </c>
    </row>
    <row r="8" spans="1:4" ht="12.75" customHeight="1" x14ac:dyDescent="0.2">
      <c r="A8" s="31" t="s">
        <v>37</v>
      </c>
      <c r="B8" s="20">
        <v>343258</v>
      </c>
      <c r="C8" s="2">
        <f>SUM(StateSenatorSenateDistrict1General253254[[#This Row],[Kings County Vote Results]])</f>
        <v>343258</v>
      </c>
      <c r="D8" s="22">
        <f t="shared" ref="D8:D13" si="0">SUM(C8,C19,C28)</f>
        <v>453688</v>
      </c>
    </row>
    <row r="9" spans="1:4" ht="12.75" customHeight="1" x14ac:dyDescent="0.2">
      <c r="A9" s="31" t="s">
        <v>36</v>
      </c>
      <c r="B9" s="20">
        <v>333253</v>
      </c>
      <c r="C9" s="2">
        <f>SUM(StateSenatorSenateDistrict1General253254[[#This Row],[Kings County Vote Results]])</f>
        <v>333253</v>
      </c>
      <c r="D9" s="22">
        <f t="shared" si="0"/>
        <v>443367</v>
      </c>
    </row>
    <row r="10" spans="1:4" ht="12.75" customHeight="1" x14ac:dyDescent="0.2">
      <c r="A10" s="31" t="s">
        <v>35</v>
      </c>
      <c r="B10" s="20">
        <v>332705</v>
      </c>
      <c r="C10" s="2">
        <f>SUM(StateSenatorSenateDistrict1General253254[[#This Row],[Kings County Vote Results]])</f>
        <v>332705</v>
      </c>
      <c r="D10" s="22">
        <f t="shared" si="0"/>
        <v>441246</v>
      </c>
    </row>
    <row r="11" spans="1:4" ht="12.75" customHeight="1" x14ac:dyDescent="0.2">
      <c r="A11" s="31" t="s">
        <v>34</v>
      </c>
      <c r="B11" s="20">
        <v>330981</v>
      </c>
      <c r="C11" s="2">
        <f>SUM(StateSenatorSenateDistrict1General253254[[#This Row],[Kings County Vote Results]])</f>
        <v>330981</v>
      </c>
      <c r="D11" s="22">
        <f t="shared" si="0"/>
        <v>439087</v>
      </c>
    </row>
    <row r="12" spans="1:4" ht="12.75" customHeight="1" x14ac:dyDescent="0.2">
      <c r="A12" s="31" t="s">
        <v>33</v>
      </c>
      <c r="B12" s="20">
        <v>333720</v>
      </c>
      <c r="C12" s="2">
        <f>SUM(StateSenatorSenateDistrict1General253254[[#This Row],[Kings County Vote Results]])</f>
        <v>333720</v>
      </c>
      <c r="D12" s="22">
        <f t="shared" si="0"/>
        <v>441350</v>
      </c>
    </row>
    <row r="13" spans="1:4" ht="12.75" customHeight="1" x14ac:dyDescent="0.2">
      <c r="A13" s="31" t="s">
        <v>32</v>
      </c>
      <c r="B13" s="20">
        <v>335104</v>
      </c>
      <c r="C13" s="2">
        <f>SUM(StateSenatorSenateDistrict1General253254[[#This Row],[Kings County Vote Results]])</f>
        <v>335104</v>
      </c>
      <c r="D13" s="22">
        <f t="shared" si="0"/>
        <v>442441</v>
      </c>
    </row>
    <row r="14" spans="1:4" ht="12.75" customHeight="1" x14ac:dyDescent="0.2">
      <c r="A14" s="31" t="s">
        <v>31</v>
      </c>
      <c r="B14" s="20">
        <v>333838</v>
      </c>
      <c r="C14" s="2">
        <f>SUM(StateSenatorSenateDistrict1General253254[[#This Row],[Kings County Vote Results]])</f>
        <v>333838</v>
      </c>
      <c r="D14" s="22">
        <f>SUM(C14,C25)</f>
        <v>435513</v>
      </c>
    </row>
    <row r="15" spans="1:4" ht="12.75" customHeight="1" x14ac:dyDescent="0.2">
      <c r="A15" s="31" t="s">
        <v>30</v>
      </c>
      <c r="B15" s="20">
        <v>115838</v>
      </c>
      <c r="C15" s="2">
        <f>SUM(StateSenatorSenateDistrict1General253254[[#This Row],[Kings County Vote Results]])</f>
        <v>115838</v>
      </c>
      <c r="D15" s="15"/>
    </row>
    <row r="16" spans="1:4" ht="12.75" customHeight="1" x14ac:dyDescent="0.2">
      <c r="A16" s="31" t="s">
        <v>29</v>
      </c>
      <c r="B16" s="20">
        <v>105439</v>
      </c>
      <c r="C16" s="2">
        <f>SUM(StateSenatorSenateDistrict1General253254[[#This Row],[Kings County Vote Results]])</f>
        <v>105439</v>
      </c>
      <c r="D16" s="15"/>
    </row>
    <row r="17" spans="1:4" ht="12.75" customHeight="1" x14ac:dyDescent="0.2">
      <c r="A17" s="31" t="s">
        <v>28</v>
      </c>
      <c r="B17" s="19">
        <v>104516</v>
      </c>
      <c r="C17" s="2">
        <f>SUM(StateSenatorSenateDistrict1General253254[[#This Row],[Kings County Vote Results]])</f>
        <v>104516</v>
      </c>
      <c r="D17" s="15"/>
    </row>
    <row r="18" spans="1:4" ht="12.75" customHeight="1" x14ac:dyDescent="0.2">
      <c r="A18" s="31" t="s">
        <v>27</v>
      </c>
      <c r="B18" s="21">
        <v>104420</v>
      </c>
      <c r="C18" s="2">
        <f>SUM(StateSenatorSenateDistrict1General253254[[#This Row],[Kings County Vote Results]])</f>
        <v>104420</v>
      </c>
      <c r="D18" s="15"/>
    </row>
    <row r="19" spans="1:4" ht="12.75" customHeight="1" x14ac:dyDescent="0.2">
      <c r="A19" s="31" t="s">
        <v>26</v>
      </c>
      <c r="B19" s="20">
        <v>101092</v>
      </c>
      <c r="C19" s="2">
        <f>SUM(StateSenatorSenateDistrict1General253254[[#This Row],[Kings County Vote Results]])</f>
        <v>101092</v>
      </c>
      <c r="D19" s="15"/>
    </row>
    <row r="20" spans="1:4" ht="12.75" customHeight="1" x14ac:dyDescent="0.2">
      <c r="A20" s="31" t="s">
        <v>25</v>
      </c>
      <c r="B20" s="20">
        <v>101016</v>
      </c>
      <c r="C20" s="2">
        <f>SUM(StateSenatorSenateDistrict1General253254[[#This Row],[Kings County Vote Results]])</f>
        <v>101016</v>
      </c>
      <c r="D20" s="15"/>
    </row>
    <row r="21" spans="1:4" ht="12.75" customHeight="1" x14ac:dyDescent="0.2">
      <c r="A21" s="31" t="s">
        <v>24</v>
      </c>
      <c r="B21" s="19">
        <v>99477</v>
      </c>
      <c r="C21" s="2">
        <f>SUM(StateSenatorSenateDistrict1General253254[[#This Row],[Kings County Vote Results]])</f>
        <v>99477</v>
      </c>
      <c r="D21" s="15"/>
    </row>
    <row r="22" spans="1:4" ht="12.75" customHeight="1" x14ac:dyDescent="0.2">
      <c r="A22" s="31" t="s">
        <v>23</v>
      </c>
      <c r="B22" s="21">
        <v>99171</v>
      </c>
      <c r="C22" s="2">
        <f>SUM(StateSenatorSenateDistrict1General253254[[#This Row],[Kings County Vote Results]])</f>
        <v>99171</v>
      </c>
      <c r="D22" s="15"/>
    </row>
    <row r="23" spans="1:4" ht="12.75" customHeight="1" x14ac:dyDescent="0.2">
      <c r="A23" s="31" t="s">
        <v>22</v>
      </c>
      <c r="B23" s="20">
        <v>98629</v>
      </c>
      <c r="C23" s="2">
        <f>SUM(StateSenatorSenateDistrict1General253254[[#This Row],[Kings County Vote Results]])</f>
        <v>98629</v>
      </c>
      <c r="D23" s="15"/>
    </row>
    <row r="24" spans="1:4" ht="12.75" customHeight="1" x14ac:dyDescent="0.2">
      <c r="A24" s="31" t="s">
        <v>21</v>
      </c>
      <c r="B24" s="20">
        <v>98291</v>
      </c>
      <c r="C24" s="2">
        <f>SUM(StateSenatorSenateDistrict1General253254[[#This Row],[Kings County Vote Results]])</f>
        <v>98291</v>
      </c>
      <c r="D24" s="15"/>
    </row>
    <row r="25" spans="1:4" ht="12.75" customHeight="1" x14ac:dyDescent="0.2">
      <c r="A25" s="31" t="s">
        <v>20</v>
      </c>
      <c r="B25" s="19">
        <v>101675</v>
      </c>
      <c r="C25" s="2">
        <f>SUM(StateSenatorSenateDistrict1General253254[[#This Row],[Kings County Vote Results]])</f>
        <v>101675</v>
      </c>
      <c r="D25" s="15"/>
    </row>
    <row r="26" spans="1:4" ht="12.75" customHeight="1" x14ac:dyDescent="0.2">
      <c r="A26" s="31" t="s">
        <v>19</v>
      </c>
      <c r="B26" s="17">
        <v>9322</v>
      </c>
      <c r="C26" s="16">
        <f>SUM(StateSenatorSenateDistrict1General253254[[#This Row],[Kings County Vote Results]])</f>
        <v>9322</v>
      </c>
      <c r="D26" s="15"/>
    </row>
    <row r="27" spans="1:4" ht="12.75" customHeight="1" x14ac:dyDescent="0.2">
      <c r="A27" s="31" t="s">
        <v>18</v>
      </c>
      <c r="B27" s="17">
        <v>9434</v>
      </c>
      <c r="C27" s="16">
        <f>SUM(StateSenatorSenateDistrict1General253254[[#This Row],[Kings County Vote Results]])</f>
        <v>9434</v>
      </c>
      <c r="D27" s="15"/>
    </row>
    <row r="28" spans="1:4" ht="12.75" customHeight="1" x14ac:dyDescent="0.2">
      <c r="A28" s="31" t="s">
        <v>17</v>
      </c>
      <c r="B28" s="18">
        <v>9338</v>
      </c>
      <c r="C28" s="16">
        <f>SUM(StateSenatorSenateDistrict1General253254[[#This Row],[Kings County Vote Results]])</f>
        <v>9338</v>
      </c>
      <c r="D28" s="15"/>
    </row>
    <row r="29" spans="1:4" ht="12.75" customHeight="1" x14ac:dyDescent="0.2">
      <c r="A29" s="31" t="s">
        <v>16</v>
      </c>
      <c r="B29" s="17">
        <v>9098</v>
      </c>
      <c r="C29" s="16">
        <f>SUM(StateSenatorSenateDistrict1General253254[[#This Row],[Kings County Vote Results]])</f>
        <v>9098</v>
      </c>
      <c r="D29" s="15"/>
    </row>
    <row r="30" spans="1:4" ht="12.75" customHeight="1" x14ac:dyDescent="0.2">
      <c r="A30" s="31" t="s">
        <v>15</v>
      </c>
      <c r="B30" s="18">
        <v>9064</v>
      </c>
      <c r="C30" s="16">
        <f>SUM(StateSenatorSenateDistrict1General253254[[#This Row],[Kings County Vote Results]])</f>
        <v>9064</v>
      </c>
      <c r="D30" s="15"/>
    </row>
    <row r="31" spans="1:4" ht="12.75" customHeight="1" x14ac:dyDescent="0.2">
      <c r="A31" s="31" t="s">
        <v>14</v>
      </c>
      <c r="B31" s="18">
        <v>8935</v>
      </c>
      <c r="C31" s="16">
        <f>SUM(StateSenatorSenateDistrict1General253254[[#This Row],[Kings County Vote Results]])</f>
        <v>8935</v>
      </c>
      <c r="D31" s="15"/>
    </row>
    <row r="32" spans="1:4" ht="12.75" customHeight="1" x14ac:dyDescent="0.2">
      <c r="A32" s="31" t="s">
        <v>13</v>
      </c>
      <c r="B32" s="18">
        <v>9001</v>
      </c>
      <c r="C32" s="16">
        <f>SUM(StateSenatorSenateDistrict1General253254[[#This Row],[Kings County Vote Results]])</f>
        <v>9001</v>
      </c>
      <c r="D32" s="15"/>
    </row>
    <row r="33" spans="1:4" ht="12.75" customHeight="1" x14ac:dyDescent="0.2">
      <c r="A33" s="31" t="s">
        <v>12</v>
      </c>
      <c r="B33" s="17">
        <v>9046</v>
      </c>
      <c r="C33" s="16">
        <f>SUM(StateSenatorSenateDistrict1General253254[[#This Row],[Kings County Vote Results]])</f>
        <v>9046</v>
      </c>
      <c r="D33" s="15"/>
    </row>
    <row r="34" spans="1:4" x14ac:dyDescent="0.2">
      <c r="A34" s="32" t="s">
        <v>3</v>
      </c>
      <c r="B34" s="17">
        <v>1550963</v>
      </c>
      <c r="C34" s="16">
        <f>SUM(StateSenatorSenateDistrict1General253254[[#This Row],[Kings County Vote Results]])</f>
        <v>1550963</v>
      </c>
      <c r="D34" s="15"/>
    </row>
    <row r="35" spans="1:4" x14ac:dyDescent="0.2">
      <c r="A35" s="32" t="s">
        <v>2</v>
      </c>
      <c r="B35" s="17">
        <v>17088</v>
      </c>
      <c r="C35" s="16">
        <f>SUM(StateSenatorSenateDistrict1General253254[[#This Row],[Kings County Vote Results]])</f>
        <v>17088</v>
      </c>
      <c r="D35" s="15"/>
    </row>
    <row r="36" spans="1:4" x14ac:dyDescent="0.2">
      <c r="A36" s="32" t="s">
        <v>1</v>
      </c>
      <c r="B36" s="17">
        <v>25596</v>
      </c>
      <c r="C36" s="16">
        <f>SUM(StateSenatorSenateDistrict1General253254[[#This Row],[Kings County Vote Results]])</f>
        <v>25596</v>
      </c>
      <c r="D36" s="15"/>
    </row>
    <row r="37" spans="1:4" x14ac:dyDescent="0.2">
      <c r="A37" s="33" t="s">
        <v>0</v>
      </c>
      <c r="B37" s="3">
        <f>SUM(StateSenatorSenateDistrict1General253254[Kings County Vote Results])</f>
        <v>6871140</v>
      </c>
      <c r="C37" s="2">
        <f>SUM(StateSenatorSenateDistrict1General253254[Total Votes by Party])</f>
        <v>6871140</v>
      </c>
      <c r="D37" s="15"/>
    </row>
  </sheetData>
  <mergeCells count="1">
    <mergeCell ref="A1:D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69" max="16383" man="1"/>
    <brk id="116" max="16383" man="1"/>
    <brk id="170" max="16383" man="1"/>
    <brk id="224" max="16383" man="1"/>
    <brk id="273" max="16383" man="1"/>
    <brk id="320" max="16383" man="1"/>
    <brk id="369" max="16383" man="1"/>
    <brk id="415" max="16383" man="1"/>
    <brk id="467" max="16383" man="1"/>
    <brk id="520" max="16383" man="1"/>
    <brk id="574" max="16383" man="1"/>
    <brk id="622" max="16383" man="1"/>
    <brk id="658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5653-E4D9-4D80-8431-31D14EBE9036}">
  <sheetPr>
    <pageSetUpPr fitToPage="1"/>
  </sheetPr>
  <dimension ref="A1:J11"/>
  <sheetViews>
    <sheetView zoomScaleNormal="100" zoomScaleSheetLayoutView="80" workbookViewId="0">
      <selection activeCell="A3" sqref="A3:A11"/>
    </sheetView>
  </sheetViews>
  <sheetFormatPr defaultRowHeight="12.75" x14ac:dyDescent="0.2"/>
  <cols>
    <col min="1" max="1" width="31.28515625" customWidth="1"/>
    <col min="2" max="8" width="18.7109375" customWidth="1"/>
    <col min="9" max="9" width="18.85546875" customWidth="1"/>
    <col min="10" max="10" width="20.5703125" customWidth="1"/>
    <col min="11" max="12" width="23.5703125" customWidth="1"/>
  </cols>
  <sheetData>
    <row r="1" spans="1:10" ht="39.75" customHeight="1" x14ac:dyDescent="0.2">
      <c r="A1" s="35" t="s">
        <v>57</v>
      </c>
      <c r="B1" s="35"/>
      <c r="C1" s="35"/>
      <c r="D1" s="35"/>
      <c r="E1" s="35"/>
    </row>
    <row r="2" spans="1:10" ht="24.95" customHeight="1" x14ac:dyDescent="0.2">
      <c r="A2" s="14" t="s">
        <v>10</v>
      </c>
      <c r="B2" s="13" t="s">
        <v>56</v>
      </c>
      <c r="C2" s="13" t="s">
        <v>55</v>
      </c>
      <c r="D2" s="13" t="s">
        <v>54</v>
      </c>
      <c r="E2" s="13" t="s">
        <v>53</v>
      </c>
      <c r="F2" s="13" t="s">
        <v>52</v>
      </c>
      <c r="G2" s="13" t="s">
        <v>51</v>
      </c>
      <c r="H2" s="13" t="s">
        <v>50</v>
      </c>
      <c r="I2" s="12" t="s">
        <v>8</v>
      </c>
      <c r="J2" s="11" t="s">
        <v>7</v>
      </c>
    </row>
    <row r="3" spans="1:10" x14ac:dyDescent="0.2">
      <c r="A3" s="31" t="s">
        <v>49</v>
      </c>
      <c r="B3" s="17">
        <v>63092</v>
      </c>
      <c r="C3" s="17">
        <v>15332</v>
      </c>
      <c r="D3" s="17">
        <v>7276</v>
      </c>
      <c r="E3" s="17">
        <v>26057</v>
      </c>
      <c r="F3" s="17">
        <v>3870</v>
      </c>
      <c r="G3" s="17">
        <v>8765</v>
      </c>
      <c r="H3" s="17">
        <v>40605</v>
      </c>
      <c r="I3" s="16">
        <f>SUM(StateSenatorSenateDistrict1General[[#This Row],[Albany County Vote Results]:[Ulster County Vote Results]])</f>
        <v>164997</v>
      </c>
      <c r="J3" s="22">
        <f>SUM(I3)</f>
        <v>164997</v>
      </c>
    </row>
    <row r="4" spans="1:10" x14ac:dyDescent="0.2">
      <c r="A4" s="31" t="s">
        <v>48</v>
      </c>
      <c r="B4" s="17">
        <v>64311</v>
      </c>
      <c r="C4" s="17">
        <v>15092</v>
      </c>
      <c r="D4" s="17">
        <v>6876</v>
      </c>
      <c r="E4" s="17">
        <v>27204</v>
      </c>
      <c r="F4" s="17">
        <v>3806</v>
      </c>
      <c r="G4" s="17">
        <v>8918</v>
      </c>
      <c r="H4" s="17">
        <v>40773</v>
      </c>
      <c r="I4" s="16">
        <f>SUM(StateSenatorSenateDistrict1General[[#This Row],[Albany County Vote Results]:[Ulster County Vote Results]])</f>
        <v>166980</v>
      </c>
      <c r="J4" s="22">
        <f>SUM(I4)</f>
        <v>166980</v>
      </c>
    </row>
    <row r="5" spans="1:10" x14ac:dyDescent="0.2">
      <c r="A5" s="31" t="s">
        <v>47</v>
      </c>
      <c r="B5" s="18">
        <v>64073</v>
      </c>
      <c r="C5" s="17">
        <v>14995</v>
      </c>
      <c r="D5" s="17">
        <v>6659</v>
      </c>
      <c r="E5" s="17">
        <v>27149</v>
      </c>
      <c r="F5" s="17">
        <v>3714</v>
      </c>
      <c r="G5" s="17">
        <v>12487</v>
      </c>
      <c r="H5" s="17">
        <v>39696</v>
      </c>
      <c r="I5" s="16">
        <f>SUM(StateSenatorSenateDistrict1General[[#This Row],[Albany County Vote Results]:[Ulster County Vote Results]])</f>
        <v>168773</v>
      </c>
      <c r="J5" s="22">
        <f>SUM(I5)</f>
        <v>168773</v>
      </c>
    </row>
    <row r="6" spans="1:10" x14ac:dyDescent="0.2">
      <c r="A6" s="31" t="s">
        <v>46</v>
      </c>
      <c r="B6" s="17">
        <v>41562</v>
      </c>
      <c r="C6" s="17">
        <v>11600</v>
      </c>
      <c r="D6" s="17">
        <v>10560</v>
      </c>
      <c r="E6" s="17">
        <v>27598</v>
      </c>
      <c r="F6" s="17">
        <v>7570</v>
      </c>
      <c r="G6" s="17">
        <v>12434</v>
      </c>
      <c r="H6" s="17">
        <v>28362</v>
      </c>
      <c r="I6" s="16">
        <f>SUM(StateSenatorSenateDistrict1General[[#This Row],[Albany County Vote Results]:[Ulster County Vote Results]])</f>
        <v>139686</v>
      </c>
      <c r="J6" s="22">
        <f>SUM(I6,I7)</f>
        <v>165791</v>
      </c>
    </row>
    <row r="7" spans="1:10" x14ac:dyDescent="0.2">
      <c r="A7" s="31" t="s">
        <v>45</v>
      </c>
      <c r="B7" s="17">
        <v>8204</v>
      </c>
      <c r="C7" s="17">
        <v>2055</v>
      </c>
      <c r="D7" s="17">
        <v>1885</v>
      </c>
      <c r="E7" s="17">
        <v>6338</v>
      </c>
      <c r="F7" s="17">
        <v>1309</v>
      </c>
      <c r="G7" s="17">
        <v>1607</v>
      </c>
      <c r="H7" s="17">
        <v>4707</v>
      </c>
      <c r="I7" s="16">
        <f>SUM(StateSenatorSenateDistrict1General[[#This Row],[Albany County Vote Results]:[Ulster County Vote Results]])</f>
        <v>26105</v>
      </c>
      <c r="J7" s="15"/>
    </row>
    <row r="8" spans="1:10" x14ac:dyDescent="0.2">
      <c r="A8" s="32" t="s">
        <v>3</v>
      </c>
      <c r="B8" s="17">
        <v>111315</v>
      </c>
      <c r="C8" s="17">
        <v>30590</v>
      </c>
      <c r="D8" s="17">
        <v>27764</v>
      </c>
      <c r="E8" s="17">
        <v>74008</v>
      </c>
      <c r="F8" s="17">
        <v>18498</v>
      </c>
      <c r="G8" s="17">
        <v>30635</v>
      </c>
      <c r="H8" s="17">
        <v>81712</v>
      </c>
      <c r="I8" s="16">
        <f>SUM(StateSenatorSenateDistrict1General[[#This Row],[Albany County Vote Results]:[Ulster County Vote Results]])</f>
        <v>374522</v>
      </c>
      <c r="J8" s="15"/>
    </row>
    <row r="9" spans="1:10" x14ac:dyDescent="0.2">
      <c r="A9" s="32" t="s">
        <v>2</v>
      </c>
      <c r="B9" s="17">
        <v>189</v>
      </c>
      <c r="C9" s="17">
        <v>6</v>
      </c>
      <c r="D9" s="17">
        <v>30</v>
      </c>
      <c r="E9" s="17">
        <v>0</v>
      </c>
      <c r="F9" s="17">
        <v>30</v>
      </c>
      <c r="G9" s="17">
        <v>110</v>
      </c>
      <c r="H9" s="17">
        <v>24</v>
      </c>
      <c r="I9" s="16">
        <f>SUM(StateSenatorSenateDistrict1General[[#This Row],[Albany County Vote Results]:[Ulster County Vote Results]])</f>
        <v>389</v>
      </c>
      <c r="J9" s="15"/>
    </row>
    <row r="10" spans="1:10" x14ac:dyDescent="0.2">
      <c r="A10" s="32" t="s">
        <v>1</v>
      </c>
      <c r="B10" s="17">
        <v>729</v>
      </c>
      <c r="C10" s="17">
        <v>36</v>
      </c>
      <c r="D10" s="17">
        <v>51</v>
      </c>
      <c r="E10" s="17">
        <v>142</v>
      </c>
      <c r="F10" s="17">
        <v>26</v>
      </c>
      <c r="G10" s="17">
        <v>59</v>
      </c>
      <c r="H10" s="17">
        <v>293</v>
      </c>
      <c r="I10" s="16">
        <f>SUM(StateSenatorSenateDistrict1General[[#This Row],[Albany County Vote Results]:[Ulster County Vote Results]])</f>
        <v>1336</v>
      </c>
      <c r="J10" s="15"/>
    </row>
    <row r="11" spans="1:10" x14ac:dyDescent="0.2">
      <c r="A11" s="33" t="s">
        <v>0</v>
      </c>
      <c r="B11" s="17">
        <f>SUM(StateSenatorSenateDistrict1General[Albany County Vote Results])</f>
        <v>353475</v>
      </c>
      <c r="C11" s="17">
        <f>SUM(StateSenatorSenateDistrict1General[Columbia County Vote Results])</f>
        <v>89706</v>
      </c>
      <c r="D11" s="17">
        <f>SUM(StateSenatorSenateDistrict1General[Greene County Vote Results])</f>
        <v>61101</v>
      </c>
      <c r="E11" s="17">
        <f>SUM(StateSenatorSenateDistrict1General[Rensselaer County Vote Results])</f>
        <v>188496</v>
      </c>
      <c r="F11" s="17">
        <f>SUM(StateSenatorSenateDistrict1General[Schoharie County Vote Results])</f>
        <v>38823</v>
      </c>
      <c r="G11" s="17">
        <f>SUM(StateSenatorSenateDistrict1General[Sullivan County Vote Results])</f>
        <v>75015</v>
      </c>
      <c r="H11" s="17">
        <f>SUM(StateSenatorSenateDistrict1General[Ulster County Vote Results])</f>
        <v>236172</v>
      </c>
      <c r="I11" s="16">
        <f>SUM(StateSenatorSenateDistrict1General[Total Votes by Party])</f>
        <v>1042788</v>
      </c>
      <c r="J11" s="15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13" manualBreakCount="13">
    <brk id="43" max="16383" man="1"/>
    <brk id="90" max="16383" man="1"/>
    <brk id="144" max="16383" man="1"/>
    <brk id="198" max="16383" man="1"/>
    <brk id="247" max="16383" man="1"/>
    <brk id="294" max="16383" man="1"/>
    <brk id="343" max="16383" man="1"/>
    <brk id="389" max="16383" man="1"/>
    <brk id="441" max="16383" man="1"/>
    <brk id="494" max="16383" man="1"/>
    <brk id="548" max="16383" man="1"/>
    <brk id="596" max="16383" man="1"/>
    <brk id="632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63B6-4062-4AFF-B037-4F159457F8F4}">
  <sheetPr>
    <pageSetUpPr fitToPage="1"/>
  </sheetPr>
  <dimension ref="A1:N15"/>
  <sheetViews>
    <sheetView workbookViewId="0">
      <pane xSplit="1" topLeftCell="H1" activePane="topRight" state="frozen"/>
      <selection pane="topRight" activeCell="A3" sqref="A3:A15"/>
    </sheetView>
  </sheetViews>
  <sheetFormatPr defaultRowHeight="12.75" x14ac:dyDescent="0.2"/>
  <cols>
    <col min="1" max="1" width="32.5703125" customWidth="1"/>
    <col min="2" max="14" width="20.5703125" customWidth="1"/>
    <col min="15" max="16" width="23.5703125" customWidth="1"/>
  </cols>
  <sheetData>
    <row r="1" spans="1:14" ht="49.5" customHeight="1" x14ac:dyDescent="0.2">
      <c r="A1" s="35" t="s">
        <v>78</v>
      </c>
      <c r="B1" s="35"/>
      <c r="C1" s="35"/>
      <c r="D1" s="35"/>
    </row>
    <row r="2" spans="1:14" ht="24.95" customHeight="1" x14ac:dyDescent="0.2">
      <c r="A2" s="14" t="s">
        <v>10</v>
      </c>
      <c r="B2" s="13" t="s">
        <v>77</v>
      </c>
      <c r="C2" s="13" t="s">
        <v>76</v>
      </c>
      <c r="D2" s="13" t="s">
        <v>75</v>
      </c>
      <c r="E2" s="13" t="s">
        <v>74</v>
      </c>
      <c r="F2" s="13" t="s">
        <v>73</v>
      </c>
      <c r="G2" s="13" t="s">
        <v>72</v>
      </c>
      <c r="H2" s="13" t="s">
        <v>71</v>
      </c>
      <c r="I2" s="13" t="s">
        <v>70</v>
      </c>
      <c r="J2" s="13" t="s">
        <v>69</v>
      </c>
      <c r="K2" s="13" t="s">
        <v>68</v>
      </c>
      <c r="L2" s="13" t="s">
        <v>67</v>
      </c>
      <c r="M2" s="12" t="s">
        <v>8</v>
      </c>
      <c r="N2" s="11" t="s">
        <v>7</v>
      </c>
    </row>
    <row r="3" spans="1:14" ht="12.75" customHeight="1" x14ac:dyDescent="0.2">
      <c r="A3" s="34" t="s">
        <v>66</v>
      </c>
      <c r="B3" s="23">
        <v>10929</v>
      </c>
      <c r="C3" s="23">
        <v>5963</v>
      </c>
      <c r="D3" s="23">
        <v>5463</v>
      </c>
      <c r="E3" s="23">
        <v>4194</v>
      </c>
      <c r="F3" s="23">
        <v>746</v>
      </c>
      <c r="G3" s="23">
        <v>4193</v>
      </c>
      <c r="H3" s="23">
        <v>11354</v>
      </c>
      <c r="I3" s="23">
        <v>42584</v>
      </c>
      <c r="J3" s="23">
        <v>24450</v>
      </c>
      <c r="K3" s="23">
        <v>10551</v>
      </c>
      <c r="L3" s="23">
        <v>7194</v>
      </c>
      <c r="M3" s="5">
        <f t="shared" ref="M3:M14" si="0">SUM(B3,C3,D3,E3,F3,G3,H3,I3,J3,K3,L3)</f>
        <v>127621</v>
      </c>
      <c r="N3" s="22">
        <f>SUM(StateSenatorSenateDistrict2General[[#This Row],[Total Votes by Party]])</f>
        <v>127621</v>
      </c>
    </row>
    <row r="4" spans="1:14" ht="12.75" customHeight="1" x14ac:dyDescent="0.2">
      <c r="A4" s="34" t="s">
        <v>65</v>
      </c>
      <c r="B4" s="25">
        <v>11569</v>
      </c>
      <c r="C4" s="23">
        <v>6394</v>
      </c>
      <c r="D4" s="23">
        <v>5798</v>
      </c>
      <c r="E4" s="23">
        <v>4016</v>
      </c>
      <c r="F4" s="23">
        <v>766</v>
      </c>
      <c r="G4" s="23">
        <v>4257</v>
      </c>
      <c r="H4" s="23">
        <v>11546</v>
      </c>
      <c r="I4" s="23">
        <v>41935</v>
      </c>
      <c r="J4" s="23">
        <v>23939</v>
      </c>
      <c r="K4" s="23">
        <v>11835</v>
      </c>
      <c r="L4" s="23">
        <v>7186</v>
      </c>
      <c r="M4" s="5">
        <f t="shared" si="0"/>
        <v>129241</v>
      </c>
      <c r="N4" s="22">
        <f>SUM(M4,M10)</f>
        <v>151989</v>
      </c>
    </row>
    <row r="5" spans="1:14" ht="12.75" customHeight="1" x14ac:dyDescent="0.2">
      <c r="A5" s="34" t="s">
        <v>64</v>
      </c>
      <c r="B5" s="25">
        <v>10509</v>
      </c>
      <c r="C5" s="23">
        <v>5907</v>
      </c>
      <c r="D5" s="23">
        <v>5208</v>
      </c>
      <c r="E5" s="23">
        <v>4544</v>
      </c>
      <c r="F5" s="23">
        <v>761</v>
      </c>
      <c r="G5" s="23">
        <v>4508</v>
      </c>
      <c r="H5" s="23">
        <v>10646</v>
      </c>
      <c r="I5" s="23">
        <v>42316</v>
      </c>
      <c r="J5" s="23">
        <v>26706</v>
      </c>
      <c r="K5" s="23">
        <v>10511</v>
      </c>
      <c r="L5" s="23">
        <v>6918</v>
      </c>
      <c r="M5" s="5">
        <f t="shared" si="0"/>
        <v>128534</v>
      </c>
      <c r="N5" s="22">
        <f>SUM(M5,M11)</f>
        <v>150550</v>
      </c>
    </row>
    <row r="6" spans="1:14" ht="12.75" customHeight="1" x14ac:dyDescent="0.2">
      <c r="A6" s="34" t="s">
        <v>63</v>
      </c>
      <c r="B6" s="24">
        <v>13233</v>
      </c>
      <c r="C6" s="23">
        <v>7813</v>
      </c>
      <c r="D6" s="23">
        <v>7726</v>
      </c>
      <c r="E6" s="23">
        <v>11240</v>
      </c>
      <c r="F6" s="23">
        <v>1722</v>
      </c>
      <c r="G6" s="23">
        <v>8779</v>
      </c>
      <c r="H6" s="23">
        <v>18243</v>
      </c>
      <c r="I6" s="23">
        <v>47126</v>
      </c>
      <c r="J6" s="23">
        <v>21038</v>
      </c>
      <c r="K6" s="23">
        <v>13328</v>
      </c>
      <c r="L6" s="23">
        <v>12078</v>
      </c>
      <c r="M6" s="5">
        <f t="shared" si="0"/>
        <v>162326</v>
      </c>
      <c r="N6" s="22">
        <f>SUM(M6,M9)</f>
        <v>187753</v>
      </c>
    </row>
    <row r="7" spans="1:14" ht="12" customHeight="1" x14ac:dyDescent="0.2">
      <c r="A7" s="31" t="s">
        <v>62</v>
      </c>
      <c r="B7" s="17">
        <v>12482</v>
      </c>
      <c r="C7" s="17">
        <v>6756</v>
      </c>
      <c r="D7" s="17">
        <v>7103</v>
      </c>
      <c r="E7" s="17">
        <v>10410</v>
      </c>
      <c r="F7" s="17">
        <v>1707</v>
      </c>
      <c r="G7" s="17">
        <v>8652</v>
      </c>
      <c r="H7" s="17">
        <v>16276</v>
      </c>
      <c r="I7" s="17">
        <v>48255</v>
      </c>
      <c r="J7" s="17">
        <v>21531</v>
      </c>
      <c r="K7" s="17">
        <v>12501</v>
      </c>
      <c r="L7" s="17">
        <v>11701</v>
      </c>
      <c r="M7" s="5">
        <f t="shared" si="0"/>
        <v>157374</v>
      </c>
      <c r="N7" s="22">
        <f>SUM(M7)</f>
        <v>157374</v>
      </c>
    </row>
    <row r="8" spans="1:14" x14ac:dyDescent="0.2">
      <c r="A8" s="31" t="s">
        <v>61</v>
      </c>
      <c r="B8" s="17">
        <v>12253</v>
      </c>
      <c r="C8" s="17">
        <v>6568</v>
      </c>
      <c r="D8" s="17">
        <v>6939</v>
      </c>
      <c r="E8" s="17">
        <v>9920</v>
      </c>
      <c r="F8" s="17">
        <v>1688</v>
      </c>
      <c r="G8" s="17">
        <v>8101</v>
      </c>
      <c r="H8" s="17">
        <v>16093</v>
      </c>
      <c r="I8" s="17">
        <v>45425</v>
      </c>
      <c r="J8" s="17">
        <v>18863</v>
      </c>
      <c r="K8" s="17">
        <v>12030</v>
      </c>
      <c r="L8" s="17">
        <v>11294</v>
      </c>
      <c r="M8" s="5">
        <f t="shared" si="0"/>
        <v>149174</v>
      </c>
      <c r="N8" s="22">
        <f>SUM(M8)</f>
        <v>149174</v>
      </c>
    </row>
    <row r="9" spans="1:14" x14ac:dyDescent="0.2">
      <c r="A9" s="31" t="s">
        <v>60</v>
      </c>
      <c r="B9" s="17">
        <v>1478</v>
      </c>
      <c r="C9" s="17">
        <v>801</v>
      </c>
      <c r="D9" s="17">
        <v>872</v>
      </c>
      <c r="E9" s="17">
        <v>2155</v>
      </c>
      <c r="F9" s="17">
        <v>201</v>
      </c>
      <c r="G9" s="17">
        <v>1446</v>
      </c>
      <c r="H9" s="17">
        <v>2397</v>
      </c>
      <c r="I9" s="17">
        <v>7998</v>
      </c>
      <c r="J9" s="17">
        <v>4685</v>
      </c>
      <c r="K9" s="17">
        <v>1823</v>
      </c>
      <c r="L9" s="17">
        <v>1571</v>
      </c>
      <c r="M9" s="5">
        <f t="shared" si="0"/>
        <v>25427</v>
      </c>
      <c r="N9" s="15"/>
    </row>
    <row r="10" spans="1:14" x14ac:dyDescent="0.2">
      <c r="A10" s="31" t="s">
        <v>59</v>
      </c>
      <c r="B10" s="17">
        <v>1494</v>
      </c>
      <c r="C10" s="17">
        <v>708</v>
      </c>
      <c r="D10" s="17">
        <v>855</v>
      </c>
      <c r="E10" s="17">
        <v>1514</v>
      </c>
      <c r="F10" s="17">
        <v>213</v>
      </c>
      <c r="G10" s="17">
        <v>1156</v>
      </c>
      <c r="H10" s="17">
        <v>2314</v>
      </c>
      <c r="I10" s="17">
        <v>6830</v>
      </c>
      <c r="J10" s="17">
        <v>3789</v>
      </c>
      <c r="K10" s="17">
        <v>2360</v>
      </c>
      <c r="L10" s="17">
        <v>1515</v>
      </c>
      <c r="M10" s="5">
        <f t="shared" si="0"/>
        <v>22748</v>
      </c>
      <c r="N10" s="15"/>
    </row>
    <row r="11" spans="1:14" x14ac:dyDescent="0.2">
      <c r="A11" s="31" t="s">
        <v>58</v>
      </c>
      <c r="B11" s="17">
        <v>1113</v>
      </c>
      <c r="C11" s="17">
        <v>597</v>
      </c>
      <c r="D11" s="17">
        <v>638</v>
      </c>
      <c r="E11" s="17">
        <v>1409</v>
      </c>
      <c r="F11" s="17">
        <v>194</v>
      </c>
      <c r="G11" s="17">
        <v>1175</v>
      </c>
      <c r="H11" s="17">
        <v>1882</v>
      </c>
      <c r="I11" s="17">
        <v>6902</v>
      </c>
      <c r="J11" s="17">
        <v>5145</v>
      </c>
      <c r="K11" s="17">
        <v>1662</v>
      </c>
      <c r="L11" s="17">
        <v>1299</v>
      </c>
      <c r="M11" s="5">
        <f t="shared" si="0"/>
        <v>22016</v>
      </c>
      <c r="N11" s="15"/>
    </row>
    <row r="12" spans="1:14" x14ac:dyDescent="0.2">
      <c r="A12" s="32" t="s">
        <v>3</v>
      </c>
      <c r="B12" s="17">
        <v>8359</v>
      </c>
      <c r="C12" s="17">
        <v>5801</v>
      </c>
      <c r="D12" s="17">
        <v>5466</v>
      </c>
      <c r="E12" s="17">
        <v>7772</v>
      </c>
      <c r="F12" s="17">
        <v>790</v>
      </c>
      <c r="G12" s="17">
        <v>5907</v>
      </c>
      <c r="H12" s="17">
        <v>13752</v>
      </c>
      <c r="I12" s="17">
        <v>24953</v>
      </c>
      <c r="J12" s="17">
        <v>14691</v>
      </c>
      <c r="K12" s="17">
        <v>8415</v>
      </c>
      <c r="L12" s="17">
        <v>537</v>
      </c>
      <c r="M12" s="5">
        <f t="shared" si="0"/>
        <v>96443</v>
      </c>
      <c r="N12" s="15"/>
    </row>
    <row r="13" spans="1:14" x14ac:dyDescent="0.2">
      <c r="A13" s="32" t="s">
        <v>2</v>
      </c>
      <c r="B13" s="17">
        <v>69</v>
      </c>
      <c r="C13" s="17">
        <v>53</v>
      </c>
      <c r="D13" s="17">
        <v>24</v>
      </c>
      <c r="E13" s="17">
        <v>0</v>
      </c>
      <c r="F13" s="17">
        <v>17</v>
      </c>
      <c r="G13" s="17">
        <v>36</v>
      </c>
      <c r="H13" s="17">
        <v>1</v>
      </c>
      <c r="I13" s="17">
        <v>178</v>
      </c>
      <c r="J13" s="17">
        <v>219</v>
      </c>
      <c r="K13" s="17">
        <v>141</v>
      </c>
      <c r="L13" s="17">
        <v>15</v>
      </c>
      <c r="M13" s="5">
        <f t="shared" si="0"/>
        <v>753</v>
      </c>
      <c r="N13" s="15"/>
    </row>
    <row r="14" spans="1:14" x14ac:dyDescent="0.2">
      <c r="A14" s="32" t="s">
        <v>1</v>
      </c>
      <c r="B14" s="17">
        <v>8</v>
      </c>
      <c r="C14" s="17">
        <v>3</v>
      </c>
      <c r="D14" s="17">
        <v>0</v>
      </c>
      <c r="E14" s="17">
        <v>6</v>
      </c>
      <c r="F14" s="17">
        <v>0</v>
      </c>
      <c r="G14" s="17">
        <v>3</v>
      </c>
      <c r="H14" s="17">
        <v>10</v>
      </c>
      <c r="I14" s="17">
        <v>36</v>
      </c>
      <c r="J14" s="17">
        <v>82</v>
      </c>
      <c r="K14" s="17">
        <v>22</v>
      </c>
      <c r="L14" s="17">
        <v>5</v>
      </c>
      <c r="M14" s="5">
        <f t="shared" si="0"/>
        <v>175</v>
      </c>
      <c r="N14" s="15"/>
    </row>
    <row r="15" spans="1:14" x14ac:dyDescent="0.2">
      <c r="A15" s="33" t="s">
        <v>0</v>
      </c>
      <c r="B15" s="17">
        <f>SUM(StateSenatorSenateDistrict2General[Clinton County Vote Results])</f>
        <v>83496</v>
      </c>
      <c r="C15" s="17">
        <f>SUM(StateSenatorSenateDistrict2General[Essex County Vote Results])</f>
        <v>47364</v>
      </c>
      <c r="D15" s="17">
        <f>SUM(StateSenatorSenateDistrict2General[Franklin County Vote Results])</f>
        <v>46092</v>
      </c>
      <c r="E15" s="17">
        <f>SUM(StateSenatorSenateDistrict2General[Fulton County Vote Results])</f>
        <v>57180</v>
      </c>
      <c r="F15" s="17">
        <f>SUM(StateSenatorSenateDistrict2General[Hamilton County Vote Results])</f>
        <v>8805</v>
      </c>
      <c r="G15" s="17">
        <f>SUM(StateSenatorSenateDistrict2General[Montgomery County Vote Results])</f>
        <v>48213</v>
      </c>
      <c r="H15" s="17">
        <f>SUM(StateSenatorSenateDistrict2General[St. Lawrence County Vote Results])</f>
        <v>104514</v>
      </c>
      <c r="I15" s="17">
        <f>SUM(StateSenatorSenateDistrict2General[Saratoga County Vote Results])</f>
        <v>314538</v>
      </c>
      <c r="J15" s="17">
        <f>SUM(StateSenatorSenateDistrict2General[Schenectady County Vote Results])</f>
        <v>165138</v>
      </c>
      <c r="K15" s="17">
        <f>SUM(StateSenatorSenateDistrict2General[Warren County Vote Results])</f>
        <v>85179</v>
      </c>
      <c r="L15" s="17">
        <f>SUM(StateSenatorSenateDistrict2General[Washington County Vote Results])</f>
        <v>61313</v>
      </c>
      <c r="M15" s="16">
        <f>SUM(StateSenatorSenateDistrict2General[Total Votes by Party])</f>
        <v>1021832</v>
      </c>
      <c r="N15" s="15"/>
    </row>
  </sheetData>
  <mergeCells count="1">
    <mergeCell ref="A1:D1"/>
  </mergeCells>
  <pageMargins left="0.25" right="0.25" top="0.25" bottom="0.25" header="0.25" footer="0.25"/>
  <pageSetup paperSize="5" scale="58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D01D-2C2E-4C65-AC7A-360B459E2696}">
  <sheetPr>
    <pageSetUpPr fitToPage="1"/>
  </sheetPr>
  <dimension ref="A1:I18"/>
  <sheetViews>
    <sheetView workbookViewId="0">
      <pane xSplit="1" topLeftCell="B1" activePane="topRight" state="frozen"/>
      <selection pane="topRight" activeCell="A3" sqref="A3:A18"/>
    </sheetView>
  </sheetViews>
  <sheetFormatPr defaultRowHeight="12.75" x14ac:dyDescent="0.2"/>
  <cols>
    <col min="1" max="1" width="25.5703125" customWidth="1"/>
    <col min="2" max="9" width="20.5703125" customWidth="1"/>
    <col min="10" max="11" width="23.5703125" customWidth="1"/>
  </cols>
  <sheetData>
    <row r="1" spans="1:9" ht="42.75" customHeight="1" x14ac:dyDescent="0.2">
      <c r="A1" s="35" t="s">
        <v>97</v>
      </c>
      <c r="B1" s="35"/>
      <c r="C1" s="35"/>
      <c r="D1" s="35"/>
      <c r="E1" s="35"/>
      <c r="F1" s="35"/>
    </row>
    <row r="2" spans="1:9" ht="24.95" customHeight="1" x14ac:dyDescent="0.2">
      <c r="A2" s="14" t="s">
        <v>10</v>
      </c>
      <c r="B2" s="13" t="s">
        <v>96</v>
      </c>
      <c r="C2" s="13" t="s">
        <v>95</v>
      </c>
      <c r="D2" s="13" t="s">
        <v>94</v>
      </c>
      <c r="E2" s="13" t="s">
        <v>93</v>
      </c>
      <c r="F2" s="13" t="s">
        <v>92</v>
      </c>
      <c r="G2" s="13" t="s">
        <v>91</v>
      </c>
      <c r="H2" s="12" t="s">
        <v>8</v>
      </c>
      <c r="I2" s="11" t="s">
        <v>7</v>
      </c>
    </row>
    <row r="3" spans="1:9" ht="12.75" customHeight="1" x14ac:dyDescent="0.2">
      <c r="A3" s="31" t="s">
        <v>90</v>
      </c>
      <c r="B3" s="27">
        <v>6839</v>
      </c>
      <c r="C3" s="27">
        <v>9363</v>
      </c>
      <c r="D3" s="27">
        <v>2428</v>
      </c>
      <c r="E3" s="27">
        <v>32607</v>
      </c>
      <c r="F3" s="27">
        <v>86347</v>
      </c>
      <c r="G3" s="27">
        <v>12803</v>
      </c>
      <c r="H3" s="5">
        <f t="shared" ref="H3:H17" si="0">SUM(B3:G3)</f>
        <v>150387</v>
      </c>
      <c r="I3" s="8">
        <f>SUM(H3)</f>
        <v>150387</v>
      </c>
    </row>
    <row r="4" spans="1:9" ht="12.75" customHeight="1" x14ac:dyDescent="0.2">
      <c r="A4" s="31" t="s">
        <v>89</v>
      </c>
      <c r="B4" s="29">
        <v>4845</v>
      </c>
      <c r="C4" s="27">
        <v>8779</v>
      </c>
      <c r="D4" s="27">
        <v>1945</v>
      </c>
      <c r="E4" s="27">
        <v>20960</v>
      </c>
      <c r="F4" s="27">
        <v>82354</v>
      </c>
      <c r="G4" s="27">
        <v>11857</v>
      </c>
      <c r="H4" s="5">
        <f t="shared" si="0"/>
        <v>130740</v>
      </c>
      <c r="I4" s="8">
        <f>SUM(H4)</f>
        <v>130740</v>
      </c>
    </row>
    <row r="5" spans="1:9" ht="12.75" customHeight="1" x14ac:dyDescent="0.2">
      <c r="A5" s="31" t="s">
        <v>88</v>
      </c>
      <c r="B5" s="29">
        <v>4103</v>
      </c>
      <c r="C5" s="27">
        <v>8198</v>
      </c>
      <c r="D5" s="27">
        <v>1868</v>
      </c>
      <c r="E5" s="27">
        <v>20610</v>
      </c>
      <c r="F5" s="27">
        <v>78814</v>
      </c>
      <c r="G5" s="27">
        <v>11470</v>
      </c>
      <c r="H5" s="5">
        <f t="shared" si="0"/>
        <v>125063</v>
      </c>
      <c r="I5" s="8">
        <f>SUM(H5)</f>
        <v>125063</v>
      </c>
    </row>
    <row r="6" spans="1:9" ht="12.75" customHeight="1" x14ac:dyDescent="0.2">
      <c r="A6" s="31" t="s">
        <v>87</v>
      </c>
      <c r="B6" s="29">
        <v>4857</v>
      </c>
      <c r="C6" s="27">
        <v>7818</v>
      </c>
      <c r="D6" s="27">
        <v>1878</v>
      </c>
      <c r="E6" s="27">
        <v>22408</v>
      </c>
      <c r="F6" s="27">
        <v>80244</v>
      </c>
      <c r="G6" s="27">
        <v>11766</v>
      </c>
      <c r="H6" s="5">
        <f t="shared" si="0"/>
        <v>128971</v>
      </c>
      <c r="I6" s="8">
        <f>SUM(H6)</f>
        <v>128971</v>
      </c>
    </row>
    <row r="7" spans="1:9" ht="12.75" customHeight="1" x14ac:dyDescent="0.2">
      <c r="A7" s="31" t="s">
        <v>86</v>
      </c>
      <c r="B7" s="28">
        <v>12165</v>
      </c>
      <c r="C7" s="27">
        <v>17148</v>
      </c>
      <c r="D7" s="27">
        <v>6681</v>
      </c>
      <c r="E7" s="27">
        <v>36140</v>
      </c>
      <c r="F7" s="27">
        <v>63272</v>
      </c>
      <c r="G7" s="27">
        <v>22816</v>
      </c>
      <c r="H7" s="5">
        <f t="shared" si="0"/>
        <v>158222</v>
      </c>
      <c r="I7" s="8">
        <f>SUM(H7,H11)</f>
        <v>183246</v>
      </c>
    </row>
    <row r="8" spans="1:9" ht="12.75" customHeight="1" x14ac:dyDescent="0.2">
      <c r="A8" s="31" t="s">
        <v>85</v>
      </c>
      <c r="B8" s="27">
        <v>12517</v>
      </c>
      <c r="C8" s="27">
        <v>17202</v>
      </c>
      <c r="D8" s="27">
        <v>6608</v>
      </c>
      <c r="E8" s="27">
        <v>42458</v>
      </c>
      <c r="F8" s="27">
        <v>63385</v>
      </c>
      <c r="G8" s="27">
        <v>22131</v>
      </c>
      <c r="H8" s="5">
        <f t="shared" si="0"/>
        <v>164301</v>
      </c>
      <c r="I8" s="8">
        <f>SUM(H8,H12)</f>
        <v>190600</v>
      </c>
    </row>
    <row r="9" spans="1:9" ht="12.75" customHeight="1" x14ac:dyDescent="0.2">
      <c r="A9" s="31" t="s">
        <v>84</v>
      </c>
      <c r="B9" s="29">
        <v>14412</v>
      </c>
      <c r="C9" s="27">
        <v>16892</v>
      </c>
      <c r="D9" s="27">
        <v>6385</v>
      </c>
      <c r="E9" s="27">
        <v>38391</v>
      </c>
      <c r="F9" s="27">
        <v>60380</v>
      </c>
      <c r="G9" s="27">
        <v>21696</v>
      </c>
      <c r="H9" s="5">
        <f t="shared" si="0"/>
        <v>158156</v>
      </c>
      <c r="I9" s="8">
        <f>SUM(H9,H13)</f>
        <v>183551</v>
      </c>
    </row>
    <row r="10" spans="1:9" ht="12.75" customHeight="1" x14ac:dyDescent="0.2">
      <c r="A10" s="31" t="s">
        <v>83</v>
      </c>
      <c r="B10" s="29">
        <v>11294</v>
      </c>
      <c r="C10" s="27">
        <v>17971</v>
      </c>
      <c r="D10" s="27">
        <v>6176</v>
      </c>
      <c r="E10" s="27">
        <v>35102</v>
      </c>
      <c r="F10" s="27">
        <v>57154</v>
      </c>
      <c r="G10" s="27">
        <v>21125</v>
      </c>
      <c r="H10" s="5">
        <f t="shared" si="0"/>
        <v>148822</v>
      </c>
      <c r="I10" s="8">
        <f>SUM(H10,H14)</f>
        <v>172524</v>
      </c>
    </row>
    <row r="11" spans="1:9" ht="12.75" customHeight="1" x14ac:dyDescent="0.2">
      <c r="A11" s="31" t="s">
        <v>82</v>
      </c>
      <c r="B11" s="29">
        <v>1795</v>
      </c>
      <c r="C11" s="27">
        <v>1883</v>
      </c>
      <c r="D11" s="27">
        <v>688</v>
      </c>
      <c r="E11" s="27">
        <v>4739</v>
      </c>
      <c r="F11" s="27">
        <v>12678</v>
      </c>
      <c r="G11" s="27">
        <v>3241</v>
      </c>
      <c r="H11" s="5">
        <f t="shared" si="0"/>
        <v>25024</v>
      </c>
      <c r="I11" s="1"/>
    </row>
    <row r="12" spans="1:9" ht="12.75" customHeight="1" x14ac:dyDescent="0.2">
      <c r="A12" s="31" t="s">
        <v>81</v>
      </c>
      <c r="B12" s="28">
        <v>1584</v>
      </c>
      <c r="C12" s="27">
        <v>1982</v>
      </c>
      <c r="D12" s="27">
        <v>725</v>
      </c>
      <c r="E12" s="27">
        <v>5699</v>
      </c>
      <c r="F12" s="27">
        <v>13029</v>
      </c>
      <c r="G12" s="27">
        <v>3280</v>
      </c>
      <c r="H12" s="5">
        <f t="shared" si="0"/>
        <v>26299</v>
      </c>
      <c r="I12" s="1"/>
    </row>
    <row r="13" spans="1:9" x14ac:dyDescent="0.2">
      <c r="A13" s="31" t="s">
        <v>80</v>
      </c>
      <c r="B13" s="26">
        <v>1846</v>
      </c>
      <c r="C13" s="26">
        <v>1948</v>
      </c>
      <c r="D13" s="26">
        <v>691</v>
      </c>
      <c r="E13" s="26">
        <v>5162</v>
      </c>
      <c r="F13" s="26">
        <v>12573</v>
      </c>
      <c r="G13" s="26">
        <v>3175</v>
      </c>
      <c r="H13" s="5">
        <f t="shared" si="0"/>
        <v>25395</v>
      </c>
      <c r="I13" s="1"/>
    </row>
    <row r="14" spans="1:9" x14ac:dyDescent="0.2">
      <c r="A14" s="31" t="s">
        <v>79</v>
      </c>
      <c r="B14" s="26">
        <v>1322</v>
      </c>
      <c r="C14" s="26">
        <v>2082</v>
      </c>
      <c r="D14" s="26">
        <v>651</v>
      </c>
      <c r="E14" s="26">
        <v>4630</v>
      </c>
      <c r="F14" s="26">
        <v>11856</v>
      </c>
      <c r="G14" s="26">
        <v>3161</v>
      </c>
      <c r="H14" s="5">
        <f t="shared" si="0"/>
        <v>23702</v>
      </c>
      <c r="I14" s="1"/>
    </row>
    <row r="15" spans="1:9" x14ac:dyDescent="0.2">
      <c r="A15" s="32" t="s">
        <v>3</v>
      </c>
      <c r="B15" s="26">
        <v>12392</v>
      </c>
      <c r="C15" s="26">
        <v>16561</v>
      </c>
      <c r="D15" s="26">
        <v>6377</v>
      </c>
      <c r="E15" s="26">
        <v>34874</v>
      </c>
      <c r="F15" s="26">
        <v>62294</v>
      </c>
      <c r="G15" s="26">
        <v>13289</v>
      </c>
      <c r="H15" s="5">
        <f t="shared" si="0"/>
        <v>145787</v>
      </c>
      <c r="I15" s="1"/>
    </row>
    <row r="16" spans="1:9" x14ac:dyDescent="0.2">
      <c r="A16" s="32" t="s">
        <v>2</v>
      </c>
      <c r="B16" s="26">
        <v>3</v>
      </c>
      <c r="C16" s="26">
        <v>48</v>
      </c>
      <c r="D16" s="26">
        <v>12</v>
      </c>
      <c r="E16" s="26">
        <v>180</v>
      </c>
      <c r="F16" s="26">
        <v>351</v>
      </c>
      <c r="G16" s="26">
        <v>129</v>
      </c>
      <c r="H16" s="5">
        <f t="shared" si="0"/>
        <v>723</v>
      </c>
      <c r="I16" s="15"/>
    </row>
    <row r="17" spans="1:9" x14ac:dyDescent="0.2">
      <c r="A17" s="32" t="s">
        <v>1</v>
      </c>
      <c r="B17" s="26">
        <v>10</v>
      </c>
      <c r="C17" s="26">
        <v>13</v>
      </c>
      <c r="D17" s="26">
        <v>3</v>
      </c>
      <c r="E17" s="26">
        <v>64</v>
      </c>
      <c r="F17" s="26">
        <v>105</v>
      </c>
      <c r="G17" s="26">
        <v>17</v>
      </c>
      <c r="H17" s="5">
        <f t="shared" si="0"/>
        <v>212</v>
      </c>
      <c r="I17" s="15"/>
    </row>
    <row r="18" spans="1:9" x14ac:dyDescent="0.2">
      <c r="A18" s="33" t="s">
        <v>0</v>
      </c>
      <c r="B18" s="26">
        <f>SUM(StateSenatorSenateDistrict3General[Herkimer County Vote Results])</f>
        <v>89984</v>
      </c>
      <c r="C18" s="26">
        <f>SUM(StateSenatorSenateDistrict3General[Jefferson County Vote Results])</f>
        <v>127888</v>
      </c>
      <c r="D18" s="26">
        <f>SUM(StateSenatorSenateDistrict3General[Lewis County Vote Results])</f>
        <v>43116</v>
      </c>
      <c r="E18" s="26">
        <f>SUM(StateSenatorSenateDistrict3General[Oneida County Vote Results])</f>
        <v>304024</v>
      </c>
      <c r="F18" s="26">
        <f>SUM(StateSenatorSenateDistrict3General[Onondaga County Vote Results])</f>
        <v>684836</v>
      </c>
      <c r="G18" s="26">
        <f>SUM(StateSenatorSenateDistrict3General[Oswego County Vote Results])</f>
        <v>161956</v>
      </c>
      <c r="H18" s="16">
        <f>SUM(StateSenatorSenateDistrict3General[Total Votes by Party])</f>
        <v>1411804</v>
      </c>
      <c r="I18" s="15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E0A7-EE79-469C-8B4B-ECB5C569F851}">
  <sheetPr>
    <pageSetUpPr fitToPage="1"/>
  </sheetPr>
  <dimension ref="A1:K12"/>
  <sheetViews>
    <sheetView workbookViewId="0">
      <pane xSplit="1" topLeftCell="B1" activePane="topRight" state="frozen"/>
      <selection pane="topRight" activeCell="A12" sqref="A3:A12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38.25" customHeight="1" x14ac:dyDescent="0.2">
      <c r="A1" s="35" t="s">
        <v>112</v>
      </c>
      <c r="B1" s="35"/>
      <c r="C1" s="35"/>
      <c r="D1" s="35"/>
      <c r="E1" s="35"/>
    </row>
    <row r="2" spans="1:11" ht="24.95" customHeight="1" x14ac:dyDescent="0.2">
      <c r="A2" s="14" t="s">
        <v>10</v>
      </c>
      <c r="B2" s="13" t="s">
        <v>111</v>
      </c>
      <c r="C2" s="13" t="s">
        <v>110</v>
      </c>
      <c r="D2" s="13" t="s">
        <v>109</v>
      </c>
      <c r="E2" s="13" t="s">
        <v>108</v>
      </c>
      <c r="F2" s="13" t="s">
        <v>107</v>
      </c>
      <c r="G2" s="13" t="s">
        <v>106</v>
      </c>
      <c r="H2" s="13" t="s">
        <v>105</v>
      </c>
      <c r="I2" s="13" t="s">
        <v>104</v>
      </c>
      <c r="J2" s="12" t="s">
        <v>8</v>
      </c>
      <c r="K2" s="11" t="s">
        <v>7</v>
      </c>
    </row>
    <row r="3" spans="1:11" x14ac:dyDescent="0.2">
      <c r="A3" s="31" t="s">
        <v>103</v>
      </c>
      <c r="B3" s="17">
        <v>9603</v>
      </c>
      <c r="C3" s="17">
        <v>7203</v>
      </c>
      <c r="D3" s="17">
        <v>130828</v>
      </c>
      <c r="E3" s="17">
        <v>17530</v>
      </c>
      <c r="F3" s="17">
        <v>4269</v>
      </c>
      <c r="G3" s="17">
        <v>9250</v>
      </c>
      <c r="H3" s="17">
        <v>9373</v>
      </c>
      <c r="I3" s="17">
        <v>2375</v>
      </c>
      <c r="J3" s="16">
        <f t="shared" ref="J3:J11" si="0">SUM(B3:I3)</f>
        <v>190431</v>
      </c>
      <c r="K3" s="22">
        <f>SUM(J3)</f>
        <v>190431</v>
      </c>
    </row>
    <row r="4" spans="1:11" x14ac:dyDescent="0.2">
      <c r="A4" s="31" t="s">
        <v>102</v>
      </c>
      <c r="B4" s="17">
        <v>8542</v>
      </c>
      <c r="C4" s="17">
        <v>6712</v>
      </c>
      <c r="D4" s="17">
        <v>122325</v>
      </c>
      <c r="E4" s="17">
        <v>16219</v>
      </c>
      <c r="F4" s="17">
        <v>3606</v>
      </c>
      <c r="G4" s="17">
        <v>8191</v>
      </c>
      <c r="H4" s="17">
        <v>8608</v>
      </c>
      <c r="I4" s="17">
        <v>2048</v>
      </c>
      <c r="J4" s="16">
        <f t="shared" si="0"/>
        <v>176251</v>
      </c>
      <c r="K4" s="22">
        <f>SUM(J4)</f>
        <v>176251</v>
      </c>
    </row>
    <row r="5" spans="1:11" x14ac:dyDescent="0.2">
      <c r="A5" s="31" t="s">
        <v>101</v>
      </c>
      <c r="B5" s="17">
        <v>14131</v>
      </c>
      <c r="C5" s="17">
        <v>14006</v>
      </c>
      <c r="D5" s="17">
        <v>115815</v>
      </c>
      <c r="E5" s="17">
        <v>23080</v>
      </c>
      <c r="F5" s="17">
        <v>6144</v>
      </c>
      <c r="G5" s="17">
        <v>21787</v>
      </c>
      <c r="H5" s="17">
        <v>19647</v>
      </c>
      <c r="I5" s="17">
        <v>4374</v>
      </c>
      <c r="J5" s="16">
        <f t="shared" si="0"/>
        <v>218984</v>
      </c>
      <c r="K5" s="22">
        <f>SUM(J5,J7)</f>
        <v>260550</v>
      </c>
    </row>
    <row r="6" spans="1:11" x14ac:dyDescent="0.2">
      <c r="A6" s="31" t="s">
        <v>100</v>
      </c>
      <c r="B6" s="17">
        <v>13216</v>
      </c>
      <c r="C6" s="17">
        <v>13382</v>
      </c>
      <c r="D6" s="17">
        <v>102148</v>
      </c>
      <c r="E6" s="17">
        <v>21860</v>
      </c>
      <c r="F6" s="17">
        <v>5790</v>
      </c>
      <c r="G6" s="17">
        <v>20961</v>
      </c>
      <c r="H6" s="17">
        <v>18511</v>
      </c>
      <c r="I6" s="17">
        <v>5063</v>
      </c>
      <c r="J6" s="16">
        <f t="shared" si="0"/>
        <v>200931</v>
      </c>
      <c r="K6" s="22">
        <f>SUM(J6,J8)</f>
        <v>241357</v>
      </c>
    </row>
    <row r="7" spans="1:11" x14ac:dyDescent="0.2">
      <c r="A7" s="31" t="s">
        <v>99</v>
      </c>
      <c r="B7" s="18">
        <v>2391</v>
      </c>
      <c r="C7" s="17">
        <v>2429</v>
      </c>
      <c r="D7" s="17">
        <v>24763</v>
      </c>
      <c r="E7" s="17">
        <v>4283</v>
      </c>
      <c r="F7" s="17">
        <v>832</v>
      </c>
      <c r="G7" s="17">
        <v>2143</v>
      </c>
      <c r="H7" s="17">
        <v>4069</v>
      </c>
      <c r="I7" s="17">
        <v>656</v>
      </c>
      <c r="J7" s="16">
        <f t="shared" si="0"/>
        <v>41566</v>
      </c>
      <c r="K7" s="15"/>
    </row>
    <row r="8" spans="1:11" x14ac:dyDescent="0.2">
      <c r="A8" s="31" t="s">
        <v>98</v>
      </c>
      <c r="B8" s="17">
        <v>2348</v>
      </c>
      <c r="C8" s="17">
        <v>2431</v>
      </c>
      <c r="D8" s="17">
        <v>23648</v>
      </c>
      <c r="E8" s="17">
        <v>4233</v>
      </c>
      <c r="F8" s="17">
        <v>812</v>
      </c>
      <c r="G8" s="17">
        <v>2152</v>
      </c>
      <c r="H8" s="17">
        <v>4032</v>
      </c>
      <c r="I8" s="17">
        <v>770</v>
      </c>
      <c r="J8" s="16">
        <f t="shared" si="0"/>
        <v>40426</v>
      </c>
      <c r="K8" s="15"/>
    </row>
    <row r="9" spans="1:11" x14ac:dyDescent="0.2">
      <c r="A9" s="32" t="s">
        <v>3</v>
      </c>
      <c r="B9" s="17">
        <v>3992</v>
      </c>
      <c r="C9" s="17">
        <v>2829</v>
      </c>
      <c r="D9" s="17">
        <v>35904</v>
      </c>
      <c r="E9" s="17">
        <v>5865</v>
      </c>
      <c r="F9" s="17">
        <v>1793</v>
      </c>
      <c r="G9" s="17">
        <v>4942</v>
      </c>
      <c r="H9" s="17">
        <v>3456</v>
      </c>
      <c r="I9" s="17">
        <v>1382</v>
      </c>
      <c r="J9" s="16">
        <f t="shared" si="0"/>
        <v>60163</v>
      </c>
      <c r="K9" s="15"/>
    </row>
    <row r="10" spans="1:11" x14ac:dyDescent="0.2">
      <c r="A10" s="32" t="s">
        <v>2</v>
      </c>
      <c r="B10" s="17">
        <v>32</v>
      </c>
      <c r="C10" s="17">
        <v>26</v>
      </c>
      <c r="D10" s="17">
        <v>326</v>
      </c>
      <c r="E10" s="17">
        <v>34</v>
      </c>
      <c r="F10" s="17">
        <v>18</v>
      </c>
      <c r="G10" s="17">
        <v>42</v>
      </c>
      <c r="H10" s="17">
        <v>38</v>
      </c>
      <c r="I10" s="17">
        <v>14</v>
      </c>
      <c r="J10" s="16">
        <f t="shared" si="0"/>
        <v>530</v>
      </c>
      <c r="K10" s="15"/>
    </row>
    <row r="11" spans="1:11" x14ac:dyDescent="0.2">
      <c r="A11" s="32" t="s">
        <v>1</v>
      </c>
      <c r="B11" s="17">
        <v>13</v>
      </c>
      <c r="C11" s="17">
        <v>6</v>
      </c>
      <c r="D11" s="17">
        <v>143</v>
      </c>
      <c r="E11" s="17">
        <v>16</v>
      </c>
      <c r="F11" s="17">
        <v>4</v>
      </c>
      <c r="G11" s="17">
        <v>16</v>
      </c>
      <c r="H11" s="17">
        <v>10</v>
      </c>
      <c r="I11" s="17">
        <v>8</v>
      </c>
      <c r="J11" s="16">
        <f t="shared" si="0"/>
        <v>216</v>
      </c>
      <c r="K11" s="15"/>
    </row>
    <row r="12" spans="1:11" x14ac:dyDescent="0.2">
      <c r="A12" s="33" t="s">
        <v>0</v>
      </c>
      <c r="B12" s="17">
        <f>SUM(StateSenatorSenateDistrict4General[Cayuga County Vote Results])</f>
        <v>54268</v>
      </c>
      <c r="C12" s="17">
        <f>SUM(StateSenatorSenateDistrict4General[Livingston County Vote Results])</f>
        <v>49024</v>
      </c>
      <c r="D12" s="17">
        <f>SUM(StateSenatorSenateDistrict4General[Monroe County Vote Results])</f>
        <v>555900</v>
      </c>
      <c r="E12" s="17">
        <f>SUM(StateSenatorSenateDistrict4General[Ontario County Vote Results])</f>
        <v>93120</v>
      </c>
      <c r="F12" s="17">
        <f>SUM(StateSenatorSenateDistrict4General[Seneca County Vote Results])</f>
        <v>23268</v>
      </c>
      <c r="G12" s="17">
        <f>SUM(StateSenatorSenateDistrict4General[Steuben County Vote Results])</f>
        <v>69484</v>
      </c>
      <c r="H12" s="17">
        <f>SUM(StateSenatorSenateDistrict4General[Wayne County Vote Results])</f>
        <v>67744</v>
      </c>
      <c r="I12" s="17">
        <f>SUM(StateSenatorSenateDistrict4General[Yates County Vote Results])</f>
        <v>16690</v>
      </c>
      <c r="J12" s="16">
        <f>SUM(StateSenatorSenateDistrict4General[Total Votes by Party])</f>
        <v>929498</v>
      </c>
      <c r="K12" s="15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CCF8-61A2-4D3D-B21F-23B6F6D128DD}">
  <sheetPr>
    <pageSetUpPr fitToPage="1"/>
  </sheetPr>
  <dimension ref="A1:K24"/>
  <sheetViews>
    <sheetView workbookViewId="0">
      <pane xSplit="1" topLeftCell="D1" activePane="topRight" state="frozen"/>
      <selection activeCell="A2" sqref="A2"/>
      <selection pane="topRight" activeCell="A3" sqref="A3:A24"/>
    </sheetView>
  </sheetViews>
  <sheetFormatPr defaultRowHeight="12.75" x14ac:dyDescent="0.2"/>
  <cols>
    <col min="1" max="1" width="25.5703125" customWidth="1"/>
    <col min="2" max="9" width="18.7109375" customWidth="1"/>
    <col min="10" max="11" width="20.5703125" customWidth="1"/>
    <col min="12" max="13" width="23.5703125" customWidth="1"/>
  </cols>
  <sheetData>
    <row r="1" spans="1:11" ht="49.5" customHeight="1" x14ac:dyDescent="0.2">
      <c r="A1" s="35" t="s">
        <v>139</v>
      </c>
      <c r="B1" s="35"/>
      <c r="C1" s="35"/>
      <c r="D1" s="35"/>
      <c r="E1" s="35"/>
    </row>
    <row r="2" spans="1:11" ht="25.5" x14ac:dyDescent="0.2">
      <c r="A2" s="14" t="s">
        <v>10</v>
      </c>
      <c r="B2" s="13" t="s">
        <v>138</v>
      </c>
      <c r="C2" s="13" t="s">
        <v>137</v>
      </c>
      <c r="D2" s="13" t="s">
        <v>136</v>
      </c>
      <c r="E2" s="13" t="s">
        <v>135</v>
      </c>
      <c r="F2" s="13" t="s">
        <v>134</v>
      </c>
      <c r="G2" s="13" t="s">
        <v>133</v>
      </c>
      <c r="H2" s="13" t="s">
        <v>132</v>
      </c>
      <c r="I2" s="13" t="s">
        <v>131</v>
      </c>
      <c r="J2" s="12" t="s">
        <v>8</v>
      </c>
      <c r="K2" s="11" t="s">
        <v>7</v>
      </c>
    </row>
    <row r="3" spans="1:11" x14ac:dyDescent="0.2">
      <c r="A3" s="31" t="s">
        <v>130</v>
      </c>
      <c r="B3" s="17">
        <v>3495</v>
      </c>
      <c r="C3" s="17">
        <v>7228</v>
      </c>
      <c r="D3" s="17">
        <v>14007</v>
      </c>
      <c r="E3" s="17">
        <v>154996</v>
      </c>
      <c r="F3" s="17">
        <v>5608</v>
      </c>
      <c r="G3" s="17">
        <v>26973</v>
      </c>
      <c r="H3" s="17">
        <v>2858</v>
      </c>
      <c r="I3" s="17">
        <v>2963</v>
      </c>
      <c r="J3" s="16">
        <f t="shared" ref="J3:J23" si="0">SUM(B3:I3)</f>
        <v>218128</v>
      </c>
      <c r="K3" s="22">
        <f>SUM(J3,J18)</f>
        <v>241864</v>
      </c>
    </row>
    <row r="4" spans="1:11" x14ac:dyDescent="0.2">
      <c r="A4" s="31" t="s">
        <v>129</v>
      </c>
      <c r="B4" s="17">
        <v>3127</v>
      </c>
      <c r="C4" s="17">
        <v>6365</v>
      </c>
      <c r="D4" s="17">
        <v>12843</v>
      </c>
      <c r="E4" s="17">
        <v>142604</v>
      </c>
      <c r="F4" s="17">
        <v>4979</v>
      </c>
      <c r="G4" s="17">
        <v>23058</v>
      </c>
      <c r="H4" s="17">
        <v>2625</v>
      </c>
      <c r="I4" s="17">
        <v>2747</v>
      </c>
      <c r="J4" s="16">
        <f t="shared" si="0"/>
        <v>198348</v>
      </c>
      <c r="K4" s="22">
        <f>SUM(J9,J14,J19,J4)</f>
        <v>479241</v>
      </c>
    </row>
    <row r="5" spans="1:11" x14ac:dyDescent="0.2">
      <c r="A5" s="31" t="s">
        <v>128</v>
      </c>
      <c r="B5" s="17">
        <v>2970</v>
      </c>
      <c r="C5" s="17">
        <v>6100</v>
      </c>
      <c r="D5" s="17">
        <v>12379</v>
      </c>
      <c r="E5" s="17">
        <v>141455</v>
      </c>
      <c r="F5" s="17">
        <v>4745</v>
      </c>
      <c r="G5" s="17">
        <v>21969</v>
      </c>
      <c r="H5" s="17">
        <v>2482</v>
      </c>
      <c r="I5" s="17">
        <v>2629</v>
      </c>
      <c r="J5" s="16">
        <f t="shared" si="0"/>
        <v>194729</v>
      </c>
      <c r="K5" s="22">
        <f>SUM(J10,J5,J15,J20)</f>
        <v>470345</v>
      </c>
    </row>
    <row r="6" spans="1:11" x14ac:dyDescent="0.2">
      <c r="A6" s="31" t="s">
        <v>127</v>
      </c>
      <c r="B6" s="17">
        <v>3151</v>
      </c>
      <c r="C6" s="17">
        <v>6421</v>
      </c>
      <c r="D6" s="17">
        <v>13032</v>
      </c>
      <c r="E6" s="17">
        <v>149123</v>
      </c>
      <c r="F6" s="17">
        <v>4952</v>
      </c>
      <c r="G6" s="17">
        <v>23417</v>
      </c>
      <c r="H6" s="17">
        <v>2621</v>
      </c>
      <c r="I6" s="17">
        <v>2773</v>
      </c>
      <c r="J6" s="16">
        <f t="shared" si="0"/>
        <v>205490</v>
      </c>
      <c r="K6" s="22">
        <f>SUM(J6,J11,J16)</f>
        <v>466464</v>
      </c>
    </row>
    <row r="7" spans="1:11" x14ac:dyDescent="0.2">
      <c r="A7" s="31" t="s">
        <v>126</v>
      </c>
      <c r="B7" s="17">
        <v>2859</v>
      </c>
      <c r="C7" s="17">
        <v>6024</v>
      </c>
      <c r="D7" s="17">
        <v>12292</v>
      </c>
      <c r="E7" s="17">
        <v>144105</v>
      </c>
      <c r="F7" s="17">
        <v>4617</v>
      </c>
      <c r="G7" s="17">
        <v>21619</v>
      </c>
      <c r="H7" s="17">
        <v>2418</v>
      </c>
      <c r="I7" s="17">
        <v>2655</v>
      </c>
      <c r="J7" s="16">
        <f t="shared" si="0"/>
        <v>196589</v>
      </c>
      <c r="K7" s="22">
        <f>SUM(J7,J12,J17)</f>
        <v>449902</v>
      </c>
    </row>
    <row r="8" spans="1:11" x14ac:dyDescent="0.2">
      <c r="A8" s="31" t="s">
        <v>125</v>
      </c>
      <c r="B8" s="17">
        <v>10370</v>
      </c>
      <c r="C8" s="17">
        <v>15162</v>
      </c>
      <c r="D8" s="17">
        <v>22896</v>
      </c>
      <c r="E8" s="17">
        <v>124702</v>
      </c>
      <c r="F8" s="17">
        <v>12790</v>
      </c>
      <c r="G8" s="17">
        <v>36275</v>
      </c>
      <c r="H8" s="17">
        <v>8267</v>
      </c>
      <c r="I8" s="17">
        <v>9729</v>
      </c>
      <c r="J8" s="16">
        <f t="shared" si="0"/>
        <v>240191</v>
      </c>
      <c r="K8" s="22">
        <f>SUM(J8,J13)</f>
        <v>294728</v>
      </c>
    </row>
    <row r="9" spans="1:11" x14ac:dyDescent="0.2">
      <c r="A9" s="31" t="s">
        <v>124</v>
      </c>
      <c r="B9" s="17">
        <v>9137</v>
      </c>
      <c r="C9" s="17">
        <v>13437</v>
      </c>
      <c r="D9" s="17">
        <v>21465</v>
      </c>
      <c r="E9" s="17">
        <v>109466</v>
      </c>
      <c r="F9" s="17">
        <v>11473</v>
      </c>
      <c r="G9" s="17">
        <v>31280</v>
      </c>
      <c r="H9" s="17">
        <v>7605</v>
      </c>
      <c r="I9" s="17">
        <v>9113</v>
      </c>
      <c r="J9" s="16">
        <f t="shared" si="0"/>
        <v>212976</v>
      </c>
      <c r="K9" s="30"/>
    </row>
    <row r="10" spans="1:11" x14ac:dyDescent="0.2">
      <c r="A10" s="31" t="s">
        <v>123</v>
      </c>
      <c r="B10" s="17">
        <v>8912</v>
      </c>
      <c r="C10" s="17">
        <v>13122</v>
      </c>
      <c r="D10" s="17">
        <v>21031</v>
      </c>
      <c r="E10" s="17">
        <v>107695</v>
      </c>
      <c r="F10" s="17">
        <v>11086</v>
      </c>
      <c r="G10" s="17">
        <v>30392</v>
      </c>
      <c r="H10" s="17">
        <v>7387</v>
      </c>
      <c r="I10" s="17">
        <v>8901</v>
      </c>
      <c r="J10" s="16">
        <f t="shared" si="0"/>
        <v>208526</v>
      </c>
      <c r="K10" s="30"/>
    </row>
    <row r="11" spans="1:11" x14ac:dyDescent="0.2">
      <c r="A11" s="31" t="s">
        <v>122</v>
      </c>
      <c r="B11" s="17">
        <v>8965</v>
      </c>
      <c r="C11" s="17">
        <v>13221</v>
      </c>
      <c r="D11" s="17">
        <v>21013</v>
      </c>
      <c r="E11" s="17">
        <v>109651</v>
      </c>
      <c r="F11" s="17">
        <v>11113</v>
      </c>
      <c r="G11" s="17">
        <v>30671</v>
      </c>
      <c r="H11" s="17">
        <v>7366</v>
      </c>
      <c r="I11" s="17">
        <v>8864</v>
      </c>
      <c r="J11" s="16">
        <f t="shared" si="0"/>
        <v>210864</v>
      </c>
      <c r="K11" s="30"/>
    </row>
    <row r="12" spans="1:11" x14ac:dyDescent="0.2">
      <c r="A12" s="31" t="s">
        <v>121</v>
      </c>
      <c r="B12" s="17">
        <v>8732</v>
      </c>
      <c r="C12" s="17">
        <v>12790</v>
      </c>
      <c r="D12" s="17">
        <v>20348</v>
      </c>
      <c r="E12" s="17">
        <v>107323</v>
      </c>
      <c r="F12" s="17">
        <v>10590</v>
      </c>
      <c r="G12" s="17">
        <v>29363</v>
      </c>
      <c r="H12" s="17">
        <v>7064</v>
      </c>
      <c r="I12" s="17">
        <v>8656</v>
      </c>
      <c r="J12" s="16">
        <f t="shared" si="0"/>
        <v>204866</v>
      </c>
      <c r="K12" s="30"/>
    </row>
    <row r="13" spans="1:11" x14ac:dyDescent="0.2">
      <c r="A13" s="32" t="s">
        <v>120</v>
      </c>
      <c r="B13" s="17">
        <v>1140</v>
      </c>
      <c r="C13" s="17">
        <v>2052</v>
      </c>
      <c r="D13" s="17">
        <v>3569</v>
      </c>
      <c r="E13" s="17">
        <v>34090</v>
      </c>
      <c r="F13" s="17">
        <v>2425</v>
      </c>
      <c r="G13" s="17">
        <v>8237</v>
      </c>
      <c r="H13" s="17">
        <v>1399</v>
      </c>
      <c r="I13" s="17">
        <v>1625</v>
      </c>
      <c r="J13" s="16">
        <f t="shared" si="0"/>
        <v>54537</v>
      </c>
      <c r="K13" s="30"/>
    </row>
    <row r="14" spans="1:11" x14ac:dyDescent="0.2">
      <c r="A14" s="31" t="s">
        <v>119</v>
      </c>
      <c r="B14" s="17">
        <v>973</v>
      </c>
      <c r="C14" s="17">
        <v>1878</v>
      </c>
      <c r="D14" s="17">
        <v>3276</v>
      </c>
      <c r="E14" s="17">
        <v>29492</v>
      </c>
      <c r="F14" s="17">
        <v>2145</v>
      </c>
      <c r="G14" s="17">
        <v>7033</v>
      </c>
      <c r="H14" s="17">
        <v>1258</v>
      </c>
      <c r="I14" s="17">
        <v>1504</v>
      </c>
      <c r="J14" s="16">
        <f t="shared" si="0"/>
        <v>47559</v>
      </c>
      <c r="K14" s="30"/>
    </row>
    <row r="15" spans="1:11" x14ac:dyDescent="0.2">
      <c r="A15" s="32" t="s">
        <v>118</v>
      </c>
      <c r="B15" s="17">
        <v>965</v>
      </c>
      <c r="C15" s="17">
        <v>1865</v>
      </c>
      <c r="D15" s="17">
        <v>3217</v>
      </c>
      <c r="E15" s="17">
        <v>29285</v>
      </c>
      <c r="F15" s="17">
        <v>2110</v>
      </c>
      <c r="G15" s="17">
        <v>6879</v>
      </c>
      <c r="H15" s="17">
        <v>1244</v>
      </c>
      <c r="I15" s="17">
        <v>1458</v>
      </c>
      <c r="J15" s="16">
        <f t="shared" si="0"/>
        <v>47023</v>
      </c>
      <c r="K15" s="30"/>
    </row>
    <row r="16" spans="1:11" x14ac:dyDescent="0.2">
      <c r="A16" s="31" t="s">
        <v>117</v>
      </c>
      <c r="B16" s="17">
        <v>991</v>
      </c>
      <c r="C16" s="17">
        <v>1964</v>
      </c>
      <c r="D16" s="17">
        <v>3464</v>
      </c>
      <c r="E16" s="17">
        <v>31541</v>
      </c>
      <c r="F16" s="17">
        <v>2178</v>
      </c>
      <c r="G16" s="17">
        <v>7195</v>
      </c>
      <c r="H16" s="17">
        <v>1261</v>
      </c>
      <c r="I16" s="17">
        <v>1516</v>
      </c>
      <c r="J16" s="16">
        <f t="shared" si="0"/>
        <v>50110</v>
      </c>
      <c r="K16" s="30"/>
    </row>
    <row r="17" spans="1:11" x14ac:dyDescent="0.2">
      <c r="A17" s="31" t="s">
        <v>116</v>
      </c>
      <c r="B17" s="17">
        <v>920</v>
      </c>
      <c r="C17" s="17">
        <v>1869</v>
      </c>
      <c r="D17" s="17">
        <v>3278</v>
      </c>
      <c r="E17" s="17">
        <v>30733</v>
      </c>
      <c r="F17" s="17">
        <v>2076</v>
      </c>
      <c r="G17" s="17">
        <v>6906</v>
      </c>
      <c r="H17" s="17">
        <v>1222</v>
      </c>
      <c r="I17" s="17">
        <v>1443</v>
      </c>
      <c r="J17" s="16">
        <f t="shared" si="0"/>
        <v>48447</v>
      </c>
      <c r="K17" s="30"/>
    </row>
    <row r="18" spans="1:11" x14ac:dyDescent="0.2">
      <c r="A18" s="31" t="s">
        <v>115</v>
      </c>
      <c r="B18" s="17">
        <v>383</v>
      </c>
      <c r="C18" s="17">
        <v>713</v>
      </c>
      <c r="D18" s="17">
        <v>1479</v>
      </c>
      <c r="E18" s="17">
        <v>17274</v>
      </c>
      <c r="F18" s="17">
        <v>609</v>
      </c>
      <c r="G18" s="17">
        <v>2616</v>
      </c>
      <c r="H18" s="17">
        <v>288</v>
      </c>
      <c r="I18" s="17">
        <v>374</v>
      </c>
      <c r="J18" s="16">
        <f t="shared" si="0"/>
        <v>23736</v>
      </c>
      <c r="K18" s="30"/>
    </row>
    <row r="19" spans="1:11" x14ac:dyDescent="0.2">
      <c r="A19" s="31" t="s">
        <v>114</v>
      </c>
      <c r="B19" s="17">
        <v>294</v>
      </c>
      <c r="C19" s="17">
        <v>546</v>
      </c>
      <c r="D19" s="17">
        <v>1207</v>
      </c>
      <c r="E19" s="17">
        <v>15235</v>
      </c>
      <c r="F19" s="17">
        <v>490</v>
      </c>
      <c r="G19" s="17">
        <v>2036</v>
      </c>
      <c r="H19" s="17">
        <v>242</v>
      </c>
      <c r="I19" s="17">
        <v>308</v>
      </c>
      <c r="J19" s="16">
        <f t="shared" si="0"/>
        <v>20358</v>
      </c>
      <c r="K19" s="15"/>
    </row>
    <row r="20" spans="1:11" x14ac:dyDescent="0.2">
      <c r="A20" s="31" t="s">
        <v>113</v>
      </c>
      <c r="B20" s="17">
        <v>276</v>
      </c>
      <c r="C20" s="17">
        <v>532</v>
      </c>
      <c r="D20" s="17">
        <v>1180</v>
      </c>
      <c r="E20" s="17">
        <v>15104</v>
      </c>
      <c r="F20" s="17">
        <v>460</v>
      </c>
      <c r="G20" s="17">
        <v>1982</v>
      </c>
      <c r="H20" s="17">
        <v>222</v>
      </c>
      <c r="I20" s="17">
        <v>311</v>
      </c>
      <c r="J20" s="16">
        <f t="shared" si="0"/>
        <v>20067</v>
      </c>
      <c r="K20" s="15"/>
    </row>
    <row r="21" spans="1:11" x14ac:dyDescent="0.2">
      <c r="A21" s="32" t="s">
        <v>3</v>
      </c>
      <c r="B21" s="17">
        <v>12194</v>
      </c>
      <c r="C21" s="17">
        <v>20353</v>
      </c>
      <c r="D21" s="17">
        <v>26920</v>
      </c>
      <c r="E21" s="17">
        <v>232170</v>
      </c>
      <c r="F21" s="17">
        <v>17699</v>
      </c>
      <c r="G21" s="17">
        <v>66547</v>
      </c>
      <c r="H21" s="17">
        <v>11066</v>
      </c>
      <c r="I21" s="17">
        <v>9289</v>
      </c>
      <c r="J21" s="16">
        <f t="shared" si="0"/>
        <v>396238</v>
      </c>
      <c r="K21" s="15"/>
    </row>
    <row r="22" spans="1:11" x14ac:dyDescent="0.2">
      <c r="A22" s="32" t="s">
        <v>2</v>
      </c>
      <c r="B22" s="17">
        <v>16</v>
      </c>
      <c r="C22" s="17">
        <v>100</v>
      </c>
      <c r="D22" s="17">
        <v>115</v>
      </c>
      <c r="E22" s="17">
        <v>870</v>
      </c>
      <c r="F22" s="17">
        <v>80</v>
      </c>
      <c r="G22" s="17">
        <v>150</v>
      </c>
      <c r="H22" s="17">
        <v>20</v>
      </c>
      <c r="I22" s="17">
        <v>30</v>
      </c>
      <c r="J22" s="16">
        <f t="shared" si="0"/>
        <v>1381</v>
      </c>
      <c r="K22" s="15"/>
    </row>
    <row r="23" spans="1:11" x14ac:dyDescent="0.2">
      <c r="A23" s="32" t="s">
        <v>1</v>
      </c>
      <c r="B23" s="17">
        <v>40</v>
      </c>
      <c r="C23" s="17">
        <v>8</v>
      </c>
      <c r="D23" s="17">
        <v>64</v>
      </c>
      <c r="E23" s="17">
        <v>3513</v>
      </c>
      <c r="F23" s="17">
        <v>45</v>
      </c>
      <c r="G23" s="17">
        <v>236</v>
      </c>
      <c r="H23" s="17">
        <v>10</v>
      </c>
      <c r="I23" s="17">
        <v>13</v>
      </c>
      <c r="J23" s="16">
        <f t="shared" si="0"/>
        <v>3929</v>
      </c>
      <c r="K23" s="15"/>
    </row>
    <row r="24" spans="1:11" x14ac:dyDescent="0.2">
      <c r="A24" s="33" t="s">
        <v>0</v>
      </c>
      <c r="B24" s="17">
        <f>SUM(StateSenatorSenateDistrict5General[Allegany County Vote Results])</f>
        <v>79910</v>
      </c>
      <c r="C24" s="17">
        <f>SUM(StateSenatorSenateDistrict5General[Cattaraugus County Vote Results])</f>
        <v>131750</v>
      </c>
      <c r="D24" s="17">
        <f>SUM(StateSenatorSenateDistrict5General[Chautauqua County Vote Results])</f>
        <v>219075</v>
      </c>
      <c r="E24" s="17">
        <f>SUM(StateSenatorSenateDistrict5General[Erie County Vote Results])</f>
        <v>1730427</v>
      </c>
      <c r="F24" s="17">
        <f>SUM(StateSenatorSenateDistrict5General[Genesee County Vote Results])</f>
        <v>112270</v>
      </c>
      <c r="G24" s="17">
        <f>SUM(StateSenatorSenateDistrict5General[Niagara County Vote Results])</f>
        <v>384834</v>
      </c>
      <c r="H24" s="17">
        <f>SUM(StateSenatorSenateDistrict5General[Orleans County Vote Results])</f>
        <v>68925</v>
      </c>
      <c r="I24" s="17">
        <f>SUM(StateSenatorSenateDistrict5General[Wyoming County Vote Results])</f>
        <v>76901</v>
      </c>
      <c r="J24" s="16">
        <f>SUM(StateSenatorSenateDistrict5General[Total Votes by Party])</f>
        <v>2804092</v>
      </c>
      <c r="K24" s="15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C3F7-0EAC-41FA-BE84-3970CAA10C64}">
  <sheetPr>
    <pageSetUpPr fitToPage="1"/>
  </sheetPr>
  <dimension ref="A1:H27"/>
  <sheetViews>
    <sheetView workbookViewId="0">
      <pane xSplit="1" topLeftCell="B1" activePane="topRight" state="frozen"/>
      <selection pane="topRight" activeCell="A3" sqref="A3:A27"/>
    </sheetView>
  </sheetViews>
  <sheetFormatPr defaultRowHeight="12.75" x14ac:dyDescent="0.2"/>
  <cols>
    <col min="1" max="1" width="28.7109375" customWidth="1"/>
    <col min="2" max="8" width="20.5703125" customWidth="1"/>
    <col min="9" max="10" width="23.5703125" customWidth="1"/>
  </cols>
  <sheetData>
    <row r="1" spans="1:8" ht="40.5" customHeight="1" x14ac:dyDescent="0.2">
      <c r="A1" s="35" t="s">
        <v>166</v>
      </c>
      <c r="B1" s="35"/>
      <c r="C1" s="35"/>
      <c r="D1" s="35"/>
      <c r="E1" s="35"/>
    </row>
    <row r="2" spans="1:8" ht="24.95" customHeight="1" x14ac:dyDescent="0.2">
      <c r="A2" s="14" t="s">
        <v>10</v>
      </c>
      <c r="B2" s="13" t="s">
        <v>165</v>
      </c>
      <c r="C2" s="13" t="s">
        <v>164</v>
      </c>
      <c r="D2" s="13" t="s">
        <v>163</v>
      </c>
      <c r="E2" s="13" t="s">
        <v>162</v>
      </c>
      <c r="F2" s="13" t="s">
        <v>161</v>
      </c>
      <c r="G2" s="12" t="s">
        <v>8</v>
      </c>
      <c r="H2" s="11" t="s">
        <v>7</v>
      </c>
    </row>
    <row r="3" spans="1:8" x14ac:dyDescent="0.2">
      <c r="A3" s="10" t="s">
        <v>160</v>
      </c>
      <c r="B3" s="26">
        <v>51094</v>
      </c>
      <c r="C3" s="26">
        <v>51000</v>
      </c>
      <c r="D3" s="26">
        <v>15288</v>
      </c>
      <c r="E3" s="26">
        <v>46022</v>
      </c>
      <c r="F3" s="26">
        <v>183963</v>
      </c>
      <c r="G3" s="16">
        <f t="shared" ref="G3:G26" si="0">SUM(B3:F3)</f>
        <v>347367</v>
      </c>
      <c r="H3" s="22">
        <f>SUM(G3,G17)</f>
        <v>380894</v>
      </c>
    </row>
    <row r="4" spans="1:8" x14ac:dyDescent="0.2">
      <c r="A4" s="10" t="s">
        <v>159</v>
      </c>
      <c r="B4" s="26">
        <v>48320</v>
      </c>
      <c r="C4" s="26">
        <v>47346</v>
      </c>
      <c r="D4" s="26">
        <v>14815</v>
      </c>
      <c r="E4" s="26">
        <v>44265</v>
      </c>
      <c r="F4" s="26">
        <v>175334</v>
      </c>
      <c r="G4" s="16">
        <f t="shared" si="0"/>
        <v>330080</v>
      </c>
      <c r="H4" s="22">
        <f>SUM(G4,G18)</f>
        <v>359447</v>
      </c>
    </row>
    <row r="5" spans="1:8" x14ac:dyDescent="0.2">
      <c r="A5" s="10" t="s">
        <v>158</v>
      </c>
      <c r="B5" s="26">
        <v>50241</v>
      </c>
      <c r="C5" s="26">
        <v>49890</v>
      </c>
      <c r="D5" s="26">
        <v>15243</v>
      </c>
      <c r="E5" s="26">
        <v>45614</v>
      </c>
      <c r="F5" s="26">
        <v>181505</v>
      </c>
      <c r="G5" s="16">
        <f t="shared" si="0"/>
        <v>342493</v>
      </c>
      <c r="H5" s="22">
        <f>SUM(G5)</f>
        <v>342493</v>
      </c>
    </row>
    <row r="6" spans="1:8" x14ac:dyDescent="0.2">
      <c r="A6" s="10" t="s">
        <v>157</v>
      </c>
      <c r="B6" s="26">
        <v>50222</v>
      </c>
      <c r="C6" s="26">
        <v>49519</v>
      </c>
      <c r="D6" s="26">
        <v>15287</v>
      </c>
      <c r="E6" s="26">
        <v>47077</v>
      </c>
      <c r="F6" s="26">
        <v>182390</v>
      </c>
      <c r="G6" s="16">
        <f t="shared" si="0"/>
        <v>344495</v>
      </c>
      <c r="H6" s="22">
        <f>SUM(G6)</f>
        <v>344495</v>
      </c>
    </row>
    <row r="7" spans="1:8" x14ac:dyDescent="0.2">
      <c r="A7" s="10" t="s">
        <v>156</v>
      </c>
      <c r="B7" s="26">
        <v>49195</v>
      </c>
      <c r="C7" s="26">
        <v>45026</v>
      </c>
      <c r="D7" s="26">
        <v>14923</v>
      </c>
      <c r="E7" s="26">
        <v>45024</v>
      </c>
      <c r="F7" s="26">
        <v>179109</v>
      </c>
      <c r="G7" s="16">
        <f t="shared" si="0"/>
        <v>333277</v>
      </c>
      <c r="H7" s="22">
        <f>SUM(G7,G21)</f>
        <v>361751</v>
      </c>
    </row>
    <row r="8" spans="1:8" x14ac:dyDescent="0.2">
      <c r="A8" s="10" t="s">
        <v>155</v>
      </c>
      <c r="B8" s="26">
        <v>47971</v>
      </c>
      <c r="C8" s="26">
        <v>43256</v>
      </c>
      <c r="D8" s="26">
        <v>14538</v>
      </c>
      <c r="E8" s="26">
        <v>44319</v>
      </c>
      <c r="F8" s="26">
        <v>172797</v>
      </c>
      <c r="G8" s="16">
        <f t="shared" si="0"/>
        <v>322881</v>
      </c>
      <c r="H8" s="22">
        <f>SUM(G8,G22)</f>
        <v>351187</v>
      </c>
    </row>
    <row r="9" spans="1:8" x14ac:dyDescent="0.2">
      <c r="A9" s="10" t="s">
        <v>154</v>
      </c>
      <c r="B9" s="26">
        <v>47821</v>
      </c>
      <c r="C9" s="26">
        <v>47879</v>
      </c>
      <c r="D9" s="26">
        <v>14679</v>
      </c>
      <c r="E9" s="26">
        <v>44710</v>
      </c>
      <c r="F9" s="26">
        <v>176181</v>
      </c>
      <c r="G9" s="16">
        <f t="shared" si="0"/>
        <v>331270</v>
      </c>
      <c r="H9" s="22">
        <f>SUM(G9,G23)</f>
        <v>361216</v>
      </c>
    </row>
    <row r="10" spans="1:8" x14ac:dyDescent="0.2">
      <c r="A10" s="10" t="s">
        <v>153</v>
      </c>
      <c r="B10" s="26">
        <v>51555</v>
      </c>
      <c r="C10" s="26">
        <v>57054</v>
      </c>
      <c r="D10" s="26">
        <v>21244</v>
      </c>
      <c r="E10" s="26">
        <v>45797</v>
      </c>
      <c r="F10" s="26">
        <v>110836</v>
      </c>
      <c r="G10" s="16">
        <f t="shared" si="0"/>
        <v>286486</v>
      </c>
      <c r="H10" s="22">
        <f>SUM(G10)</f>
        <v>286486</v>
      </c>
    </row>
    <row r="11" spans="1:8" x14ac:dyDescent="0.2">
      <c r="A11" s="10" t="s">
        <v>152</v>
      </c>
      <c r="B11" s="26">
        <v>48821</v>
      </c>
      <c r="C11" s="26">
        <v>60454</v>
      </c>
      <c r="D11" s="26">
        <v>20242</v>
      </c>
      <c r="E11" s="26">
        <v>44300</v>
      </c>
      <c r="F11" s="26">
        <v>104476</v>
      </c>
      <c r="G11" s="16">
        <f t="shared" si="0"/>
        <v>278293</v>
      </c>
      <c r="H11" s="22">
        <f>SUM(G11)</f>
        <v>278293</v>
      </c>
    </row>
    <row r="12" spans="1:8" x14ac:dyDescent="0.2">
      <c r="A12" s="10" t="s">
        <v>151</v>
      </c>
      <c r="B12" s="26">
        <v>47674</v>
      </c>
      <c r="C12" s="26">
        <v>53030</v>
      </c>
      <c r="D12" s="26">
        <v>20513</v>
      </c>
      <c r="E12" s="26">
        <v>43501</v>
      </c>
      <c r="F12" s="26">
        <v>106444</v>
      </c>
      <c r="G12" s="16">
        <f t="shared" si="0"/>
        <v>271162</v>
      </c>
      <c r="H12" s="22">
        <f>SUM(G12,G19)</f>
        <v>307697</v>
      </c>
    </row>
    <row r="13" spans="1:8" x14ac:dyDescent="0.2">
      <c r="A13" s="10" t="s">
        <v>150</v>
      </c>
      <c r="B13" s="26">
        <v>46397</v>
      </c>
      <c r="C13" s="26">
        <v>55933</v>
      </c>
      <c r="D13" s="26">
        <v>19737</v>
      </c>
      <c r="E13" s="26">
        <v>43000</v>
      </c>
      <c r="F13" s="26">
        <v>101484</v>
      </c>
      <c r="G13" s="16">
        <f t="shared" si="0"/>
        <v>266551</v>
      </c>
      <c r="H13" s="22">
        <f>SUM(G13,G20)</f>
        <v>301828</v>
      </c>
    </row>
    <row r="14" spans="1:8" x14ac:dyDescent="0.2">
      <c r="A14" s="10" t="s">
        <v>149</v>
      </c>
      <c r="B14" s="26">
        <v>47181</v>
      </c>
      <c r="C14" s="26">
        <v>52111</v>
      </c>
      <c r="D14" s="26">
        <v>19868</v>
      </c>
      <c r="E14" s="26">
        <v>42879</v>
      </c>
      <c r="F14" s="26">
        <v>100859</v>
      </c>
      <c r="G14" s="16">
        <f t="shared" si="0"/>
        <v>262898</v>
      </c>
      <c r="H14" s="22">
        <f>SUM(G14)</f>
        <v>262898</v>
      </c>
    </row>
    <row r="15" spans="1:8" x14ac:dyDescent="0.2">
      <c r="A15" s="10" t="s">
        <v>148</v>
      </c>
      <c r="B15" s="26">
        <v>47301</v>
      </c>
      <c r="C15" s="26">
        <v>52422</v>
      </c>
      <c r="D15" s="26">
        <v>20010</v>
      </c>
      <c r="E15" s="26">
        <v>43314</v>
      </c>
      <c r="F15" s="26">
        <v>102983</v>
      </c>
      <c r="G15" s="16">
        <f t="shared" si="0"/>
        <v>266030</v>
      </c>
      <c r="H15" s="22">
        <f>SUM(G15)</f>
        <v>266030</v>
      </c>
    </row>
    <row r="16" spans="1:8" x14ac:dyDescent="0.2">
      <c r="A16" s="10" t="s">
        <v>147</v>
      </c>
      <c r="B16" s="26">
        <v>47160</v>
      </c>
      <c r="C16" s="26">
        <v>52616</v>
      </c>
      <c r="D16" s="26">
        <v>19990</v>
      </c>
      <c r="E16" s="26">
        <v>43059</v>
      </c>
      <c r="F16" s="26">
        <v>101337</v>
      </c>
      <c r="G16" s="16">
        <f t="shared" si="0"/>
        <v>264162</v>
      </c>
      <c r="H16" s="22">
        <f>SUM(G16)</f>
        <v>264162</v>
      </c>
    </row>
    <row r="17" spans="1:8" x14ac:dyDescent="0.2">
      <c r="A17" s="10" t="s">
        <v>146</v>
      </c>
      <c r="B17" s="26">
        <v>5546</v>
      </c>
      <c r="C17" s="26">
        <v>5774</v>
      </c>
      <c r="D17" s="26">
        <v>2381</v>
      </c>
      <c r="E17" s="26">
        <v>8394</v>
      </c>
      <c r="F17" s="26">
        <v>11432</v>
      </c>
      <c r="G17" s="16">
        <f t="shared" si="0"/>
        <v>33527</v>
      </c>
      <c r="H17" s="15"/>
    </row>
    <row r="18" spans="1:8" x14ac:dyDescent="0.2">
      <c r="A18" s="10" t="s">
        <v>145</v>
      </c>
      <c r="B18" s="26">
        <v>5207</v>
      </c>
      <c r="C18" s="26">
        <v>5154</v>
      </c>
      <c r="D18" s="26">
        <v>2465</v>
      </c>
      <c r="E18" s="26">
        <v>5704</v>
      </c>
      <c r="F18" s="26">
        <v>10837</v>
      </c>
      <c r="G18" s="16">
        <f t="shared" si="0"/>
        <v>29367</v>
      </c>
      <c r="H18" s="15"/>
    </row>
    <row r="19" spans="1:8" x14ac:dyDescent="0.2">
      <c r="A19" s="10" t="s">
        <v>144</v>
      </c>
      <c r="B19" s="26">
        <v>6467</v>
      </c>
      <c r="C19" s="26">
        <v>6497</v>
      </c>
      <c r="D19" s="26">
        <v>2756</v>
      </c>
      <c r="E19" s="26">
        <v>9004</v>
      </c>
      <c r="F19" s="26">
        <v>11811</v>
      </c>
      <c r="G19" s="16">
        <f t="shared" si="0"/>
        <v>36535</v>
      </c>
      <c r="H19" s="15"/>
    </row>
    <row r="20" spans="1:8" x14ac:dyDescent="0.2">
      <c r="A20" s="10" t="s">
        <v>143</v>
      </c>
      <c r="B20" s="26">
        <v>6329</v>
      </c>
      <c r="C20" s="26">
        <v>6418</v>
      </c>
      <c r="D20" s="26">
        <v>2660</v>
      </c>
      <c r="E20" s="26">
        <v>8746</v>
      </c>
      <c r="F20" s="26">
        <v>11124</v>
      </c>
      <c r="G20" s="16">
        <f t="shared" si="0"/>
        <v>35277</v>
      </c>
      <c r="H20" s="15"/>
    </row>
    <row r="21" spans="1:8" x14ac:dyDescent="0.2">
      <c r="A21" s="10" t="s">
        <v>142</v>
      </c>
      <c r="B21" s="26">
        <v>4931</v>
      </c>
      <c r="C21" s="26">
        <v>5125</v>
      </c>
      <c r="D21" s="26">
        <v>2178</v>
      </c>
      <c r="E21" s="26">
        <v>5468</v>
      </c>
      <c r="F21" s="26">
        <v>10772</v>
      </c>
      <c r="G21" s="16">
        <f t="shared" si="0"/>
        <v>28474</v>
      </c>
      <c r="H21" s="15"/>
    </row>
    <row r="22" spans="1:8" x14ac:dyDescent="0.2">
      <c r="A22" s="10" t="s">
        <v>141</v>
      </c>
      <c r="B22" s="26">
        <v>4543</v>
      </c>
      <c r="C22" s="26">
        <v>4656</v>
      </c>
      <c r="D22" s="26">
        <v>2063</v>
      </c>
      <c r="E22" s="26">
        <v>7918</v>
      </c>
      <c r="F22" s="26">
        <v>9126</v>
      </c>
      <c r="G22" s="16">
        <f t="shared" si="0"/>
        <v>28306</v>
      </c>
      <c r="H22" s="15"/>
    </row>
    <row r="23" spans="1:8" x14ac:dyDescent="0.2">
      <c r="A23" s="10" t="s">
        <v>140</v>
      </c>
      <c r="B23" s="26">
        <v>4706</v>
      </c>
      <c r="C23" s="26">
        <v>4900</v>
      </c>
      <c r="D23" s="26">
        <v>2105</v>
      </c>
      <c r="E23" s="26">
        <v>8309</v>
      </c>
      <c r="F23" s="26">
        <v>9926</v>
      </c>
      <c r="G23" s="16">
        <f t="shared" si="0"/>
        <v>29946</v>
      </c>
      <c r="H23" s="15"/>
    </row>
    <row r="24" spans="1:8" x14ac:dyDescent="0.2">
      <c r="A24" s="7" t="s">
        <v>3</v>
      </c>
      <c r="B24" s="26">
        <v>90692</v>
      </c>
      <c r="C24" s="26">
        <v>116653</v>
      </c>
      <c r="D24" s="26">
        <v>28732</v>
      </c>
      <c r="E24" s="26">
        <v>93909</v>
      </c>
      <c r="F24" s="26">
        <v>266086</v>
      </c>
      <c r="G24" s="16">
        <f t="shared" si="0"/>
        <v>596072</v>
      </c>
      <c r="H24" s="15"/>
    </row>
    <row r="25" spans="1:8" x14ac:dyDescent="0.2">
      <c r="A25" s="7" t="s">
        <v>2</v>
      </c>
      <c r="B25" s="26">
        <v>553</v>
      </c>
      <c r="C25" s="26">
        <v>1064</v>
      </c>
      <c r="D25" s="26">
        <v>0</v>
      </c>
      <c r="E25" s="26">
        <v>896</v>
      </c>
      <c r="F25" s="26"/>
      <c r="G25" s="16">
        <f t="shared" si="0"/>
        <v>2513</v>
      </c>
      <c r="H25" s="15"/>
    </row>
    <row r="26" spans="1:8" x14ac:dyDescent="0.2">
      <c r="A26" s="7" t="s">
        <v>1</v>
      </c>
      <c r="B26" s="26">
        <v>155</v>
      </c>
      <c r="C26" s="26">
        <v>348</v>
      </c>
      <c r="D26" s="26">
        <v>36</v>
      </c>
      <c r="E26" s="26">
        <v>640</v>
      </c>
      <c r="F26" s="26">
        <v>290</v>
      </c>
      <c r="G26" s="16">
        <f t="shared" si="0"/>
        <v>1469</v>
      </c>
      <c r="H26" s="15"/>
    </row>
    <row r="27" spans="1:8" x14ac:dyDescent="0.2">
      <c r="A27" s="4" t="s">
        <v>0</v>
      </c>
      <c r="B27" s="26">
        <f>SUM(StateSenatorSenateDistrict6General[Dutchess County Vote Results])</f>
        <v>810082</v>
      </c>
      <c r="C27" s="26">
        <f>SUM(StateSenatorSenateDistrict6General[Orange County Vote Results])</f>
        <v>874125</v>
      </c>
      <c r="D27" s="26">
        <f>SUM(StateSenatorSenateDistrict6General[Putnam County Vote Results])</f>
        <v>291753</v>
      </c>
      <c r="E27" s="26">
        <f>SUM(StateSenatorSenateDistrict6General[Rockland County Vote Results])</f>
        <v>771869</v>
      </c>
      <c r="F27" s="26">
        <f>SUM(StateSenatorSenateDistrict6General[Westchester Vote Results])</f>
        <v>2321102</v>
      </c>
      <c r="G27" s="16">
        <f>SUM(StateSenatorSenateDistrict6General[Total Votes by Party])</f>
        <v>5068931</v>
      </c>
      <c r="H27" s="15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6BBE-0E7F-4F77-AD89-D5A2BA1DD7C3}">
  <sheetPr>
    <pageSetUpPr fitToPage="1"/>
  </sheetPr>
  <dimension ref="A1:E24"/>
  <sheetViews>
    <sheetView workbookViewId="0">
      <selection activeCell="A3" sqref="A3:A24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42.75" customHeight="1" x14ac:dyDescent="0.2">
      <c r="A1" s="35" t="s">
        <v>187</v>
      </c>
      <c r="B1" s="35"/>
      <c r="C1" s="35"/>
      <c r="D1" s="35"/>
      <c r="E1" s="35"/>
    </row>
    <row r="2" spans="1:5" ht="24.95" customHeight="1" x14ac:dyDescent="0.2">
      <c r="A2" s="14" t="s">
        <v>10</v>
      </c>
      <c r="B2" s="13" t="s">
        <v>186</v>
      </c>
      <c r="C2" s="13" t="s">
        <v>185</v>
      </c>
      <c r="D2" s="12" t="s">
        <v>8</v>
      </c>
      <c r="E2" s="11" t="s">
        <v>7</v>
      </c>
    </row>
    <row r="3" spans="1:5" x14ac:dyDescent="0.2">
      <c r="A3" s="31" t="s">
        <v>184</v>
      </c>
      <c r="B3" s="26">
        <v>214018</v>
      </c>
      <c r="C3" s="26">
        <v>214574</v>
      </c>
      <c r="D3" s="16">
        <f>SUM(StateSenatorSenateDistrict7General[[#This Row],[Nassau County Vote Results]:[Suffolk County Vote Results]])</f>
        <v>428592</v>
      </c>
      <c r="E3" s="22">
        <f t="shared" ref="E3:E8" si="0">SUM(D3,D9,D15)</f>
        <v>984966</v>
      </c>
    </row>
    <row r="4" spans="1:5" x14ac:dyDescent="0.2">
      <c r="A4" s="31" t="s">
        <v>183</v>
      </c>
      <c r="B4" s="26">
        <v>216061</v>
      </c>
      <c r="C4" s="26">
        <v>214230</v>
      </c>
      <c r="D4" s="16">
        <f>SUM(StateSenatorSenateDistrict7General[[#This Row],[Nassau County Vote Results]:[Suffolk County Vote Results]])</f>
        <v>430291</v>
      </c>
      <c r="E4" s="22">
        <f t="shared" si="0"/>
        <v>981717</v>
      </c>
    </row>
    <row r="5" spans="1:5" x14ac:dyDescent="0.2">
      <c r="A5" s="31" t="s">
        <v>182</v>
      </c>
      <c r="B5" s="26">
        <v>207929</v>
      </c>
      <c r="C5" s="26">
        <v>205443</v>
      </c>
      <c r="D5" s="16">
        <f>SUM(StateSenatorSenateDistrict7General[[#This Row],[Nassau County Vote Results]:[Suffolk County Vote Results]])</f>
        <v>413372</v>
      </c>
      <c r="E5" s="22">
        <f t="shared" si="0"/>
        <v>960127</v>
      </c>
    </row>
    <row r="6" spans="1:5" x14ac:dyDescent="0.2">
      <c r="A6" s="31" t="s">
        <v>181</v>
      </c>
      <c r="B6" s="26">
        <v>212573</v>
      </c>
      <c r="C6" s="26">
        <v>209250</v>
      </c>
      <c r="D6" s="16">
        <f>SUM(StateSenatorSenateDistrict7General[[#This Row],[Nassau County Vote Results]:[Suffolk County Vote Results]])</f>
        <v>421823</v>
      </c>
      <c r="E6" s="22">
        <f t="shared" si="0"/>
        <v>970045</v>
      </c>
    </row>
    <row r="7" spans="1:5" x14ac:dyDescent="0.2">
      <c r="A7" s="31" t="s">
        <v>180</v>
      </c>
      <c r="B7" s="26">
        <v>206595</v>
      </c>
      <c r="C7" s="26">
        <v>203113</v>
      </c>
      <c r="D7" s="16">
        <f>SUM(StateSenatorSenateDistrict7General[[#This Row],[Nassau County Vote Results]:[Suffolk County Vote Results]])</f>
        <v>409708</v>
      </c>
      <c r="E7" s="22">
        <f t="shared" si="0"/>
        <v>953015</v>
      </c>
    </row>
    <row r="8" spans="1:5" x14ac:dyDescent="0.2">
      <c r="A8" s="31" t="s">
        <v>179</v>
      </c>
      <c r="B8" s="26">
        <v>208120</v>
      </c>
      <c r="C8" s="26">
        <v>204291</v>
      </c>
      <c r="D8" s="16">
        <f>SUM(StateSenatorSenateDistrict7General[[#This Row],[Nassau County Vote Results]:[Suffolk County Vote Results]])</f>
        <v>412411</v>
      </c>
      <c r="E8" s="22">
        <f t="shared" si="0"/>
        <v>953005</v>
      </c>
    </row>
    <row r="9" spans="1:5" x14ac:dyDescent="0.2">
      <c r="A9" s="31" t="s">
        <v>178</v>
      </c>
      <c r="B9" s="26">
        <v>233944</v>
      </c>
      <c r="C9" s="26">
        <v>257774</v>
      </c>
      <c r="D9" s="16">
        <f>SUM(StateSenatorSenateDistrict7General[[#This Row],[Nassau County Vote Results]:[Suffolk County Vote Results]])</f>
        <v>491718</v>
      </c>
      <c r="E9" s="15"/>
    </row>
    <row r="10" spans="1:5" x14ac:dyDescent="0.2">
      <c r="A10" s="31" t="s">
        <v>177</v>
      </c>
      <c r="B10" s="26">
        <v>233698</v>
      </c>
      <c r="C10" s="26">
        <v>253256</v>
      </c>
      <c r="D10" s="16">
        <f>SUM(StateSenatorSenateDistrict7General[[#This Row],[Nassau County Vote Results]:[Suffolk County Vote Results]])</f>
        <v>486954</v>
      </c>
      <c r="E10" s="15"/>
    </row>
    <row r="11" spans="1:5" x14ac:dyDescent="0.2">
      <c r="A11" s="31" t="s">
        <v>176</v>
      </c>
      <c r="B11" s="26">
        <v>231034</v>
      </c>
      <c r="C11" s="26">
        <v>250956</v>
      </c>
      <c r="D11" s="16">
        <f>SUM(StateSenatorSenateDistrict7General[[#This Row],[Nassau County Vote Results]:[Suffolk County Vote Results]])</f>
        <v>481990</v>
      </c>
      <c r="E11" s="15"/>
    </row>
    <row r="12" spans="1:5" x14ac:dyDescent="0.2">
      <c r="A12" s="31" t="s">
        <v>175</v>
      </c>
      <c r="B12" s="26">
        <v>232778</v>
      </c>
      <c r="C12" s="26">
        <v>251181</v>
      </c>
      <c r="D12" s="16">
        <f>SUM(StateSenatorSenateDistrict7General[[#This Row],[Nassau County Vote Results]:[Suffolk County Vote Results]])</f>
        <v>483959</v>
      </c>
      <c r="E12" s="15"/>
    </row>
    <row r="13" spans="1:5" x14ac:dyDescent="0.2">
      <c r="A13" s="31" t="s">
        <v>174</v>
      </c>
      <c r="B13" s="26">
        <v>230498</v>
      </c>
      <c r="C13" s="26">
        <v>247392</v>
      </c>
      <c r="D13" s="16">
        <f>SUM(StateSenatorSenateDistrict7General[[#This Row],[Nassau County Vote Results]:[Suffolk County Vote Results]])</f>
        <v>477890</v>
      </c>
      <c r="E13" s="15"/>
    </row>
    <row r="14" spans="1:5" x14ac:dyDescent="0.2">
      <c r="A14" s="31" t="s">
        <v>173</v>
      </c>
      <c r="B14" s="26">
        <v>230263</v>
      </c>
      <c r="C14" s="26">
        <v>246494</v>
      </c>
      <c r="D14" s="16">
        <f>SUM(StateSenatorSenateDistrict7General[[#This Row],[Nassau County Vote Results]:[Suffolk County Vote Results]])</f>
        <v>476757</v>
      </c>
      <c r="E14" s="15"/>
    </row>
    <row r="15" spans="1:5" x14ac:dyDescent="0.2">
      <c r="A15" s="31" t="s">
        <v>172</v>
      </c>
      <c r="B15" s="26">
        <v>22742</v>
      </c>
      <c r="C15" s="26">
        <v>41914</v>
      </c>
      <c r="D15" s="16">
        <f>SUM(StateSenatorSenateDistrict7General[[#This Row],[Nassau County Vote Results]:[Suffolk County Vote Results]])</f>
        <v>64656</v>
      </c>
      <c r="E15" s="15"/>
    </row>
    <row r="16" spans="1:5" x14ac:dyDescent="0.2">
      <c r="A16" s="31" t="s">
        <v>171</v>
      </c>
      <c r="B16" s="26">
        <v>22939</v>
      </c>
      <c r="C16" s="26">
        <v>41533</v>
      </c>
      <c r="D16" s="16">
        <f>SUM(StateSenatorSenateDistrict7General[[#This Row],[Nassau County Vote Results]:[Suffolk County Vote Results]])</f>
        <v>64472</v>
      </c>
      <c r="E16" s="15"/>
    </row>
    <row r="17" spans="1:5" x14ac:dyDescent="0.2">
      <c r="A17" s="31" t="s">
        <v>170</v>
      </c>
      <c r="B17" s="26">
        <v>23150</v>
      </c>
      <c r="C17" s="26">
        <v>41615</v>
      </c>
      <c r="D17" s="16">
        <f>SUM(StateSenatorSenateDistrict7General[[#This Row],[Nassau County Vote Results]:[Suffolk County Vote Results]])</f>
        <v>64765</v>
      </c>
      <c r="E17" s="15"/>
    </row>
    <row r="18" spans="1:5" x14ac:dyDescent="0.2">
      <c r="A18" s="31" t="s">
        <v>169</v>
      </c>
      <c r="B18" s="26">
        <v>22961</v>
      </c>
      <c r="C18" s="26">
        <v>41302</v>
      </c>
      <c r="D18" s="16">
        <f>SUM(StateSenatorSenateDistrict7General[[#This Row],[Nassau County Vote Results]:[Suffolk County Vote Results]])</f>
        <v>64263</v>
      </c>
      <c r="E18" s="15"/>
    </row>
    <row r="19" spans="1:5" x14ac:dyDescent="0.2">
      <c r="A19" s="31" t="s">
        <v>168</v>
      </c>
      <c r="B19" s="26">
        <v>22916</v>
      </c>
      <c r="C19" s="26">
        <v>42501</v>
      </c>
      <c r="D19" s="16">
        <f>SUM(StateSenatorSenateDistrict7General[[#This Row],[Nassau County Vote Results]:[Suffolk County Vote Results]])</f>
        <v>65417</v>
      </c>
      <c r="E19" s="15"/>
    </row>
    <row r="20" spans="1:5" x14ac:dyDescent="0.2">
      <c r="A20" s="31" t="s">
        <v>167</v>
      </c>
      <c r="B20" s="26">
        <v>22956</v>
      </c>
      <c r="C20" s="26">
        <v>40881</v>
      </c>
      <c r="D20" s="16">
        <f>SUM(StateSenatorSenateDistrict7General[[#This Row],[Nassau County Vote Results]:[Suffolk County Vote Results]])</f>
        <v>63837</v>
      </c>
      <c r="E20" s="15"/>
    </row>
    <row r="21" spans="1:5" x14ac:dyDescent="0.2">
      <c r="A21" s="32" t="s">
        <v>3</v>
      </c>
      <c r="B21" s="26">
        <v>327669</v>
      </c>
      <c r="C21" s="26">
        <v>403215</v>
      </c>
      <c r="D21" s="16">
        <f>SUM(StateSenatorSenateDistrict7General[[#This Row],[Nassau County Vote Results]:[Suffolk County Vote Results]])</f>
        <v>730884</v>
      </c>
      <c r="E21" s="15"/>
    </row>
    <row r="22" spans="1:5" x14ac:dyDescent="0.2">
      <c r="A22" s="32" t="s">
        <v>2</v>
      </c>
      <c r="B22" s="26">
        <v>144</v>
      </c>
      <c r="C22" s="26">
        <v>426</v>
      </c>
      <c r="D22" s="16">
        <f>SUM(StateSenatorSenateDistrict7General[[#This Row],[Nassau County Vote Results]:[Suffolk County Vote Results]])</f>
        <v>570</v>
      </c>
      <c r="E22" s="15"/>
    </row>
    <row r="23" spans="1:5" x14ac:dyDescent="0.2">
      <c r="A23" s="32" t="s">
        <v>1</v>
      </c>
      <c r="B23" s="26">
        <v>2154</v>
      </c>
      <c r="C23" s="26">
        <v>1915</v>
      </c>
      <c r="D23" s="16">
        <f>SUM(StateSenatorSenateDistrict7General[[#This Row],[Nassau County Vote Results]:[Suffolk County Vote Results]])</f>
        <v>4069</v>
      </c>
      <c r="E23" s="15"/>
    </row>
    <row r="24" spans="1:5" x14ac:dyDescent="0.2">
      <c r="A24" s="33" t="s">
        <v>0</v>
      </c>
      <c r="B24" s="26">
        <f>SUM(StateSenatorSenateDistrict7General[Nassau County Vote Results])</f>
        <v>3125142</v>
      </c>
      <c r="C24" s="26">
        <f>SUM(StateSenatorSenateDistrict7General[Suffolk County Vote Results])</f>
        <v>3413256</v>
      </c>
      <c r="D24" s="16">
        <f>SUM(StateSenatorSenateDistrict7General[Total Votes by Party])</f>
        <v>6538398</v>
      </c>
      <c r="E24" s="15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1st JD</vt:lpstr>
      <vt:lpstr>2nd JD</vt:lpstr>
      <vt:lpstr>3rd JD</vt:lpstr>
      <vt:lpstr>4th JD</vt:lpstr>
      <vt:lpstr>5th JD</vt:lpstr>
      <vt:lpstr>7th JD</vt:lpstr>
      <vt:lpstr>8th JD</vt:lpstr>
      <vt:lpstr>9th JD</vt:lpstr>
      <vt:lpstr>10th JD</vt:lpstr>
      <vt:lpstr>11th JD</vt:lpstr>
      <vt:lpstr>12th JD</vt:lpstr>
      <vt:lpstr>13th JD</vt:lpstr>
      <vt:lpstr>'11th JD'!Print_Area</vt:lpstr>
      <vt:lpstr>'12th JD'!Print_Area</vt:lpstr>
      <vt:lpstr>'13th JD'!Print_Area</vt:lpstr>
      <vt:lpstr>'1st JD'!Print_Area</vt:lpstr>
      <vt:lpstr>'2nd JD'!Print_Area</vt:lpstr>
      <vt:lpstr>'3rd JD'!Print_Area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Wilson</dc:creator>
  <cp:lastModifiedBy>Joyce Cornell</cp:lastModifiedBy>
  <dcterms:created xsi:type="dcterms:W3CDTF">2022-12-16T14:39:24Z</dcterms:created>
  <dcterms:modified xsi:type="dcterms:W3CDTF">2022-12-16T16:19:22Z</dcterms:modified>
</cp:coreProperties>
</file>