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1387D074-BD7E-4DAA-AFCB-20916A1810A4}" xr6:coauthVersionLast="47" xr6:coauthVersionMax="47" xr10:uidLastSave="{00000000-0000-0000-0000-000000000000}"/>
  <bookViews>
    <workbookView xWindow="-120" yWindow="-120" windowWidth="24240" windowHeight="13140" xr2:uid="{46415BCC-A60D-431C-AE35-2EE26DBF17BF}"/>
  </bookViews>
  <sheets>
    <sheet name="1st SD" sheetId="1" r:id="rId1"/>
    <sheet name="2nd SD" sheetId="2" r:id="rId2"/>
    <sheet name="3rd SD" sheetId="3" r:id="rId3"/>
    <sheet name="4th SD" sheetId="4" r:id="rId4"/>
    <sheet name="5th SD" sheetId="5" r:id="rId5"/>
    <sheet name="6th SD" sheetId="6" r:id="rId6"/>
    <sheet name="7th SD" sheetId="7" r:id="rId7"/>
    <sheet name="8th SD" sheetId="8" r:id="rId8"/>
    <sheet name="9th SD" sheetId="9" r:id="rId9"/>
    <sheet name="10th SD" sheetId="10" r:id="rId10"/>
    <sheet name="11th SD" sheetId="11" r:id="rId11"/>
    <sheet name="12th SD" sheetId="12" r:id="rId12"/>
    <sheet name="13th SD" sheetId="13" r:id="rId13"/>
    <sheet name="14th SD" sheetId="14" r:id="rId14"/>
    <sheet name="15th SD" sheetId="15" r:id="rId15"/>
    <sheet name="16th SD" sheetId="16" r:id="rId16"/>
    <sheet name="17th SD" sheetId="17" r:id="rId17"/>
    <sheet name="18th SD" sheetId="18" r:id="rId18"/>
    <sheet name="19th SD" sheetId="19" r:id="rId19"/>
    <sheet name="20th SD" sheetId="20" r:id="rId20"/>
    <sheet name="21st SD" sheetId="21" r:id="rId21"/>
    <sheet name="22nd SD" sheetId="22" r:id="rId22"/>
    <sheet name="23rd SD" sheetId="23" r:id="rId23"/>
    <sheet name="24th SD" sheetId="24" r:id="rId24"/>
    <sheet name="25th SD" sheetId="25" r:id="rId25"/>
    <sheet name="26th SD" sheetId="26" r:id="rId26"/>
    <sheet name="27th SD" sheetId="27" r:id="rId27"/>
    <sheet name="28th SD" sheetId="28" r:id="rId28"/>
    <sheet name="29th SD" sheetId="29" r:id="rId29"/>
    <sheet name="30th SD" sheetId="30" r:id="rId30"/>
    <sheet name="31st SD" sheetId="31" r:id="rId31"/>
    <sheet name="32nd SD" sheetId="32" r:id="rId32"/>
    <sheet name="33rd SD" sheetId="33" r:id="rId33"/>
    <sheet name="34th SD" sheetId="34" r:id="rId34"/>
    <sheet name="35th SD" sheetId="35" r:id="rId35"/>
    <sheet name="36th SD" sheetId="36" r:id="rId36"/>
    <sheet name="37th SD" sheetId="37" r:id="rId37"/>
    <sheet name="38th SD" sheetId="38" r:id="rId38"/>
    <sheet name="39th SD" sheetId="39" r:id="rId39"/>
    <sheet name="40th SD" sheetId="40" r:id="rId40"/>
    <sheet name="41st SD" sheetId="41" r:id="rId41"/>
    <sheet name="42nd SD" sheetId="42" r:id="rId42"/>
    <sheet name="43rd SD" sheetId="43" r:id="rId43"/>
    <sheet name="44th SD" sheetId="44" r:id="rId44"/>
    <sheet name="45th SD" sheetId="45" r:id="rId45"/>
    <sheet name="46th SD" sheetId="46" r:id="rId46"/>
    <sheet name="47th SD" sheetId="47" r:id="rId47"/>
    <sheet name="48th SD" sheetId="48" r:id="rId48"/>
    <sheet name="49th SD" sheetId="49" r:id="rId49"/>
    <sheet name="50th SD" sheetId="50" r:id="rId50"/>
    <sheet name="51st SD" sheetId="51" r:id="rId51"/>
    <sheet name="52nd SD" sheetId="52" r:id="rId52"/>
    <sheet name="53rd SD" sheetId="53" r:id="rId53"/>
    <sheet name="54th SD" sheetId="54" r:id="rId54"/>
    <sheet name="55th SD" sheetId="55" r:id="rId55"/>
    <sheet name="56th SD" sheetId="56" r:id="rId56"/>
    <sheet name="57th SD" sheetId="57" r:id="rId57"/>
    <sheet name="58th SD" sheetId="58" r:id="rId58"/>
    <sheet name="59th SD" sheetId="59" r:id="rId59"/>
    <sheet name="60th SD" sheetId="60" r:id="rId60"/>
    <sheet name="61st SD" sheetId="61" r:id="rId61"/>
    <sheet name="62nd SD" sheetId="62" r:id="rId62"/>
    <sheet name="63rd SD" sheetId="63" r:id="rId63"/>
  </sheets>
  <definedNames>
    <definedName name="_xlnm.Print_Area" localSheetId="0">'1st SD'!$A$1:$D$10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0" l="1"/>
  <c r="B10" i="50"/>
  <c r="D9" i="50"/>
  <c r="D8" i="50"/>
  <c r="D7" i="50"/>
  <c r="D6" i="50"/>
  <c r="D5" i="50"/>
  <c r="E4" i="50" s="1"/>
  <c r="D4" i="50"/>
  <c r="D3" i="50"/>
  <c r="D10" i="50" s="1"/>
  <c r="C3" i="63"/>
  <c r="D3" i="63"/>
  <c r="C4" i="63"/>
  <c r="C9" i="63" s="1"/>
  <c r="D4" i="63"/>
  <c r="C5" i="63"/>
  <c r="C6" i="63"/>
  <c r="C7" i="63"/>
  <c r="C8" i="63"/>
  <c r="B9" i="63"/>
  <c r="E3" i="62"/>
  <c r="F3" i="62" s="1"/>
  <c r="E4" i="62"/>
  <c r="E8" i="62" s="1"/>
  <c r="E5" i="62"/>
  <c r="E6" i="62"/>
  <c r="E7" i="62"/>
  <c r="B8" i="62"/>
  <c r="C8" i="62"/>
  <c r="D8" i="62"/>
  <c r="C3" i="61"/>
  <c r="D3" i="61" s="1"/>
  <c r="C4" i="61"/>
  <c r="C5" i="61"/>
  <c r="D4" i="61" s="1"/>
  <c r="C6" i="61"/>
  <c r="C7" i="61"/>
  <c r="C8" i="61"/>
  <c r="C9" i="61"/>
  <c r="B10" i="61"/>
  <c r="C3" i="60"/>
  <c r="D3" i="60" s="1"/>
  <c r="C4" i="60"/>
  <c r="C5" i="60"/>
  <c r="C6" i="60"/>
  <c r="C7" i="60"/>
  <c r="B8" i="60"/>
  <c r="C8" i="60"/>
  <c r="E3" i="59"/>
  <c r="F3" i="59" s="1"/>
  <c r="E4" i="59"/>
  <c r="E5" i="59"/>
  <c r="E8" i="59" s="1"/>
  <c r="E6" i="59"/>
  <c r="E7" i="59"/>
  <c r="B8" i="59"/>
  <c r="C8" i="59"/>
  <c r="D8" i="59"/>
  <c r="I3" i="58"/>
  <c r="J3" i="58"/>
  <c r="I4" i="58"/>
  <c r="I5" i="58"/>
  <c r="I8" i="58" s="1"/>
  <c r="I6" i="58"/>
  <c r="I7" i="58"/>
  <c r="B8" i="58"/>
  <c r="C8" i="58"/>
  <c r="D8" i="58"/>
  <c r="E8" i="58"/>
  <c r="F8" i="58"/>
  <c r="G8" i="58"/>
  <c r="H8" i="58"/>
  <c r="G3" i="57"/>
  <c r="H3" i="57" s="1"/>
  <c r="G4" i="57"/>
  <c r="H4" i="57"/>
  <c r="G5" i="57"/>
  <c r="G6" i="57"/>
  <c r="G7" i="57"/>
  <c r="G8" i="57"/>
  <c r="B9" i="57"/>
  <c r="C9" i="57"/>
  <c r="D9" i="57"/>
  <c r="E9" i="57"/>
  <c r="F9" i="57"/>
  <c r="C3" i="56"/>
  <c r="C4" i="56"/>
  <c r="D4" i="56"/>
  <c r="C5" i="56"/>
  <c r="C6" i="56"/>
  <c r="D3" i="56" s="1"/>
  <c r="C7" i="56"/>
  <c r="C8" i="56"/>
  <c r="C9" i="56"/>
  <c r="C10" i="56"/>
  <c r="B11" i="56"/>
  <c r="C11" i="56"/>
  <c r="C3" i="55"/>
  <c r="C4" i="55"/>
  <c r="D4" i="55"/>
  <c r="C5" i="55"/>
  <c r="C6" i="55"/>
  <c r="D3" i="55" s="1"/>
  <c r="C7" i="55"/>
  <c r="C8" i="55"/>
  <c r="C9" i="55"/>
  <c r="C10" i="55"/>
  <c r="B11" i="55"/>
  <c r="C11" i="55"/>
  <c r="F3" i="54"/>
  <c r="G3" i="54" s="1"/>
  <c r="F4" i="54"/>
  <c r="G4" i="54"/>
  <c r="F5" i="54"/>
  <c r="F6" i="54"/>
  <c r="F7" i="54"/>
  <c r="F8" i="54"/>
  <c r="B9" i="54"/>
  <c r="C9" i="54"/>
  <c r="D9" i="54"/>
  <c r="E9" i="54"/>
  <c r="F3" i="53"/>
  <c r="G3" i="53" s="1"/>
  <c r="F4" i="53"/>
  <c r="F5" i="53"/>
  <c r="F8" i="53" s="1"/>
  <c r="F6" i="53"/>
  <c r="F7" i="53"/>
  <c r="B8" i="53"/>
  <c r="C8" i="53"/>
  <c r="D8" i="53"/>
  <c r="E8" i="53"/>
  <c r="E3" i="52"/>
  <c r="F3" i="52" s="1"/>
  <c r="E4" i="52"/>
  <c r="F4" i="52"/>
  <c r="E5" i="52"/>
  <c r="E6" i="52"/>
  <c r="E10" i="52" s="1"/>
  <c r="E7" i="52"/>
  <c r="E8" i="52"/>
  <c r="E9" i="52"/>
  <c r="B10" i="52"/>
  <c r="C10" i="52"/>
  <c r="D10" i="52"/>
  <c r="I3" i="51"/>
  <c r="J3" i="51" s="1"/>
  <c r="I4" i="51"/>
  <c r="J4" i="51"/>
  <c r="I5" i="51"/>
  <c r="I6" i="51"/>
  <c r="I7" i="51"/>
  <c r="I8" i="51"/>
  <c r="B9" i="51"/>
  <c r="C9" i="51"/>
  <c r="D9" i="51"/>
  <c r="E9" i="51"/>
  <c r="F9" i="51"/>
  <c r="G9" i="51"/>
  <c r="H9" i="51"/>
  <c r="I9" i="51"/>
  <c r="I3" i="49"/>
  <c r="I4" i="49"/>
  <c r="J3" i="49" s="1"/>
  <c r="I5" i="49"/>
  <c r="I6" i="49"/>
  <c r="I7" i="49"/>
  <c r="B8" i="49"/>
  <c r="C8" i="49"/>
  <c r="D8" i="49"/>
  <c r="E8" i="49"/>
  <c r="F8" i="49"/>
  <c r="G8" i="49"/>
  <c r="H8" i="49"/>
  <c r="D3" i="48"/>
  <c r="E3" i="48" s="1"/>
  <c r="D4" i="48"/>
  <c r="D10" i="48" s="1"/>
  <c r="E4" i="48"/>
  <c r="D5" i="48"/>
  <c r="E5" i="48"/>
  <c r="D6" i="48"/>
  <c r="D7" i="48"/>
  <c r="D8" i="48"/>
  <c r="D9" i="48"/>
  <c r="B10" i="48"/>
  <c r="C10" i="48"/>
  <c r="C3" i="47"/>
  <c r="D3" i="47" s="1"/>
  <c r="C4" i="47"/>
  <c r="C5" i="47"/>
  <c r="D5" i="47"/>
  <c r="C6" i="47"/>
  <c r="D6" i="47"/>
  <c r="C7" i="47"/>
  <c r="C8" i="47"/>
  <c r="C9" i="47"/>
  <c r="B10" i="47"/>
  <c r="E3" i="46"/>
  <c r="E4" i="46"/>
  <c r="E5" i="46"/>
  <c r="F4" i="46" s="1"/>
  <c r="E6" i="46"/>
  <c r="E10" i="46" s="1"/>
  <c r="E7" i="46"/>
  <c r="E8" i="46"/>
  <c r="E9" i="46"/>
  <c r="B10" i="46"/>
  <c r="C10" i="46"/>
  <c r="D10" i="46"/>
  <c r="H3" i="45"/>
  <c r="I3" i="45" s="1"/>
  <c r="H4" i="45"/>
  <c r="I4" i="45"/>
  <c r="H5" i="45"/>
  <c r="H6" i="45"/>
  <c r="H7" i="45"/>
  <c r="H8" i="45"/>
  <c r="H9" i="45" s="1"/>
  <c r="B9" i="45"/>
  <c r="C9" i="45"/>
  <c r="D9" i="45"/>
  <c r="E9" i="45"/>
  <c r="F9" i="45"/>
  <c r="G9" i="45"/>
  <c r="D3" i="44"/>
  <c r="E3" i="44" s="1"/>
  <c r="D4" i="44"/>
  <c r="E4" i="44"/>
  <c r="D5" i="44"/>
  <c r="D6" i="44"/>
  <c r="D7" i="44"/>
  <c r="D8" i="44"/>
  <c r="D9" i="44"/>
  <c r="B10" i="44"/>
  <c r="C10" i="44"/>
  <c r="D10" i="44"/>
  <c r="E3" i="43"/>
  <c r="E4" i="43"/>
  <c r="E10" i="43" s="1"/>
  <c r="F4" i="43"/>
  <c r="E5" i="43"/>
  <c r="E6" i="43"/>
  <c r="F3" i="43" s="1"/>
  <c r="E7" i="43"/>
  <c r="E8" i="43"/>
  <c r="E9" i="43"/>
  <c r="B10" i="43"/>
  <c r="C10" i="43"/>
  <c r="D10" i="43"/>
  <c r="C3" i="42"/>
  <c r="C10" i="42" s="1"/>
  <c r="C4" i="42"/>
  <c r="C5" i="42"/>
  <c r="D4" i="42" s="1"/>
  <c r="C6" i="42"/>
  <c r="D3" i="42" s="1"/>
  <c r="C7" i="42"/>
  <c r="C8" i="42"/>
  <c r="C9" i="42"/>
  <c r="B10" i="42"/>
  <c r="F3" i="41"/>
  <c r="F4" i="41"/>
  <c r="G4" i="41"/>
  <c r="F5" i="41"/>
  <c r="F6" i="41"/>
  <c r="G3" i="41" s="1"/>
  <c r="F7" i="41"/>
  <c r="F8" i="41"/>
  <c r="F11" i="41" s="1"/>
  <c r="F9" i="41"/>
  <c r="F10" i="41"/>
  <c r="B11" i="41"/>
  <c r="C11" i="41"/>
  <c r="D11" i="41"/>
  <c r="E11" i="41"/>
  <c r="E3" i="40"/>
  <c r="F3" i="40"/>
  <c r="E4" i="40"/>
  <c r="F4" i="40"/>
  <c r="E5" i="40"/>
  <c r="E6" i="40"/>
  <c r="E7" i="40"/>
  <c r="E8" i="40"/>
  <c r="B9" i="40"/>
  <c r="C9" i="40"/>
  <c r="D9" i="40"/>
  <c r="E9" i="40"/>
  <c r="E3" i="39"/>
  <c r="E4" i="39"/>
  <c r="F4" i="39"/>
  <c r="E5" i="39"/>
  <c r="F3" i="39" s="1"/>
  <c r="E6" i="39"/>
  <c r="E7" i="39"/>
  <c r="E8" i="39"/>
  <c r="E9" i="39" s="1"/>
  <c r="B9" i="39"/>
  <c r="C9" i="39"/>
  <c r="D9" i="39"/>
  <c r="C3" i="38"/>
  <c r="D3" i="38" s="1"/>
  <c r="C4" i="38"/>
  <c r="C5" i="38"/>
  <c r="D4" i="38" s="1"/>
  <c r="C6" i="38"/>
  <c r="C7" i="38"/>
  <c r="C8" i="38"/>
  <c r="C9" i="38"/>
  <c r="B10" i="38"/>
  <c r="C3" i="37"/>
  <c r="D3" i="37" s="1"/>
  <c r="C4" i="37"/>
  <c r="D4" i="37"/>
  <c r="C5" i="37"/>
  <c r="C6" i="37"/>
  <c r="C7" i="37"/>
  <c r="C8" i="37"/>
  <c r="B9" i="37"/>
  <c r="D3" i="36"/>
  <c r="E3" i="36"/>
  <c r="D4" i="36"/>
  <c r="D5" i="36"/>
  <c r="D7" i="36" s="1"/>
  <c r="D6" i="36"/>
  <c r="B7" i="36"/>
  <c r="C7" i="36"/>
  <c r="C3" i="35"/>
  <c r="D3" i="35" s="1"/>
  <c r="C4" i="35"/>
  <c r="C9" i="35" s="1"/>
  <c r="D4" i="35"/>
  <c r="C5" i="35"/>
  <c r="C6" i="35"/>
  <c r="C7" i="35"/>
  <c r="C8" i="35"/>
  <c r="B9" i="35"/>
  <c r="D3" i="34"/>
  <c r="E3" i="34" s="1"/>
  <c r="D4" i="34"/>
  <c r="E4" i="34"/>
  <c r="D5" i="34"/>
  <c r="D6" i="34"/>
  <c r="D7" i="34"/>
  <c r="D8" i="34"/>
  <c r="D9" i="34" s="1"/>
  <c r="B9" i="34"/>
  <c r="C9" i="34"/>
  <c r="C3" i="33"/>
  <c r="C4" i="33"/>
  <c r="D3" i="33" s="1"/>
  <c r="C5" i="33"/>
  <c r="C6" i="33"/>
  <c r="C7" i="33"/>
  <c r="B8" i="33"/>
  <c r="C8" i="33"/>
  <c r="C3" i="32"/>
  <c r="D3" i="32"/>
  <c r="C4" i="32"/>
  <c r="D4" i="32"/>
  <c r="C5" i="32"/>
  <c r="D5" i="32"/>
  <c r="C6" i="32"/>
  <c r="C7" i="32"/>
  <c r="C9" i="32" s="1"/>
  <c r="C8" i="32"/>
  <c r="B9" i="32"/>
  <c r="D3" i="31"/>
  <c r="E3" i="31"/>
  <c r="D4" i="31"/>
  <c r="E4" i="31"/>
  <c r="D5" i="31"/>
  <c r="D6" i="31"/>
  <c r="D7" i="31"/>
  <c r="D8" i="31"/>
  <c r="D9" i="31" s="1"/>
  <c r="B9" i="31"/>
  <c r="C9" i="31"/>
  <c r="C3" i="30"/>
  <c r="C4" i="30"/>
  <c r="D3" i="30" s="1"/>
  <c r="C5" i="30"/>
  <c r="C8" i="30" s="1"/>
  <c r="C6" i="30"/>
  <c r="C7" i="30"/>
  <c r="B8" i="30"/>
  <c r="D3" i="29"/>
  <c r="E3" i="29" s="1"/>
  <c r="D4" i="29"/>
  <c r="D5" i="29"/>
  <c r="D8" i="29" s="1"/>
  <c r="D6" i="29"/>
  <c r="D7" i="29"/>
  <c r="B8" i="29"/>
  <c r="C8" i="29"/>
  <c r="C3" i="28"/>
  <c r="D3" i="28"/>
  <c r="C4" i="28"/>
  <c r="C9" i="28" s="1"/>
  <c r="D4" i="28"/>
  <c r="C5" i="28"/>
  <c r="C6" i="28"/>
  <c r="C7" i="28"/>
  <c r="C8" i="28"/>
  <c r="B9" i="28"/>
  <c r="C3" i="27"/>
  <c r="D3" i="27"/>
  <c r="C4" i="27"/>
  <c r="C8" i="27" s="1"/>
  <c r="D4" i="27"/>
  <c r="C5" i="27"/>
  <c r="C6" i="27"/>
  <c r="C7" i="27"/>
  <c r="B8" i="27"/>
  <c r="D3" i="26"/>
  <c r="E3" i="26" s="1"/>
  <c r="D4" i="26"/>
  <c r="D5" i="26"/>
  <c r="E4" i="26" s="1"/>
  <c r="D6" i="26"/>
  <c r="D7" i="26"/>
  <c r="E7" i="26"/>
  <c r="D8" i="26"/>
  <c r="D9" i="26"/>
  <c r="D10" i="26"/>
  <c r="B11" i="26"/>
  <c r="C11" i="26"/>
  <c r="C3" i="25"/>
  <c r="C4" i="25"/>
  <c r="D3" i="25" s="1"/>
  <c r="C5" i="25"/>
  <c r="C8" i="25" s="1"/>
  <c r="C6" i="25"/>
  <c r="C7" i="25"/>
  <c r="B8" i="25"/>
  <c r="C3" i="24"/>
  <c r="C4" i="24"/>
  <c r="D3" i="24" s="1"/>
  <c r="C5" i="24"/>
  <c r="C8" i="24" s="1"/>
  <c r="C6" i="24"/>
  <c r="C7" i="24"/>
  <c r="B8" i="24"/>
  <c r="D3" i="23"/>
  <c r="E3" i="23" s="1"/>
  <c r="D4" i="23"/>
  <c r="E4" i="23"/>
  <c r="D5" i="23"/>
  <c r="D6" i="23"/>
  <c r="D7" i="23"/>
  <c r="D8" i="23"/>
  <c r="D9" i="23" s="1"/>
  <c r="B9" i="23"/>
  <c r="C9" i="23"/>
  <c r="C3" i="22"/>
  <c r="D3" i="22" s="1"/>
  <c r="C4" i="22"/>
  <c r="C5" i="22"/>
  <c r="C10" i="22" s="1"/>
  <c r="C6" i="22"/>
  <c r="D6" i="22" s="1"/>
  <c r="C7" i="22"/>
  <c r="C8" i="22"/>
  <c r="C9" i="22"/>
  <c r="B10" i="22"/>
  <c r="C3" i="21"/>
  <c r="D3" i="21" s="1"/>
  <c r="C4" i="21"/>
  <c r="C8" i="21" s="1"/>
  <c r="D4" i="21"/>
  <c r="C5" i="21"/>
  <c r="C6" i="21"/>
  <c r="C7" i="21"/>
  <c r="B8" i="21"/>
  <c r="C3" i="20"/>
  <c r="C4" i="20"/>
  <c r="D3" i="20" s="1"/>
  <c r="C5" i="20"/>
  <c r="C8" i="20" s="1"/>
  <c r="C6" i="20"/>
  <c r="C7" i="20"/>
  <c r="B8" i="20"/>
  <c r="D3" i="19"/>
  <c r="E3" i="19" s="1"/>
  <c r="D4" i="19"/>
  <c r="E4" i="19"/>
  <c r="D5" i="19"/>
  <c r="E5" i="19"/>
  <c r="D6" i="19"/>
  <c r="E6" i="19"/>
  <c r="B7" i="19"/>
  <c r="C7" i="19"/>
  <c r="D7" i="19"/>
  <c r="D3" i="18"/>
  <c r="E3" i="18" s="1"/>
  <c r="D4" i="18"/>
  <c r="D5" i="18"/>
  <c r="D6" i="18"/>
  <c r="D7" i="18"/>
  <c r="B8" i="18"/>
  <c r="C8" i="18"/>
  <c r="C3" i="17"/>
  <c r="D3" i="17"/>
  <c r="C4" i="17"/>
  <c r="D4" i="17"/>
  <c r="C5" i="17"/>
  <c r="C6" i="17"/>
  <c r="C7" i="17"/>
  <c r="C8" i="17"/>
  <c r="C10" i="17" s="1"/>
  <c r="C9" i="17"/>
  <c r="B10" i="17"/>
  <c r="C3" i="16"/>
  <c r="C4" i="16"/>
  <c r="D4" i="16"/>
  <c r="C5" i="16"/>
  <c r="C6" i="16"/>
  <c r="D3" i="16" s="1"/>
  <c r="C7" i="16"/>
  <c r="C8" i="16"/>
  <c r="C9" i="16"/>
  <c r="C10" i="16"/>
  <c r="B11" i="16"/>
  <c r="C11" i="16"/>
  <c r="D3" i="15"/>
  <c r="D4" i="15"/>
  <c r="D12" i="15" s="1"/>
  <c r="D5" i="15"/>
  <c r="D6" i="15"/>
  <c r="E3" i="15" s="1"/>
  <c r="D7" i="15"/>
  <c r="D8" i="15"/>
  <c r="E4" i="15" s="1"/>
  <c r="D9" i="15"/>
  <c r="D10" i="15"/>
  <c r="D11" i="15"/>
  <c r="B12" i="15"/>
  <c r="C12" i="15"/>
  <c r="C3" i="14"/>
  <c r="D3" i="14"/>
  <c r="C4" i="14"/>
  <c r="C5" i="14"/>
  <c r="C7" i="14" s="1"/>
  <c r="C6" i="14"/>
  <c r="B7" i="14"/>
  <c r="C3" i="13"/>
  <c r="C8" i="13" s="1"/>
  <c r="C4" i="13"/>
  <c r="C5" i="13"/>
  <c r="C6" i="13"/>
  <c r="C7" i="13"/>
  <c r="B8" i="13"/>
  <c r="D3" i="12"/>
  <c r="E3" i="12" s="1"/>
  <c r="D4" i="12"/>
  <c r="D5" i="12"/>
  <c r="D6" i="12"/>
  <c r="D7" i="12"/>
  <c r="B8" i="12"/>
  <c r="C8" i="12"/>
  <c r="D3" i="11"/>
  <c r="D4" i="11"/>
  <c r="D5" i="11"/>
  <c r="D6" i="11"/>
  <c r="D7" i="11"/>
  <c r="D8" i="11"/>
  <c r="D9" i="11"/>
  <c r="B10" i="11"/>
  <c r="C10" i="11"/>
  <c r="C3" i="10"/>
  <c r="D3" i="10" s="1"/>
  <c r="C4" i="10"/>
  <c r="C5" i="10"/>
  <c r="C6" i="10"/>
  <c r="B7" i="10"/>
  <c r="C3" i="9"/>
  <c r="C4" i="9"/>
  <c r="C5" i="9"/>
  <c r="C6" i="9"/>
  <c r="C7" i="9"/>
  <c r="C8" i="9"/>
  <c r="C9" i="9"/>
  <c r="B10" i="9"/>
  <c r="D3" i="8"/>
  <c r="E3" i="8" s="1"/>
  <c r="D4" i="8"/>
  <c r="D5" i="8"/>
  <c r="D6" i="8"/>
  <c r="D7" i="8"/>
  <c r="D8" i="8"/>
  <c r="B9" i="8"/>
  <c r="C9" i="8"/>
  <c r="C3" i="7"/>
  <c r="C4" i="7"/>
  <c r="C5" i="7"/>
  <c r="C6" i="7"/>
  <c r="C7" i="7"/>
  <c r="C8" i="7"/>
  <c r="C9" i="7"/>
  <c r="B10" i="7"/>
  <c r="C3" i="6"/>
  <c r="C4" i="6"/>
  <c r="C5" i="6"/>
  <c r="C6" i="6"/>
  <c r="C7" i="6"/>
  <c r="C8" i="6"/>
  <c r="C9" i="6"/>
  <c r="B10" i="6"/>
  <c r="C3" i="5"/>
  <c r="C4" i="5"/>
  <c r="C5" i="5"/>
  <c r="C6" i="5"/>
  <c r="C7" i="5"/>
  <c r="C8" i="5"/>
  <c r="C9" i="5"/>
  <c r="B10" i="5"/>
  <c r="C3" i="4"/>
  <c r="C4" i="4"/>
  <c r="C5" i="4"/>
  <c r="C6" i="4"/>
  <c r="C7" i="4"/>
  <c r="C8" i="4"/>
  <c r="C9" i="4"/>
  <c r="B10" i="4"/>
  <c r="C3" i="3"/>
  <c r="D3" i="3" s="1"/>
  <c r="C4" i="3"/>
  <c r="C5" i="3"/>
  <c r="C6" i="3"/>
  <c r="C7" i="3"/>
  <c r="C8" i="3"/>
  <c r="B9" i="3"/>
  <c r="C3" i="2"/>
  <c r="C4" i="2"/>
  <c r="C5" i="2"/>
  <c r="C6" i="2"/>
  <c r="C7" i="2"/>
  <c r="C8" i="2"/>
  <c r="C9" i="2"/>
  <c r="B10" i="2"/>
  <c r="C3" i="1"/>
  <c r="C4" i="1"/>
  <c r="C5" i="1"/>
  <c r="C6" i="1"/>
  <c r="C7" i="1"/>
  <c r="C8" i="1"/>
  <c r="C9" i="1"/>
  <c r="B10" i="1"/>
  <c r="E3" i="50" l="1"/>
  <c r="C10" i="61"/>
  <c r="G9" i="57"/>
  <c r="F9" i="54"/>
  <c r="I8" i="49"/>
  <c r="C10" i="47"/>
  <c r="F3" i="46"/>
  <c r="C10" i="38"/>
  <c r="C9" i="37"/>
  <c r="D11" i="26"/>
  <c r="D8" i="18"/>
  <c r="D10" i="11"/>
  <c r="D3" i="13"/>
  <c r="E3" i="11"/>
  <c r="E4" i="11"/>
  <c r="D8" i="12"/>
  <c r="D4" i="9"/>
  <c r="C7" i="10"/>
  <c r="D3" i="9"/>
  <c r="D4" i="7"/>
  <c r="C10" i="9"/>
  <c r="D9" i="8"/>
  <c r="D3" i="7"/>
  <c r="D4" i="5"/>
  <c r="E4" i="8"/>
  <c r="D3" i="4"/>
  <c r="D3" i="5"/>
  <c r="D4" i="6"/>
  <c r="C10" i="7"/>
  <c r="D3" i="6"/>
  <c r="C10" i="6"/>
  <c r="D4" i="3"/>
  <c r="D4" i="4"/>
  <c r="C10" i="5"/>
  <c r="C9" i="3"/>
  <c r="C10" i="4"/>
  <c r="D4" i="2"/>
  <c r="D3" i="2"/>
  <c r="D3" i="1"/>
  <c r="C10" i="2"/>
  <c r="C10" i="1"/>
  <c r="D4" i="1"/>
</calcChain>
</file>

<file path=xl/sharedStrings.xml><?xml version="1.0" encoding="utf-8"?>
<sst xmlns="http://schemas.openxmlformats.org/spreadsheetml/2006/main" count="829" uniqueCount="330">
  <si>
    <t>Total Votes by County</t>
  </si>
  <si>
    <t>Scattering</t>
  </si>
  <si>
    <t>Void</t>
  </si>
  <si>
    <t>Blank</t>
  </si>
  <si>
    <t>Skyler Q. Johnson (WOR)</t>
  </si>
  <si>
    <t>Anthony H. Palumbo (CON)</t>
  </si>
  <si>
    <t>Anthony H. Palumbo (REP)</t>
  </si>
  <si>
    <t>Skyler Q. Johnson (DEM)</t>
  </si>
  <si>
    <t>Total Votes by Candidate</t>
  </si>
  <si>
    <t>Total Votes by Party</t>
  </si>
  <si>
    <t>Part of Suffolk County Vote Results</t>
  </si>
  <si>
    <t>Candidate Name (Party)</t>
  </si>
  <si>
    <t>State Senator 1st Senate District - General Election - November 8, 2022</t>
  </si>
  <si>
    <t>Susan A. Berland (WOR)</t>
  </si>
  <si>
    <t>Mario R. Mattera (CON)</t>
  </si>
  <si>
    <t>Mario R. Mattera (REP)</t>
  </si>
  <si>
    <t>Susan A. Berland (DEM)</t>
  </si>
  <si>
    <t>State Senator 2nd Senate District - General Election - November 8, 2022</t>
  </si>
  <si>
    <t>Dean Murray (CON)</t>
  </si>
  <si>
    <t>Dean Murray (REP)</t>
  </si>
  <si>
    <t>Farzeen A. Bham (DEM)</t>
  </si>
  <si>
    <t>State Senator 3rd Senate District - General Election - November 8, 2022</t>
  </si>
  <si>
    <t>Monica R. Martinez (WOR)</t>
  </si>
  <si>
    <t>Wendy Rodriguez (CON)</t>
  </si>
  <si>
    <t>Wendy Rodriguez (REP)</t>
  </si>
  <si>
    <t>Monica R. Martinez (DEM)</t>
  </si>
  <si>
    <t>State Senator 4th Senate District - General Election - November 8, 2022</t>
  </si>
  <si>
    <t>John F. Brooks (WOR)</t>
  </si>
  <si>
    <t>Steven D. Rhoads (CON)</t>
  </si>
  <si>
    <t>Steven D. Rhoads (REP)</t>
  </si>
  <si>
    <t>John F. Brooks (DEM)</t>
  </si>
  <si>
    <t>Part of Nassau County Vote Results</t>
  </si>
  <si>
    <t>State Senator 5th Senate District - General Election - November 8, 2022</t>
  </si>
  <si>
    <t>Kevin M. Thomas (WOR)</t>
  </si>
  <si>
    <t>James L. Coll (CON)</t>
  </si>
  <si>
    <t>James L. Coll (REP)</t>
  </si>
  <si>
    <t>Kevin M. Thomas (DEM)</t>
  </si>
  <si>
    <t>State Senator 6th Senate District - General Election - November 8, 2022</t>
  </si>
  <si>
    <t>Anna M. Kaplan (WOR)</t>
  </si>
  <si>
    <t>Jack M. Martins (CON)</t>
  </si>
  <si>
    <t>Jack M. Martins (REP)</t>
  </si>
  <si>
    <t>Anna M. Kaplan (DEM)</t>
  </si>
  <si>
    <t>State Senator 7th Senate District - General Election - November 8, 2022</t>
  </si>
  <si>
    <t>Alexis Weik (CON)</t>
  </si>
  <si>
    <t>Alexis Weik (REP)</t>
  </si>
  <si>
    <t>John R. Alberts (DEM)</t>
  </si>
  <si>
    <t>State Senator 8th Senate District - General Election - November 8, 2022</t>
  </si>
  <si>
    <t>Kenneth M. Moore (WOR)</t>
  </si>
  <si>
    <t>Patricia M. Canzoneri-Fitzpatrick (CON)</t>
  </si>
  <si>
    <t>Patricia M. Canzoneri-Fitzpatrick (REP)</t>
  </si>
  <si>
    <t>Kenneth M. Moore (DEM)</t>
  </si>
  <si>
    <t>State Senator 9th Senate District - General Election - November 8, 2022</t>
  </si>
  <si>
    <t>James Sanders, Jr. (DEM)</t>
  </si>
  <si>
    <t>Part of Queens County Vote Results</t>
  </si>
  <si>
    <t>State Senator 10th Senate District - General Election - November 8, 2022</t>
  </si>
  <si>
    <t>Toby Ann Stavisky (WOR)</t>
  </si>
  <si>
    <t>Stefano Forte (CON)</t>
  </si>
  <si>
    <t>Stefano Forte (REP)</t>
  </si>
  <si>
    <t>Toby Ann Stavisky (DEM)</t>
  </si>
  <si>
    <t>Part of Bronx County Vote Results</t>
  </si>
  <si>
    <t>State Senator 11th Senate District - General Election - November 8, 2022</t>
  </si>
  <si>
    <t>Michael N. Gianaris (WOR)</t>
  </si>
  <si>
    <t>Michael N. Gianaris (DEM)</t>
  </si>
  <si>
    <t>Part of Kings County Vote Results</t>
  </si>
  <si>
    <t>State Senator 12th Senate District - General Election - November 8, 2022</t>
  </si>
  <si>
    <t>Jessica Ramos (WOR)</t>
  </si>
  <si>
    <t>Jessica Ramos (DEM)</t>
  </si>
  <si>
    <t>State Senator 13th Senate District - General Election - November 8, 2022</t>
  </si>
  <si>
    <t>Leroy G. Comrie, Jr. (DEM)</t>
  </si>
  <si>
    <t>State Senator 14th Senate District - General Election - November 8, 2022</t>
  </si>
  <si>
    <t>Danniel S. Maio (IND)</t>
  </si>
  <si>
    <t>Danniel S. Maio (MED)</t>
  </si>
  <si>
    <t>Joseph P. Addabbo, Jr. (WTP)</t>
  </si>
  <si>
    <t>Danniel S. Maio (CON)</t>
  </si>
  <si>
    <t>Danniel S. Maio (REP)</t>
  </si>
  <si>
    <t>Joseph P. Addabbo, Jr. (DEM)</t>
  </si>
  <si>
    <t>State Senator 15th Senate District - General Election - November 8, 2022</t>
  </si>
  <si>
    <t>Ruben D. Cruz, II (IND)</t>
  </si>
  <si>
    <t>John C. Liu (WOR)</t>
  </si>
  <si>
    <t>Ruben D. Cruz, II (CON)</t>
  </si>
  <si>
    <t>Ruben D. Cruz, II (REP)</t>
  </si>
  <si>
    <t>John C. Liu (DEM)</t>
  </si>
  <si>
    <t>State Senator 16th Senate District - General Election - November 8, 2022</t>
  </si>
  <si>
    <t>I Wen Chu (WOR)</t>
  </si>
  <si>
    <t>Vito J. LaBella (CON)</t>
  </si>
  <si>
    <t>Vito J. LaBella (REP)</t>
  </si>
  <si>
    <t>I Wen Chu (DEM)</t>
  </si>
  <si>
    <t>State Senator 17th Senate District - General Election - November 8, 2022</t>
  </si>
  <si>
    <t>Julia Salazar (WOR)</t>
  </si>
  <si>
    <t>Julia Salazar (DEM)</t>
  </si>
  <si>
    <t>State Senator 18th Senate District - General Election - November 8, 2022</t>
  </si>
  <si>
    <t>Roxanne J. Persaud (DEM)</t>
  </si>
  <si>
    <t>State Senator 19th Senate District - General Election - November 8, 2022</t>
  </si>
  <si>
    <t>Zellnor Y. Myrie (WOR)</t>
  </si>
  <si>
    <t>Zellnor Y. Myrie (DEM)</t>
  </si>
  <si>
    <t>State Senator 20th Senate District - General Election - November 8, 2022</t>
  </si>
  <si>
    <t>David Alexis (WOR)</t>
  </si>
  <si>
    <t>Kevin S. Parker (DEM)</t>
  </si>
  <si>
    <t>State Senator 21st Senate District - General Election - November 8, 2022</t>
  </si>
  <si>
    <t>Marva C. Brown (WOR)</t>
  </si>
  <si>
    <t>Simcha Felder (CON)</t>
  </si>
  <si>
    <t>Simcha Felder (REP)</t>
  </si>
  <si>
    <t>Simcha Felder (DEM)</t>
  </si>
  <si>
    <t>State Senator 22nd Senate District - General Election - November 8, 2022</t>
  </si>
  <si>
    <t>Joseph L. Tirone, Jr. (CON)</t>
  </si>
  <si>
    <t>Joseph L. Tirone, Jr. (REP)</t>
  </si>
  <si>
    <t>Jessica Scarcella-Spanton (DEM)</t>
  </si>
  <si>
    <t>Part of Richmond County Vote Results</t>
  </si>
  <si>
    <t>State Senator 23rd Senate District - General Election - November 8, 2022</t>
  </si>
  <si>
    <t>Andrew J. Lanza (CON)</t>
  </si>
  <si>
    <t>Andrew J. Lanza (REP)</t>
  </si>
  <si>
    <t>State Senator 24th Senate District - General Election - November 8, 2022</t>
  </si>
  <si>
    <t>Jabari Brisport (WOR)</t>
  </si>
  <si>
    <t>Jabari Brisport (DEM)</t>
  </si>
  <si>
    <t>State Senator 25th Senate District - General Election - November 8, 2022</t>
  </si>
  <si>
    <t>Martha M. Rowen (MED)</t>
  </si>
  <si>
    <t>Andrew S. Gounardes (WOR)</t>
  </si>
  <si>
    <t>Brian Fox (CON)</t>
  </si>
  <si>
    <t>Brian Fox (REP)</t>
  </si>
  <si>
    <t>Andrew S. Gounardes (DEM)</t>
  </si>
  <si>
    <t>Part of New York County Vote Results</t>
  </si>
  <si>
    <t>State Senator 26th Senate District - General Election - November 8, 2022</t>
  </si>
  <si>
    <t>Eric J. Rassi (MED)</t>
  </si>
  <si>
    <t>Brian Kavanagh (DEM)</t>
  </si>
  <si>
    <t>State Senator 27th Senate District - General Election - November 8, 2022</t>
  </si>
  <si>
    <t>Liz Krueger (WOR)</t>
  </si>
  <si>
    <t>Awadhesh Kumar Gupta (REP)</t>
  </si>
  <si>
    <t>Liz Krueger (DEM)</t>
  </si>
  <si>
    <t>State Senator 28th Senate District - General Election - November 8, 2022</t>
  </si>
  <si>
    <t>Jose M. Serrano (WOR)</t>
  </si>
  <si>
    <t>Jose M. Serrano (DEM)</t>
  </si>
  <si>
    <t>State Senator 29th Senate District - General Election - November 8, 2022</t>
  </si>
  <si>
    <t>Cordell Cleare (WOR)</t>
  </si>
  <si>
    <t>Cordell Cleare (DEM)</t>
  </si>
  <si>
    <t>State Senator 30th Senate District - General Election - November 8, 2022</t>
  </si>
  <si>
    <t>Robert Jackson (WOR)</t>
  </si>
  <si>
    <t>Donald Skinner (REP)</t>
  </si>
  <si>
    <t>Robert Jackson (DEM)</t>
  </si>
  <si>
    <t>State Senator 31st Senate District - General Election - November 8, 2022</t>
  </si>
  <si>
    <t>Dion Jordan Powell (CON)</t>
  </si>
  <si>
    <t>Antonio Melendez, Sr. (REP)</t>
  </si>
  <si>
    <t>Luis R. Sepulveda (DEM)</t>
  </si>
  <si>
    <t>State Senator 32nd Senate District - General Election - November 8, 2022</t>
  </si>
  <si>
    <t>J. Gustavo Rivera (WOR)</t>
  </si>
  <si>
    <t>J. Gustavo Rivera (DEM)</t>
  </si>
  <si>
    <t>State Senator 33rd Senate District - General Election - November 8, 2022</t>
  </si>
  <si>
    <t>Samantha Zherka (CON)</t>
  </si>
  <si>
    <t>Samantha Zherka (REP)</t>
  </si>
  <si>
    <t>Nathalia Fernandez (DEM)</t>
  </si>
  <si>
    <t>Part of Westchester County Vote Results</t>
  </si>
  <si>
    <t>State Senator 34th Senate District - General Election - November 8, 2022</t>
  </si>
  <si>
    <t>Andrea Stewart-Cousins (WOR)</t>
  </si>
  <si>
    <t>Khristen M. Kerr (REP)</t>
  </si>
  <si>
    <t>Andrea Stewart-Cousins (DEM)</t>
  </si>
  <si>
    <t>State Senator 35th Senate District - General Election - November 8, 2022</t>
  </si>
  <si>
    <t>Jamaal T. Bailey (DEM)</t>
  </si>
  <si>
    <t>State Senator 36th Senate District - General Election - November 8, 2022</t>
  </si>
  <si>
    <t>Shelley B. Mayer (WOR)</t>
  </si>
  <si>
    <t>Frank F. Murtha (REP)</t>
  </si>
  <si>
    <t>Shelley B. Mayer (DEM)</t>
  </si>
  <si>
    <t>State Senator 37th Senate District - General Election - November 8, 2022</t>
  </si>
  <si>
    <t>Elijah Reichlin-Melnick (WOR)</t>
  </si>
  <si>
    <t>Bill Weber (CON)</t>
  </si>
  <si>
    <t>Bill Weber (REP)</t>
  </si>
  <si>
    <t>Elijah Reichlin-Melnick (DEM)</t>
  </si>
  <si>
    <t>Part of Rockland County Vote Results</t>
  </si>
  <si>
    <t>State Senator 38th Senate District - General Election - November 8, 2022</t>
  </si>
  <si>
    <t>Julie Shiroishi (WOR)</t>
  </si>
  <si>
    <t>Rob Rolison (REP)</t>
  </si>
  <si>
    <t>Julie Shiroishi (DEM)</t>
  </si>
  <si>
    <t>Part of Putnam County Vote Results</t>
  </si>
  <si>
    <t>Part of Orange County Vote Results</t>
  </si>
  <si>
    <t>Part of Dutchess County Vote Results</t>
  </si>
  <si>
    <t>State Senator 39th Senate District - General Election - November 8, 2022</t>
  </si>
  <si>
    <t>Peter B. Harckham (WOR)</t>
  </si>
  <si>
    <t>Gina M. Arena (REP)</t>
  </si>
  <si>
    <t>Peter B. Harckham (DEM)</t>
  </si>
  <si>
    <t>State Senator 40th Senate District - General Election - November 8, 2022</t>
  </si>
  <si>
    <t>Susan J. Serino (IND)</t>
  </si>
  <si>
    <t>Michelle Hinchey (WOR)</t>
  </si>
  <si>
    <t>Susan J. Serino (CON)</t>
  </si>
  <si>
    <t>Susan J. Serino (REP)</t>
  </si>
  <si>
    <t>Michelle Hinchey (DEM)</t>
  </si>
  <si>
    <t>Part of Ulster County Vote Results</t>
  </si>
  <si>
    <t>Part of Green County Vote Results</t>
  </si>
  <si>
    <t>Columbia County
Vote Results</t>
  </si>
  <si>
    <t>State Senator 41st Senate District - General Election - November 8, 2022</t>
  </si>
  <si>
    <t>James G. Skoufis (WOR)</t>
  </si>
  <si>
    <t>Dorey Houle (CON)</t>
  </si>
  <si>
    <t>Dorey Houle (REP)</t>
  </si>
  <si>
    <t>James G. Skoufis (DEM)</t>
  </si>
  <si>
    <t>State Senator 42nd Senate District - General Election - November 8, 2022</t>
  </si>
  <si>
    <t>Andrea Smyth (WOR)</t>
  </si>
  <si>
    <t>Jacob C. Ashby (CON)</t>
  </si>
  <si>
    <t>Jacob C. Ashby (REP)</t>
  </si>
  <si>
    <t>Andrea Smyth (DEM)</t>
  </si>
  <si>
    <t>Part of Washington County Vote Results</t>
  </si>
  <si>
    <t xml:space="preserve"> Rensselaer County 
Vote Results</t>
  </si>
  <si>
    <t>Part of Albany County Vote Results</t>
  </si>
  <si>
    <t>State Senator 43rd Senate District - General Election - November 8, 2022</t>
  </si>
  <si>
    <t>Michelle Ostrelich (WOR)</t>
  </si>
  <si>
    <t>James N. Tedisco (CON)</t>
  </si>
  <si>
    <t>James N. Tedisco (REP)</t>
  </si>
  <si>
    <t>Michelle Ostrelich (DEM)</t>
  </si>
  <si>
    <t>Part of Schenectady County Vote Results</t>
  </si>
  <si>
    <t>Saratoga County 
Vote Results</t>
  </si>
  <si>
    <t>State Senator 44th Senate District - General Election - November 8, 2022</t>
  </si>
  <si>
    <t>Daniel G. Stec (CON)</t>
  </si>
  <si>
    <t>Daniel G. Stec (REP)</t>
  </si>
  <si>
    <t>Jean A. Lapper (DEM)</t>
  </si>
  <si>
    <t>Warren County Vote Results</t>
  </si>
  <si>
    <t>Part of St. Lawrence County Vote Results</t>
  </si>
  <si>
    <t>Franklin County Vote Results</t>
  </si>
  <si>
    <t>Essex County Vote Results</t>
  </si>
  <si>
    <t>Clinton County Vote Results</t>
  </si>
  <si>
    <t>State Senator 45th Senate District - General Election - November 8, 2022</t>
  </si>
  <si>
    <t>Neil D. Breslin (WOR)</t>
  </si>
  <si>
    <t>Richard M. Amedure, Jr. (CON)</t>
  </si>
  <si>
    <t>Richard M. Amedure, Jr. (REP)</t>
  </si>
  <si>
    <t>Neil D. Breslin (DEM)</t>
  </si>
  <si>
    <t>Montgomery County Vote Results</t>
  </si>
  <si>
    <t>State Senator 46th Senate District - General Election - November 8, 2022</t>
  </si>
  <si>
    <t>Maria Danzillo (PAR)</t>
  </si>
  <si>
    <t>Robert P. Bobrick (MED)</t>
  </si>
  <si>
    <t>Brad M. Hoylman (WOR)</t>
  </si>
  <si>
    <t>Brad M. Hoylman (DEM)</t>
  </si>
  <si>
    <t>State Senator 47th Senate District - General Election - November 8, 2022</t>
  </si>
  <si>
    <t>Rachel May (WOR)</t>
  </si>
  <si>
    <t>Justin M. Coretti (CON)</t>
  </si>
  <si>
    <t>Julie Abbott (REP)</t>
  </si>
  <si>
    <t>Rachel May (DEM)</t>
  </si>
  <si>
    <t>Part of Onondaga County Vote Results</t>
  </si>
  <si>
    <t>Cayuga County Vote Results</t>
  </si>
  <si>
    <t>State Senator 48th Senate District - General Election - November 8, 2022</t>
  </si>
  <si>
    <t>Mark C. Walczyk (CON)</t>
  </si>
  <si>
    <t>Mark C. Walczyk (REP)</t>
  </si>
  <si>
    <t>Part of Oswego County Vote Results</t>
  </si>
  <si>
    <t>Lewis County
Vote Results</t>
  </si>
  <si>
    <t>Jefferson County Vote Results</t>
  </si>
  <si>
    <t>Part of Herkimer County Vote Results</t>
  </si>
  <si>
    <t>Hamilton County Vote Results</t>
  </si>
  <si>
    <t>Fulton County Vote Results</t>
  </si>
  <si>
    <t>State Senator 49th Senate District - General Election - November 8, 2022</t>
  </si>
  <si>
    <t>John W. Mannion (WOR)</t>
  </si>
  <si>
    <t>Rebecca Shiroff (CON)</t>
  </si>
  <si>
    <t>Rebecca Shiroff (REP)</t>
  </si>
  <si>
    <t>John W. Mannion (DEM)</t>
  </si>
  <si>
    <t>Part of Onondago County Vote Results</t>
  </si>
  <si>
    <t>State Senator 50th Senate District - General Election - November 8, 2022</t>
  </si>
  <si>
    <t>Peter K. Oberacker (CON)</t>
  </si>
  <si>
    <t>Peter K. Oberacker (REP)</t>
  </si>
  <si>
    <t>Eric Ball (DEM)</t>
  </si>
  <si>
    <t>Sullivan County Vote Results</t>
  </si>
  <si>
    <t>Schoharie County Vote Results</t>
  </si>
  <si>
    <t>Otsego County Vote Results</t>
  </si>
  <si>
    <t>Delaware County Vote Results</t>
  </si>
  <si>
    <t>Part of Chenango County Vote Results</t>
  </si>
  <si>
    <t>Part of Broome County Vote Results</t>
  </si>
  <si>
    <t>State Senator 51st Senate District - General Election - November 8, 2022</t>
  </si>
  <si>
    <t>Lea Webb (WOR)</t>
  </si>
  <si>
    <t>Richard C. David (CON)</t>
  </si>
  <si>
    <t>Richard C. David (REP)</t>
  </si>
  <si>
    <t>Lea Webb (DEM)</t>
  </si>
  <si>
    <t>Tompkins County Vote Results</t>
  </si>
  <si>
    <t>Cortland County Vote Results</t>
  </si>
  <si>
    <t>State Senator 52nd Senate District - General Election - November 8, 2022</t>
  </si>
  <si>
    <t>Joseph A. Griffo (CON)</t>
  </si>
  <si>
    <t>Joseph A. Griffo (REP)</t>
  </si>
  <si>
    <t>Part of Oneida County Vote Results</t>
  </si>
  <si>
    <t>Madison County Vote Results</t>
  </si>
  <si>
    <t>State Senator 53rd Senate District - General Election - November 8, 2022</t>
  </si>
  <si>
    <t>Pamela A. Helming (CON)</t>
  </si>
  <si>
    <t>Pamela A. Helming (REP)</t>
  </si>
  <si>
    <t>Kenan S. Baldridge (DEM)</t>
  </si>
  <si>
    <t>Wayne County Vote Results</t>
  </si>
  <si>
    <t>Ontario County Vote Results</t>
  </si>
  <si>
    <t>Part of Monroe County Vote Results</t>
  </si>
  <si>
    <t>Livingston County Vote Results</t>
  </si>
  <si>
    <t>State Senator 54th Senate District - General Election - November 8, 2022</t>
  </si>
  <si>
    <t>Len Morrell (IND)</t>
  </si>
  <si>
    <t>Samra G. Brouk (WOR)</t>
  </si>
  <si>
    <t>Len Morrell (CON)</t>
  </si>
  <si>
    <t>Len Morrell (REP)</t>
  </si>
  <si>
    <t>Samra G. Brouk (DEM)</t>
  </si>
  <si>
    <t>State Senator 55th Senate District - General Election - November 8, 2022</t>
  </si>
  <si>
    <t>Jim VanBrederode (IND)</t>
  </si>
  <si>
    <t>Jeremy A. Cooney (WOR)</t>
  </si>
  <si>
    <t>Jim VanBrederode (CON)</t>
  </si>
  <si>
    <t>Jim VanBrederode (REP)</t>
  </si>
  <si>
    <t>Jeremy A. Cooney (DEM)</t>
  </si>
  <si>
    <t>State Senator 56th Senate District - General Election - November 8, 2022</t>
  </si>
  <si>
    <t>George M. Borrello (CON)</t>
  </si>
  <si>
    <t>George M. Borrello (REP)</t>
  </si>
  <si>
    <t>Daniel J. Brown (DEM)</t>
  </si>
  <si>
    <t>Wyoming County Vote Results</t>
  </si>
  <si>
    <t>Genesee County Vote Results</t>
  </si>
  <si>
    <t xml:space="preserve"> Chautauqua County Vote Results</t>
  </si>
  <si>
    <t>Cattaraugus County Vote Results</t>
  </si>
  <si>
    <t>Part of Allegany County Vote Results</t>
  </si>
  <si>
    <t>State Senator 57th Senate District - General Election - November 8, 2022</t>
  </si>
  <si>
    <t>Thomas F. O'Mara (CON)</t>
  </si>
  <si>
    <t>Thomas F. O'Mara (REP)</t>
  </si>
  <si>
    <t>Yates County Vote Results</t>
  </si>
  <si>
    <t>Tioga County Vote Results</t>
  </si>
  <si>
    <t>Steuben County Vote Results</t>
  </si>
  <si>
    <t>Seneca County Vote Results</t>
  </si>
  <si>
    <t>Schuyler County Vote Results</t>
  </si>
  <si>
    <t>Chemung County Vote Results</t>
  </si>
  <si>
    <t>State Senator 58th Senate District - General Election - November 8, 2022</t>
  </si>
  <si>
    <t>Kristen S. Gonzalez (WOR)</t>
  </si>
  <si>
    <t>Kristen S. Gonzalez (DEM)</t>
  </si>
  <si>
    <t>State Senator 59th Senate District - General Election - November 8, 2022</t>
  </si>
  <si>
    <t>Patrick M. Gallivan (CON)</t>
  </si>
  <si>
    <t>Patrick M. Gallivan (REP)</t>
  </si>
  <si>
    <t>Part of Erie County Vote Results</t>
  </si>
  <si>
    <t>State Senator 60th Senate District - General Election - November 8, 2022</t>
  </si>
  <si>
    <t>Sean M. Ryan (WOR)</t>
  </si>
  <si>
    <t>Edward A. Rath, III (CON)</t>
  </si>
  <si>
    <t>Edward A. Rath, III (REP)</t>
  </si>
  <si>
    <t>Sean M. Ryan (DEM)</t>
  </si>
  <si>
    <t>State Senator 61st Senate District - General Election - November 8, 2022</t>
  </si>
  <si>
    <t>Robert G. Ortt (CON)</t>
  </si>
  <si>
    <t>Robert G. Ortt (REP)</t>
  </si>
  <si>
    <t>Orleans County Vote Results</t>
  </si>
  <si>
    <t>Niagara County Vote Results</t>
  </si>
  <si>
    <t>State Senator 62nd Senate District - General Election - November 8, 2022</t>
  </si>
  <si>
    <t>Timothy M. Kennedy (WOR)</t>
  </si>
  <si>
    <t>Faye Pietrak (CON)</t>
  </si>
  <si>
    <t>Timothy M. Kennedy (DEM)</t>
  </si>
  <si>
    <t>State Senator 63rd Senate District - General Election - November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</si>
</sst>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5B3D7"/>
      </bottom>
      <diagonal/>
    </border>
    <border>
      <left style="thin">
        <color indexed="64"/>
      </left>
      <right style="thin">
        <color indexed="64"/>
      </right>
      <top style="thin">
        <color rgb="FF95B3D7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2" borderId="1" xfId="0" applyNumberFormat="1" applyFont="1" applyFill="1" applyBorder="1"/>
    <xf numFmtId="3" fontId="1" fillId="3" borderId="1" xfId="0" applyNumberFormat="1" applyFont="1" applyFill="1" applyBorder="1"/>
    <xf numFmtId="3" fontId="1" fillId="4" borderId="1" xfId="0" applyNumberFormat="1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3" fontId="1" fillId="6" borderId="1" xfId="0" applyNumberFormat="1" applyFont="1" applyFill="1" applyBorder="1"/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8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" fillId="0" borderId="1" xfId="0" applyNumberFormat="1" applyFont="1" applyBorder="1"/>
    <xf numFmtId="3" fontId="4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" fillId="3" borderId="5" xfId="0" applyFont="1" applyFill="1" applyBorder="1" applyAlignment="1">
      <alignment horizontal="right" vertical="center" wrapText="1"/>
    </xf>
    <xf numFmtId="3" fontId="1" fillId="9" borderId="1" xfId="0" applyNumberFormat="1" applyFont="1" applyFill="1" applyBorder="1"/>
    <xf numFmtId="0" fontId="1" fillId="0" borderId="6" xfId="0" applyFont="1" applyBorder="1"/>
    <xf numFmtId="0" fontId="4" fillId="0" borderId="1" xfId="0" applyFont="1" applyBorder="1"/>
    <xf numFmtId="3" fontId="1" fillId="10" borderId="1" xfId="0" applyNumberFormat="1" applyFont="1" applyFill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2" fillId="2" borderId="1" xfId="0" applyNumberFormat="1" applyFont="1" applyFill="1" applyBorder="1"/>
    <xf numFmtId="0" fontId="2" fillId="8" borderId="4" xfId="0" applyFont="1" applyFill="1" applyBorder="1" applyAlignment="1">
      <alignment horizontal="right" vertical="center" wrapText="1"/>
    </xf>
    <xf numFmtId="3" fontId="2" fillId="6" borderId="1" xfId="0" applyNumberFormat="1" applyFont="1" applyFill="1" applyBorder="1"/>
  </cellXfs>
  <cellStyles count="1">
    <cellStyle name="Normal" xfId="0" builtinId="0"/>
  </cellStyles>
  <dxfs count="10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A594E5-DD11-4E01-B4A5-33B5A6721E3F}" name="StateSenatorSenateDistrict1General40" displayName="StateSenatorSenateDistrict1General40" ref="A2:D10" totalsRowCount="1" headerRowDxfId="1002" dataDxfId="1000" totalsRowDxfId="998" headerRowBorderDxfId="1001" tableBorderDxfId="999" totalsRowBorderDxfId="997">
  <autoFilter ref="A2:D9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0DC13088-07B1-4484-9837-16A749E7ADCD}" name="Candidate Name (Party)" totalsRowLabel="Total Votes by County" dataDxfId="996" totalsRowDxfId="995"/>
    <tableColumn id="4" xr3:uid="{28D1396B-6422-478E-B714-2E6021CA56AB}" name="Part of Suffolk County Vote Results" totalsRowFunction="custom" dataDxfId="994" totalsRowDxfId="993">
      <totalsRowFormula>SUM(StateSenatorSenateDistrict1General40[Part of Suffolk County Vote Results])</totalsRowFormula>
    </tableColumn>
    <tableColumn id="3" xr3:uid="{DAC1F272-2DBE-4477-8EDF-312147E6ABDD}" name="Total Votes by Party" totalsRowFunction="custom" dataDxfId="992" totalsRowDxfId="991">
      <calculatedColumnFormula>StateSenatorSenateDistrict1General40[[#This Row],[Part of Suffolk County Vote Results]]</calculatedColumnFormula>
      <totalsRowFormula>SUM(StateSenatorSenateDistrict1General40[Total Votes by Party])</totalsRowFormula>
    </tableColumn>
    <tableColumn id="2" xr3:uid="{5BE9899B-A094-45B7-A70A-384ECC8109FC}" name="Total Votes by Candidate" dataDxfId="990" totalsRowDxfId="989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FA1EFB7-34E9-47E5-A144-F8117DEA9F4C}" name="StateSenatorSenateDistrict10General" displayName="StateSenatorSenateDistrict10General" ref="A2:D7" totalsRowCount="1" headerRowDxfId="874" dataDxfId="872" totalsRowDxfId="870" headerRowBorderDxfId="873" tableBorderDxfId="871" totalsRowBorderDxfId="869">
  <autoFilter ref="A2:D6" xr:uid="{8D07F028-8319-42B9-960D-9E5BBF698127}">
    <filterColumn colId="0" hiddenButton="1"/>
    <filterColumn colId="1" hiddenButton="1"/>
    <filterColumn colId="2" hiddenButton="1"/>
    <filterColumn colId="3" hiddenButton="1"/>
  </autoFilter>
  <tableColumns count="4">
    <tableColumn id="1" xr3:uid="{4B639279-092A-407A-9346-5C7D44CEC4B8}" name="Candidate Name (Party)" totalsRowLabel="Total Votes by County" dataDxfId="868" totalsRowDxfId="867"/>
    <tableColumn id="4" xr3:uid="{9EDE2330-85B6-4962-93BA-998CEF978449}" name="Part of Queens County Vote Results" totalsRowFunction="custom" dataDxfId="866" totalsRowDxfId="865">
      <totalsRowFormula>SUM(StateSenatorSenateDistrict10General[Part of Queens County Vote Results])</totalsRowFormula>
    </tableColumn>
    <tableColumn id="3" xr3:uid="{F7B54FDD-9A7F-4136-91C0-4B5A830E74D8}" name="Total Votes by Party" totalsRowFunction="custom" dataDxfId="864" totalsRowDxfId="863">
      <calculatedColumnFormula>StateSenatorSenateDistrict10General[[#This Row],[Part of Queens County Vote Results]]</calculatedColumnFormula>
      <totalsRowFormula>SUM(StateSenatorSenateDistrict10General[Total Votes by Party])</totalsRowFormula>
    </tableColumn>
    <tableColumn id="2" xr3:uid="{39DD0023-7FED-4BFA-82C1-7D2EACDBB398}" name="Total Votes by Candidate" dataDxfId="862" totalsRowDxfId="861">
      <calculatedColumnFormula>SUM(C3)</calculatedColumnFormula>
    </tableColumn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99A6386-F53A-4033-83EC-B88BC286EC2C}" name="StateSenatorSenateDistrict11General" displayName="StateSenatorSenateDistrict11General" ref="A2:E10" totalsRowCount="1" headerRowDxfId="860" dataDxfId="858" totalsRowDxfId="856" headerRowBorderDxfId="859" tableBorderDxfId="857" totalsRowBorderDxfId="855">
  <autoFilter ref="A2:E9" xr:uid="{86DC72B7-AC4C-460E-9130-5838C9BCBAC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F7E072B-FC63-4E98-8980-51788CA9E0D8}" name="Candidate Name (Party)" totalsRowLabel="Total Votes by County" dataDxfId="854" totalsRowDxfId="853"/>
    <tableColumn id="6" xr3:uid="{5740C3DB-2EED-4A6D-A6E0-EDF76C55F84B}" name="Part of Bronx County Vote Results" totalsRowFunction="custom" dataDxfId="852" totalsRowDxfId="851">
      <totalsRowFormula>SUM(StateSenatorSenateDistrict11General[Part of Bronx County Vote Results])</totalsRowFormula>
    </tableColumn>
    <tableColumn id="4" xr3:uid="{D0087190-3F76-4C00-97C1-DE6F572D98DC}" name="Part of Queens County Vote Results" totalsRowFunction="custom" dataDxfId="850" totalsRowDxfId="849">
      <totalsRowFormula>SUM(StateSenatorSenateDistrict11General[Part of Queens County Vote Results])</totalsRowFormula>
    </tableColumn>
    <tableColumn id="3" xr3:uid="{F49A81F3-D376-4E5A-B5A9-FA325676F1AE}" name="Total Votes by Party" totalsRowFunction="custom" dataDxfId="848" totalsRowDxfId="847">
      <calculatedColumnFormula>SUM(StateSenatorSenateDistrict11General[[#This Row],[Part of Bronx County Vote Results]:[Part of Queens County Vote Results]])</calculatedColumnFormula>
      <totalsRowFormula>SUM(StateSenatorSenateDistrict11General[Total Votes by Party])</totalsRowFormula>
    </tableColumn>
    <tableColumn id="2" xr3:uid="{DB3FC48D-675E-4FCB-A714-1DAA2FD4ADFD}" name="Total Votes by Candidate" dataDxfId="846" totalsRowDxfId="845">
      <calculatedColumnFormula>SUM(StateSenatorSenateDistrict11General[[#This Row],[Total Votes by Party]],D3,D4)</calculatedColumnFormula>
    </tableColumn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F14F8B0-A9D5-4331-940A-86ABE190A083}" name="StateSenatorSenateDistrict12General" displayName="StateSenatorSenateDistrict12General" ref="A2:E8" totalsRowCount="1" headerRowDxfId="844" dataDxfId="842" totalsRowDxfId="840" headerRowBorderDxfId="843" tableBorderDxfId="841" totalsRowBorderDxfId="839">
  <autoFilter ref="A2:E7" xr:uid="{2CE300DD-8912-442E-850C-3B4D930DBB1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9F83BBF-4040-482F-9B86-F883FD487E64}" name="Candidate Name (Party)" totalsRowLabel="Total Votes by County" dataDxfId="838" totalsRowDxfId="837"/>
    <tableColumn id="5" xr3:uid="{8DC401F0-6FC1-4DD8-8A34-D78C4A066D78}" name="Part of Kings County Vote Results" totalsRowFunction="custom" dataDxfId="836" totalsRowDxfId="835">
      <totalsRowFormula>SUM(StateSenatorSenateDistrict12General[Part of Kings County Vote Results])</totalsRowFormula>
    </tableColumn>
    <tableColumn id="4" xr3:uid="{86CCB9F8-CD23-4E82-AD9C-CAAC73CA18BD}" name="Part of Queens County Vote Results" totalsRowFunction="custom" dataDxfId="834" totalsRowDxfId="833">
      <totalsRowFormula>SUM(StateSenatorSenateDistrict12General[Part of Queens County Vote Results])</totalsRowFormula>
    </tableColumn>
    <tableColumn id="3" xr3:uid="{70312B20-3F77-4FED-B212-C4405D88EF47}" name="Total Votes by Party" totalsRowFunction="custom" dataDxfId="832" totalsRowDxfId="831">
      <calculatedColumnFormula>SUM(B3,C3)</calculatedColumnFormula>
      <totalsRowFormula>SUM(StateSenatorSenateDistrict12General[Total Votes by Party])</totalsRowFormula>
    </tableColumn>
    <tableColumn id="2" xr3:uid="{3DA2748C-7A6C-4AA3-BE57-C90D10B78F16}" name="Total Votes by Candidate" dataDxfId="830" totalsRowDxfId="829">
      <calculatedColumnFormula>SUM(D3,D4)</calculatedColumnFormula>
    </tableColumn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9AF61E7-14EC-4CBA-8F29-C62472ED91E0}" name="StateSenatorSenateDistrict13General" displayName="StateSenatorSenateDistrict13General" ref="A2:D8" totalsRowCount="1" headerRowDxfId="828" dataDxfId="826" totalsRowDxfId="824" headerRowBorderDxfId="827" tableBorderDxfId="825" totalsRowBorderDxfId="823">
  <autoFilter ref="A2:D7" xr:uid="{7D329055-02FA-4249-9564-3F326CBE70EC}">
    <filterColumn colId="0" hiddenButton="1"/>
    <filterColumn colId="1" hiddenButton="1"/>
    <filterColumn colId="2" hiddenButton="1"/>
    <filterColumn colId="3" hiddenButton="1"/>
  </autoFilter>
  <tableColumns count="4">
    <tableColumn id="1" xr3:uid="{D6373A46-7753-4B08-AEBF-45947038E492}" name="Candidate Name (Party)" totalsRowLabel="Total Votes by County" dataDxfId="822" totalsRowDxfId="821"/>
    <tableColumn id="4" xr3:uid="{CCC52DE1-635B-434C-82B0-1EE2C8F90CAC}" name="Part of Queens County Vote Results" totalsRowFunction="custom" dataDxfId="820" totalsRowDxfId="819">
      <totalsRowFormula>SUM(StateSenatorSenateDistrict13General[Part of Queens County Vote Results])</totalsRowFormula>
    </tableColumn>
    <tableColumn id="3" xr3:uid="{1E47D8C5-531A-4FB6-BD55-B2A81D4748C3}" name="Total Votes by Party" totalsRowFunction="custom" dataDxfId="818" totalsRowDxfId="817">
      <calculatedColumnFormula>StateSenatorSenateDistrict13General[[#This Row],[Part of Queens County Vote Results]]</calculatedColumnFormula>
      <totalsRowFormula>SUM(StateSenatorSenateDistrict13General[Total Votes by Party])</totalsRowFormula>
    </tableColumn>
    <tableColumn id="2" xr3:uid="{F06C64D5-F7AB-46A7-9C43-08AF593BAC0A}" name="Total Votes by Candidate" dataDxfId="816" totalsRowDxfId="815">
      <calculatedColumnFormula>SUM(C3,C4)</calculatedColumnFormula>
    </tableColumn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91F49AD-F3B3-4B7E-A84D-B60F95B5D54C}" name="StateSenatorSenateDistrict14General" displayName="StateSenatorSenateDistrict14General" ref="A2:D7" totalsRowCount="1" headerRowDxfId="814" dataDxfId="812" totalsRowDxfId="810" headerRowBorderDxfId="813" tableBorderDxfId="811" totalsRowBorderDxfId="809">
  <autoFilter ref="A2:D6" xr:uid="{C9AD50FF-F416-4E1D-9F65-21BDCFC384B4}">
    <filterColumn colId="0" hiddenButton="1"/>
    <filterColumn colId="1" hiddenButton="1"/>
    <filterColumn colId="2" hiddenButton="1"/>
    <filterColumn colId="3" hiddenButton="1"/>
  </autoFilter>
  <tableColumns count="4">
    <tableColumn id="1" xr3:uid="{C13ACF98-AA85-402B-940F-DA9B57937D39}" name="Candidate Name (Party)" totalsRowLabel="Total Votes by County" dataDxfId="808" totalsRowDxfId="807"/>
    <tableColumn id="4" xr3:uid="{5FCB8EEF-877E-412A-8C6F-506D415CB591}" name="Part of Queens County Vote Results" totalsRowFunction="custom" dataDxfId="806" totalsRowDxfId="805">
      <totalsRowFormula>SUM(StateSenatorSenateDistrict14General[Part of Queens County Vote Results])</totalsRowFormula>
    </tableColumn>
    <tableColumn id="3" xr3:uid="{BA07879A-6B54-48DA-8E34-93BE83F909B1}" name="Total Votes by Party" totalsRowFunction="custom" dataDxfId="804" totalsRowDxfId="803">
      <calculatedColumnFormula>StateSenatorSenateDistrict14General[[#This Row],[Part of Queens County Vote Results]]</calculatedColumnFormula>
      <totalsRowFormula>SUM(StateSenatorSenateDistrict14General[Total Votes by Party])</totalsRowFormula>
    </tableColumn>
    <tableColumn id="2" xr3:uid="{899656E7-60F2-4801-AF8E-A8E0FD1DB934}" name="Total Votes by Candidate" dataDxfId="802" totalsRowDxfId="801">
      <calculatedColumnFormula>SUM(StateSenatorSenateDistrict14General[[#This Row],[Total Votes by Party]])</calculatedColumnFormula>
    </tableColumn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063E64D-AA32-4B2C-BA55-13C43798BD23}" name="StateSenatorSenateDistrict15General" displayName="StateSenatorSenateDistrict15General" ref="A2:E12" totalsRowCount="1" headerRowDxfId="800" dataDxfId="798" totalsRowDxfId="796" headerRowBorderDxfId="799" tableBorderDxfId="797" totalsRowBorderDxfId="795">
  <autoFilter ref="A2:E11" xr:uid="{631AFF6B-E30D-4A6D-A286-BC64D492E01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EE53CA9-EE49-44A0-A0A0-5D3FED53B13D}" name="Candidate Name (Party)" totalsRowLabel="Total Votes by County" dataDxfId="794" totalsRowDxfId="793"/>
    <tableColumn id="5" xr3:uid="{F6E56C17-6F81-46A2-8B15-2563EB4A9A29}" name="Part of Kings County Vote Results" totalsRowFunction="custom" dataDxfId="792" totalsRowDxfId="791">
      <totalsRowFormula>SUM(StateSenatorSenateDistrict15General[Part of Kings County Vote Results])</totalsRowFormula>
    </tableColumn>
    <tableColumn id="4" xr3:uid="{E10CB04F-DD26-472B-AD44-253A30685A61}" name="Part of Queens County Vote Results" totalsRowFunction="custom" dataDxfId="790" totalsRowDxfId="789">
      <totalsRowFormula>SUM(StateSenatorSenateDistrict15General[Part of Queens County Vote Results])</totalsRowFormula>
    </tableColumn>
    <tableColumn id="3" xr3:uid="{87A509E7-C158-4152-AD57-94E746C804DF}" name="Total Votes by Party" totalsRowFunction="custom" dataDxfId="788" totalsRowDxfId="787">
      <calculatedColumnFormula>SUM(B3,C3)</calculatedColumnFormula>
      <totalsRowFormula>SUM(StateSenatorSenateDistrict15General[Total Votes by Party])</totalsRowFormula>
    </tableColumn>
    <tableColumn id="2" xr3:uid="{51AC2374-C352-493B-889E-0F994A5482EB}" name="Total Votes by Candidate" dataDxfId="786" totalsRowDxfId="785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E8788F0-0B87-4CE8-9B06-86F79FBC0DA0}" name="StateSenatorSenateDistrict16General" displayName="StateSenatorSenateDistrict16General" ref="A2:D11" totalsRowCount="1" headerRowDxfId="784" dataDxfId="782" totalsRowDxfId="780" headerRowBorderDxfId="783" tableBorderDxfId="781" totalsRowBorderDxfId="779">
  <autoFilter ref="A2:D10" xr:uid="{0488B77E-D79A-4C06-8B6B-DBBE145F442E}">
    <filterColumn colId="0" hiddenButton="1"/>
    <filterColumn colId="1" hiddenButton="1"/>
    <filterColumn colId="2" hiddenButton="1"/>
    <filterColumn colId="3" hiddenButton="1"/>
  </autoFilter>
  <tableColumns count="4">
    <tableColumn id="1" xr3:uid="{916D966B-587F-422E-9021-0935EA8938DC}" name="Candidate Name (Party)" totalsRowLabel="Total Votes by County" dataDxfId="778" totalsRowDxfId="777"/>
    <tableColumn id="4" xr3:uid="{4313B6F6-DD17-4048-A34C-B3C3DB75D5BD}" name="Part of Queens County Vote Results" totalsRowFunction="custom" dataDxfId="776" totalsRowDxfId="775">
      <totalsRowFormula>SUM(StateSenatorSenateDistrict16General[Part of Queens County Vote Results])</totalsRowFormula>
    </tableColumn>
    <tableColumn id="3" xr3:uid="{28954DF4-5A24-4403-A435-8C3F0CF51A67}" name="Total Votes by Party" totalsRowFunction="custom" dataDxfId="774" totalsRowDxfId="773">
      <calculatedColumnFormula>StateSenatorSenateDistrict16General[[#This Row],[Part of Queens County Vote Results]]</calculatedColumnFormula>
      <totalsRowFormula>SUM(StateSenatorSenateDistrict16General[Total Votes by Party])</totalsRowFormula>
    </tableColumn>
    <tableColumn id="2" xr3:uid="{5AC42F22-228A-4582-A223-107964DCD2FE}" name="Total Votes by Candidate" dataDxfId="772" totalsRowDxfId="771">
      <calculatedColumnFormula>SUM(StateSenatorSenateDistrict16General[[#This Row],[Total Votes by Party]])</calculatedColumnFormula>
    </tableColumn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818EE9D-5C40-4223-8471-DAE275B272A9}" name="StateSenatorSenateDistrict17General" displayName="StateSenatorSenateDistrict17General" ref="A2:D10" totalsRowCount="1" headerRowDxfId="770" dataDxfId="768" totalsRowDxfId="766" headerRowBorderDxfId="769" tableBorderDxfId="767" totalsRowBorderDxfId="765">
  <autoFilter ref="A2:D9" xr:uid="{45F123F9-3139-434A-A980-672DFB1A6DC4}">
    <filterColumn colId="0" hiddenButton="1"/>
    <filterColumn colId="1" hiddenButton="1"/>
    <filterColumn colId="2" hiddenButton="1"/>
    <filterColumn colId="3" hiddenButton="1"/>
  </autoFilter>
  <tableColumns count="4">
    <tableColumn id="1" xr3:uid="{E7A3270F-C430-4ADC-9357-A75CD7D6B2DE}" name="Candidate Name (Party)" totalsRowLabel="Total Votes by County" dataDxfId="764" totalsRowDxfId="763"/>
    <tableColumn id="4" xr3:uid="{34A7D066-FF42-4726-A350-4154F41FC052}" name="Part of Kings County Vote Results" totalsRowFunction="custom" totalsRowDxfId="762">
      <totalsRowFormula>SUM(StateSenatorSenateDistrict17General[Part of Kings County Vote Results])</totalsRowFormula>
    </tableColumn>
    <tableColumn id="3" xr3:uid="{A2B2EE79-E0C6-4218-98B3-17C4569052D7}" name="Total Votes by Party" totalsRowFunction="custom" dataDxfId="761" totalsRowDxfId="760">
      <calculatedColumnFormula>StateSenatorSenateDistrict17General[[#This Row],[Part of Kings County Vote Results]]</calculatedColumnFormula>
      <totalsRowFormula>SUM(StateSenatorSenateDistrict17General[Total Votes by Party])</totalsRowFormula>
    </tableColumn>
    <tableColumn id="2" xr3:uid="{AD770CAB-82FA-49A5-9849-003A96D235A4}" name="Total Votes by Candidate" dataDxfId="759" totalsRowDxfId="758">
      <calculatedColumnFormula>SUM(StateSenatorSenateDistrict17General[[#This Row],[Total Votes by Party]],C4,C6)</calculatedColumnFormula>
    </tableColumn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918790D-541B-4381-9A49-BBE0E37BFD98}" name="StateSenatorSenateDistrict18General" displayName="StateSenatorSenateDistrict18General" ref="A2:E8" totalsRowCount="1" headerRowDxfId="757" dataDxfId="755" totalsRowDxfId="753" headerRowBorderDxfId="756" tableBorderDxfId="754" totalsRowBorderDxfId="752">
  <autoFilter ref="A2:E7" xr:uid="{692F44BD-1A6E-4A38-91AF-DFC990DFB88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807E9EC-A216-415B-9F08-FBCC282BF10F}" name="Candidate Name (Party)" totalsRowLabel="Total Votes by County" dataDxfId="751" totalsRowDxfId="750"/>
    <tableColumn id="4" xr3:uid="{74707177-E778-47FA-B7FD-CB86DF6626F1}" name="Part of Kings County Vote Results" totalsRowFunction="custom" totalsRowDxfId="749">
      <totalsRowFormula>SUM(StateSenatorSenateDistrict18General[Part of Kings County Vote Results])</totalsRowFormula>
    </tableColumn>
    <tableColumn id="5" xr3:uid="{545B8C2D-A4E2-43EC-9BC6-5B44EB7A786F}" name="Part of Queens County Vote Results" totalsRowFunction="custom" dataDxfId="748" totalsRowDxfId="747">
      <totalsRowFormula>SUM(StateSenatorSenateDistrict18General[Part of Queens County Vote Results])</totalsRowFormula>
    </tableColumn>
    <tableColumn id="3" xr3:uid="{85C951E8-08CF-4691-B845-C00EC58CF289}" name="Total Votes by Party" totalsRowFunction="custom" dataDxfId="746" totalsRowDxfId="745">
      <calculatedColumnFormula>SUM(StateSenatorSenateDistrict18General[[#This Row],[Part of Kings County Vote Results]:[Part of Queens County Vote Results]])</calculatedColumnFormula>
      <totalsRowFormula>SUM(StateSenatorSenateDistrict18General[Total Votes by Party])</totalsRowFormula>
    </tableColumn>
    <tableColumn id="2" xr3:uid="{08FBDB7D-46B4-4302-AFF5-20738B9C7283}" name="Total Votes by Candidate" dataDxfId="744" totalsRowDxfId="743">
      <calculatedColumnFormula>SUM(D3,D4)</calculatedColumnFormula>
    </tableColumn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56B1AAD-ACEA-42E4-9F8A-A432B1683899}" name="StateSenatorSenateDistrict19General" displayName="StateSenatorSenateDistrict19General" ref="A2:E7" totalsRowCount="1" headerRowDxfId="742" dataDxfId="740" totalsRowDxfId="738" headerRowBorderDxfId="741" tableBorderDxfId="739" totalsRowBorderDxfId="737">
  <autoFilter ref="A2:E6" xr:uid="{EAE3EA0E-DD60-4EDC-8BF9-94D731AF78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F6983F1-7AD0-4132-B368-34D5DA226627}" name="Candidate Name (Party)" totalsRowLabel="Total Votes by County" dataDxfId="736" totalsRowDxfId="735"/>
    <tableColumn id="4" xr3:uid="{9BBBF8B3-8312-4A90-8DBD-E43FDB68A3A8}" name="Part of Kings County Vote Results" totalsRowFunction="custom" totalsRowDxfId="734">
      <totalsRowFormula>SUM(StateSenatorSenateDistrict19General[Part of Kings County Vote Results])</totalsRowFormula>
    </tableColumn>
    <tableColumn id="5" xr3:uid="{5EAEA62D-01EA-4E64-AEF1-A111A68491B8}" name="Part of Queens County Vote Results" totalsRowFunction="custom" dataDxfId="733" totalsRowDxfId="732">
      <totalsRowFormula>SUM(StateSenatorSenateDistrict19General[Part of Queens County Vote Results])</totalsRowFormula>
    </tableColumn>
    <tableColumn id="3" xr3:uid="{66AB3EE7-92FE-4820-9E33-45BB0AA37FAD}" name="Total Votes by Party" totalsRowFunction="custom" dataDxfId="731" totalsRowDxfId="730">
      <calculatedColumnFormula>SUM(StateSenatorSenateDistrict19General[[#This Row],[Part of Kings County Vote Results]:[Part of Queens County Vote Results]])</calculatedColumnFormula>
      <totalsRowFormula>SUM(StateSenatorSenateDistrict19General[Total Votes by Party])</totalsRowFormula>
    </tableColumn>
    <tableColumn id="2" xr3:uid="{B3FC3B9F-6443-414C-B248-9BBC79DFE5F2}" name="Total Votes by Candidate" dataDxfId="729" totalsRowDxfId="728">
      <calculatedColumnFormula>SUM(StateSenatorSenateDistrict19General[[#This Row],[Total Votes by Party]])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B79217-2401-4FFD-9FBB-19DC10A1D882}" name="StateSenatorSenateDistrict2General41" displayName="StateSenatorSenateDistrict2General41" ref="A2:D10" totalsRowCount="1" headerRowDxfId="988" dataDxfId="986" totalsRowDxfId="984" headerRowBorderDxfId="987" tableBorderDxfId="985" totalsRowBorderDxfId="983">
  <autoFilter ref="A2:D9" xr:uid="{08EE2516-64DC-4852-8812-2027C5D0EC6D}">
    <filterColumn colId="0" hiddenButton="1"/>
    <filterColumn colId="1" hiddenButton="1"/>
    <filterColumn colId="2" hiddenButton="1"/>
    <filterColumn colId="3" hiddenButton="1"/>
  </autoFilter>
  <tableColumns count="4">
    <tableColumn id="1" xr3:uid="{B419B2F2-642B-4785-8C7C-58C70147674B}" name="Candidate Name (Party)" totalsRowLabel="Total Votes by County" dataDxfId="982" totalsRowDxfId="981"/>
    <tableColumn id="4" xr3:uid="{E8E7A0BD-A13B-4C62-870E-24C42A83C155}" name="Part of Suffolk County Vote Results" totalsRowFunction="custom" dataDxfId="980" totalsRowDxfId="979">
      <totalsRowFormula>SUM(StateSenatorSenateDistrict2General41[Part of Suffolk County Vote Results])</totalsRowFormula>
    </tableColumn>
    <tableColumn id="3" xr3:uid="{1F0A925F-66A0-46B6-B871-EC81EE22306B}" name="Total Votes by Party" totalsRowFunction="custom" dataDxfId="978" totalsRowDxfId="977">
      <calculatedColumnFormula>StateSenatorSenateDistrict2General41[[#This Row],[Part of Suffolk County Vote Results]]</calculatedColumnFormula>
      <totalsRowFormula>SUM(StateSenatorSenateDistrict2General41[Total Votes by Party])</totalsRowFormula>
    </tableColumn>
    <tableColumn id="2" xr3:uid="{28EA66D1-8D77-4463-96F8-382C8B4D6386}" name="Total Votes by Candidate" dataDxfId="976" totalsRowDxfId="975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0D01036-065C-4DF4-9CDB-04320FDA6138}" name="StateSenatorSenateDistrict20General" displayName="StateSenatorSenateDistrict20General" ref="A2:D8" totalsRowCount="1" headerRowDxfId="727" dataDxfId="725" totalsRowDxfId="723" headerRowBorderDxfId="726" tableBorderDxfId="724" totalsRowBorderDxfId="722">
  <autoFilter ref="A2:D7" xr:uid="{AFA44E0C-7A77-4DA9-BCC6-62ECEEFCFD7E}">
    <filterColumn colId="0" hiddenButton="1"/>
    <filterColumn colId="1" hiddenButton="1"/>
    <filterColumn colId="2" hiddenButton="1"/>
    <filterColumn colId="3" hiddenButton="1"/>
  </autoFilter>
  <tableColumns count="4">
    <tableColumn id="1" xr3:uid="{9E2AB23F-E4CA-443B-8684-D3F53B51CCE2}" name="Candidate Name (Party)" totalsRowLabel="Total Votes by County" dataDxfId="721" totalsRowDxfId="720"/>
    <tableColumn id="4" xr3:uid="{0296B53D-5B97-466A-8158-50AE2B42F8AB}" name="Part of Kings County Vote Results" totalsRowFunction="custom" totalsRowDxfId="719">
      <totalsRowFormula>SUM(StateSenatorSenateDistrict20General[Part of Kings County Vote Results])</totalsRowFormula>
    </tableColumn>
    <tableColumn id="3" xr3:uid="{E3202887-99A5-4847-A0AC-5BAEA93D45A2}" name="Total Votes by Party" totalsRowFunction="custom" dataDxfId="718" totalsRowDxfId="717">
      <calculatedColumnFormula>StateSenatorSenateDistrict20General[[#This Row],[Part of Kings County Vote Results]]</calculatedColumnFormula>
      <totalsRowFormula>SUM(StateSenatorSenateDistrict20General[Total Votes by Party])</totalsRowFormula>
    </tableColumn>
    <tableColumn id="2" xr3:uid="{412C8628-B699-4AFD-8F1B-E86BC3143FFE}" name="Total Votes by Candidate" dataDxfId="716" totalsRowDxfId="715">
      <calculatedColumnFormula>SUM(C3,C4)</calculatedColumnFormula>
    </tableColumn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F9B0093-16F4-4CEB-B99C-65C0B3E5BA53}" name="StateSenatorSenateDistrict21General" displayName="StateSenatorSenateDistrict21General" ref="A2:D8" totalsRowCount="1" headerRowDxfId="714" dataDxfId="712" totalsRowDxfId="710" headerRowBorderDxfId="713" tableBorderDxfId="711" totalsRowBorderDxfId="709">
  <autoFilter ref="A2:D7" xr:uid="{8BDB381A-505B-4556-9F70-C3008AC9457E}">
    <filterColumn colId="0" hiddenButton="1"/>
    <filterColumn colId="1" hiddenButton="1"/>
    <filterColumn colId="2" hiddenButton="1"/>
    <filterColumn colId="3" hiddenButton="1"/>
  </autoFilter>
  <tableColumns count="4">
    <tableColumn id="1" xr3:uid="{FCFC048E-3DA2-4459-A30C-2FC790F5EE7A}" name="Candidate Name (Party)" totalsRowLabel="Total Votes by County" dataDxfId="708" totalsRowDxfId="707"/>
    <tableColumn id="4" xr3:uid="{80E3BBF1-E97C-4F41-9382-D30A3C590F60}" name="Part of Kings County Vote Results" totalsRowFunction="custom" totalsRowDxfId="706">
      <totalsRowFormula>SUM(StateSenatorSenateDistrict21General[Part of Kings County Vote Results])</totalsRowFormula>
    </tableColumn>
    <tableColumn id="3" xr3:uid="{627D2382-ED99-4BA5-BE21-0FB35613A437}" name="Total Votes by Party" totalsRowFunction="custom" dataDxfId="705" totalsRowDxfId="704">
      <calculatedColumnFormula>StateSenatorSenateDistrict21General[[#This Row],[Part of Kings County Vote Results]]</calculatedColumnFormula>
      <totalsRowFormula>SUM(StateSenatorSenateDistrict21General[Total Votes by Party])</totalsRowFormula>
    </tableColumn>
    <tableColumn id="2" xr3:uid="{21BE7E47-63EB-42AA-A7F5-2468674A4B0E}" name="Total Votes by Candidate" dataDxfId="703" totalsRowDxfId="702">
      <calculatedColumnFormula>SUM(StateSenatorSenateDistrict21General[[#This Row],[Total Votes by Party]])</calculatedColumnFormula>
    </tableColumn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8944B44-836E-4B9F-B5E2-1103986F9B45}" name="StateSenatorSenateDistrict22General" displayName="StateSenatorSenateDistrict22General" ref="A2:D10" totalsRowCount="1" headerRowDxfId="701" dataDxfId="699" totalsRowDxfId="697" headerRowBorderDxfId="700" tableBorderDxfId="698" totalsRowBorderDxfId="696">
  <autoFilter ref="A2:D9" xr:uid="{44108E97-03E6-4A5D-A27C-003B5E8A5A04}">
    <filterColumn colId="0" hiddenButton="1"/>
    <filterColumn colId="1" hiddenButton="1"/>
    <filterColumn colId="2" hiddenButton="1"/>
    <filterColumn colId="3" hiddenButton="1"/>
  </autoFilter>
  <tableColumns count="4">
    <tableColumn id="1" xr3:uid="{4A276932-0401-4FD1-A803-6ACE8FC74144}" name="Candidate Name (Party)" totalsRowLabel="Total Votes by County" dataDxfId="695" totalsRowDxfId="694"/>
    <tableColumn id="4" xr3:uid="{5EF4017B-A5C9-4B47-A22A-8A3894A0103F}" name="Part of Kings County Vote Results" totalsRowFunction="custom" totalsRowDxfId="693">
      <totalsRowFormula>SUM(StateSenatorSenateDistrict22General[Part of Kings County Vote Results])</totalsRowFormula>
    </tableColumn>
    <tableColumn id="3" xr3:uid="{73035AD1-C6B7-429A-9783-6FC878B35087}" name="Total Votes by Party" totalsRowFunction="custom" dataDxfId="692" totalsRowDxfId="691">
      <calculatedColumnFormula>StateSenatorSenateDistrict22General[[#This Row],[Part of Kings County Vote Results]]</calculatedColumnFormula>
      <totalsRowFormula>SUM(StateSenatorSenateDistrict22General[Total Votes by Party])</totalsRowFormula>
    </tableColumn>
    <tableColumn id="2" xr3:uid="{2194FF64-080E-4E02-AD41-2FAAF4881B82}" name="Total Votes by Candidate" dataDxfId="690" totalsRowDxfId="689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B30FA2B-B855-4279-A7E7-A7A3C408C4A1}" name="StateSenatorSenateDistrict23General" displayName="StateSenatorSenateDistrict23General" ref="A2:E9" totalsRowCount="1" headerRowDxfId="688" dataDxfId="686" totalsRowDxfId="684" headerRowBorderDxfId="687" tableBorderDxfId="685" totalsRowBorderDxfId="683">
  <autoFilter ref="A2:E8" xr:uid="{54126B05-CA63-458B-A224-2EA9D7AFEE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967728-54BE-4F8B-BF07-775A2FF4CD27}" name="Candidate Name (Party)" totalsRowLabel="Total Votes by County" dataDxfId="682" totalsRowDxfId="681"/>
    <tableColumn id="2" xr3:uid="{E3D95C31-11C0-47C7-AE22-626994B71021}" name="Part of Kings County Vote Results" totalsRowFunction="custom" totalsRowDxfId="680">
      <totalsRowFormula>SUM(StateSenatorSenateDistrict23General[Part of Kings County Vote Results])</totalsRowFormula>
    </tableColumn>
    <tableColumn id="4" xr3:uid="{B237B4F8-2565-4E73-8157-72EC53C4E5A7}" name="Part of Richmond County Vote Results" totalsRowFunction="custom" dataDxfId="679" totalsRowDxfId="678">
      <totalsRowFormula>SUM(StateSenatorSenateDistrict23General[Part of Richmond County Vote Results])</totalsRowFormula>
    </tableColumn>
    <tableColumn id="3" xr3:uid="{B1ED71AA-BCCD-4AD7-80C2-CE04A8DBED6F}" name="Total Votes by Party" totalsRowFunction="custom" dataDxfId="677" totalsRowDxfId="676">
      <calculatedColumnFormula>SUM(StateSenatorSenateDistrict23General[[#This Row],[Part of Kings County Vote Results]:[Part of Richmond County Vote Results]])</calculatedColumnFormula>
      <totalsRowFormula>SUM(StateSenatorSenateDistrict23General[Total Votes by Party])</totalsRowFormula>
    </tableColumn>
    <tableColumn id="5" xr3:uid="{257233A4-DB46-40D6-B3AD-018690F36DCD}" name="Total Votes by Candidate" dataDxfId="675" totalsRowDxfId="674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6723C6F-16DE-44BF-8B7F-5CD7B18F339B}" name="StateSenatorSenateDistrict24General" displayName="StateSenatorSenateDistrict24General" ref="A2:D8" totalsRowCount="1" headerRowDxfId="673" dataDxfId="671" totalsRowDxfId="669" headerRowBorderDxfId="672" tableBorderDxfId="670" totalsRowBorderDxfId="668">
  <autoFilter ref="A2:D7" xr:uid="{E197A7CC-BC9F-46C0-9F14-E8C9E98C1D89}">
    <filterColumn colId="0" hiddenButton="1"/>
    <filterColumn colId="1" hiddenButton="1"/>
    <filterColumn colId="2" hiddenButton="1"/>
    <filterColumn colId="3" hiddenButton="1"/>
  </autoFilter>
  <tableColumns count="4">
    <tableColumn id="1" xr3:uid="{C6B16D30-F24E-483F-9003-47147775065A}" name="Candidate Name (Party)" totalsRowLabel="Total Votes by County" dataDxfId="667" totalsRowDxfId="666"/>
    <tableColumn id="4" xr3:uid="{A7B4C9D8-B42A-48A3-9FB9-C53DABEC6BA5}" name="Part of Richmond County Vote Results" totalsRowFunction="custom" dataDxfId="665" totalsRowDxfId="664">
      <totalsRowFormula>SUM(StateSenatorSenateDistrict24General[Part of Richmond County Vote Results])</totalsRowFormula>
    </tableColumn>
    <tableColumn id="3" xr3:uid="{1651C4A3-49E3-47CB-88EA-1624F4EC41DF}" name="Total Votes by Party" totalsRowFunction="custom" dataDxfId="663" totalsRowDxfId="662">
      <calculatedColumnFormula>StateSenatorSenateDistrict24General[[#This Row],[Part of Richmond County Vote Results]]</calculatedColumnFormula>
      <totalsRowFormula>SUM(StateSenatorSenateDistrict24General[Total Votes by Party])</totalsRowFormula>
    </tableColumn>
    <tableColumn id="2" xr3:uid="{4224B959-75CD-4943-96C9-822E9D9A0A20}" name="Total Votes by Candidate" dataDxfId="661" totalsRowDxfId="660">
      <calculatedColumnFormula>SUM(C3,C4)</calculatedColumnFormula>
    </tableColumn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B003406-8EC6-4686-A0B0-2CED5369B16C}" name="StateSenatorSenateDistrict25General" displayName="StateSenatorSenateDistrict25General" ref="A2:D8" totalsRowCount="1" headerRowDxfId="659" dataDxfId="657" totalsRowDxfId="655" headerRowBorderDxfId="658" tableBorderDxfId="656" totalsRowBorderDxfId="654">
  <autoFilter ref="A2:D7" xr:uid="{06ECA87C-D4FC-4637-A821-A249C3AF945C}">
    <filterColumn colId="0" hiddenButton="1"/>
    <filterColumn colId="1" hiddenButton="1"/>
    <filterColumn colId="2" hiddenButton="1"/>
    <filterColumn colId="3" hiddenButton="1"/>
  </autoFilter>
  <tableColumns count="4">
    <tableColumn id="1" xr3:uid="{2A179DFD-D1C6-4209-A57D-B1CCC272133E}" name="Candidate Name (Party)" totalsRowLabel="Total Votes by County" dataDxfId="653" totalsRowDxfId="652"/>
    <tableColumn id="4" xr3:uid="{00D725EA-B740-4593-8FBC-DEE1AD19025F}" name="Part of Kings County Vote Results" totalsRowFunction="custom" totalsRowDxfId="651">
      <totalsRowFormula>SUM(StateSenatorSenateDistrict25General[Part of Kings County Vote Results])</totalsRowFormula>
    </tableColumn>
    <tableColumn id="3" xr3:uid="{A5CED6C1-F723-4771-AC3A-904D8B4B43B8}" name="Total Votes by Party" totalsRowFunction="custom" dataDxfId="650" totalsRowDxfId="649">
      <calculatedColumnFormula>StateSenatorSenateDistrict25General[[#This Row],[Part of Kings County Vote Results]]</calculatedColumnFormula>
      <totalsRowFormula>SUM(StateSenatorSenateDistrict25General[Total Votes by Party])</totalsRowFormula>
    </tableColumn>
    <tableColumn id="2" xr3:uid="{953C56E6-3151-4656-9CF8-154E952BC644}" name="Total Votes by Candidate" dataDxfId="648" totalsRowDxfId="647">
      <calculatedColumnFormula>SUM(C3,C4)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9397BF8-47FC-4601-BA2D-C33212B5EF31}" name="StateSenatorSenateDistrict26General" displayName="StateSenatorSenateDistrict26General" ref="A2:E11" totalsRowCount="1" headerRowDxfId="646" dataDxfId="644" totalsRowDxfId="642" headerRowBorderDxfId="645" tableBorderDxfId="643" totalsRowBorderDxfId="641">
  <autoFilter ref="A2:E10" xr:uid="{8B8E72CF-749E-40B9-9100-BF3DC73FCED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4698E86-8093-4B24-8534-51C12A50475E}" name="Candidate Name (Party)" totalsRowLabel="Total Votes by County" dataDxfId="640" totalsRowDxfId="639"/>
    <tableColumn id="2" xr3:uid="{E9DEED1B-4F96-4E35-96CA-C3C90A1680D5}" name="Part of Kings County Vote Results" totalsRowFunction="custom" totalsRowDxfId="638">
      <totalsRowFormula>SUM(StateSenatorSenateDistrict26General[Part of Kings County Vote Results])</totalsRowFormula>
    </tableColumn>
    <tableColumn id="4" xr3:uid="{97F5A015-A203-4681-AD73-2DD0083CFC24}" name="Part of New York County Vote Results" totalsRowFunction="custom" dataDxfId="637" totalsRowDxfId="636">
      <totalsRowFormula>SUM(StateSenatorSenateDistrict26General[Part of New York County Vote Results])</totalsRowFormula>
    </tableColumn>
    <tableColumn id="3" xr3:uid="{09D3060B-17E7-465A-A565-EBA78657DE86}" name="Total Votes by Party" totalsRowFunction="custom" dataDxfId="635" totalsRowDxfId="634">
      <calculatedColumnFormula>SUM(StateSenatorSenateDistrict26General[[#This Row],[Part of Kings County Vote Results]:[Part of New York County Vote Results]])</calculatedColumnFormula>
      <totalsRowFormula>SUM(StateSenatorSenateDistrict26General[Total Votes by Party])</totalsRowFormula>
    </tableColumn>
    <tableColumn id="5" xr3:uid="{BF649100-9930-46CF-B7E6-F047CEDD0492}" name="Total Votes by Candidate" dataDxfId="633" totalsRowDxfId="632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0DF6025-67AE-4B1D-8BFD-EAD93358C7C6}" name="StateSenatorSenateDistrict27General" displayName="StateSenatorSenateDistrict27General" ref="A2:D8" totalsRowCount="1" headerRowDxfId="631" dataDxfId="629" totalsRowDxfId="627" headerRowBorderDxfId="630" tableBorderDxfId="628" totalsRowBorderDxfId="626">
  <autoFilter ref="A2:D7" xr:uid="{62C311E0-B033-4133-8CC3-8FB9FA631EE3}">
    <filterColumn colId="0" hiddenButton="1"/>
    <filterColumn colId="1" hiddenButton="1"/>
    <filterColumn colId="2" hiddenButton="1"/>
    <filterColumn colId="3" hiddenButton="1"/>
  </autoFilter>
  <tableColumns count="4">
    <tableColumn id="1" xr3:uid="{C8C60E63-2994-4D26-AADD-778B5C1BD07B}" name="Candidate Name (Party)" totalsRowLabel="Total Votes by County" dataDxfId="625" totalsRowDxfId="624"/>
    <tableColumn id="4" xr3:uid="{9BD34521-68DB-480E-A2DC-208FD82C9B70}" name="Part of New York County Vote Results" totalsRowFunction="custom" dataDxfId="623" totalsRowDxfId="622">
      <totalsRowFormula>SUM(StateSenatorSenateDistrict27General[Part of New York County Vote Results])</totalsRowFormula>
    </tableColumn>
    <tableColumn id="3" xr3:uid="{681341D9-29D0-4A26-B16F-781A1E7DAB0A}" name="Total Votes by Party" totalsRowFunction="custom" dataDxfId="621" totalsRowDxfId="620">
      <calculatedColumnFormula>StateSenatorSenateDistrict27General[[#This Row],[Part of New York County Vote Results]]</calculatedColumnFormula>
      <totalsRowFormula>SUM(StateSenatorSenateDistrict27General[Total Votes by Party])</totalsRowFormula>
    </tableColumn>
    <tableColumn id="2" xr3:uid="{9305F792-F1AD-46DF-AE88-0F2676F342C4}" name="Total Votes by Candidate" dataDxfId="619" totalsRowDxfId="618">
      <calculatedColumnFormula>SUM(StateSenatorSenateDistrict27General[[#This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C5E263E-F5D2-43CA-8022-7D30529C508A}" name="StateSenatorSenateDistrict28General" displayName="StateSenatorSenateDistrict28General" ref="A2:D9" totalsRowCount="1" headerRowDxfId="617" dataDxfId="615" totalsRowDxfId="613" headerRowBorderDxfId="616" tableBorderDxfId="614" totalsRowBorderDxfId="612">
  <autoFilter ref="A2:D8" xr:uid="{4369AD02-EED6-41FF-98B0-674AF9E33135}">
    <filterColumn colId="0" hiddenButton="1"/>
    <filterColumn colId="1" hiddenButton="1"/>
    <filterColumn colId="2" hiddenButton="1"/>
    <filterColumn colId="3" hiddenButton="1"/>
  </autoFilter>
  <tableColumns count="4">
    <tableColumn id="1" xr3:uid="{E8C054F2-AF01-4A0D-9A63-81CBDF6795D3}" name="Candidate Name (Party)" totalsRowLabel="Total Votes by County" dataDxfId="611" totalsRowDxfId="610"/>
    <tableColumn id="4" xr3:uid="{7979D094-596C-42AB-8EC7-3A29760E5F1D}" name="Part of New York County Vote Results" totalsRowFunction="custom" dataDxfId="609" totalsRowDxfId="608">
      <totalsRowFormula>SUM(StateSenatorSenateDistrict28General[Part of New York County Vote Results])</totalsRowFormula>
    </tableColumn>
    <tableColumn id="3" xr3:uid="{9C01749F-51EC-439C-9DEF-9ADE98E5E079}" name="Total Votes by Party" totalsRowFunction="custom" dataDxfId="607" totalsRowDxfId="606">
      <calculatedColumnFormula>StateSenatorSenateDistrict28General[[#This Row],[Part of New York County Vote Results]]</calculatedColumnFormula>
      <totalsRowFormula>SUM(StateSenatorSenateDistrict28General[Total Votes by Party])</totalsRowFormula>
    </tableColumn>
    <tableColumn id="2" xr3:uid="{9A353C9B-F60E-48C4-9790-FD39B64B2D4C}" name="Total Votes by Candidate" dataDxfId="605" totalsRowDxfId="604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705678A-F07A-450B-9EDE-A19ED89BF453}" name="StateSenatorSenateDistrict29General" displayName="StateSenatorSenateDistrict29General" ref="A2:E8" totalsRowCount="1" headerRowDxfId="603" dataDxfId="601" totalsRowDxfId="599" headerRowBorderDxfId="602" tableBorderDxfId="600" totalsRowBorderDxfId="598">
  <autoFilter ref="A2:E7" xr:uid="{391D07F9-7643-47D4-8D64-70A4F00BAFE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8FD055B-1C46-4A63-ACBE-B84041AB7E66}" name="Candidate Name (Party)" totalsRowLabel="Total Votes by County" dataDxfId="597" totalsRowDxfId="596"/>
    <tableColumn id="2" xr3:uid="{DFC8B4A3-16A7-4D85-8FD8-409349C8C652}" name="Part of Bronx County Vote Results" totalsRowFunction="custom" dataDxfId="595" totalsRowDxfId="594">
      <totalsRowFormula>SUM(StateSenatorSenateDistrict29General[Part of Bronx County Vote Results])</totalsRowFormula>
    </tableColumn>
    <tableColumn id="4" xr3:uid="{C61B4064-53EE-477F-8E6D-4F0D55695925}" name="Part of New York County Vote Results" totalsRowFunction="custom" dataDxfId="593" totalsRowDxfId="592">
      <totalsRowFormula>SUM(StateSenatorSenateDistrict29General[Part of New York County Vote Results])</totalsRowFormula>
    </tableColumn>
    <tableColumn id="3" xr3:uid="{18951F8C-1F2C-42EA-869B-1E1FB4739ED7}" name="Total Votes by Party" totalsRowFunction="custom" dataDxfId="591" totalsRowDxfId="590">
      <calculatedColumnFormula>SUM(StateSenatorSenateDistrict29General[[#This Row],[Part of Bronx County Vote Results]:[Part of New York County Vote Results]])</calculatedColumnFormula>
      <totalsRowFormula>SUM(StateSenatorSenateDistrict29General[Total Votes by Party])</totalsRowFormula>
    </tableColumn>
    <tableColumn id="5" xr3:uid="{5F6D2622-264F-46FC-95B5-49F2542C88B7}" name="Total Votes by Candidate" dataDxfId="589" totalsRowDxfId="588">
      <calculatedColumnFormula>SUM(D3,D4)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E5138-069E-4F10-AE2A-35E8E3CA3C02}" name="StateSenatorSenateDistrict3General42" displayName="StateSenatorSenateDistrict3General42" ref="A2:D9" totalsRowCount="1" headerRowDxfId="974" dataDxfId="972" totalsRowDxfId="970" headerRowBorderDxfId="973" tableBorderDxfId="971" totalsRowBorderDxfId="969">
  <autoFilter ref="A2:D8" xr:uid="{E849A2E2-D466-4FEE-AC0E-07449222D724}">
    <filterColumn colId="0" hiddenButton="1"/>
    <filterColumn colId="1" hiddenButton="1"/>
    <filterColumn colId="2" hiddenButton="1"/>
    <filterColumn colId="3" hiddenButton="1"/>
  </autoFilter>
  <tableColumns count="4">
    <tableColumn id="1" xr3:uid="{47C31D8F-8820-429B-AFDC-6A1A12EC577F}" name="Candidate Name (Party)" totalsRowLabel="Total Votes by County" dataDxfId="968" totalsRowDxfId="967"/>
    <tableColumn id="4" xr3:uid="{C671D879-E29C-46B0-BBDC-CF0791FF18FC}" name="Part of Suffolk County Vote Results" totalsRowFunction="custom" dataDxfId="966" totalsRowDxfId="965">
      <totalsRowFormula>SUM(StateSenatorSenateDistrict3General42[Part of Suffolk County Vote Results])</totalsRowFormula>
    </tableColumn>
    <tableColumn id="3" xr3:uid="{6CC0C525-F3EA-4BDC-9BDF-0564602583EA}" name="Total Votes by Party" totalsRowFunction="custom" dataDxfId="964" totalsRowDxfId="963">
      <calculatedColumnFormula>StateSenatorSenateDistrict3General42[[#This Row],[Part of Suffolk County Vote Results]]</calculatedColumnFormula>
      <totalsRowFormula>SUM(StateSenatorSenateDistrict3General42[Total Votes by Party])</totalsRowFormula>
    </tableColumn>
    <tableColumn id="2" xr3:uid="{6682A752-3D95-4654-927E-B58D06DFCA00}" name="Total Votes by Candidate" dataDxfId="962" totalsRowDxfId="961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DD68ACA-33B3-4654-AB4B-905140847E83}" name="StateSenatorSenateDistrict30General" displayName="StateSenatorSenateDistrict30General" ref="A2:D8" totalsRowCount="1" headerRowDxfId="587" dataDxfId="585" totalsRowDxfId="583" headerRowBorderDxfId="586" tableBorderDxfId="584" totalsRowBorderDxfId="582">
  <autoFilter ref="A2:D7" xr:uid="{CCCA2082-346E-4E28-81FE-E416EE035169}">
    <filterColumn colId="0" hiddenButton="1"/>
    <filterColumn colId="1" hiddenButton="1"/>
    <filterColumn colId="2" hiddenButton="1"/>
    <filterColumn colId="3" hiddenButton="1"/>
  </autoFilter>
  <tableColumns count="4">
    <tableColumn id="1" xr3:uid="{F528DD78-8E0B-4CC0-98EE-9E78A51D5B91}" name="Candidate Name (Party)" totalsRowLabel="Total Votes by County" dataDxfId="581" totalsRowDxfId="580"/>
    <tableColumn id="4" xr3:uid="{A04A1007-DF83-44DC-9FC8-35A77D90F729}" name="Part of New York County Vote Results" totalsRowFunction="custom" dataDxfId="579" totalsRowDxfId="578">
      <totalsRowFormula>SUM(StateSenatorSenateDistrict30General[Part of New York County Vote Results])</totalsRowFormula>
    </tableColumn>
    <tableColumn id="3" xr3:uid="{4CC4CCBB-17B9-4558-9148-E6BC2B90ED4E}" name="Total Votes by Party" totalsRowFunction="custom" dataDxfId="577" totalsRowDxfId="576">
      <calculatedColumnFormula>StateSenatorSenateDistrict30General[[#This Row],[Part of New York County Vote Results]]</calculatedColumnFormula>
      <totalsRowFormula>SUM(StateSenatorSenateDistrict30General[Total Votes by Party])</totalsRowFormula>
    </tableColumn>
    <tableColumn id="2" xr3:uid="{81E6DED4-2202-4EF8-9835-00A30234F6A0}" name="Total Votes by Candidate" dataDxfId="575" totalsRowDxfId="574">
      <calculatedColumnFormula>SUM(C3,C4)</calculatedColumnFormula>
    </tableColumn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A7B7F6-B544-4212-BA98-4BC2AFF5FD1B}" name="StateSenatorSenateDistrict31General" displayName="StateSenatorSenateDistrict31General" ref="A2:E9" totalsRowCount="1" headerRowDxfId="573" dataDxfId="571" totalsRowDxfId="569" headerRowBorderDxfId="572" tableBorderDxfId="570" totalsRowBorderDxfId="568">
  <autoFilter ref="A2:E8" xr:uid="{AC89B2AA-2F33-4C00-947B-3AC1042912D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2840809-0B09-474E-ABE6-7BDB5407BEEC}" name="Candidate Name (Party)" totalsRowLabel="Total Votes by County" dataDxfId="567" totalsRowDxfId="566"/>
    <tableColumn id="4" xr3:uid="{B1EF1435-B2E1-4837-8232-0536EEA8BBF1}" name="Part of Bronx County Vote Results" totalsRowFunction="custom" dataDxfId="565" totalsRowDxfId="564">
      <totalsRowFormula>SUM(StateSenatorSenateDistrict31General[Part of Bronx County Vote Results])</totalsRowFormula>
    </tableColumn>
    <tableColumn id="5" xr3:uid="{95007815-9DA8-4EFF-91D6-A29C9882C7BD}" name="Part of New York County Vote Results" totalsRowFunction="custom" dataDxfId="563" totalsRowDxfId="562">
      <totalsRowFormula>SUM(StateSenatorSenateDistrict31General[Part of New York County Vote Results])</totalsRowFormula>
    </tableColumn>
    <tableColumn id="3" xr3:uid="{2C0DD2FB-F8C5-4CAF-8CF9-89D5FB7F0B19}" name="Total Votes by Party" totalsRowFunction="custom" dataDxfId="561" totalsRowDxfId="560">
      <calculatedColumnFormula>SUM(StateSenatorSenateDistrict31General[[#This Row],[Part of Bronx County Vote Results]:[Part of New York County Vote Results]])</calculatedColumnFormula>
      <totalsRowFormula>SUM(StateSenatorSenateDistrict31General[Total Votes by Party])</totalsRowFormula>
    </tableColumn>
    <tableColumn id="2" xr3:uid="{CA1C42EF-F2BB-4198-A6FB-75B4F8D77CA7}" name="Total Votes by Candidate" dataDxfId="559" totalsRowDxfId="558"/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8FDAE44-CDC6-4644-A93B-474AA7837D9E}" name="StateSenatorSenateDistrict32General" displayName="StateSenatorSenateDistrict32General" ref="A2:D9" totalsRowCount="1" headerRowDxfId="557" dataDxfId="555" totalsRowDxfId="553" headerRowBorderDxfId="556" tableBorderDxfId="554" totalsRowBorderDxfId="552">
  <autoFilter ref="A2:D8" xr:uid="{66B45EA2-D6CB-4A17-AEE7-0AED9F515D9C}">
    <filterColumn colId="0" hiddenButton="1"/>
    <filterColumn colId="1" hiddenButton="1"/>
    <filterColumn colId="2" hiddenButton="1"/>
    <filterColumn colId="3" hiddenButton="1"/>
  </autoFilter>
  <tableColumns count="4">
    <tableColumn id="1" xr3:uid="{F19B2ED5-08B2-468B-8AD4-716BE9D7DC76}" name="Candidate Name (Party)" totalsRowLabel="Total Votes by County" dataDxfId="551" totalsRowDxfId="550"/>
    <tableColumn id="4" xr3:uid="{784DF38C-CBA5-44F2-937C-F914B324DE33}" name="Part of Bronx County Vote Results" totalsRowFunction="custom" dataDxfId="549" totalsRowDxfId="548">
      <totalsRowFormula>SUM(StateSenatorSenateDistrict32General[Part of Bronx County Vote Results])</totalsRowFormula>
    </tableColumn>
    <tableColumn id="3" xr3:uid="{2A3C0656-C662-49AD-B47F-C96D80A4C0DD}" name="Total Votes by Party" totalsRowFunction="custom" dataDxfId="547" totalsRowDxfId="546">
      <calculatedColumnFormula>StateSenatorSenateDistrict32General[[#This Row],[Part of Bronx County Vote Results]]</calculatedColumnFormula>
      <totalsRowFormula>SUM(StateSenatorSenateDistrict32General[Total Votes by Party])</totalsRowFormula>
    </tableColumn>
    <tableColumn id="2" xr3:uid="{92A94245-74F7-4646-B71C-9EB8D4014AD6}" name="Total Votes by Candidate" dataDxfId="545" totalsRowDxfId="544"/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83BE7F7-DFD2-47DA-9507-00A4CB27B15E}" name="StateSenatorSenateDistrict33General" displayName="StateSenatorSenateDistrict33General" ref="A2:D8" totalsRowCount="1" headerRowDxfId="543" dataDxfId="541" totalsRowDxfId="539" headerRowBorderDxfId="542" tableBorderDxfId="540" totalsRowBorderDxfId="538">
  <autoFilter ref="A2:D7" xr:uid="{E03987BE-97E4-4885-9FB9-6ACFB481227A}">
    <filterColumn colId="0" hiddenButton="1"/>
    <filterColumn colId="1" hiddenButton="1"/>
    <filterColumn colId="2" hiddenButton="1"/>
    <filterColumn colId="3" hiddenButton="1"/>
  </autoFilter>
  <tableColumns count="4">
    <tableColumn id="1" xr3:uid="{9FEEAB08-7837-43C6-AEB4-0CAF6938AEA7}" name="Candidate Name (Party)" totalsRowLabel="Total Votes by County" dataDxfId="537" totalsRowDxfId="536"/>
    <tableColumn id="4" xr3:uid="{6FEC6351-D4FF-4EBB-9DF5-9BA722BB3D53}" name="Part of Bronx County Vote Results" totalsRowFunction="custom" dataDxfId="535" totalsRowDxfId="534">
      <totalsRowFormula>SUM(StateSenatorSenateDistrict33General[Part of Bronx County Vote Results])</totalsRowFormula>
    </tableColumn>
    <tableColumn id="3" xr3:uid="{A9588ADC-3539-472C-8BEC-E97A87067BB0}" name="Total Votes by Party" totalsRowFunction="custom" dataDxfId="533" totalsRowDxfId="532">
      <calculatedColumnFormula>StateSenatorSenateDistrict33General[[#This Row],[Part of Bronx County Vote Results]]</calculatedColumnFormula>
      <totalsRowFormula>SUM(StateSenatorSenateDistrict33General[Total Votes by Party])</totalsRowFormula>
    </tableColumn>
    <tableColumn id="2" xr3:uid="{C44F68A2-C66E-4D65-BDD1-B091735254EB}" name="Total Votes by Candidate" dataDxfId="531" totalsRowDxfId="530">
      <calculatedColumnFormula>SUM(C3,C4)</calculatedColumnFormula>
    </tableColumn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9ACC47B-36C4-4E32-A227-02BD1CBFDAEE}" name="StateSenatorSenateDistrict34General" displayName="StateSenatorSenateDistrict34General" ref="A2:E9" totalsRowCount="1" headerRowDxfId="529" dataDxfId="527" totalsRowDxfId="525" headerRowBorderDxfId="528" tableBorderDxfId="526" totalsRowBorderDxfId="524">
  <autoFilter ref="A2:E8" xr:uid="{7160B362-E91B-4B57-9F7C-466B52FC771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B86591-FD6B-42F3-BC31-47B3DE235366}" name="Candidate Name (Party)" totalsRowLabel="Total Votes by County" dataDxfId="523" totalsRowDxfId="522"/>
    <tableColumn id="2" xr3:uid="{3B141CEF-CB9E-439D-A648-634F66A8F477}" name="Part of Bronx County Vote Results" totalsRowFunction="custom" dataDxfId="521" totalsRowDxfId="520">
      <totalsRowFormula>SUM(StateSenatorSenateDistrict34General[Part of Bronx County Vote Results])</totalsRowFormula>
    </tableColumn>
    <tableColumn id="4" xr3:uid="{D8716D40-EB10-4835-A88B-9F662961DDE5}" name="Part of Westchester County Vote Results" totalsRowFunction="custom" dataDxfId="519" totalsRowDxfId="518">
      <totalsRowFormula>SUM(StateSenatorSenateDistrict34General[Part of Westchester County Vote Results])</totalsRowFormula>
    </tableColumn>
    <tableColumn id="3" xr3:uid="{0639448B-8360-460F-9153-663D099EA138}" name="Total Votes by Party" totalsRowFunction="custom" dataDxfId="517" totalsRowDxfId="516">
      <calculatedColumnFormula>SUM(StateSenatorSenateDistrict34General[[#This Row],[Part of Bronx County Vote Results]:[Part of Westchester County Vote Results]])</calculatedColumnFormula>
      <totalsRowFormula>SUM(StateSenatorSenateDistrict34General[Total Votes by Party])</totalsRowFormula>
    </tableColumn>
    <tableColumn id="5" xr3:uid="{5B43CF9D-0744-45DA-AD30-BC1517C63806}" name="Total Votes by Candidate" dataDxfId="515" totalsRowDxfId="514"/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4E00E97-6339-4AAA-BACE-9716C63E6D20}" name="StateSenatorSenateDistrict35General" displayName="StateSenatorSenateDistrict35General" ref="A2:D9" totalsRowCount="1" headerRowDxfId="513" dataDxfId="511" totalsRowDxfId="509" headerRowBorderDxfId="512" tableBorderDxfId="510" totalsRowBorderDxfId="508">
  <autoFilter ref="A2:D8" xr:uid="{2FE2021E-B3FC-4090-BFCF-0E5764AB8AE4}">
    <filterColumn colId="0" hiddenButton="1"/>
    <filterColumn colId="1" hiddenButton="1"/>
    <filterColumn colId="2" hiddenButton="1"/>
    <filterColumn colId="3" hiddenButton="1"/>
  </autoFilter>
  <tableColumns count="4">
    <tableColumn id="1" xr3:uid="{CC5F317C-4F11-4374-96F5-B336D7D00E73}" name="Candidate Name (Party)" totalsRowLabel="Total Votes by County" dataDxfId="507" totalsRowDxfId="506"/>
    <tableColumn id="4" xr3:uid="{67FF2FF3-DBF5-488C-971B-EB8E61C5790F}" name="Part of Westchester County Vote Results" totalsRowFunction="custom" dataDxfId="505" totalsRowDxfId="504">
      <totalsRowFormula>SUM(StateSenatorSenateDistrict35General[Part of Westchester County Vote Results])</totalsRowFormula>
    </tableColumn>
    <tableColumn id="3" xr3:uid="{E348A3EB-472C-4A68-9738-460147E09ABA}" name="Total Votes by Party" totalsRowFunction="custom" dataDxfId="503" totalsRowDxfId="502">
      <calculatedColumnFormula>StateSenatorSenateDistrict35General[[#This Row],[Part of Westchester County Vote Results]]</calculatedColumnFormula>
      <totalsRowFormula>SUM(StateSenatorSenateDistrict35General[Total Votes by Party])</totalsRowFormula>
    </tableColumn>
    <tableColumn id="2" xr3:uid="{80331C9E-887F-447C-B816-007D189283D2}" name="Total Votes by Candidate" dataDxfId="501" totalsRowDxfId="500">
      <calculatedColumnFormula>SUM(StateSenatorSenateDistrict35General[[#This Row],[Total Votes by Party]],C5)</calculatedColumnFormula>
    </tableColumn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B5E3145-118A-4DB3-91BD-FB2145533FED}" name="StateSenatorSenateDistrict36General" displayName="StateSenatorSenateDistrict36General" ref="A2:E7" totalsRowCount="1" headerRowDxfId="499" dataDxfId="497" totalsRowDxfId="495" headerRowBorderDxfId="498" tableBorderDxfId="496" totalsRowBorderDxfId="494">
  <autoFilter ref="A2:E6" xr:uid="{2120EBA0-D9CB-4517-B699-FBA464EB0F1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22466CA-F9FF-4C9D-BF2D-1FCABBB53A9E}" name="Candidate Name (Party)" totalsRowLabel="Total Votes by County" dataDxfId="493" totalsRowDxfId="492"/>
    <tableColumn id="2" xr3:uid="{95483D6D-E7DE-45CC-863A-3559F6634A7F}" name="Part of Bronx County Vote Results" totalsRowFunction="custom" dataDxfId="491" totalsRowDxfId="490">
      <totalsRowFormula>SUM(StateSenatorSenateDistrict36General[Part of Bronx County Vote Results])</totalsRowFormula>
    </tableColumn>
    <tableColumn id="4" xr3:uid="{FF9D1F0F-7731-4F5C-A1FB-0B198C37B835}" name="Part of Westchester County Vote Results" totalsRowFunction="custom" dataDxfId="489" totalsRowDxfId="488">
      <totalsRowFormula>SUM(StateSenatorSenateDistrict36General[Part of Westchester County Vote Results])</totalsRowFormula>
    </tableColumn>
    <tableColumn id="3" xr3:uid="{AFAE93E6-49C7-4796-8885-DC04356C0A0F}" name="Total Votes by Party" totalsRowFunction="custom" dataDxfId="487" totalsRowDxfId="486">
      <calculatedColumnFormula>SUM(StateSenatorSenateDistrict36General[[#This Row],[Part of Bronx County Vote Results]:[Part of Westchester County Vote Results]])</calculatedColumnFormula>
      <totalsRowFormula>SUM(StateSenatorSenateDistrict36General[Total Votes by Party])</totalsRowFormula>
    </tableColumn>
    <tableColumn id="5" xr3:uid="{3A06EA30-72AE-4F51-976A-3989AC5F5EBF}" name="Total Votes by Candidate" dataDxfId="485" totalsRowDxfId="484"/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66DF66F-01BD-445A-83F9-020CA77BFCAA}" name="StateSenatorSenateDistrict37General" displayName="StateSenatorSenateDistrict37General" ref="A2:D9" totalsRowCount="1" headerRowDxfId="483" dataDxfId="481" totalsRowDxfId="479" headerRowBorderDxfId="482" tableBorderDxfId="480" totalsRowBorderDxfId="478">
  <autoFilter ref="A2:D8" xr:uid="{62B5EA22-6D1D-4FB8-A0B1-C8F214797620}">
    <filterColumn colId="0" hiddenButton="1"/>
    <filterColumn colId="1" hiddenButton="1"/>
    <filterColumn colId="2" hiddenButton="1"/>
    <filterColumn colId="3" hiddenButton="1"/>
  </autoFilter>
  <tableColumns count="4">
    <tableColumn id="1" xr3:uid="{F5842F7C-BC93-4D70-94E1-816558EEE702}" name="Candidate Name (Party)" totalsRowLabel="Total Votes by County" dataDxfId="477" totalsRowDxfId="476"/>
    <tableColumn id="4" xr3:uid="{3D79DBC5-A30F-4770-ACC2-1B68E1A2F457}" name="Part of Westchester County Vote Results" totalsRowFunction="custom" dataDxfId="475" totalsRowDxfId="474">
      <totalsRowFormula>SUM(StateSenatorSenateDistrict37General[Part of Westchester County Vote Results])</totalsRowFormula>
    </tableColumn>
    <tableColumn id="3" xr3:uid="{4E31EE23-C41B-49E3-8A91-809182843CCD}" name="Total Votes by Party" totalsRowFunction="custom" dataDxfId="473" totalsRowDxfId="472">
      <calculatedColumnFormula>StateSenatorSenateDistrict37General[[#This Row],[Part of Westchester County Vote Results]]</calculatedColumnFormula>
      <totalsRowFormula>SUM(StateSenatorSenateDistrict37General[Total Votes by Party])</totalsRowFormula>
    </tableColumn>
    <tableColumn id="2" xr3:uid="{C7186CF3-99B0-4321-909C-2DA7745CD681}" name="Total Votes by Candidate" dataDxfId="471" totalsRowDxfId="470">
      <calculatedColumnFormula>SUM(C3:C5)</calculatedColumnFormula>
    </tableColumn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50B2CD0-4B3F-4F85-8DE5-6FCE3F6C6933}" name="StateSenatorSenateDistrict38General" displayName="StateSenatorSenateDistrict38General" ref="A2:D10" totalsRowCount="1" headerRowDxfId="469" dataDxfId="467" totalsRowDxfId="465" headerRowBorderDxfId="468" tableBorderDxfId="466" totalsRowBorderDxfId="464">
  <autoFilter ref="A2:D9" xr:uid="{76D11FBE-A745-483E-9F05-DF6DDFB6229E}">
    <filterColumn colId="0" hiddenButton="1"/>
    <filterColumn colId="1" hiddenButton="1"/>
    <filterColumn colId="2" hiddenButton="1"/>
    <filterColumn colId="3" hiddenButton="1"/>
  </autoFilter>
  <tableColumns count="4">
    <tableColumn id="1" xr3:uid="{976FCDD1-88A7-4DB0-BFF4-9EEDEA78F66D}" name="Candidate Name (Party)" totalsRowLabel="Total Votes by County" dataDxfId="463" totalsRowDxfId="462"/>
    <tableColumn id="2" xr3:uid="{80B51E60-5B57-452C-AE64-EC64D6C14CDA}" name="Part of Rockland County Vote Results" totalsRowFunction="custom" dataDxfId="461" totalsRowDxfId="460">
      <totalsRowFormula>SUM(StateSenatorSenateDistrict38General[Part of Rockland County Vote Results])</totalsRowFormula>
    </tableColumn>
    <tableColumn id="3" xr3:uid="{C5DC5BD3-601F-4BE4-AFF3-242DF2E16A7E}" name="Total Votes by Party" totalsRowFunction="custom" dataDxfId="459" totalsRowDxfId="458">
      <calculatedColumnFormula>StateSenatorSenateDistrict38General[[#This Row],[Part of Rockland County Vote Results]]</calculatedColumnFormula>
      <totalsRowFormula>SUM(StateSenatorSenateDistrict38General[Total Votes by Party])</totalsRowFormula>
    </tableColumn>
    <tableColumn id="5" xr3:uid="{05585993-33A2-473E-A0A2-9C85BB0470AF}" name="Total Votes by Candidate" dataDxfId="457" totalsRowDxfId="456"/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CC7976C-538D-4E2D-B90E-918CDEE719EB}" name="StateSenatorSenateDistrict39General" displayName="StateSenatorSenateDistrict39General" ref="A2:F9" totalsRowCount="1" headerRowDxfId="455" dataDxfId="453" totalsRowDxfId="451" headerRowBorderDxfId="454" tableBorderDxfId="452" totalsRowBorderDxfId="450">
  <autoFilter ref="A2:F8" xr:uid="{DDBF1CEC-9D14-4D99-A05E-23225379C3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CE260B6-9F0D-48C9-9CF3-741A14FEE980}" name="Candidate Name (Party)" totalsRowLabel="Total Votes by County" dataDxfId="449" totalsRowDxfId="448"/>
    <tableColumn id="2" xr3:uid="{614A8E6B-9833-470D-8587-E840D19877E5}" name="Part of Dutchess County Vote Results" totalsRowFunction="custom" dataDxfId="447" totalsRowDxfId="446">
      <totalsRowFormula>SUM(StateSenatorSenateDistrict39General[Part of Dutchess County Vote Results])</totalsRowFormula>
    </tableColumn>
    <tableColumn id="3" xr3:uid="{617A27A9-D2B0-4EAE-ABA5-255D90B92570}" name="Part of Orange County Vote Results" totalsRowFunction="custom" dataDxfId="445" totalsRowDxfId="444">
      <totalsRowFormula>SUM(StateSenatorSenateDistrict39General[Part of Orange County Vote Results])</totalsRowFormula>
    </tableColumn>
    <tableColumn id="4" xr3:uid="{BF5875B6-715D-47B5-815E-BE2F4DA9294F}" name="Part of Putnam County Vote Results" totalsRowFunction="custom" dataDxfId="443" totalsRowDxfId="442">
      <totalsRowFormula>SUM(StateSenatorSenateDistrict39General[Part of Putnam County Vote Results])</totalsRowFormula>
    </tableColumn>
    <tableColumn id="6" xr3:uid="{55BE6566-8EFE-487E-A48D-EF8B58CABBF9}" name="Total Votes by Party" totalsRowFunction="custom" dataDxfId="441" totalsRowDxfId="440">
      <calculatedColumnFormula>SUM(StateSenatorSenateDistrict39General[[#This Row],[Part of Dutchess County Vote Results]:[Part of Putnam County Vote Results]])</calculatedColumnFormula>
      <totalsRowFormula>SUM(StateSenatorSenateDistrict39General[Total Votes by Party])</totalsRowFormula>
    </tableColumn>
    <tableColumn id="5" xr3:uid="{C3B08987-1A47-4978-B7E0-C7D29601C1A2}" name="Total Votes by Candidate" dataDxfId="439" totalsRowDxfId="438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43BF68-A170-423A-AD2B-7D8F7CD31127}" name="StateSenatorSenateDistrict4General43" displayName="StateSenatorSenateDistrict4General43" ref="A2:D10" totalsRowCount="1" headerRowDxfId="960" dataDxfId="958" totalsRowDxfId="956" headerRowBorderDxfId="959" tableBorderDxfId="957" totalsRowBorderDxfId="955">
  <autoFilter ref="A2:D9" xr:uid="{C6AC5771-4768-43A8-97A4-F9B8EBA4FCE7}">
    <filterColumn colId="0" hiddenButton="1"/>
    <filterColumn colId="1" hiddenButton="1"/>
    <filterColumn colId="2" hiddenButton="1"/>
    <filterColumn colId="3" hiddenButton="1"/>
  </autoFilter>
  <tableColumns count="4">
    <tableColumn id="1" xr3:uid="{77AE50E4-79AF-406E-9C4A-865355E22289}" name="Candidate Name (Party)" totalsRowLabel="Total Votes by County" dataDxfId="954" totalsRowDxfId="953"/>
    <tableColumn id="4" xr3:uid="{CD55AAC6-39D7-45DC-BF23-299481EBD0E7}" name="Part of Suffolk County Vote Results" totalsRowFunction="custom" dataDxfId="952" totalsRowDxfId="951">
      <totalsRowFormula>SUM(StateSenatorSenateDistrict4General43[Part of Suffolk County Vote Results])</totalsRowFormula>
    </tableColumn>
    <tableColumn id="3" xr3:uid="{408B8A68-9B25-4451-B95C-5CA6FBB1652A}" name="Total Votes by Party" totalsRowFunction="custom" dataDxfId="950" totalsRowDxfId="949">
      <calculatedColumnFormula>StateSenatorSenateDistrict4General43[[#This Row],[Part of Suffolk County Vote Results]]</calculatedColumnFormula>
      <totalsRowFormula>SUM(StateSenatorSenateDistrict4General43[Total Votes by Party])</totalsRowFormula>
    </tableColumn>
    <tableColumn id="2" xr3:uid="{E183562C-0F8B-4BCF-AF09-2D10ABF25683}" name="Total Votes by Candidate" dataDxfId="948" totalsRowDxfId="947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46CDC73-CBD9-4D57-9171-DD0452C8E4FA}" name="StateSenatorSenateDistrict40General" displayName="StateSenatorSenateDistrict40General" ref="A2:F9" totalsRowCount="1" headerRowDxfId="437" dataDxfId="435" totalsRowDxfId="433" headerRowBorderDxfId="436" tableBorderDxfId="434" totalsRowBorderDxfId="432">
  <autoFilter ref="A2:F8" xr:uid="{FAF896EA-0001-44EC-81FD-517FAFA42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95A3C49-C851-4CD0-B86D-41E6070285AF}" name="Candidate Name (Party)" totalsRowLabel="Total Votes by County" dataDxfId="431" totalsRowDxfId="430"/>
    <tableColumn id="2" xr3:uid="{BAC99E8A-836B-427F-BDF7-FB18D6B7D751}" name="Part of Putnam County Vote Results" totalsRowFunction="custom" dataDxfId="429" totalsRowDxfId="428">
      <totalsRowFormula>SUM(StateSenatorSenateDistrict40General[Part of Putnam County Vote Results])</totalsRowFormula>
    </tableColumn>
    <tableColumn id="3" xr3:uid="{41E3D645-FC3C-49EF-85B4-119616E4100A}" name="Part of Rockland County Vote Results" totalsRowFunction="custom" dataDxfId="427" totalsRowDxfId="426">
      <totalsRowFormula>SUM(StateSenatorSenateDistrict40General[Part of Rockland County Vote Results])</totalsRowFormula>
    </tableColumn>
    <tableColumn id="4" xr3:uid="{1137FBF5-7A24-4723-B1C8-0064D9AC6B1A}" name="Part of Westchester County Vote Results" totalsRowFunction="custom" dataDxfId="425" totalsRowDxfId="424">
      <totalsRowFormula>SUM(StateSenatorSenateDistrict40General[Part of Westchester County Vote Results])</totalsRowFormula>
    </tableColumn>
    <tableColumn id="6" xr3:uid="{7A18CDE3-1E6E-4512-968C-98705851F6DA}" name="Total Votes by Party" totalsRowFunction="custom" dataDxfId="423" totalsRowDxfId="422">
      <calculatedColumnFormula>SUM(StateSenatorSenateDistrict40General[[#This Row],[Part of Putnam County Vote Results]:[Part of Westchester County Vote Results]])</calculatedColumnFormula>
      <totalsRowFormula>SUM(StateSenatorSenateDistrict40General[Total Votes by Party])</totalsRowFormula>
    </tableColumn>
    <tableColumn id="5" xr3:uid="{334C5F9C-5177-4602-B3EC-451144AF0CC9}" name="Total Votes by Candidate" dataDxfId="421" totalsRowDxfId="420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C2F9328-ADBE-40FB-A2DD-16204754B8A5}" name="StateSenatorSenateDistrict41General" displayName="StateSenatorSenateDistrict41General" ref="A2:G11" totalsRowCount="1" headerRowDxfId="419" dataDxfId="417" totalsRowDxfId="415" headerRowBorderDxfId="418" tableBorderDxfId="416" totalsRowBorderDxfId="414">
  <autoFilter ref="A2:G10" xr:uid="{30CCF245-9464-4C6A-A078-214F6F299B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6DE5707-3E0C-4186-B473-98844A20DD80}" name="Candidate Name (Party)" totalsRowLabel="Total Votes by County" dataDxfId="413" totalsRowDxfId="412"/>
    <tableColumn id="2" xr3:uid="{B2A114CA-14D4-4626-B523-65AE4EFF829A}" name="Columbia County_x000a_Vote Results" totalsRowFunction="custom" dataDxfId="411" totalsRowDxfId="410">
      <totalsRowFormula>SUM(StateSenatorSenateDistrict41General[Columbia County
Vote Results])</totalsRowFormula>
    </tableColumn>
    <tableColumn id="7" xr3:uid="{7BFF3EC9-4018-4417-9249-963A79C88E4A}" name="Part of Dutchess County Vote Results" totalsRowFunction="custom" dataDxfId="409" totalsRowDxfId="408">
      <totalsRowFormula>SUM(StateSenatorSenateDistrict41General[Part of Dutchess County Vote Results])</totalsRowFormula>
    </tableColumn>
    <tableColumn id="6" xr3:uid="{867D54C6-2430-47FD-AC58-CFF87FE92B04}" name="Part of Green County Vote Results" totalsRowFunction="custom" dataDxfId="407" totalsRowDxfId="406">
      <totalsRowFormula>SUM(StateSenatorSenateDistrict41General[Part of Green County Vote Results])</totalsRowFormula>
    </tableColumn>
    <tableColumn id="4" xr3:uid="{BD095CE1-5F58-4DF8-A2D6-CDF917136C3B}" name="Part of Ulster County Vote Results" totalsRowFunction="custom" dataDxfId="405" totalsRowDxfId="404">
      <totalsRowFormula>SUM(StateSenatorSenateDistrict41General[Part of Ulster County Vote Results])</totalsRowFormula>
    </tableColumn>
    <tableColumn id="3" xr3:uid="{BA630DAB-6F33-4072-9E66-99D72CBDD99D}" name="Total Votes by Party" totalsRowFunction="custom" dataDxfId="403" totalsRowDxfId="402">
      <calculatedColumnFormula>SUM(StateSenatorSenateDistrict41General[[#This Row],[Columbia County
Vote Results]:[Part of Ulster County Vote Results]])</calculatedColumnFormula>
      <totalsRowFormula>SUM(StateSenatorSenateDistrict41General[Total Votes by Party])</totalsRowFormula>
    </tableColumn>
    <tableColumn id="5" xr3:uid="{052FC13B-28D6-472B-B0F7-465D546031E0}" name="Total Votes by Candidate" dataDxfId="401" totalsRowDxfId="400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6D2A998-67D0-4EF1-A2BC-FCE700289CF4}" name="StateSenatorSenateDistrict42General" displayName="StateSenatorSenateDistrict42General" ref="A2:D10" totalsRowCount="1" headerRowDxfId="399" dataDxfId="397" totalsRowDxfId="395" headerRowBorderDxfId="398" tableBorderDxfId="396" totalsRowBorderDxfId="394">
  <autoFilter ref="A2:D9" xr:uid="{9CADA4D5-AD93-43D2-97C2-C1AEED7CF8DB}">
    <filterColumn colId="0" hiddenButton="1"/>
    <filterColumn colId="1" hiddenButton="1"/>
    <filterColumn colId="2" hiddenButton="1"/>
    <filterColumn colId="3" hiddenButton="1"/>
  </autoFilter>
  <tableColumns count="4">
    <tableColumn id="1" xr3:uid="{A020B09B-908A-4264-8F66-5E5688D9ED6C}" name="Candidate Name (Party)" totalsRowLabel="Total Votes by County" dataDxfId="393" totalsRowDxfId="392"/>
    <tableColumn id="3" xr3:uid="{41D4EAC7-F112-4EF0-B9E2-653206108C66}" name="Part of Orange County Vote Results" totalsRowFunction="custom" dataDxfId="391" totalsRowDxfId="390">
      <totalsRowFormula>SUM(StateSenatorSenateDistrict42General[Part of Orange County Vote Results])</totalsRowFormula>
    </tableColumn>
    <tableColumn id="7" xr3:uid="{60535B4A-1641-46C3-9CE3-CC2585730069}" name="Total Votes by Party" totalsRowFunction="custom" dataDxfId="389" totalsRowDxfId="388">
      <calculatedColumnFormula>StateSenatorSenateDistrict42General[[#This Row],[Part of Orange County Vote Results]]</calculatedColumnFormula>
      <totalsRowFormula>SUM(StateSenatorSenateDistrict42General[Total Votes by Party])</totalsRowFormula>
    </tableColumn>
    <tableColumn id="5" xr3:uid="{C7DE1502-8ED8-45D6-92B1-941566B89F64}" name="Total Votes by Candidate" dataDxfId="387" totalsRowDxfId="386"/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00A10B1-F515-4245-9E4C-02FCB06AFFBE}" name="StateSenatorSenateDistrict43General" displayName="StateSenatorSenateDistrict43General" ref="A2:F10" totalsRowCount="1" headerRowDxfId="385" dataDxfId="383" totalsRowDxfId="381" headerRowBorderDxfId="384" tableBorderDxfId="382" totalsRowBorderDxfId="380">
  <autoFilter ref="A2:F9" xr:uid="{8A98DF03-B6E6-4856-9390-45B54A5DCA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E07F7C8-554E-4B05-A4CB-C408A849D3FD}" name="Candidate Name (Party)" totalsRowLabel="Total Votes by County" dataDxfId="379" totalsRowDxfId="378"/>
    <tableColumn id="2" xr3:uid="{914948EF-2344-4771-B15D-B4C1B64153B6}" name="Part of Albany County Vote Results" totalsRowFunction="custom" dataDxfId="377" totalsRowDxfId="376">
      <totalsRowFormula>SUM(StateSenatorSenateDistrict43General[Part of Albany County Vote Results])</totalsRowFormula>
    </tableColumn>
    <tableColumn id="6" xr3:uid="{150151B4-84AD-4F5C-BDC0-93864F898D6A}" name=" Rensselaer County _x000a_Vote Results" totalsRowFunction="custom" dataDxfId="375" totalsRowDxfId="374">
      <totalsRowFormula>SUM(StateSenatorSenateDistrict43General[ Rensselaer County 
Vote Results])</totalsRowFormula>
    </tableColumn>
    <tableColumn id="4" xr3:uid="{666B557F-2E00-438D-BF24-66CC27493B08}" name="Part of Washington County Vote Results" totalsRowFunction="custom" dataDxfId="373" totalsRowDxfId="372">
      <totalsRowFormula>SUM(StateSenatorSenateDistrict43General[Part of Washington County Vote Results])</totalsRowFormula>
    </tableColumn>
    <tableColumn id="7" xr3:uid="{9F6333CE-964F-4171-A1CC-9FB354C8F8BB}" name="Total Votes by Party" totalsRowFunction="custom" dataDxfId="371" totalsRowDxfId="370">
      <calculatedColumnFormula>SUM(StateSenatorSenateDistrict43General[[#This Row],[Part of Albany County Vote Results]:[Part of Washington County Vote Results]])</calculatedColumnFormula>
      <totalsRowFormula>SUM(StateSenatorSenateDistrict43General[Total Votes by Party])</totalsRowFormula>
    </tableColumn>
    <tableColumn id="5" xr3:uid="{E70F85A0-9693-47AA-826F-476FDBF1B774}" name="Total Votes by Candidate" dataDxfId="369" totalsRowDxfId="368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56B8846-B05C-4EE2-8069-7964545CA111}" name="StateSenatorSenateDistrict44General" displayName="StateSenatorSenateDistrict44General" ref="A2:E10" totalsRowCount="1" headerRowDxfId="367" dataDxfId="365" totalsRowDxfId="363" headerRowBorderDxfId="366" tableBorderDxfId="364" totalsRowBorderDxfId="362">
  <autoFilter ref="A2:E9" xr:uid="{143BF5E4-05B9-40FA-B925-7862A6C06E9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D52DE95-D14A-4BCE-87F0-43DE643C2B3C}" name="Candidate Name (Party)" totalsRowLabel="Total Votes by County" dataDxfId="361" totalsRowDxfId="360"/>
    <tableColumn id="2" xr3:uid="{C5A09D23-9A37-4D39-854C-37E3A7CF5903}" name="Saratoga County _x000a_Vote Results" totalsRowFunction="custom" dataDxfId="359" totalsRowDxfId="358">
      <totalsRowFormula>SUM(StateSenatorSenateDistrict44General[Saratoga County 
Vote Results])</totalsRowFormula>
    </tableColumn>
    <tableColumn id="4" xr3:uid="{61ABAF9C-CBF6-4900-89A1-989D5B2894CE}" name="Part of Schenectady County Vote Results" totalsRowFunction="custom" dataDxfId="357" totalsRowDxfId="356">
      <totalsRowFormula>SUM(StateSenatorSenateDistrict44General[Part of Schenectady County Vote Results])</totalsRowFormula>
    </tableColumn>
    <tableColumn id="3" xr3:uid="{622A723C-6B7E-42AE-B054-2D8C4601F4E1}" name="Total Votes by Party" totalsRowFunction="custom" dataDxfId="355" totalsRowDxfId="354">
      <calculatedColumnFormula>SUM(StateSenatorSenateDistrict44General[[#This Row],[Saratoga County 
Vote Results]:[Part of Schenectady County Vote Results]])</calculatedColumnFormula>
      <totalsRowFormula>SUM(StateSenatorSenateDistrict44General[Total Votes by Party])</totalsRowFormula>
    </tableColumn>
    <tableColumn id="5" xr3:uid="{E0C4FB78-1D10-4D2B-AD97-7E9602514AF4}" name="Total Votes by Candidate" dataDxfId="353" totalsRowDxfId="352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4CDC931-62DF-43B5-BF46-8E496BF1FD9D}" name="StateSenatorSenateDistrict45General" displayName="StateSenatorSenateDistrict45General" ref="A2:I9" totalsRowCount="1" headerRowDxfId="351" dataDxfId="349" totalsRowDxfId="347" headerRowBorderDxfId="350" tableBorderDxfId="348" totalsRowBorderDxfId="346">
  <autoFilter ref="A2:I8" xr:uid="{77BEF245-421B-4116-930C-11876A274B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1AA374B-1EEF-4754-8BE9-48378BF72175}" name="Candidate Name (Party)" totalsRowLabel="Total Votes by County" dataDxfId="345" totalsRowDxfId="344"/>
    <tableColumn id="2" xr3:uid="{92B394E9-7914-41CC-9A11-3D7B6050D25C}" name="Clinton County Vote Results" totalsRowFunction="custom" dataDxfId="343" totalsRowDxfId="342">
      <totalsRowFormula>SUM(StateSenatorSenateDistrict45General[Clinton County Vote Results])</totalsRowFormula>
    </tableColumn>
    <tableColumn id="6" xr3:uid="{C8ED0ACF-8400-4AAD-BAF1-C091BF695085}" name="Essex County Vote Results" totalsRowFunction="custom" dataDxfId="341" totalsRowDxfId="340">
      <totalsRowFormula>SUM(StateSenatorSenateDistrict45General[Essex County Vote Results])</totalsRowFormula>
    </tableColumn>
    <tableColumn id="8" xr3:uid="{16E4BF41-B3A5-4344-B956-C7B7E8A8F5A3}" name="Franklin County Vote Results" totalsRowFunction="custom" dataDxfId="339" totalsRowDxfId="338">
      <totalsRowFormula>SUM(StateSenatorSenateDistrict45General[Franklin County Vote Results])</totalsRowFormula>
    </tableColumn>
    <tableColumn id="7" xr3:uid="{8659C484-727E-4234-BF80-8F75731B8D7B}" name="Part of St. Lawrence County Vote Results" totalsRowFunction="custom" dataDxfId="337" totalsRowDxfId="336">
      <totalsRowFormula>SUM(StateSenatorSenateDistrict45General[Part of St. Lawrence County Vote Results])</totalsRowFormula>
    </tableColumn>
    <tableColumn id="3" xr3:uid="{0BCF1CA0-D716-4661-A42F-3990D5335E12}" name="Warren County Vote Results" totalsRowFunction="custom" dataDxfId="335" totalsRowDxfId="334">
      <totalsRowFormula>SUM(StateSenatorSenateDistrict45General[Warren County Vote Results])</totalsRowFormula>
    </tableColumn>
    <tableColumn id="4" xr3:uid="{82AA9AE6-AE72-4B20-8987-1AE549E4DEA5}" name="Part of Washington County Vote Results" totalsRowFunction="custom" dataDxfId="333" totalsRowDxfId="332">
      <totalsRowFormula>SUM(StateSenatorSenateDistrict45General[Part of Washington County Vote Results])</totalsRowFormula>
    </tableColumn>
    <tableColumn id="9" xr3:uid="{1F2015F4-AA85-4609-A5E9-94B8115F5196}" name="Total Votes by Party" totalsRowFunction="custom" dataDxfId="331" totalsRowDxfId="330">
      <calculatedColumnFormula>SUM(StateSenatorSenateDistrict45General[[#This Row],[Clinton County Vote Results]:[Part of Washington County Vote Results]])</calculatedColumnFormula>
      <totalsRowFormula>SUM(StateSenatorSenateDistrict45General[Total Votes by Party])</totalsRowFormula>
    </tableColumn>
    <tableColumn id="5" xr3:uid="{851BFC87-165B-4398-B98E-3F37410CA39D}" name="Total Votes by Candidate" dataDxfId="329" totalsRowDxfId="328"/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A20ED8F-ED2B-43B5-8C73-4E82E036B4A1}" name="StateSenatorSenateDistrict46General" displayName="StateSenatorSenateDistrict46General" ref="A2:F10" totalsRowCount="1" headerRowDxfId="327" dataDxfId="325" totalsRowDxfId="323" headerRowBorderDxfId="326" tableBorderDxfId="324" totalsRowBorderDxfId="322">
  <autoFilter ref="A2:F9" xr:uid="{3D675DE8-9F3B-4D15-A9AC-A53B690048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5823110-B3FD-4EBA-B877-40E394A69451}" name="Candidate Name (Party)" totalsRowLabel="Total Votes by County" dataDxfId="321" totalsRowDxfId="320"/>
    <tableColumn id="6" xr3:uid="{82805EA4-0F00-439C-B087-694D4A4EADAA}" name="Part of Albany County Vote Results" totalsRowFunction="custom" dataDxfId="319" totalsRowDxfId="318">
      <totalsRowFormula>SUM(StateSenatorSenateDistrict46General[Part of Albany County Vote Results])</totalsRowFormula>
    </tableColumn>
    <tableColumn id="7" xr3:uid="{F6C77BE1-08FC-4152-8E69-1FC9AA2EF80D}" name="Montgomery County Vote Results" totalsRowFunction="custom" dataDxfId="317" totalsRowDxfId="316">
      <totalsRowFormula>SUM(StateSenatorSenateDistrict46General[Montgomery County Vote Results])</totalsRowFormula>
    </tableColumn>
    <tableColumn id="3" xr3:uid="{4D9D3544-D8EA-41FA-A022-3377A7DC65CE}" name="Part of Schenectady County Vote Results" totalsRowFunction="custom" dataDxfId="315" totalsRowDxfId="314">
      <totalsRowFormula>SUM(StateSenatorSenateDistrict46General[Part of Schenectady County Vote Results])</totalsRowFormula>
    </tableColumn>
    <tableColumn id="8" xr3:uid="{AD16157F-371A-43A1-8779-1549BB2BDBE7}" name="Total Votes by Party" totalsRowFunction="custom" dataDxfId="313" totalsRowDxfId="312">
      <calculatedColumnFormula>SUM(StateSenatorSenateDistrict46General[[#This Row],[Part of Albany County Vote Results]:[Part of Schenectady County Vote Results]])</calculatedColumnFormula>
      <totalsRowFormula>SUM(StateSenatorSenateDistrict46General[Total Votes by Party])</totalsRowFormula>
    </tableColumn>
    <tableColumn id="5" xr3:uid="{49C9A80E-B308-4A46-B5D4-A599EAD37577}" name="Total Votes by Candidate" dataDxfId="311" totalsRowDxfId="310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1EEE99B-D3D1-40FA-8864-8AC7F9717494}" name="StateSenatorSenateDistrict47General" displayName="StateSenatorSenateDistrict47General" ref="A2:D10" totalsRowCount="1" headerRowDxfId="309" dataDxfId="307" totalsRowDxfId="305" headerRowBorderDxfId="308" tableBorderDxfId="306" totalsRowBorderDxfId="304">
  <autoFilter ref="A2:D9" xr:uid="{F7EE7664-3FD9-4FBF-9F90-39F7212F4430}">
    <filterColumn colId="0" hiddenButton="1"/>
    <filterColumn colId="1" hiddenButton="1"/>
    <filterColumn colId="2" hiddenButton="1"/>
    <filterColumn colId="3" hiddenButton="1"/>
  </autoFilter>
  <tableColumns count="4">
    <tableColumn id="1" xr3:uid="{62541A28-4DD6-4A26-81A8-3447556FB5A3}" name="Candidate Name (Party)" totalsRowLabel="Total Votes by County" dataDxfId="303" totalsRowDxfId="302"/>
    <tableColumn id="2" xr3:uid="{7AA29483-13C7-4008-8A4B-581B65187238}" name="Part of New York County Vote Results" totalsRowFunction="custom" dataDxfId="301" totalsRowDxfId="300">
      <totalsRowFormula>SUM(StateSenatorSenateDistrict47General[Part of New York County Vote Results])</totalsRowFormula>
    </tableColumn>
    <tableColumn id="6" xr3:uid="{D7907E5C-E158-42D8-B487-9E08262D17E7}" name="Total Votes by Party" totalsRowFunction="custom" dataDxfId="299" totalsRowDxfId="298">
      <calculatedColumnFormula>SUM(B3)</calculatedColumnFormula>
      <totalsRowFormula>SUM(StateSenatorSenateDistrict47General[Total Votes by Party])</totalsRowFormula>
    </tableColumn>
    <tableColumn id="5" xr3:uid="{156F5B32-3C64-48D5-B5EA-6700AA5DF5EF}" name="Total Votes by Candidate" dataDxfId="297" totalsRowDxfId="296">
      <calculatedColumnFormula>SUM(StateSenatorSenateDistrict47General[[#This Row],[Total Votes by Party]],C5,C6)</calculatedColumnFormula>
    </tableColumn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AD4DAA1-EF8F-499E-AFD3-9861174CFB77}" name="StateSenatorSenateDistrict48General" displayName="StateSenatorSenateDistrict48General" ref="A2:E10" totalsRowCount="1" headerRowDxfId="295" dataDxfId="293" totalsRowDxfId="291" headerRowBorderDxfId="294" tableBorderDxfId="292" totalsRowBorderDxfId="290">
  <autoFilter ref="A2:E9" xr:uid="{6A6C6A5A-FFCC-4DC9-93DC-78D34A69563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744E97A-BD4E-4A46-82A5-9A6F1CD45F32}" name="Candidate Name (Party)" totalsRowLabel="Total Votes by County" dataDxfId="289" totalsRowDxfId="288"/>
    <tableColumn id="2" xr3:uid="{A36E8C7F-A651-4D9E-BF65-AEA0629A1D32}" name="Cayuga County Vote Results" totalsRowFunction="custom" dataDxfId="287" totalsRowDxfId="286">
      <totalsRowFormula>SUM(StateSenatorSenateDistrict48General[Cayuga County Vote Results])</totalsRowFormula>
    </tableColumn>
    <tableColumn id="3" xr3:uid="{0930CDB6-C15A-475B-981A-91896F829B8D}" name="Part of Onondaga County Vote Results" totalsRowFunction="custom" dataDxfId="285" totalsRowDxfId="284">
      <totalsRowFormula>SUM(StateSenatorSenateDistrict48General[Part of Onondaga County Vote Results])</totalsRowFormula>
    </tableColumn>
    <tableColumn id="6" xr3:uid="{BAE45BCD-AA4D-4818-B201-836838629A61}" name="Total Votes by Party" totalsRowFunction="custom" dataDxfId="283" totalsRowDxfId="282">
      <calculatedColumnFormula>SUM(StateSenatorSenateDistrict48General[[#This Row],[Cayuga County Vote Results]:[Part of Onondaga County Vote Results]])</calculatedColumnFormula>
      <totalsRowFormula>SUM(StateSenatorSenateDistrict48General[Total Votes by Party])</totalsRowFormula>
    </tableColumn>
    <tableColumn id="5" xr3:uid="{277AB71B-9DC9-4E1B-B05F-1387E81F2466}" name="Total Votes by Candidate" dataDxfId="281" totalsRowDxfId="280">
      <calculatedColumnFormula>SUM(D3)</calculatedColumnFormula>
    </tableColumn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FB588BE-F971-4D67-8766-174C1C14DBAE}" name="StateSenatorSenateDistrict49General" displayName="StateSenatorSenateDistrict49General" ref="A2:J8" totalsRowCount="1" headerRowDxfId="279" dataDxfId="277" totalsRowDxfId="275" headerRowBorderDxfId="278" tableBorderDxfId="276" totalsRowBorderDxfId="274">
  <autoFilter ref="A2:J7" xr:uid="{AAFD0050-A9FD-43DD-B611-087E1B9A4D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44BBA49-E916-4043-8042-EE32045FB1BF}" name="Candidate Name (Party)" totalsRowLabel="Total Votes by County" dataDxfId="273" totalsRowDxfId="272"/>
    <tableColumn id="2" xr3:uid="{95D49EB8-5E20-4307-8FC4-572E960337FF}" name="Fulton County Vote Results" totalsRowFunction="custom" dataDxfId="271" totalsRowDxfId="270">
      <totalsRowFormula>SUM(StateSenatorSenateDistrict49General[Fulton County Vote Results])</totalsRowFormula>
    </tableColumn>
    <tableColumn id="6" xr3:uid="{7F02A338-A4F0-4627-9389-D7AFCA2A8F3E}" name="Hamilton County Vote Results" totalsRowFunction="custom" dataDxfId="269" totalsRowDxfId="268">
      <totalsRowFormula>SUM(StateSenatorSenateDistrict49General[Hamilton County Vote Results])</totalsRowFormula>
    </tableColumn>
    <tableColumn id="7" xr3:uid="{9437DC98-70CC-4FFA-B5C0-3B15F8525EC0}" name="Part of Herkimer County Vote Results" totalsRowFunction="custom" dataDxfId="267" totalsRowDxfId="266">
      <totalsRowFormula>SUM(StateSenatorSenateDistrict49General[Part of Herkimer County Vote Results])</totalsRowFormula>
    </tableColumn>
    <tableColumn id="3" xr3:uid="{69399258-41B6-4771-B325-2F13D5F8F74E}" name="Jefferson County Vote Results" totalsRowFunction="custom" dataDxfId="265" totalsRowDxfId="264">
      <totalsRowFormula>SUM(StateSenatorSenateDistrict49General[Jefferson County Vote Results])</totalsRowFormula>
    </tableColumn>
    <tableColumn id="10" xr3:uid="{C3B995C9-764E-41DB-A232-5EE19FD7B7D6}" name="Lewis County_x000a_Vote Results" totalsRowFunction="custom" dataDxfId="263" totalsRowDxfId="262">
      <totalsRowFormula>SUM(StateSenatorSenateDistrict49General[Lewis County
Vote Results])</totalsRowFormula>
    </tableColumn>
    <tableColumn id="9" xr3:uid="{F435C204-C8D3-4844-BDBC-CCE297321897}" name="Part of Oswego County Vote Results" totalsRowFunction="custom" dataDxfId="261" totalsRowDxfId="260">
      <totalsRowFormula>SUM(StateSenatorSenateDistrict49General[Part of Oswego County Vote Results])</totalsRowFormula>
    </tableColumn>
    <tableColumn id="4" xr3:uid="{296CEAEB-9064-48CE-A883-DF29E29D99A4}" name="Part of St. Lawrence County Vote Results" totalsRowFunction="custom" dataDxfId="259" totalsRowDxfId="258">
      <totalsRowFormula>SUM(StateSenatorSenateDistrict49General[Part of St. Lawrence County Vote Results])</totalsRowFormula>
    </tableColumn>
    <tableColumn id="8" xr3:uid="{13F79527-0BDB-4BD3-84FE-E4F257BDD91D}" name="Total Votes by Party" totalsRowFunction="custom" dataDxfId="257" totalsRowDxfId="256">
      <calculatedColumnFormula>SUM(StateSenatorSenateDistrict49General[[#This Row],[Fulton County Vote Results]:[Part of St. Lawrence County Vote Results]])</calculatedColumnFormula>
      <totalsRowFormula>SUM(StateSenatorSenateDistrict49General[Total Votes by Party])</totalsRowFormula>
    </tableColumn>
    <tableColumn id="5" xr3:uid="{DD782F11-EAA2-4059-B2F9-A0800DCFA7C0}" name="Total Votes by Candidate" dataDxfId="255" totalsRowDxfId="254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EA894B7-027E-48CB-B128-14341EA46949}" name="StateSenatorSenateDistrict5General44" displayName="StateSenatorSenateDistrict5General44" ref="A2:D10" totalsRowCount="1" headerRowDxfId="946" dataDxfId="944" totalsRowDxfId="942" headerRowBorderDxfId="945" tableBorderDxfId="943" totalsRowBorderDxfId="941">
  <autoFilter ref="A2:D9" xr:uid="{EB34AB7F-1D7F-4375-A829-3AB182F9799A}">
    <filterColumn colId="0" hiddenButton="1"/>
    <filterColumn colId="1" hiddenButton="1"/>
    <filterColumn colId="2" hiddenButton="1"/>
    <filterColumn colId="3" hiddenButton="1"/>
  </autoFilter>
  <tableColumns count="4">
    <tableColumn id="1" xr3:uid="{FA3382F2-3A8A-4A6C-9804-7C24265C6ECC}" name="Candidate Name (Party)" totalsRowLabel="Total Votes by County" dataDxfId="940" totalsRowDxfId="939"/>
    <tableColumn id="4" xr3:uid="{A26B8FA2-C658-4FE0-A019-38821A27EB0A}" name="Part of Nassau County Vote Results" totalsRowFunction="custom" dataDxfId="938" totalsRowDxfId="937">
      <totalsRowFormula>SUM(StateSenatorSenateDistrict5General44[Part of Nassau County Vote Results])</totalsRowFormula>
    </tableColumn>
    <tableColumn id="3" xr3:uid="{5F0E59D5-C90E-4400-A087-DD8A6023F6E7}" name="Total Votes by Party" totalsRowFunction="custom" dataDxfId="936" totalsRowDxfId="935">
      <calculatedColumnFormula>StateSenatorSenateDistrict5General44[[#This Row],[Part of Nassau County Vote Results]]</calculatedColumnFormula>
      <totalsRowFormula>SUM(StateSenatorSenateDistrict5General44[Total Votes by Party])</totalsRowFormula>
    </tableColumn>
    <tableColumn id="5" xr3:uid="{04207B01-E9FA-4F9C-B285-DD3DCBC2AAF1}" name="Total Votes by Candidate" dataDxfId="934" totalsRowDxfId="933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711E3E6A-05D3-4641-8F79-396E9A4BE855}" name="StateSenatorSenateDistrict50General66" displayName="StateSenatorSenateDistrict50General66" ref="A2:E10" totalsRowCount="1" headerRowDxfId="253" dataDxfId="251" totalsRowDxfId="249" headerRowBorderDxfId="252" tableBorderDxfId="250" totalsRowBorderDxfId="248">
  <autoFilter ref="A2:E9" xr:uid="{711E3E6A-05D3-4641-8F79-396E9A4BE855}"/>
  <tableColumns count="5">
    <tableColumn id="1" xr3:uid="{D492F88C-259D-461B-8B20-ACE6FB6E898F}" name="Candidate Name (Party)" totalsRowLabel="Total Votes by County" dataDxfId="247" totalsRowDxfId="246"/>
    <tableColumn id="2" xr3:uid="{904045E3-4463-4E25-90F0-E112A9597A0D}" name="Part of Onondago County Vote Results" totalsRowFunction="custom" dataDxfId="245" totalsRowDxfId="244">
      <totalsRowFormula>SUM(StateSenatorSenateDistrict50General66[Part of Onondago County Vote Results])</totalsRowFormula>
    </tableColumn>
    <tableColumn id="4" xr3:uid="{62E4AD2A-B487-4910-9623-9D1A763662CF}" name="Part of Oswego County Vote Results" totalsRowFunction="custom" dataDxfId="243" totalsRowDxfId="242">
      <totalsRowFormula>SUM(StateSenatorSenateDistrict50General66[Part of Oswego County Vote Results])</totalsRowFormula>
    </tableColumn>
    <tableColumn id="3" xr3:uid="{51073400-C082-41B5-9E1D-5155F9AAA1A9}" name="Total Votes by Party" totalsRowFunction="custom" dataDxfId="241" totalsRowDxfId="240">
      <calculatedColumnFormula>SUM(StateSenatorSenateDistrict50General66[[#This Row],[Part of Onondago County Vote Results]:[Part of Oswego County Vote Results]])</calculatedColumnFormula>
      <totalsRowFormula>SUM(StateSenatorSenateDistrict50General66[Total Votes by Party])</totalsRowFormula>
    </tableColumn>
    <tableColumn id="5" xr3:uid="{95E88C9F-08C9-4C0D-9EE3-4465AAC14C1F}" name="Total Votes by Candidate" dataDxfId="239" totalsRowDxfId="238"/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536D553-C9FD-4750-9CBB-A9D657D891D4}" name="StateSenatorSenateDistrict51General" displayName="StateSenatorSenateDistrict51General" ref="A2:J9" totalsRowCount="1" headerRowDxfId="237" dataDxfId="235" totalsRowDxfId="233" headerRowBorderDxfId="236" tableBorderDxfId="234" totalsRowBorderDxfId="232">
  <autoFilter ref="A2:J8" xr:uid="{2231ECA1-A582-4522-8F58-66E619336A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2648CAA-8AE9-43F6-9790-EDA2FB039EB7}" name="Candidate Name (Party)" totalsRowLabel="Total Votes by County" dataDxfId="231" totalsRowDxfId="230"/>
    <tableColumn id="2" xr3:uid="{9B326E83-DB1E-4C10-8E19-3C494D0E44CA}" name="Part of Broome County Vote Results" totalsRowFunction="custom" dataDxfId="229" totalsRowDxfId="228">
      <totalsRowFormula>SUM(StateSenatorSenateDistrict51General[Part of Broome County Vote Results])</totalsRowFormula>
    </tableColumn>
    <tableColumn id="12" xr3:uid="{203C75EB-D1EE-48BC-994E-C8984567385F}" name="Part of Chenango County Vote Results" totalsRowFunction="custom" dataDxfId="227" totalsRowDxfId="226">
      <totalsRowFormula>SUM(StateSenatorSenateDistrict51General[Part of Chenango County Vote Results])</totalsRowFormula>
    </tableColumn>
    <tableColumn id="6" xr3:uid="{C00C07E0-B059-4AF2-9AAA-F90C01DD54FD}" name="Delaware County Vote Results" totalsRowFunction="custom" dataDxfId="225" totalsRowDxfId="224">
      <totalsRowFormula>SUM(StateSenatorSenateDistrict51General[Delaware County Vote Results])</totalsRowFormula>
    </tableColumn>
    <tableColumn id="11" xr3:uid="{11DAFBFE-6375-4B99-8737-B9D96B7C161C}" name="Otsego County Vote Results" totalsRowFunction="custom" dataDxfId="223" totalsRowDxfId="222">
      <totalsRowFormula>SUM(StateSenatorSenateDistrict51General[Otsego County Vote Results])</totalsRowFormula>
    </tableColumn>
    <tableColumn id="10" xr3:uid="{E3E892D4-92DC-4AAC-8409-5DDD45CFF1BD}" name="Schoharie County Vote Results" totalsRowFunction="custom" dataDxfId="221" totalsRowDxfId="220">
      <totalsRowFormula>SUM(StateSenatorSenateDistrict51General[Schoharie County Vote Results])</totalsRowFormula>
    </tableColumn>
    <tableColumn id="9" xr3:uid="{66B71BC3-D424-4616-B42D-78948F888BEF}" name="Sullivan County Vote Results" totalsRowFunction="custom" dataDxfId="219" totalsRowDxfId="218">
      <totalsRowFormula>SUM(StateSenatorSenateDistrict51General[Sullivan County Vote Results])</totalsRowFormula>
    </tableColumn>
    <tableColumn id="4" xr3:uid="{BFD55B3B-2998-4C56-B897-080EED636B15}" name="Part of Ulster County Vote Results" totalsRowFunction="custom" dataDxfId="217" totalsRowDxfId="216">
      <totalsRowFormula>SUM(StateSenatorSenateDistrict51General[Part of Ulster County Vote Results])</totalsRowFormula>
    </tableColumn>
    <tableColumn id="8" xr3:uid="{B590FE66-ECB2-4EEF-93A7-24EED30D4139}" name="Total Votes by Party" totalsRowFunction="custom" dataDxfId="215" totalsRowDxfId="214">
      <calculatedColumnFormula>SUM(StateSenatorSenateDistrict51General[[#This Row],[Part of Broome County Vote Results]:[Part of Ulster County Vote Results]])</calculatedColumnFormula>
      <totalsRowFormula>SUM(StateSenatorSenateDistrict51General[Total Votes by Party])</totalsRowFormula>
    </tableColumn>
    <tableColumn id="5" xr3:uid="{4850604D-CD90-4CE3-81D8-883CADFE0CF7}" name="Total Votes by Candidate" dataDxfId="213" totalsRowDxfId="212"/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8D5CB67-1E5C-4929-915A-9F9236BD8C88}" name="StateSenatorSenateDistrict52General" displayName="StateSenatorSenateDistrict52General" ref="A2:F10" totalsRowCount="1" headerRowDxfId="211" dataDxfId="209" totalsRowDxfId="207" headerRowBorderDxfId="210" tableBorderDxfId="208" totalsRowBorderDxfId="206">
  <autoFilter ref="A2:F9" xr:uid="{97BBF5E9-9936-42E5-9F11-ABDEE8F3C8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277E028-0E9C-4A93-9E68-149DF353FB32}" name="Candidate Name (Party)" totalsRowLabel="Total Votes by County" dataDxfId="205" totalsRowDxfId="204"/>
    <tableColumn id="2" xr3:uid="{51C986C5-9735-4962-84FD-700682085D89}" name="Part of Broome County Vote Results" totalsRowFunction="custom" dataDxfId="203" totalsRowDxfId="202">
      <totalsRowFormula>SUM(StateSenatorSenateDistrict52General[Part of Broome County Vote Results])</totalsRowFormula>
    </tableColumn>
    <tableColumn id="6" xr3:uid="{D3F6E5AC-3126-48A4-B3AE-A600280112FE}" name="Cortland County Vote Results" totalsRowFunction="custom" dataDxfId="201" totalsRowDxfId="200">
      <totalsRowFormula>SUM(StateSenatorSenateDistrict52General[Cortland County Vote Results])</totalsRowFormula>
    </tableColumn>
    <tableColumn id="4" xr3:uid="{BB58A3A3-3C74-4699-B319-E45CEFC24176}" name="Tompkins County Vote Results" totalsRowFunction="custom" dataDxfId="199" totalsRowDxfId="198">
      <totalsRowFormula>SUM(StateSenatorSenateDistrict52General[Tompkins County Vote Results])</totalsRowFormula>
    </tableColumn>
    <tableColumn id="7" xr3:uid="{D2B2FB9A-4EED-4D75-8A60-9899BEB97B9D}" name="Total Votes by Party" totalsRowFunction="custom" dataDxfId="197" totalsRowDxfId="196">
      <calculatedColumnFormula>SUM(StateSenatorSenateDistrict52General[[#This Row],[Part of Broome County Vote Results]:[Tompkins County Vote Results]])</calculatedColumnFormula>
      <totalsRowFormula>SUM(StateSenatorSenateDistrict52General[Total Votes by Party])</totalsRowFormula>
    </tableColumn>
    <tableColumn id="5" xr3:uid="{40100E80-6E1B-4B23-9EEB-77655D0A8005}" name="Total Votes by Candidate" dataDxfId="195" totalsRowDxfId="194"/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C632CC0-1B43-43CE-95D9-D8042971372B}" name="StateSenatorSenateDistrict53General" displayName="StateSenatorSenateDistrict53General" ref="A2:G8" totalsRowCount="1" headerRowDxfId="193" dataDxfId="191" totalsRowDxfId="189" headerRowBorderDxfId="192" tableBorderDxfId="190" totalsRowBorderDxfId="188">
  <autoFilter ref="A2:G7" xr:uid="{93AF2475-4333-4CF8-9AA7-E01BBA2EA2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621F967-792F-4D4F-8980-9952E4F0F7C7}" name="Candidate Name (Party)" totalsRowLabel="Total Votes by County" dataDxfId="187" totalsRowDxfId="186"/>
    <tableColumn id="2" xr3:uid="{C492E248-D267-4115-9786-7CE8AC64A5A3}" name="Part of Chenango County Vote Results" totalsRowFunction="custom" dataDxfId="185" totalsRowDxfId="184">
      <totalsRowFormula>SUM(StateSenatorSenateDistrict53General[Part of Chenango County Vote Results])</totalsRowFormula>
    </tableColumn>
    <tableColumn id="3" xr3:uid="{C90DF988-DE6C-431E-9D16-918CB6821AEB}" name="Part of Herkimer County Vote Results" totalsRowFunction="custom" dataDxfId="183" totalsRowDxfId="182">
      <totalsRowFormula>SUM(StateSenatorSenateDistrict53General[Part of Herkimer County Vote Results])</totalsRowFormula>
    </tableColumn>
    <tableColumn id="7" xr3:uid="{0D69672B-5EF3-4F1D-9F16-C107577114A1}" name="Madison County Vote Results" totalsRowFunction="custom" dataDxfId="181" totalsRowDxfId="180">
      <totalsRowFormula>SUM(StateSenatorSenateDistrict53General[Madison County Vote Results])</totalsRowFormula>
    </tableColumn>
    <tableColumn id="4" xr3:uid="{89C8D545-F594-451A-85EF-8EDC7E0112BF}" name="Part of Oneida County Vote Results" totalsRowFunction="custom" dataDxfId="179" totalsRowDxfId="178">
      <totalsRowFormula>SUM(StateSenatorSenateDistrict53General[Part of Oneida County Vote Results])</totalsRowFormula>
    </tableColumn>
    <tableColumn id="6" xr3:uid="{974D0863-B263-4A7E-9F67-8E88BF15E12E}" name="Total Votes by Party" totalsRowFunction="custom" dataDxfId="177" totalsRowDxfId="176">
      <calculatedColumnFormula>SUM(StateSenatorSenateDistrict53General[[#This Row],[Part of Chenango County Vote Results]:[Part of Oneida County Vote Results]])</calculatedColumnFormula>
      <totalsRowFormula>SUM(StateSenatorSenateDistrict53General[Total Votes by Party])</totalsRowFormula>
    </tableColumn>
    <tableColumn id="5" xr3:uid="{2604A564-62D0-4B63-BEE9-92C3479A87AD}" name="Total Votes by Candidate" dataDxfId="175" totalsRowDxfId="174">
      <calculatedColumnFormula>SUM(F3,F4)</calculatedColumnFormula>
    </tableColumn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F099059-5AC4-4A7D-BE0D-D287A682A7D3}" name="StateSenatorSenateDistrict54General" displayName="StateSenatorSenateDistrict54General" ref="A2:G9" totalsRowCount="1" headerRowDxfId="173" dataDxfId="171" totalsRowDxfId="169" headerRowBorderDxfId="172" tableBorderDxfId="170" totalsRowBorderDxfId="168">
  <autoFilter ref="A2:G8" xr:uid="{66B88628-165F-4A8E-98A1-75A20C4253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0D9E02F-ED10-4B47-8AAD-9EF5FF55906C}" name="Candidate Name (Party)" totalsRowLabel="Total Votes by County" dataDxfId="167" totalsRowDxfId="166"/>
    <tableColumn id="2" xr3:uid="{8C03D6D2-2AF6-4CA9-9018-1F176D478182}" name="Livingston County Vote Results" totalsRowFunction="custom" dataDxfId="165" totalsRowDxfId="164">
      <totalsRowFormula>SUM(StateSenatorSenateDistrict54General[Livingston County Vote Results])</totalsRowFormula>
    </tableColumn>
    <tableColumn id="3" xr3:uid="{6FE869CE-0216-48B4-BA74-50A06B880CDC}" name="Part of Monroe County Vote Results" totalsRowFunction="custom" dataDxfId="163" totalsRowDxfId="162">
      <totalsRowFormula>SUM(StateSenatorSenateDistrict54General[Part of Monroe County Vote Results])</totalsRowFormula>
    </tableColumn>
    <tableColumn id="6" xr3:uid="{419CBE4E-CC0D-4EC2-BC49-4DD65B2798E2}" name="Ontario County Vote Results" totalsRowFunction="custom" dataDxfId="161" totalsRowDxfId="160">
      <totalsRowFormula>SUM(StateSenatorSenateDistrict54General[Ontario County Vote Results])</totalsRowFormula>
    </tableColumn>
    <tableColumn id="4" xr3:uid="{4791DA94-73E8-455B-B539-9D57E94877B3}" name="Wayne County Vote Results" totalsRowFunction="custom" dataDxfId="159" totalsRowDxfId="158">
      <totalsRowFormula>SUM(StateSenatorSenateDistrict54General[Wayne County Vote Results])</totalsRowFormula>
    </tableColumn>
    <tableColumn id="7" xr3:uid="{C1620DCD-4688-4A4E-940A-F376CBEEF999}" name="Total Votes by Party" totalsRowFunction="custom" dataDxfId="157" totalsRowDxfId="156">
      <calculatedColumnFormula>SUM(StateSenatorSenateDistrict54General[[#This Row],[Livingston County Vote Results]:[Wayne County Vote Results]])</calculatedColumnFormula>
      <totalsRowFormula>SUM(StateSenatorSenateDistrict54General[Total Votes by Party])</totalsRowFormula>
    </tableColumn>
    <tableColumn id="5" xr3:uid="{52F3F2DF-A5B6-4A82-97A2-DB16CD74A779}" name="Total Votes by Candidate" dataDxfId="155" totalsRowDxfId="154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BD26011-790C-4426-87E9-9FCDFBFAC2C3}" name="StateSenatorSenateDistrict55General" displayName="StateSenatorSenateDistrict55General" ref="A2:D11" totalsRowCount="1" headerRowDxfId="153" dataDxfId="151" totalsRowDxfId="149" headerRowBorderDxfId="152" tableBorderDxfId="150" totalsRowBorderDxfId="148">
  <autoFilter ref="A2:D10" xr:uid="{B2AE2A49-3BE3-4155-95DB-5C66CB3250CA}">
    <filterColumn colId="0" hiddenButton="1"/>
    <filterColumn colId="1" hiddenButton="1"/>
    <filterColumn colId="2" hiddenButton="1"/>
    <filterColumn colId="3" hiddenButton="1"/>
  </autoFilter>
  <tableColumns count="4">
    <tableColumn id="1" xr3:uid="{924DEEC0-ECA2-497C-A64D-AB66686D080A}" name="Candidate Name (Party)" totalsRowLabel="Total Votes by County" dataDxfId="147" totalsRowDxfId="146"/>
    <tableColumn id="2" xr3:uid="{D61BA1EB-4BA6-40D1-94FB-02596535C3D5}" name="Part of Monroe County Vote Results" totalsRowFunction="custom" dataDxfId="145" totalsRowDxfId="144">
      <totalsRowFormula>SUM(StateSenatorSenateDistrict55General[Part of Monroe County Vote Results])</totalsRowFormula>
    </tableColumn>
    <tableColumn id="3" xr3:uid="{D88C0F4E-B32B-469C-9183-DF06EE21F4C1}" name="Total Votes by Party" totalsRowFunction="custom" dataDxfId="143" totalsRowDxfId="142">
      <calculatedColumnFormula>StateSenatorSenateDistrict55General[[#This Row],[Part of Monroe County Vote Results]]</calculatedColumnFormula>
      <totalsRowFormula>SUM(StateSenatorSenateDistrict55General[Total Votes by Party])</totalsRowFormula>
    </tableColumn>
    <tableColumn id="5" xr3:uid="{48F5170B-1B72-43BE-957A-9E6A6E51C02B}" name="Total Votes by Candidate" dataDxfId="141" totalsRowDxfId="140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5E96B1A-88B4-4930-9345-D3BE51FAFAAF}" name="StateSenatorSenateDistrict56General" displayName="StateSenatorSenateDistrict56General" ref="A2:D11" totalsRowCount="1" headerRowDxfId="139" dataDxfId="137" totalsRowDxfId="135" headerRowBorderDxfId="138" tableBorderDxfId="136" totalsRowBorderDxfId="134">
  <autoFilter ref="A2:D10" xr:uid="{67E25BD0-DCBD-4710-9F1E-1A66ED19EEA6}">
    <filterColumn colId="0" hiddenButton="1"/>
    <filterColumn colId="1" hiddenButton="1"/>
    <filterColumn colId="2" hiddenButton="1"/>
    <filterColumn colId="3" hiddenButton="1"/>
  </autoFilter>
  <tableColumns count="4">
    <tableColumn id="1" xr3:uid="{69C6176E-B797-4B30-8BBA-F6428D439693}" name="Candidate Name (Party)" totalsRowLabel="Total Votes by County" dataDxfId="133" totalsRowDxfId="132"/>
    <tableColumn id="4" xr3:uid="{D14B2B26-078C-411C-B4AF-B84DAE367389}" name="Part of Monroe County Vote Results" totalsRowFunction="custom" dataDxfId="131" totalsRowDxfId="130">
      <totalsRowFormula>SUM(StateSenatorSenateDistrict56General[Part of Monroe County Vote Results])</totalsRowFormula>
    </tableColumn>
    <tableColumn id="3" xr3:uid="{E19A5967-F85C-4BC1-BD03-B57241EF1D49}" name="Total Votes by Party" totalsRowFunction="custom" dataDxfId="129" totalsRowDxfId="128">
      <calculatedColumnFormula>StateSenatorSenateDistrict56General[[#This Row],[Part of Monroe County Vote Results]]</calculatedColumnFormula>
      <totalsRowFormula>SUM(StateSenatorSenateDistrict56General[Total Votes by Party])</totalsRowFormula>
    </tableColumn>
    <tableColumn id="2" xr3:uid="{259CDBBD-1824-4170-ACE1-FBB88183A8BD}" name="Total Votes by Candidate" dataDxfId="127" totalsRowDxfId="126"/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35D6AA4-D95C-45C3-940F-564243D5C220}" name="StateSenatorSenateDistrict57General" displayName="StateSenatorSenateDistrict57General" ref="A2:H9" totalsRowCount="1" headerRowDxfId="125" dataDxfId="123" totalsRowDxfId="121" headerRowBorderDxfId="124" tableBorderDxfId="122" totalsRowBorderDxfId="120">
  <autoFilter ref="A2:H8" xr:uid="{32882166-3D13-45FC-9A3B-3C8BE0B4C5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513E72F-1CAD-4F13-9017-1CF90AB0D62A}" name="Candidate Name (Party)" totalsRowLabel="Total Votes by County" dataDxfId="119" totalsRowDxfId="118"/>
    <tableColumn id="2" xr3:uid="{21862EED-F313-4CBB-9C3A-AC038F6E081F}" name="Part of Allegany County Vote Results" totalsRowFunction="custom" dataDxfId="117" totalsRowDxfId="116">
      <totalsRowFormula>SUM(StateSenatorSenateDistrict57General[Part of Allegany County Vote Results])</totalsRowFormula>
    </tableColumn>
    <tableColumn id="6" xr3:uid="{47846C02-ACA8-4C96-8927-29D71AE4EDA0}" name="Cattaraugus County Vote Results" totalsRowFunction="custom" dataDxfId="115" totalsRowDxfId="114">
      <totalsRowFormula>SUM(StateSenatorSenateDistrict57General[Cattaraugus County Vote Results])</totalsRowFormula>
    </tableColumn>
    <tableColumn id="10" xr3:uid="{3833DC9C-C5A6-4EF5-B52B-D286CB95B71A}" name=" Chautauqua County Vote Results" totalsRowFunction="custom" dataDxfId="113" totalsRowDxfId="112">
      <totalsRowFormula>SUM(StateSenatorSenateDistrict57General[[ Chautauqua County Vote Results]])</totalsRowFormula>
    </tableColumn>
    <tableColumn id="7" xr3:uid="{0D539D64-73AC-40A2-85D5-4CF83C7C318B}" name="Genesee County Vote Results" totalsRowFunction="custom" dataDxfId="111" totalsRowDxfId="110">
      <totalsRowFormula>SUM(StateSenatorSenateDistrict57General[Genesee County Vote Results])</totalsRowFormula>
    </tableColumn>
    <tableColumn id="4" xr3:uid="{795B7F67-A44E-4E13-BF20-FC08D4E7715A}" name="Wyoming County Vote Results" totalsRowFunction="custom" dataDxfId="109" totalsRowDxfId="108">
      <totalsRowFormula>SUM(StateSenatorSenateDistrict57General[Wyoming County Vote Results])</totalsRowFormula>
    </tableColumn>
    <tableColumn id="3" xr3:uid="{03AEB0B5-92A7-4AC7-A52E-92B71217C149}" name="Total Votes by Party" totalsRowFunction="custom" dataDxfId="107" totalsRowDxfId="106">
      <calculatedColumnFormula>SUM(StateSenatorSenateDistrict57General[[#This Row],[Part of Allegany County Vote Results]:[Wyoming County Vote Results]])</calculatedColumnFormula>
      <totalsRowFormula>SUM(StateSenatorSenateDistrict57General[Total Votes by Party])</totalsRowFormula>
    </tableColumn>
    <tableColumn id="5" xr3:uid="{ACD29AFA-58F0-46F2-BE42-6358EE037447}" name="Total Votes by Candidate" dataDxfId="105" totalsRowDxfId="104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92896DD-7382-4075-989E-7DEF53AC83F8}" name="StateSenatorSenateDistrict58General" displayName="StateSenatorSenateDistrict58General" ref="A2:J8" totalsRowCount="1" headerRowDxfId="103" dataDxfId="101" totalsRowDxfId="99" headerRowBorderDxfId="102" tableBorderDxfId="100" totalsRowBorderDxfId="98">
  <autoFilter ref="A2:J7" xr:uid="{0F2EF0C2-407C-425B-B319-2DE1E78852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896E7530-1138-4A4C-BA21-F5B3BF90EC75}" name="Candidate Name (Party)" totalsRowLabel="Total Votes by County" dataDxfId="97" totalsRowDxfId="96"/>
    <tableColumn id="2" xr3:uid="{CC3626E7-84C5-41B2-9F26-06AF8FD32A32}" name="Part of Allegany County Vote Results" totalsRowFunction="custom" dataDxfId="95" totalsRowDxfId="94">
      <totalsRowFormula>SUM(StateSenatorSenateDistrict58General[Part of Allegany County Vote Results])</totalsRowFormula>
    </tableColumn>
    <tableColumn id="6" xr3:uid="{2C4F07DC-1A70-4209-B21B-990484D6D4F4}" name="Chemung County Vote Results" totalsRowFunction="custom" dataDxfId="93" totalsRowDxfId="92">
      <totalsRowFormula>SUM(StateSenatorSenateDistrict58General[Chemung County Vote Results])</totalsRowFormula>
    </tableColumn>
    <tableColumn id="10" xr3:uid="{5A5F0BC8-C422-4755-B78B-5335EAF24B22}" name="Schuyler County Vote Results" totalsRowFunction="custom" dataDxfId="91" totalsRowDxfId="90">
      <totalsRowFormula>SUM(StateSenatorSenateDistrict58General[Schuyler County Vote Results])</totalsRowFormula>
    </tableColumn>
    <tableColumn id="9" xr3:uid="{AE3E6326-8899-41BD-88B8-387A1EBC4278}" name="Seneca County Vote Results" totalsRowFunction="custom" dataDxfId="89" totalsRowDxfId="88">
      <totalsRowFormula>SUM(StateSenatorSenateDistrict58General[Seneca County Vote Results])</totalsRowFormula>
    </tableColumn>
    <tableColumn id="8" xr3:uid="{E5614BF1-70E9-4264-8A0B-2BDACBB4B23B}" name="Steuben County Vote Results" totalsRowFunction="custom" dataDxfId="87" totalsRowDxfId="86">
      <totalsRowFormula>SUM(StateSenatorSenateDistrict58General[Steuben County Vote Results])</totalsRowFormula>
    </tableColumn>
    <tableColumn id="3" xr3:uid="{D8D4CD71-ABB5-4729-8D32-307747C948D7}" name="Tioga County Vote Results" totalsRowFunction="custom" dataDxfId="85" totalsRowDxfId="84">
      <totalsRowFormula>SUM(StateSenatorSenateDistrict58General[Tioga County Vote Results])</totalsRowFormula>
    </tableColumn>
    <tableColumn id="4" xr3:uid="{6908A01A-30E5-4114-874B-361652AE2E3C}" name="Yates County Vote Results" totalsRowFunction="custom" dataDxfId="83" totalsRowDxfId="82">
      <totalsRowFormula>SUM(StateSenatorSenateDistrict58General[Yates County Vote Results])</totalsRowFormula>
    </tableColumn>
    <tableColumn id="7" xr3:uid="{521B7142-0FE4-42E0-9398-2BAC015623DB}" name="Total Votes by Party" totalsRowFunction="custom" dataDxfId="81" totalsRowDxfId="80">
      <calculatedColumnFormula>SUM(StateSenatorSenateDistrict58General[[#This Row],[Part of Allegany County Vote Results]:[Yates County Vote Results]])</calculatedColumnFormula>
      <totalsRowFormula>SUM(StateSenatorSenateDistrict58General[Total Votes by Party])</totalsRowFormula>
    </tableColumn>
    <tableColumn id="5" xr3:uid="{6F623C62-CDB1-4F97-AFEB-45A112EFBB7A}" name="Total Votes by Candidate" dataDxfId="79" totalsRowDxfId="78"/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AB4351D-69BD-40C8-AEED-E21760AA0287}" name="StateSenatorSenateDistrict59General" displayName="StateSenatorSenateDistrict59General" ref="A2:F8" totalsRowCount="1" headerRowDxfId="77" dataDxfId="75" totalsRowDxfId="73" headerRowBorderDxfId="76" tableBorderDxfId="74" totalsRowBorderDxfId="72">
  <autoFilter ref="A2:F7" xr:uid="{5A837237-3F93-4C1E-BC67-ACAD0D1021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D563676-8E72-4DD4-BCDF-8691E239DFA6}" name="Candidate Name (Party)" totalsRowLabel="Total Votes by County" dataDxfId="71" totalsRowDxfId="70"/>
    <tableColumn id="2" xr3:uid="{E8A9D0C8-D843-41B3-B675-525C80FE69CF}" name="Part of Kings County Vote Results" totalsRowFunction="custom" dataDxfId="69" totalsRowDxfId="68">
      <totalsRowFormula>SUM(StateSenatorSenateDistrict59General[Part of Kings County Vote Results])</totalsRowFormula>
    </tableColumn>
    <tableColumn id="6" xr3:uid="{8F0A107A-8C67-43E5-B34F-2BDB859D94D3}" name="Part of New York County Vote Results" totalsRowFunction="custom" dataDxfId="67" totalsRowDxfId="66">
      <totalsRowFormula>SUM(StateSenatorSenateDistrict59General[Part of New York County Vote Results])</totalsRowFormula>
    </tableColumn>
    <tableColumn id="4" xr3:uid="{7AB59877-DC12-4097-8732-97F00ADFDEFF}" name="Part of Queens County Vote Results" totalsRowFunction="custom" dataDxfId="65" totalsRowDxfId="64">
      <totalsRowFormula>SUM(StateSenatorSenateDistrict59General[Part of Queens County Vote Results])</totalsRowFormula>
    </tableColumn>
    <tableColumn id="3" xr3:uid="{159EEBEE-BC0D-4D0F-A359-C076CD9DD3BC}" name="Total Votes by Party" totalsRowFunction="custom" dataDxfId="63" totalsRowDxfId="62">
      <calculatedColumnFormula>SUM(StateSenatorSenateDistrict59General[[#This Row],[Part of Kings County Vote Results]:[Part of Queens County Vote Results]])</calculatedColumnFormula>
      <totalsRowFormula>SUM(StateSenatorSenateDistrict59General[Total Votes by Party])</totalsRowFormula>
    </tableColumn>
    <tableColumn id="5" xr3:uid="{6E4DB5A0-D3FD-43E6-B6DC-364B66AD1A47}" name="Total Votes by Candidate" dataDxfId="61" totalsRowDxfId="60">
      <calculatedColumnFormula>SUM(E3,E4)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B40E96F-3A3F-4FCA-B545-66B24EC57FB6}" name="StateSenatorSenateDistrict6General45" displayName="StateSenatorSenateDistrict6General45" ref="A2:D10" totalsRowCount="1" headerRowDxfId="932" dataDxfId="930" totalsRowDxfId="928" headerRowBorderDxfId="931" tableBorderDxfId="929" totalsRowBorderDxfId="927">
  <autoFilter ref="A2:D9" xr:uid="{0E535243-4216-4E18-AC3D-5955FEAC22E7}">
    <filterColumn colId="0" hiddenButton="1"/>
    <filterColumn colId="1" hiddenButton="1"/>
    <filterColumn colId="2" hiddenButton="1"/>
    <filterColumn colId="3" hiddenButton="1"/>
  </autoFilter>
  <tableColumns count="4">
    <tableColumn id="1" xr3:uid="{C28AE0A0-F1EC-46D6-8B71-9882AD4EDD04}" name="Candidate Name (Party)" totalsRowLabel="Total Votes by County" dataDxfId="926" totalsRowDxfId="925"/>
    <tableColumn id="4" xr3:uid="{08908D80-3A3E-49EA-A608-D3EF4345F4CE}" name="Part of Nassau County Vote Results" totalsRowFunction="custom" dataDxfId="924" totalsRowDxfId="923">
      <totalsRowFormula>SUM(StateSenatorSenateDistrict6General45[Part of Nassau County Vote Results])</totalsRowFormula>
    </tableColumn>
    <tableColumn id="3" xr3:uid="{64FFFE41-4D6F-4B8A-9F40-0FED20793887}" name="Total Votes by Party" totalsRowFunction="custom" dataDxfId="922" totalsRowDxfId="921">
      <calculatedColumnFormula>StateSenatorSenateDistrict6General45[[#This Row],[Part of Nassau County Vote Results]]</calculatedColumnFormula>
      <totalsRowFormula>SUM(StateSenatorSenateDistrict6General45[Total Votes by Party])</totalsRowFormula>
    </tableColumn>
    <tableColumn id="2" xr3:uid="{1697BE14-1FE7-4B16-A9E5-79D46C432982}" name="Total Votes by Candidate" dataDxfId="920" totalsRowDxfId="919"/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BA44E34-27F0-4546-A626-077E83CE4874}" name="StateSenatorSenateDistrict60General" displayName="StateSenatorSenateDistrict60General" ref="A2:D8" totalsRowCount="1" headerRowDxfId="59" dataDxfId="57" totalsRowDxfId="55" headerRowBorderDxfId="58" tableBorderDxfId="56" totalsRowBorderDxfId="54">
  <autoFilter ref="A2:D7" xr:uid="{8C82612D-DA72-406A-8B98-AE42A15CF515}">
    <filterColumn colId="0" hiddenButton="1"/>
    <filterColumn colId="1" hiddenButton="1"/>
    <filterColumn colId="2" hiddenButton="1"/>
    <filterColumn colId="3" hiddenButton="1"/>
  </autoFilter>
  <tableColumns count="4">
    <tableColumn id="1" xr3:uid="{3ADC0AFF-7462-468C-B559-653A0225FC44}" name="Candidate Name (Party)" totalsRowLabel="Total Votes by County" dataDxfId="53" totalsRowDxfId="52"/>
    <tableColumn id="4" xr3:uid="{2B5F0E59-C5C3-456E-98F8-700E13EF5845}" name="Part of Erie County Vote Results" totalsRowFunction="custom" dataDxfId="51" totalsRowDxfId="50">
      <totalsRowFormula>SUM(StateSenatorSenateDistrict60General[Part of Erie County Vote Results])</totalsRowFormula>
    </tableColumn>
    <tableColumn id="3" xr3:uid="{08125405-3809-4D82-B338-3B521D58B602}" name="Total Votes by Party" totalsRowFunction="custom" dataDxfId="49" totalsRowDxfId="48">
      <calculatedColumnFormula>StateSenatorSenateDistrict60General[[#This Row],[Part of Erie County Vote Results]]</calculatedColumnFormula>
      <totalsRowFormula>SUM(StateSenatorSenateDistrict60General[Total Votes by Party])</totalsRowFormula>
    </tableColumn>
    <tableColumn id="2" xr3:uid="{A5378744-701E-44A1-9184-F8D2321455E4}" name="Total Votes by Candidate" dataDxfId="47" totalsRowDxfId="46">
      <calculatedColumnFormula>SUM(C3,C4)</calculatedColumnFormula>
    </tableColumn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6380DCC-E0EF-4538-B310-BC33EE1CF51A}" name="StateSenatorSenateDistrict61General" displayName="StateSenatorSenateDistrict61General" ref="A2:D10" totalsRowCount="1" headerRowDxfId="45" dataDxfId="43" totalsRowDxfId="41" headerRowBorderDxfId="44" tableBorderDxfId="42" totalsRowBorderDxfId="40">
  <autoFilter ref="A2:D9" xr:uid="{6B00269E-69EC-4DA7-9D15-C087191207D6}">
    <filterColumn colId="0" hiddenButton="1"/>
    <filterColumn colId="1" hiddenButton="1"/>
    <filterColumn colId="2" hiddenButton="1"/>
    <filterColumn colId="3" hiddenButton="1"/>
  </autoFilter>
  <tableColumns count="4">
    <tableColumn id="1" xr3:uid="{20930882-F2D6-43F8-BA1C-C5E0AD1B3F01}" name="Candidate Name (Party)" totalsRowLabel="Total Votes by County" dataDxfId="39" totalsRowDxfId="38"/>
    <tableColumn id="3" xr3:uid="{D9A483EB-ED8A-4841-8DEC-38E23225B4B9}" name="Part of Erie County Vote Results" totalsRowFunction="custom" dataDxfId="37" totalsRowDxfId="36">
      <totalsRowFormula>SUM(StateSenatorSenateDistrict61General[Part of Erie County Vote Results])</totalsRowFormula>
    </tableColumn>
    <tableColumn id="6" xr3:uid="{A7127AA0-589F-48D1-B9DE-CB2E1E0CDA70}" name="Total Votes by Party" totalsRowFunction="custom" dataDxfId="35" totalsRowDxfId="34">
      <calculatedColumnFormula>StateSenatorSenateDistrict61General[[#This Row],[Part of Erie County Vote Results]]</calculatedColumnFormula>
      <totalsRowFormula>SUM(StateSenatorSenateDistrict61General[Total Votes by Party])</totalsRowFormula>
    </tableColumn>
    <tableColumn id="5" xr3:uid="{F826F438-92A0-428F-AC24-8ED1B5040F78}" name="Total Votes by Candidate" dataDxfId="33" totalsRowDxfId="32"/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4F96B7E-A562-40F9-AF57-793C8108B656}" name="StateSenatorSenateDistrict62General" displayName="StateSenatorSenateDistrict62General" ref="A2:F8" totalsRowCount="1" headerRowDxfId="31" dataDxfId="29" totalsRowDxfId="27" headerRowBorderDxfId="30" tableBorderDxfId="28" totalsRowBorderDxfId="26">
  <autoFilter ref="A2:F7" xr:uid="{625A54BC-7619-41F1-B12B-E5CECB8E46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8744D90-4A84-4C37-8AD5-8A1BA3C55C21}" name="Candidate Name (Party)" totalsRowLabel="Total Votes by County" dataDxfId="25" totalsRowDxfId="24"/>
    <tableColumn id="2" xr3:uid="{17C3EED4-22C9-452C-9A3F-CFF00D33B50D}" name="Part of Monroe County Vote Results" totalsRowFunction="custom" dataDxfId="23" totalsRowDxfId="22">
      <totalsRowFormula>SUM(StateSenatorSenateDistrict62General[Part of Monroe County Vote Results])</totalsRowFormula>
    </tableColumn>
    <tableColumn id="3" xr3:uid="{5048E2F2-B508-4641-BFAB-AB824ECC6EE0}" name="Niagara County Vote Results" totalsRowFunction="custom" dataDxfId="21" totalsRowDxfId="20">
      <totalsRowFormula>SUM(StateSenatorSenateDistrict62General[Niagara County Vote Results])</totalsRowFormula>
    </tableColumn>
    <tableColumn id="4" xr3:uid="{0CCF227D-FC7C-4B63-997B-FB2007D08BAB}" name="Orleans County Vote Results" totalsRowFunction="custom" dataDxfId="19" totalsRowDxfId="18">
      <totalsRowFormula>SUM(StateSenatorSenateDistrict62General[Orleans County Vote Results])</totalsRowFormula>
    </tableColumn>
    <tableColumn id="6" xr3:uid="{CC2361C0-86FB-4E90-B5D2-220D4600F934}" name="Total Votes by Party" totalsRowFunction="custom" dataDxfId="17" totalsRowDxfId="16">
      <calculatedColumnFormula>SUM(StateSenatorSenateDistrict62General[[#This Row],[Part of Monroe County Vote Results]:[Orleans County Vote Results]])</calculatedColumnFormula>
      <totalsRowFormula>SUM(StateSenatorSenateDistrict62General[Total Votes by Party])</totalsRowFormula>
    </tableColumn>
    <tableColumn id="5" xr3:uid="{5E3CD73A-E0DF-4C5A-83AE-EDE417FABD03}" name="Total Votes by Candidate" dataDxfId="15" totalsRowDxfId="14">
      <calculatedColumnFormula>SUM(E3,E4)</calculatedColumnFormula>
    </tableColumn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86F714FE-D3E3-4D20-95EE-081C0385B912}" name="StateSenatorSenateDistrict63General" displayName="StateSenatorSenateDistrict63General" ref="A2:D9" totalsRowCount="1" headerRowDxfId="13" dataDxfId="11" totalsRowDxfId="9" headerRowBorderDxfId="12" tableBorderDxfId="10" totalsRowBorderDxfId="8">
  <autoFilter ref="A2:D8" xr:uid="{F0C7570A-FCF2-4D7A-9847-44E748CDEC87}">
    <filterColumn colId="0" hiddenButton="1"/>
    <filterColumn colId="1" hiddenButton="1"/>
    <filterColumn colId="2" hiddenButton="1"/>
    <filterColumn colId="3" hiddenButton="1"/>
  </autoFilter>
  <tableColumns count="4">
    <tableColumn id="1" xr3:uid="{45D34531-8A3E-4ED3-980C-74B67A823570}" name="Candidate Name (Party)" totalsRowLabel="Total Votes by County" dataDxfId="7" totalsRowDxfId="6"/>
    <tableColumn id="4" xr3:uid="{FF9EE2C1-D64B-463E-8481-A4E000AF27B1}" name="Part of Erie County Vote Results" totalsRowFunction="custom" dataDxfId="5" totalsRowDxfId="4">
      <totalsRowFormula>SUM(StateSenatorSenateDistrict63General[Part of Erie County Vote Results])</totalsRowFormula>
    </tableColumn>
    <tableColumn id="3" xr3:uid="{CD252345-FAD5-412B-AABE-D09E96C1704D}" name="Total Votes by Party" totalsRowFunction="custom" dataDxfId="3" totalsRowDxfId="2">
      <calculatedColumnFormula>StateSenatorSenateDistrict63General[[#This Row],[Part of Erie County Vote Results]]</calculatedColumnFormula>
      <totalsRowFormula>SUM(StateSenatorSenateDistrict63General[Total Votes by Party])</totalsRowFormula>
    </tableColumn>
    <tableColumn id="2" xr3:uid="{C79A2BBD-8E86-4F8C-AF8F-25395F2C75F1}" name="Total Votes by Candidate" dataDxfId="1" totalsRowDxfId="0">
      <calculatedColumnFormula>SUM(C3,C4,C5)</calculatedColumnFormula>
    </tableColumn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102B303-6F55-4E2F-8C8C-F260B9DBFF25}" name="StateSenatorSenateDistrict7General46" displayName="StateSenatorSenateDistrict7General46" ref="A2:D10" totalsRowCount="1" headerRowDxfId="918" dataDxfId="916" totalsRowDxfId="914" headerRowBorderDxfId="917" tableBorderDxfId="915" totalsRowBorderDxfId="913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4ADFC5B1-0595-428A-98D4-5F11DCFB748A}" name="Candidate Name (Party)" totalsRowLabel="Total Votes by County" dataDxfId="912" totalsRowDxfId="911"/>
    <tableColumn id="4" xr3:uid="{C4BC0DC4-BF91-498F-9858-11DB087B8BC2}" name="Part of Nassau County Vote Results" totalsRowFunction="custom" dataDxfId="910" totalsRowDxfId="909">
      <totalsRowFormula>SUM(StateSenatorSenateDistrict7General46[Part of Nassau County Vote Results])</totalsRowFormula>
    </tableColumn>
    <tableColumn id="3" xr3:uid="{EB90F89A-9104-4F26-A1DC-CB5C5E825AE4}" name="Total Votes by Party" totalsRowFunction="custom" dataDxfId="908" totalsRowDxfId="907">
      <calculatedColumnFormula>StateSenatorSenateDistrict7General46[[#This Row],[Part of Nassau County Vote Results]]</calculatedColumnFormula>
      <totalsRowFormula>SUM(StateSenatorSenateDistrict7General46[Total Votes by Party])</totalsRowFormula>
    </tableColumn>
    <tableColumn id="2" xr3:uid="{D31F16CE-A4FF-45C5-A8B1-7A2F504A488D}" name="Total Votes by Candidate" dataDxfId="906" totalsRowDxfId="905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8D2962C-704A-49C3-AE30-D1C4D7EF9B07}" name="StateSenatorSenateDistrict8General" displayName="StateSenatorSenateDistrict8General" ref="A2:E9" totalsRowCount="1" headerRowDxfId="904" dataDxfId="902" totalsRowDxfId="900" headerRowBorderDxfId="903" tableBorderDxfId="901" totalsRowBorderDxfId="899">
  <autoFilter ref="A2:E8" xr:uid="{1637A7CF-1158-471A-A38D-CD274C172F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AB9A5F-239D-4838-9DA2-AB0EC9935B62}" name="Candidate Name (Party)" totalsRowLabel="Total Votes by County" dataDxfId="898" totalsRowDxfId="897"/>
    <tableColumn id="2" xr3:uid="{93552FF3-96B2-4F97-8195-AFF672E889EF}" name="Part of Nassau County Vote Results" totalsRowFunction="custom" dataDxfId="896" totalsRowDxfId="895">
      <totalsRowFormula>SUM(StateSenatorSenateDistrict8General[Part of Nassau County Vote Results])</totalsRowFormula>
    </tableColumn>
    <tableColumn id="4" xr3:uid="{BD4421D9-9260-456A-9F2D-6F8A9CE09440}" name="Part of Suffolk County Vote Results" totalsRowFunction="custom" dataDxfId="894" totalsRowDxfId="893">
      <totalsRowFormula>SUM(StateSenatorSenateDistrict8General[Part of Suffolk County Vote Results])</totalsRowFormula>
    </tableColumn>
    <tableColumn id="3" xr3:uid="{D4C50676-ACA7-4130-B4DF-0BDCE156F7E0}" name="Total Votes by Party" totalsRowFunction="custom" dataDxfId="892" totalsRowDxfId="891">
      <calculatedColumnFormula>SUM(StateSenatorSenateDistrict8General[[#This Row],[Part of Nassau County Vote Results]:[Part of Suffolk County Vote Results]])</calculatedColumnFormula>
      <totalsRowFormula>SUM(StateSenatorSenateDistrict8General[Total Votes by Party])</totalsRowFormula>
    </tableColumn>
    <tableColumn id="5" xr3:uid="{5EAFD5CE-E3C4-45EE-A3AB-A0F184D4FA1E}" name="Total Votes by Candidate" dataDxfId="890" totalsRowDxfId="889">
      <calculatedColumnFormula>SUM(StateSenatorSenateDistrict8General[[#This Row],[Total Votes by Party]],D4,D5)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D048636-FA8B-4F04-825E-69D906995792}" name="StateSenatorSenateDistrict9General" displayName="StateSenatorSenateDistrict9General" ref="A2:D10" totalsRowCount="1" headerRowDxfId="888" dataDxfId="886" totalsRowDxfId="884" headerRowBorderDxfId="887" tableBorderDxfId="885" totalsRowBorderDxfId="883">
  <autoFilter ref="A2:D9" xr:uid="{2C1ADD2C-0BB0-4F59-9862-A474FDE8F8EB}">
    <filterColumn colId="0" hiddenButton="1"/>
    <filterColumn colId="1" hiddenButton="1"/>
    <filterColumn colId="2" hiddenButton="1"/>
    <filterColumn colId="3" hiddenButton="1"/>
  </autoFilter>
  <tableColumns count="4">
    <tableColumn id="1" xr3:uid="{C744232C-2211-4D41-A8C0-B1E2F42C9BF0}" name="Candidate Name (Party)" totalsRowLabel="Total Votes by County" dataDxfId="882" totalsRowDxfId="881"/>
    <tableColumn id="4" xr3:uid="{F0CC9C7B-61BA-4871-907F-E7D0C679E9E6}" name="Part of Nassau County Vote Results" totalsRowFunction="custom" dataDxfId="880" totalsRowDxfId="879">
      <totalsRowFormula>SUM(StateSenatorSenateDistrict9General[Part of Nassau County Vote Results])</totalsRowFormula>
    </tableColumn>
    <tableColumn id="3" xr3:uid="{007803ED-E984-42D5-854A-F83BE860331B}" name="Total Votes by Party" totalsRowFunction="custom" dataDxfId="878" totalsRowDxfId="877">
      <calculatedColumnFormula>StateSenatorSenateDistrict9General[[#This Row],[Part of Nassau County Vote Results]]</calculatedColumnFormula>
      <totalsRowFormula>SUM(StateSenatorSenateDistrict9General[Total Votes by Party])</totalsRowFormula>
    </tableColumn>
    <tableColumn id="2" xr3:uid="{FD84D463-5651-45E7-AA9D-4ABC78F448E3}" name="Total Votes by Candidate" dataDxfId="876" totalsRowDxfId="87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4522-260F-49BB-BE1E-8440760F7395}">
  <sheetPr codeName="Sheet1">
    <pageSetUpPr fitToPage="1"/>
  </sheetPr>
  <dimension ref="A1:D10"/>
  <sheetViews>
    <sheetView tabSelected="1" zoomScaleNormal="100" zoomScaleSheetLayoutView="80" workbookViewId="0">
      <selection activeCell="B2" sqref="B2"/>
    </sheetView>
  </sheetViews>
  <sheetFormatPr defaultRowHeight="12.75" x14ac:dyDescent="0.2"/>
  <cols>
    <col min="1" max="1" width="31.285156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12</v>
      </c>
    </row>
    <row r="2" spans="1:4" ht="24.95" customHeight="1" x14ac:dyDescent="0.2">
      <c r="A2" s="11" t="s">
        <v>11</v>
      </c>
      <c r="B2" s="10" t="s">
        <v>10</v>
      </c>
      <c r="C2" s="9" t="s">
        <v>9</v>
      </c>
      <c r="D2" s="8" t="s">
        <v>8</v>
      </c>
    </row>
    <row r="3" spans="1:4" x14ac:dyDescent="0.2">
      <c r="A3" s="6" t="s">
        <v>7</v>
      </c>
      <c r="B3" s="3">
        <v>54854</v>
      </c>
      <c r="C3" s="2">
        <f>StateSenatorSenateDistrict1General40[[#This Row],[Part of Suffolk County Vote Results]]</f>
        <v>54854</v>
      </c>
      <c r="D3" s="7">
        <f>SUM(C3,C6)</f>
        <v>57739</v>
      </c>
    </row>
    <row r="4" spans="1:4" x14ac:dyDescent="0.2">
      <c r="A4" s="6" t="s">
        <v>6</v>
      </c>
      <c r="B4" s="3">
        <v>63829</v>
      </c>
      <c r="C4" s="2">
        <f>StateSenatorSenateDistrict1General40[[#This Row],[Part of Suffolk County Vote Results]]</f>
        <v>63829</v>
      </c>
      <c r="D4" s="7">
        <f>SUM(C4,C5)</f>
        <v>73624</v>
      </c>
    </row>
    <row r="5" spans="1:4" x14ac:dyDescent="0.2">
      <c r="A5" s="6" t="s">
        <v>5</v>
      </c>
      <c r="B5" s="3">
        <v>9795</v>
      </c>
      <c r="C5" s="2">
        <f>StateSenatorSenateDistrict1General40[[#This Row],[Part of Suffolk County Vote Results]]</f>
        <v>9795</v>
      </c>
      <c r="D5" s="1"/>
    </row>
    <row r="6" spans="1:4" x14ac:dyDescent="0.2">
      <c r="A6" s="6" t="s">
        <v>4</v>
      </c>
      <c r="B6" s="3">
        <v>2885</v>
      </c>
      <c r="C6" s="2">
        <f>StateSenatorSenateDistrict1General40[[#This Row],[Part of Suffolk County Vote Results]]</f>
        <v>2885</v>
      </c>
      <c r="D6" s="1"/>
    </row>
    <row r="7" spans="1:4" x14ac:dyDescent="0.2">
      <c r="A7" s="5" t="s">
        <v>3</v>
      </c>
      <c r="B7" s="3">
        <v>3816</v>
      </c>
      <c r="C7" s="2">
        <f>StateSenatorSenateDistrict1General40[[#This Row],[Part of Suffolk County Vote Results]]</f>
        <v>3816</v>
      </c>
      <c r="D7" s="1"/>
    </row>
    <row r="8" spans="1:4" x14ac:dyDescent="0.2">
      <c r="A8" s="5" t="s">
        <v>2</v>
      </c>
      <c r="B8" s="3">
        <v>40</v>
      </c>
      <c r="C8" s="2">
        <f>StateSenatorSenateDistrict1General40[[#This Row],[Part of Suffolk County Vote Results]]</f>
        <v>40</v>
      </c>
      <c r="D8" s="1"/>
    </row>
    <row r="9" spans="1:4" x14ac:dyDescent="0.2">
      <c r="A9" s="5" t="s">
        <v>1</v>
      </c>
      <c r="B9" s="3">
        <v>14</v>
      </c>
      <c r="C9" s="2">
        <f>StateSenatorSenateDistrict1General40[[#This Row],[Part of Suffolk County Vote Results]]</f>
        <v>14</v>
      </c>
      <c r="D9" s="1"/>
    </row>
    <row r="10" spans="1:4" x14ac:dyDescent="0.2">
      <c r="A10" s="4" t="s">
        <v>0</v>
      </c>
      <c r="B10" s="3">
        <f>SUM(StateSenatorSenateDistrict1General40[Part of Suffolk County Vote Results])</f>
        <v>135233</v>
      </c>
      <c r="C10" s="2">
        <f>SUM(StateSenatorSenateDistrict1General40[Total Votes by Party])</f>
        <v>135233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2" max="16383" man="1"/>
    <brk id="89" max="16383" man="1"/>
    <brk id="143" max="16383" man="1"/>
    <brk id="197" max="16383" man="1"/>
    <brk id="246" max="16383" man="1"/>
    <brk id="293" max="16383" man="1"/>
    <brk id="342" max="16383" man="1"/>
    <brk id="388" max="16383" man="1"/>
    <brk id="440" max="16383" man="1"/>
    <brk id="493" max="16383" man="1"/>
    <brk id="547" max="16383" man="1"/>
    <brk id="595" max="16383" man="1"/>
    <brk id="631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B25F-909C-4BFA-9A71-7C0A1877F9A0}">
  <sheetPr codeName="Sheet10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54</v>
      </c>
    </row>
    <row r="2" spans="1:4" ht="24.95" customHeight="1" x14ac:dyDescent="0.2">
      <c r="A2" s="11" t="s">
        <v>11</v>
      </c>
      <c r="B2" s="10" t="s">
        <v>53</v>
      </c>
      <c r="C2" s="9" t="s">
        <v>9</v>
      </c>
      <c r="D2" s="8" t="s">
        <v>8</v>
      </c>
    </row>
    <row r="3" spans="1:4" x14ac:dyDescent="0.2">
      <c r="A3" s="6" t="s">
        <v>52</v>
      </c>
      <c r="B3" s="14">
        <v>43880</v>
      </c>
      <c r="C3" s="2">
        <f>StateSenatorSenateDistrict10General[[#This Row],[Part of Queens County Vote Results]]</f>
        <v>43880</v>
      </c>
      <c r="D3" s="7">
        <f>SUM(C3)</f>
        <v>43880</v>
      </c>
    </row>
    <row r="4" spans="1:4" x14ac:dyDescent="0.2">
      <c r="A4" s="5" t="s">
        <v>3</v>
      </c>
      <c r="B4" s="13">
        <v>17109</v>
      </c>
      <c r="C4" s="2">
        <f>StateSenatorSenateDistrict10General[[#This Row],[Part of Queens County Vote Results]]</f>
        <v>17109</v>
      </c>
      <c r="D4" s="1"/>
    </row>
    <row r="5" spans="1:4" x14ac:dyDescent="0.2">
      <c r="A5" s="5" t="s">
        <v>2</v>
      </c>
      <c r="B5" s="13">
        <v>73</v>
      </c>
      <c r="C5" s="2">
        <f>StateSenatorSenateDistrict10General[[#This Row],[Part of Queens County Vote Results]]</f>
        <v>73</v>
      </c>
      <c r="D5" s="1"/>
    </row>
    <row r="6" spans="1:4" x14ac:dyDescent="0.2">
      <c r="A6" s="5" t="s">
        <v>1</v>
      </c>
      <c r="B6" s="13">
        <v>647</v>
      </c>
      <c r="C6" s="2">
        <f>StateSenatorSenateDistrict10General[[#This Row],[Part of Queens County Vote Results]]</f>
        <v>647</v>
      </c>
      <c r="D6" s="1"/>
    </row>
    <row r="7" spans="1:4" x14ac:dyDescent="0.2">
      <c r="A7" s="4" t="s">
        <v>0</v>
      </c>
      <c r="B7" s="13">
        <f>SUM(StateSenatorSenateDistrict10General[Part of Queens County Vote Results])</f>
        <v>61709</v>
      </c>
      <c r="C7" s="2">
        <f>SUM(StateSenatorSenateDistrict10General[Total Votes by Party])</f>
        <v>61709</v>
      </c>
      <c r="D7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9894-9907-46AE-A202-8F4E32587DFF}">
  <sheetPr codeName="Sheet11"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2" t="s">
        <v>60</v>
      </c>
      <c r="B1" s="12"/>
    </row>
    <row r="2" spans="1:5" ht="24.95" customHeight="1" x14ac:dyDescent="0.2">
      <c r="A2" s="11" t="s">
        <v>11</v>
      </c>
      <c r="B2" s="19" t="s">
        <v>59</v>
      </c>
      <c r="C2" s="10" t="s">
        <v>53</v>
      </c>
      <c r="D2" s="9" t="s">
        <v>9</v>
      </c>
      <c r="E2" s="8" t="s">
        <v>8</v>
      </c>
    </row>
    <row r="3" spans="1:5" x14ac:dyDescent="0.2">
      <c r="A3" s="18" t="s">
        <v>58</v>
      </c>
      <c r="B3" s="17">
        <v>0</v>
      </c>
      <c r="C3" s="14">
        <v>36014</v>
      </c>
      <c r="D3" s="2">
        <f>SUM(StateSenatorSenateDistrict11General[[#This Row],[Part of Bronx County Vote Results]:[Part of Queens County Vote Results]])</f>
        <v>36014</v>
      </c>
      <c r="E3" s="7">
        <f>SUM(D3,D6)</f>
        <v>38524</v>
      </c>
    </row>
    <row r="4" spans="1:5" x14ac:dyDescent="0.2">
      <c r="A4" s="6" t="s">
        <v>57</v>
      </c>
      <c r="B4" s="16">
        <v>0</v>
      </c>
      <c r="C4" s="14">
        <v>27142</v>
      </c>
      <c r="D4" s="2">
        <f>SUM(StateSenatorSenateDistrict11General[[#This Row],[Part of Bronx County Vote Results]:[Part of Queens County Vote Results]])</f>
        <v>27142</v>
      </c>
      <c r="E4" s="7">
        <f>SUM(D4,D5)</f>
        <v>29378</v>
      </c>
    </row>
    <row r="5" spans="1:5" x14ac:dyDescent="0.2">
      <c r="A5" s="6" t="s">
        <v>56</v>
      </c>
      <c r="B5" s="16">
        <v>0</v>
      </c>
      <c r="C5" s="14">
        <v>2236</v>
      </c>
      <c r="D5" s="2">
        <f>SUM(StateSenatorSenateDistrict11General[[#This Row],[Part of Bronx County Vote Results]:[Part of Queens County Vote Results]])</f>
        <v>2236</v>
      </c>
      <c r="E5" s="1"/>
    </row>
    <row r="6" spans="1:5" x14ac:dyDescent="0.2">
      <c r="A6" s="6" t="s">
        <v>55</v>
      </c>
      <c r="B6" s="16">
        <v>0</v>
      </c>
      <c r="C6" s="14">
        <v>2510</v>
      </c>
      <c r="D6" s="2">
        <f>SUM(StateSenatorSenateDistrict11General[[#This Row],[Part of Bronx County Vote Results]:[Part of Queens County Vote Results]])</f>
        <v>2510</v>
      </c>
      <c r="E6" s="1"/>
    </row>
    <row r="7" spans="1:5" x14ac:dyDescent="0.2">
      <c r="A7" s="5" t="s">
        <v>3</v>
      </c>
      <c r="B7" s="15">
        <v>0</v>
      </c>
      <c r="C7" s="13">
        <v>2385</v>
      </c>
      <c r="D7" s="2">
        <f>SUM(StateSenatorSenateDistrict11General[[#This Row],[Part of Bronx County Vote Results]:[Part of Queens County Vote Results]])</f>
        <v>2385</v>
      </c>
      <c r="E7" s="1"/>
    </row>
    <row r="8" spans="1:5" x14ac:dyDescent="0.2">
      <c r="A8" s="5" t="s">
        <v>2</v>
      </c>
      <c r="B8" s="15">
        <v>0</v>
      </c>
      <c r="C8" s="13">
        <v>164</v>
      </c>
      <c r="D8" s="2">
        <f>SUM(StateSenatorSenateDistrict11General[[#This Row],[Part of Bronx County Vote Results]:[Part of Queens County Vote Results]])</f>
        <v>164</v>
      </c>
      <c r="E8" s="1"/>
    </row>
    <row r="9" spans="1:5" x14ac:dyDescent="0.2">
      <c r="A9" s="5" t="s">
        <v>1</v>
      </c>
      <c r="B9" s="15">
        <v>0</v>
      </c>
      <c r="C9" s="13">
        <v>41</v>
      </c>
      <c r="D9" s="2">
        <f>SUM(StateSenatorSenateDistrict11General[[#This Row],[Part of Bronx County Vote Results]:[Part of Queens County Vote Results]])</f>
        <v>41</v>
      </c>
      <c r="E9" s="1"/>
    </row>
    <row r="10" spans="1:5" x14ac:dyDescent="0.2">
      <c r="A10" s="4" t="s">
        <v>0</v>
      </c>
      <c r="B10" s="13">
        <f>SUM(StateSenatorSenateDistrict11General[Part of Bronx County Vote Results])</f>
        <v>0</v>
      </c>
      <c r="C10" s="13">
        <f>SUM(StateSenatorSenateDistrict11General[Part of Queens County Vote Results])</f>
        <v>70492</v>
      </c>
      <c r="D10" s="2">
        <f>SUM(StateSenatorSenateDistrict11General[Total Votes by Party])</f>
        <v>70492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827D-338F-491A-A92D-0AA71C0ED6D8}">
  <sheetPr codeName="Sheet12">
    <pageSetUpPr fitToPage="1"/>
  </sheetPr>
  <dimension ref="A1:E8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2" width="20.140625" customWidth="1"/>
    <col min="3" max="5" width="20.5703125" customWidth="1"/>
    <col min="6" max="7" width="23.5703125" customWidth="1"/>
  </cols>
  <sheetData>
    <row r="1" spans="1:5" ht="24.95" customHeight="1" x14ac:dyDescent="0.2">
      <c r="A1" s="12" t="s">
        <v>64</v>
      </c>
      <c r="B1" s="12"/>
    </row>
    <row r="2" spans="1:5" ht="24.95" customHeight="1" x14ac:dyDescent="0.2">
      <c r="A2" s="11" t="s">
        <v>11</v>
      </c>
      <c r="B2" s="10" t="s">
        <v>63</v>
      </c>
      <c r="C2" s="10" t="s">
        <v>53</v>
      </c>
      <c r="D2" s="9" t="s">
        <v>9</v>
      </c>
      <c r="E2" s="8" t="s">
        <v>8</v>
      </c>
    </row>
    <row r="3" spans="1:5" x14ac:dyDescent="0.2">
      <c r="A3" s="6" t="s">
        <v>62</v>
      </c>
      <c r="B3" s="16">
        <v>0</v>
      </c>
      <c r="C3" s="14">
        <v>31752</v>
      </c>
      <c r="D3" s="2">
        <f>SUM(B3,C3)</f>
        <v>31752</v>
      </c>
      <c r="E3" s="7">
        <f>SUM(D3,D4)</f>
        <v>41521</v>
      </c>
    </row>
    <row r="4" spans="1:5" x14ac:dyDescent="0.2">
      <c r="A4" s="6" t="s">
        <v>61</v>
      </c>
      <c r="B4" s="16">
        <v>0</v>
      </c>
      <c r="C4" s="14">
        <v>9769</v>
      </c>
      <c r="D4" s="2">
        <f>SUM(B4,C4)</f>
        <v>9769</v>
      </c>
      <c r="E4" s="1"/>
    </row>
    <row r="5" spans="1:5" x14ac:dyDescent="0.2">
      <c r="A5" s="5" t="s">
        <v>3</v>
      </c>
      <c r="B5" s="15">
        <v>0</v>
      </c>
      <c r="C5" s="13">
        <v>14933</v>
      </c>
      <c r="D5" s="2">
        <f>SUM(B5,C5)</f>
        <v>14933</v>
      </c>
      <c r="E5" s="1"/>
    </row>
    <row r="6" spans="1:5" x14ac:dyDescent="0.2">
      <c r="A6" s="5" t="s">
        <v>2</v>
      </c>
      <c r="B6" s="15">
        <v>0</v>
      </c>
      <c r="C6" s="13">
        <v>223</v>
      </c>
      <c r="D6" s="2">
        <f>SUM(B6,C6)</f>
        <v>223</v>
      </c>
      <c r="E6" s="1"/>
    </row>
    <row r="7" spans="1:5" x14ac:dyDescent="0.2">
      <c r="A7" s="5" t="s">
        <v>1</v>
      </c>
      <c r="B7" s="15">
        <v>0</v>
      </c>
      <c r="C7" s="13">
        <v>662</v>
      </c>
      <c r="D7" s="2">
        <f>SUM(B7,C7)</f>
        <v>662</v>
      </c>
      <c r="E7" s="1"/>
    </row>
    <row r="8" spans="1:5" x14ac:dyDescent="0.2">
      <c r="A8" s="4" t="s">
        <v>0</v>
      </c>
      <c r="B8" s="13">
        <f>SUM(StateSenatorSenateDistrict12General[Part of Kings County Vote Results])</f>
        <v>0</v>
      </c>
      <c r="C8" s="13">
        <f>SUM(StateSenatorSenateDistrict12General[Part of Queens County Vote Results])</f>
        <v>57339</v>
      </c>
      <c r="D8" s="2">
        <f>SUM(StateSenatorSenateDistrict12General[Total Votes by Party])</f>
        <v>57339</v>
      </c>
      <c r="E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375F-476B-45AE-A11F-392721ED27A8}">
  <sheetPr codeName="Sheet13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67</v>
      </c>
    </row>
    <row r="2" spans="1:4" ht="24.95" customHeight="1" x14ac:dyDescent="0.2">
      <c r="A2" s="11" t="s">
        <v>11</v>
      </c>
      <c r="B2" s="10" t="s">
        <v>53</v>
      </c>
      <c r="C2" s="9" t="s">
        <v>9</v>
      </c>
      <c r="D2" s="8" t="s">
        <v>8</v>
      </c>
    </row>
    <row r="3" spans="1:4" x14ac:dyDescent="0.2">
      <c r="A3" s="6" t="s">
        <v>66</v>
      </c>
      <c r="B3" s="14">
        <v>23944</v>
      </c>
      <c r="C3" s="2">
        <f>StateSenatorSenateDistrict13General[[#This Row],[Part of Queens County Vote Results]]</f>
        <v>23944</v>
      </c>
      <c r="D3" s="7">
        <f>SUM(C3,C4)</f>
        <v>28201</v>
      </c>
    </row>
    <row r="4" spans="1:4" x14ac:dyDescent="0.2">
      <c r="A4" s="6" t="s">
        <v>65</v>
      </c>
      <c r="B4" s="14">
        <v>4257</v>
      </c>
      <c r="C4" s="2">
        <f>StateSenatorSenateDistrict13General[[#This Row],[Part of Queens County Vote Results]]</f>
        <v>4257</v>
      </c>
      <c r="D4" s="1"/>
    </row>
    <row r="5" spans="1:4" x14ac:dyDescent="0.2">
      <c r="A5" s="5" t="s">
        <v>3</v>
      </c>
      <c r="B5" s="13">
        <v>8511</v>
      </c>
      <c r="C5" s="2">
        <f>StateSenatorSenateDistrict13General[[#This Row],[Part of Queens County Vote Results]]</f>
        <v>8511</v>
      </c>
      <c r="D5" s="1"/>
    </row>
    <row r="6" spans="1:4" x14ac:dyDescent="0.2">
      <c r="A6" s="5" t="s">
        <v>2</v>
      </c>
      <c r="B6" s="13">
        <v>117</v>
      </c>
      <c r="C6" s="2">
        <f>StateSenatorSenateDistrict13General[[#This Row],[Part of Queens County Vote Results]]</f>
        <v>117</v>
      </c>
      <c r="D6" s="1"/>
    </row>
    <row r="7" spans="1:4" x14ac:dyDescent="0.2">
      <c r="A7" s="5" t="s">
        <v>1</v>
      </c>
      <c r="B7" s="13">
        <v>432</v>
      </c>
      <c r="C7" s="2">
        <f>StateSenatorSenateDistrict13General[[#This Row],[Part of Queens County Vote Results]]</f>
        <v>432</v>
      </c>
      <c r="D7" s="1"/>
    </row>
    <row r="8" spans="1:4" x14ac:dyDescent="0.2">
      <c r="A8" s="4" t="s">
        <v>0</v>
      </c>
      <c r="B8" s="13">
        <f>SUM(StateSenatorSenateDistrict13General[Part of Queens County Vote Results])</f>
        <v>37261</v>
      </c>
      <c r="C8" s="2">
        <f>SUM(StateSenatorSenateDistrict13General[Total Votes by Party])</f>
        <v>37261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FF34-63CA-4153-8DEC-68E0E468C576}">
  <sheetPr codeName="Sheet14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69</v>
      </c>
    </row>
    <row r="2" spans="1:4" ht="24.95" customHeight="1" x14ac:dyDescent="0.2">
      <c r="A2" s="11" t="s">
        <v>11</v>
      </c>
      <c r="B2" s="10" t="s">
        <v>53</v>
      </c>
      <c r="C2" s="9" t="s">
        <v>9</v>
      </c>
      <c r="D2" s="8" t="s">
        <v>8</v>
      </c>
    </row>
    <row r="3" spans="1:4" x14ac:dyDescent="0.2">
      <c r="A3" s="6" t="s">
        <v>68</v>
      </c>
      <c r="B3" s="14">
        <v>57872</v>
      </c>
      <c r="C3" s="2">
        <f>StateSenatorSenateDistrict14General[[#This Row],[Part of Queens County Vote Results]]</f>
        <v>57872</v>
      </c>
      <c r="D3" s="7">
        <f>SUM(StateSenatorSenateDistrict14General[[#This Row],[Total Votes by Party]])</f>
        <v>57872</v>
      </c>
    </row>
    <row r="4" spans="1:4" x14ac:dyDescent="0.2">
      <c r="A4" s="5" t="s">
        <v>3</v>
      </c>
      <c r="B4" s="13">
        <v>11832</v>
      </c>
      <c r="C4" s="2">
        <f>StateSenatorSenateDistrict14General[[#This Row],[Part of Queens County Vote Results]]</f>
        <v>11832</v>
      </c>
      <c r="D4" s="1"/>
    </row>
    <row r="5" spans="1:4" x14ac:dyDescent="0.2">
      <c r="A5" s="5" t="s">
        <v>2</v>
      </c>
      <c r="B5" s="13">
        <v>193</v>
      </c>
      <c r="C5" s="2">
        <f>StateSenatorSenateDistrict14General[[#This Row],[Part of Queens County Vote Results]]</f>
        <v>193</v>
      </c>
      <c r="D5" s="1"/>
    </row>
    <row r="6" spans="1:4" x14ac:dyDescent="0.2">
      <c r="A6" s="5" t="s">
        <v>1</v>
      </c>
      <c r="B6" s="13">
        <v>473</v>
      </c>
      <c r="C6" s="2">
        <f>StateSenatorSenateDistrict14General[[#This Row],[Part of Queens County Vote Results]]</f>
        <v>473</v>
      </c>
      <c r="D6" s="1"/>
    </row>
    <row r="7" spans="1:4" x14ac:dyDescent="0.2">
      <c r="A7" s="4" t="s">
        <v>0</v>
      </c>
      <c r="B7" s="13">
        <f>SUM(StateSenatorSenateDistrict14General[Part of Queens County Vote Results])</f>
        <v>70370</v>
      </c>
      <c r="C7" s="2">
        <f>SUM(StateSenatorSenateDistrict14General[Total Votes by Party])</f>
        <v>70370</v>
      </c>
      <c r="D7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9F6C-1DC5-4285-B2B5-9531B5EF37A3}">
  <sheetPr codeName="Sheet15">
    <pageSetUpPr fitToPage="1"/>
  </sheetPr>
  <dimension ref="A1:E12"/>
  <sheetViews>
    <sheetView workbookViewId="0">
      <selection activeCell="C2" sqref="C2"/>
    </sheetView>
  </sheetViews>
  <sheetFormatPr defaultRowHeight="12.75" x14ac:dyDescent="0.2"/>
  <cols>
    <col min="1" max="1" width="28.28515625" customWidth="1"/>
    <col min="2" max="2" width="18.5703125" customWidth="1"/>
    <col min="3" max="5" width="20.5703125" customWidth="1"/>
    <col min="6" max="7" width="23.5703125" customWidth="1"/>
  </cols>
  <sheetData>
    <row r="1" spans="1:5" ht="24.95" customHeight="1" x14ac:dyDescent="0.2">
      <c r="A1" s="12" t="s">
        <v>76</v>
      </c>
      <c r="B1" s="12"/>
    </row>
    <row r="2" spans="1:5" ht="24.95" customHeight="1" x14ac:dyDescent="0.2">
      <c r="A2" s="11" t="s">
        <v>11</v>
      </c>
      <c r="B2" s="10" t="s">
        <v>63</v>
      </c>
      <c r="C2" s="10" t="s">
        <v>53</v>
      </c>
      <c r="D2" s="9" t="s">
        <v>9</v>
      </c>
      <c r="E2" s="8" t="s">
        <v>8</v>
      </c>
    </row>
    <row r="3" spans="1:5" x14ac:dyDescent="0.2">
      <c r="A3" s="6" t="s">
        <v>75</v>
      </c>
      <c r="B3" s="16">
        <v>13</v>
      </c>
      <c r="C3" s="14">
        <v>29633</v>
      </c>
      <c r="D3" s="2">
        <f t="shared" ref="D3:D11" si="0">SUM(B3,C3)</f>
        <v>29646</v>
      </c>
      <c r="E3" s="7">
        <f>SUM(D3,D6)</f>
        <v>30394</v>
      </c>
    </row>
    <row r="4" spans="1:5" x14ac:dyDescent="0.2">
      <c r="A4" s="6" t="s">
        <v>74</v>
      </c>
      <c r="B4" s="16">
        <v>0</v>
      </c>
      <c r="C4" s="14">
        <v>20769</v>
      </c>
      <c r="D4" s="2">
        <f t="shared" si="0"/>
        <v>20769</v>
      </c>
      <c r="E4" s="7">
        <f>SUM(D4,D5,D7,D8)</f>
        <v>22643</v>
      </c>
    </row>
    <row r="5" spans="1:5" x14ac:dyDescent="0.2">
      <c r="A5" s="6" t="s">
        <v>73</v>
      </c>
      <c r="B5" s="21">
        <v>0</v>
      </c>
      <c r="C5" s="20">
        <v>1472</v>
      </c>
      <c r="D5" s="2">
        <f t="shared" si="0"/>
        <v>1472</v>
      </c>
      <c r="E5" s="1"/>
    </row>
    <row r="6" spans="1:5" x14ac:dyDescent="0.2">
      <c r="A6" s="6" t="s">
        <v>72</v>
      </c>
      <c r="B6" s="21">
        <v>0</v>
      </c>
      <c r="C6" s="20">
        <v>748</v>
      </c>
      <c r="D6" s="2">
        <f t="shared" si="0"/>
        <v>748</v>
      </c>
      <c r="E6" s="1"/>
    </row>
    <row r="7" spans="1:5" x14ac:dyDescent="0.2">
      <c r="A7" s="6" t="s">
        <v>71</v>
      </c>
      <c r="B7" s="16">
        <v>0</v>
      </c>
      <c r="C7" s="14">
        <v>342</v>
      </c>
      <c r="D7" s="2">
        <f t="shared" si="0"/>
        <v>342</v>
      </c>
      <c r="E7" s="1"/>
    </row>
    <row r="8" spans="1:5" x14ac:dyDescent="0.2">
      <c r="A8" s="6" t="s">
        <v>70</v>
      </c>
      <c r="B8" s="16">
        <v>0</v>
      </c>
      <c r="C8" s="14">
        <v>60</v>
      </c>
      <c r="D8" s="2">
        <f t="shared" si="0"/>
        <v>60</v>
      </c>
      <c r="E8" s="1"/>
    </row>
    <row r="9" spans="1:5" x14ac:dyDescent="0.2">
      <c r="A9" s="5" t="s">
        <v>3</v>
      </c>
      <c r="B9" s="15">
        <v>0</v>
      </c>
      <c r="C9" s="13">
        <v>1839</v>
      </c>
      <c r="D9" s="2">
        <f t="shared" si="0"/>
        <v>1839</v>
      </c>
      <c r="E9" s="1"/>
    </row>
    <row r="10" spans="1:5" x14ac:dyDescent="0.2">
      <c r="A10" s="5" t="s">
        <v>2</v>
      </c>
      <c r="B10" s="15">
        <v>0</v>
      </c>
      <c r="C10" s="13">
        <v>143</v>
      </c>
      <c r="D10" s="2">
        <f t="shared" si="0"/>
        <v>143</v>
      </c>
      <c r="E10" s="1"/>
    </row>
    <row r="11" spans="1:5" ht="12" customHeight="1" x14ac:dyDescent="0.2">
      <c r="A11" s="5" t="s">
        <v>1</v>
      </c>
      <c r="B11" s="15">
        <v>0</v>
      </c>
      <c r="C11" s="13">
        <v>72</v>
      </c>
      <c r="D11" s="2">
        <f t="shared" si="0"/>
        <v>72</v>
      </c>
      <c r="E11" s="1"/>
    </row>
    <row r="12" spans="1:5" x14ac:dyDescent="0.2">
      <c r="A12" s="4" t="s">
        <v>0</v>
      </c>
      <c r="B12" s="13">
        <f>SUM(StateSenatorSenateDistrict15General[Part of Kings County Vote Results])</f>
        <v>13</v>
      </c>
      <c r="C12" s="13">
        <f>SUM(StateSenatorSenateDistrict15General[Part of Queens County Vote Results])</f>
        <v>55078</v>
      </c>
      <c r="D12" s="2">
        <f>SUM(StateSenatorSenateDistrict15General[Total Votes by Party])</f>
        <v>55091</v>
      </c>
      <c r="E12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0DAA-A065-4A74-8856-4088BCEE7D55}">
  <sheetPr codeName="Sheet16">
    <pageSetUpPr fitToPage="1"/>
  </sheetPr>
  <dimension ref="A1:D11"/>
  <sheetViews>
    <sheetView zoomScaleNormal="100"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82</v>
      </c>
    </row>
    <row r="2" spans="1:4" ht="24.95" customHeight="1" x14ac:dyDescent="0.2">
      <c r="A2" s="11" t="s">
        <v>11</v>
      </c>
      <c r="B2" s="10" t="s">
        <v>53</v>
      </c>
      <c r="C2" s="9" t="s">
        <v>9</v>
      </c>
      <c r="D2" s="8" t="s">
        <v>8</v>
      </c>
    </row>
    <row r="3" spans="1:4" x14ac:dyDescent="0.2">
      <c r="A3" s="6" t="s">
        <v>81</v>
      </c>
      <c r="B3" s="14">
        <v>26601</v>
      </c>
      <c r="C3" s="2">
        <f>StateSenatorSenateDistrict16General[[#This Row],[Part of Queens County Vote Results]]</f>
        <v>26601</v>
      </c>
      <c r="D3" s="7">
        <f>SUM(C3,C6)</f>
        <v>28715</v>
      </c>
    </row>
    <row r="4" spans="1:4" x14ac:dyDescent="0.2">
      <c r="A4" s="6" t="s">
        <v>80</v>
      </c>
      <c r="B4" s="20">
        <v>19326</v>
      </c>
      <c r="C4" s="2">
        <f>StateSenatorSenateDistrict16General[[#This Row],[Part of Queens County Vote Results]]</f>
        <v>19326</v>
      </c>
      <c r="D4" s="7">
        <f>SUM(C4,C5,C7)</f>
        <v>21033</v>
      </c>
    </row>
    <row r="5" spans="1:4" x14ac:dyDescent="0.2">
      <c r="A5" s="6" t="s">
        <v>79</v>
      </c>
      <c r="B5" s="20">
        <v>1422</v>
      </c>
      <c r="C5" s="2">
        <f>StateSenatorSenateDistrict16General[[#This Row],[Part of Queens County Vote Results]]</f>
        <v>1422</v>
      </c>
      <c r="D5" s="1"/>
    </row>
    <row r="6" spans="1:4" x14ac:dyDescent="0.2">
      <c r="A6" s="6" t="s">
        <v>78</v>
      </c>
      <c r="B6" s="20">
        <v>2114</v>
      </c>
      <c r="C6" s="2">
        <f>StateSenatorSenateDistrict16General[[#This Row],[Part of Queens County Vote Results]]</f>
        <v>2114</v>
      </c>
      <c r="D6" s="1"/>
    </row>
    <row r="7" spans="1:4" x14ac:dyDescent="0.2">
      <c r="A7" s="6" t="s">
        <v>77</v>
      </c>
      <c r="B7" s="20">
        <v>285</v>
      </c>
      <c r="C7" s="2">
        <f>StateSenatorSenateDistrict16General[[#This Row],[Part of Queens County Vote Results]]</f>
        <v>285</v>
      </c>
      <c r="D7" s="1"/>
    </row>
    <row r="8" spans="1:4" x14ac:dyDescent="0.2">
      <c r="A8" s="5" t="s">
        <v>3</v>
      </c>
      <c r="B8" s="13">
        <v>1676</v>
      </c>
      <c r="C8" s="2">
        <f>StateSenatorSenateDistrict16General[[#This Row],[Part of Queens County Vote Results]]</f>
        <v>1676</v>
      </c>
      <c r="D8" s="1"/>
    </row>
    <row r="9" spans="1:4" x14ac:dyDescent="0.2">
      <c r="A9" s="5" t="s">
        <v>2</v>
      </c>
      <c r="B9" s="13">
        <v>168</v>
      </c>
      <c r="C9" s="2">
        <f>StateSenatorSenateDistrict16General[[#This Row],[Part of Queens County Vote Results]]</f>
        <v>168</v>
      </c>
      <c r="D9" s="1"/>
    </row>
    <row r="10" spans="1:4" x14ac:dyDescent="0.2">
      <c r="A10" s="5" t="s">
        <v>1</v>
      </c>
      <c r="B10" s="13">
        <v>50</v>
      </c>
      <c r="C10" s="2">
        <f>StateSenatorSenateDistrict16General[[#This Row],[Part of Queens County Vote Results]]</f>
        <v>50</v>
      </c>
      <c r="D10" s="1"/>
    </row>
    <row r="11" spans="1:4" x14ac:dyDescent="0.2">
      <c r="A11" s="4" t="s">
        <v>0</v>
      </c>
      <c r="B11" s="13">
        <f>SUM(StateSenatorSenateDistrict16General[Part of Queens County Vote Results])</f>
        <v>51642</v>
      </c>
      <c r="C11" s="2">
        <f>SUM(StateSenatorSenateDistrict16General[Total Votes by Party])</f>
        <v>51642</v>
      </c>
      <c r="D11" s="1"/>
    </row>
  </sheetData>
  <pageMargins left="0.25" right="0.25" top="0.25" bottom="0.25" header="0.25" footer="0.25"/>
  <pageSetup paperSize="5" fitToHeight="0" orientation="landscape" verticalDpi="4294967295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20E9-2323-419A-844F-7DAC094DC6C6}">
  <sheetPr codeName="Sheet17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87</v>
      </c>
    </row>
    <row r="2" spans="1:4" ht="25.5" x14ac:dyDescent="0.2">
      <c r="A2" s="11" t="s">
        <v>11</v>
      </c>
      <c r="B2" s="10" t="s">
        <v>63</v>
      </c>
      <c r="C2" s="9" t="s">
        <v>9</v>
      </c>
      <c r="D2" s="8" t="s">
        <v>8</v>
      </c>
    </row>
    <row r="3" spans="1:4" x14ac:dyDescent="0.2">
      <c r="A3" s="6" t="s">
        <v>86</v>
      </c>
      <c r="B3" s="14">
        <v>16167</v>
      </c>
      <c r="C3" s="2">
        <f>StateSenatorSenateDistrict17General[[#This Row],[Part of Kings County Vote Results]]</f>
        <v>16167</v>
      </c>
      <c r="D3" s="7">
        <f>SUM(C3,C6)</f>
        <v>18362</v>
      </c>
    </row>
    <row r="4" spans="1:4" x14ac:dyDescent="0.2">
      <c r="A4" s="6" t="s">
        <v>85</v>
      </c>
      <c r="B4" s="14">
        <v>16659</v>
      </c>
      <c r="C4" s="2">
        <f>StateSenatorSenateDistrict17General[[#This Row],[Part of Kings County Vote Results]]</f>
        <v>16659</v>
      </c>
      <c r="D4" s="7">
        <f>SUM(C4,C5)</f>
        <v>17828</v>
      </c>
    </row>
    <row r="5" spans="1:4" x14ac:dyDescent="0.2">
      <c r="A5" s="6" t="s">
        <v>84</v>
      </c>
      <c r="B5" s="14">
        <v>1169</v>
      </c>
      <c r="C5" s="2">
        <f>StateSenatorSenateDistrict17General[[#This Row],[Part of Kings County Vote Results]]</f>
        <v>1169</v>
      </c>
      <c r="D5" s="1"/>
    </row>
    <row r="6" spans="1:4" x14ac:dyDescent="0.2">
      <c r="A6" s="6" t="s">
        <v>83</v>
      </c>
      <c r="B6" s="14">
        <v>2195</v>
      </c>
      <c r="C6" s="2">
        <f>StateSenatorSenateDistrict17General[[#This Row],[Part of Kings County Vote Results]]</f>
        <v>2195</v>
      </c>
      <c r="D6" s="1"/>
    </row>
    <row r="7" spans="1:4" x14ac:dyDescent="0.2">
      <c r="A7" s="5" t="s">
        <v>3</v>
      </c>
      <c r="B7" s="14">
        <v>1499</v>
      </c>
      <c r="C7" s="2">
        <f>StateSenatorSenateDistrict17General[[#This Row],[Part of Kings County Vote Results]]</f>
        <v>1499</v>
      </c>
      <c r="D7" s="1"/>
    </row>
    <row r="8" spans="1:4" x14ac:dyDescent="0.2">
      <c r="A8" s="5" t="s">
        <v>2</v>
      </c>
      <c r="B8" s="22">
        <v>84</v>
      </c>
      <c r="C8" s="2">
        <f>StateSenatorSenateDistrict17General[[#This Row],[Part of Kings County Vote Results]]</f>
        <v>84</v>
      </c>
      <c r="D8" s="1"/>
    </row>
    <row r="9" spans="1:4" x14ac:dyDescent="0.2">
      <c r="A9" s="5" t="s">
        <v>1</v>
      </c>
      <c r="B9" s="14">
        <v>57</v>
      </c>
      <c r="C9" s="2">
        <f>StateSenatorSenateDistrict17General[[#This Row],[Part of Kings County Vote Results]]</f>
        <v>57</v>
      </c>
      <c r="D9" s="1"/>
    </row>
    <row r="10" spans="1:4" x14ac:dyDescent="0.2">
      <c r="A10" s="4" t="s">
        <v>0</v>
      </c>
      <c r="B10" s="13">
        <f>SUM(StateSenatorSenateDistrict17General[Part of Kings County Vote Results])</f>
        <v>37830</v>
      </c>
      <c r="C10" s="2">
        <f>SUM(StateSenatorSenateDistrict17General[Total Votes by Party])</f>
        <v>37830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DEF4-B40E-46DB-B460-5503D7A7989D}">
  <sheetPr codeName="Sheet18">
    <pageSetUpPr fitToPage="1"/>
  </sheetPr>
  <dimension ref="A1:E8"/>
  <sheetViews>
    <sheetView workbookViewId="0">
      <selection activeCell="C2" sqref="C2"/>
    </sheetView>
  </sheetViews>
  <sheetFormatPr defaultRowHeight="12.75" x14ac:dyDescent="0.2"/>
  <cols>
    <col min="1" max="1" width="28.5703125" customWidth="1"/>
    <col min="2" max="5" width="20.5703125" customWidth="1"/>
    <col min="6" max="7" width="23.5703125" customWidth="1"/>
  </cols>
  <sheetData>
    <row r="1" spans="1:5" ht="18.75" x14ac:dyDescent="0.2">
      <c r="A1" s="12" t="s">
        <v>90</v>
      </c>
    </row>
    <row r="2" spans="1:5" ht="25.5" x14ac:dyDescent="0.2">
      <c r="A2" s="11" t="s">
        <v>11</v>
      </c>
      <c r="B2" s="10" t="s">
        <v>63</v>
      </c>
      <c r="C2" s="10" t="s">
        <v>53</v>
      </c>
      <c r="D2" s="9" t="s">
        <v>9</v>
      </c>
      <c r="E2" s="8" t="s">
        <v>8</v>
      </c>
    </row>
    <row r="3" spans="1:5" x14ac:dyDescent="0.2">
      <c r="A3" s="6" t="s">
        <v>89</v>
      </c>
      <c r="B3" s="14">
        <v>32278</v>
      </c>
      <c r="C3" s="14">
        <v>1686</v>
      </c>
      <c r="D3" s="2">
        <f>SUM(StateSenatorSenateDistrict18General[[#This Row],[Part of Kings County Vote Results]:[Part of Queens County Vote Results]])</f>
        <v>33964</v>
      </c>
      <c r="E3" s="7">
        <f>SUM(D3,D4)</f>
        <v>43255</v>
      </c>
    </row>
    <row r="4" spans="1:5" x14ac:dyDescent="0.2">
      <c r="A4" s="6" t="s">
        <v>88</v>
      </c>
      <c r="B4" s="14">
        <v>8504</v>
      </c>
      <c r="C4" s="14">
        <v>787</v>
      </c>
      <c r="D4" s="2">
        <f>SUM(StateSenatorSenateDistrict18General[[#This Row],[Part of Kings County Vote Results]:[Part of Queens County Vote Results]])</f>
        <v>9291</v>
      </c>
      <c r="E4" s="1"/>
    </row>
    <row r="5" spans="1:5" x14ac:dyDescent="0.2">
      <c r="A5" s="5" t="s">
        <v>3</v>
      </c>
      <c r="B5" s="14">
        <v>11711</v>
      </c>
      <c r="C5" s="22">
        <v>394</v>
      </c>
      <c r="D5" s="2">
        <f>SUM(StateSenatorSenateDistrict18General[[#This Row],[Part of Kings County Vote Results]:[Part of Queens County Vote Results]])</f>
        <v>12105</v>
      </c>
      <c r="E5" s="1"/>
    </row>
    <row r="6" spans="1:5" x14ac:dyDescent="0.2">
      <c r="A6" s="5" t="s">
        <v>2</v>
      </c>
      <c r="B6" s="22">
        <v>80</v>
      </c>
      <c r="C6" s="22">
        <v>5</v>
      </c>
      <c r="D6" s="2">
        <f>SUM(StateSenatorSenateDistrict18General[[#This Row],[Part of Kings County Vote Results]:[Part of Queens County Vote Results]])</f>
        <v>85</v>
      </c>
      <c r="E6" s="1"/>
    </row>
    <row r="7" spans="1:5" x14ac:dyDescent="0.2">
      <c r="A7" s="5" t="s">
        <v>1</v>
      </c>
      <c r="B7" s="22">
        <v>585</v>
      </c>
      <c r="C7" s="22">
        <v>17</v>
      </c>
      <c r="D7" s="2">
        <f>SUM(StateSenatorSenateDistrict18General[[#This Row],[Part of Kings County Vote Results]:[Part of Queens County Vote Results]])</f>
        <v>602</v>
      </c>
      <c r="E7" s="1"/>
    </row>
    <row r="8" spans="1:5" x14ac:dyDescent="0.2">
      <c r="A8" s="4" t="s">
        <v>0</v>
      </c>
      <c r="B8" s="13">
        <f>SUM(StateSenatorSenateDistrict18General[Part of Kings County Vote Results])</f>
        <v>53158</v>
      </c>
      <c r="C8" s="13">
        <f>SUM(StateSenatorSenateDistrict18General[Part of Queens County Vote Results])</f>
        <v>2889</v>
      </c>
      <c r="D8" s="2">
        <f>SUM(StateSenatorSenateDistrict18General[Total Votes by Party])</f>
        <v>56047</v>
      </c>
      <c r="E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47F3-AC01-4CD1-A4AE-CD61F50D0644}">
  <sheetPr codeName="Sheet19">
    <pageSetUpPr fitToPage="1"/>
  </sheetPr>
  <dimension ref="A1:E7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92</v>
      </c>
    </row>
    <row r="2" spans="1:5" ht="25.5" x14ac:dyDescent="0.2">
      <c r="A2" s="11" t="s">
        <v>11</v>
      </c>
      <c r="B2" s="10" t="s">
        <v>63</v>
      </c>
      <c r="C2" s="10" t="s">
        <v>53</v>
      </c>
      <c r="D2" s="9" t="s">
        <v>9</v>
      </c>
      <c r="E2" s="8" t="s">
        <v>8</v>
      </c>
    </row>
    <row r="3" spans="1:5" x14ac:dyDescent="0.2">
      <c r="A3" s="6" t="s">
        <v>91</v>
      </c>
      <c r="B3" s="14">
        <v>43866</v>
      </c>
      <c r="C3" s="14">
        <v>906</v>
      </c>
      <c r="D3" s="2">
        <f>SUM(StateSenatorSenateDistrict19General[[#This Row],[Part of Kings County Vote Results]:[Part of Queens County Vote Results]])</f>
        <v>44772</v>
      </c>
      <c r="E3" s="7">
        <f>SUM(StateSenatorSenateDistrict19General[[#This Row],[Total Votes by Party]])</f>
        <v>44772</v>
      </c>
    </row>
    <row r="4" spans="1:5" x14ac:dyDescent="0.2">
      <c r="A4" s="5" t="s">
        <v>3</v>
      </c>
      <c r="B4" s="14">
        <v>4950</v>
      </c>
      <c r="C4" s="14">
        <v>2088</v>
      </c>
      <c r="D4" s="2">
        <f>SUM(StateSenatorSenateDistrict19General[[#This Row],[Part of Kings County Vote Results]:[Part of Queens County Vote Results]])</f>
        <v>7038</v>
      </c>
      <c r="E4" s="1">
        <f>SUM(StateSenatorSenateDistrict19General[[#This Row],[Total Votes by Party]])</f>
        <v>7038</v>
      </c>
    </row>
    <row r="5" spans="1:5" x14ac:dyDescent="0.2">
      <c r="A5" s="5" t="s">
        <v>2</v>
      </c>
      <c r="B5" s="14">
        <v>23</v>
      </c>
      <c r="C5" s="14">
        <v>6</v>
      </c>
      <c r="D5" s="2">
        <f>SUM(StateSenatorSenateDistrict19General[[#This Row],[Part of Kings County Vote Results]:[Part of Queens County Vote Results]])</f>
        <v>29</v>
      </c>
      <c r="E5" s="1">
        <f>SUM(StateSenatorSenateDistrict19General[[#This Row],[Total Votes by Party]])</f>
        <v>29</v>
      </c>
    </row>
    <row r="6" spans="1:5" x14ac:dyDescent="0.2">
      <c r="A6" s="5" t="s">
        <v>1</v>
      </c>
      <c r="B6" s="14">
        <v>131</v>
      </c>
      <c r="C6" s="14">
        <v>37</v>
      </c>
      <c r="D6" s="2">
        <f>SUM(StateSenatorSenateDistrict19General[[#This Row],[Part of Kings County Vote Results]:[Part of Queens County Vote Results]])</f>
        <v>168</v>
      </c>
      <c r="E6" s="1">
        <f>SUM(StateSenatorSenateDistrict19General[[#This Row],[Total Votes by Party]])</f>
        <v>168</v>
      </c>
    </row>
    <row r="7" spans="1:5" x14ac:dyDescent="0.2">
      <c r="A7" s="4" t="s">
        <v>0</v>
      </c>
      <c r="B7" s="13">
        <f>SUM(StateSenatorSenateDistrict19General[Part of Kings County Vote Results])</f>
        <v>48970</v>
      </c>
      <c r="C7" s="13">
        <f>SUM(StateSenatorSenateDistrict19General[Part of Queens County Vote Results])</f>
        <v>3037</v>
      </c>
      <c r="D7" s="2">
        <f>SUM(StateSenatorSenateDistrict19General[Total Votes by Party])</f>
        <v>52007</v>
      </c>
      <c r="E7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BBCC-3201-451F-BE62-650DE8128384}">
  <sheetPr codeName="Sheet2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32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17</v>
      </c>
    </row>
    <row r="2" spans="1:4" ht="24.95" customHeight="1" x14ac:dyDescent="0.2">
      <c r="A2" s="11" t="s">
        <v>11</v>
      </c>
      <c r="B2" s="10" t="s">
        <v>10</v>
      </c>
      <c r="C2" s="9" t="s">
        <v>9</v>
      </c>
      <c r="D2" s="8" t="s">
        <v>8</v>
      </c>
    </row>
    <row r="3" spans="1:4" x14ac:dyDescent="0.2">
      <c r="A3" s="6" t="s">
        <v>16</v>
      </c>
      <c r="B3" s="3">
        <v>56755</v>
      </c>
      <c r="C3" s="2">
        <f>StateSenatorSenateDistrict2General41[[#This Row],[Part of Suffolk County Vote Results]]</f>
        <v>56755</v>
      </c>
      <c r="D3" s="7">
        <f>SUM(C3,C6)</f>
        <v>59650</v>
      </c>
    </row>
    <row r="4" spans="1:4" x14ac:dyDescent="0.2">
      <c r="A4" s="6" t="s">
        <v>15</v>
      </c>
      <c r="B4" s="3">
        <v>71576</v>
      </c>
      <c r="C4" s="2">
        <f>StateSenatorSenateDistrict2General41[[#This Row],[Part of Suffolk County Vote Results]]</f>
        <v>71576</v>
      </c>
      <c r="D4" s="7">
        <f>SUM(C4,C5)</f>
        <v>81955</v>
      </c>
    </row>
    <row r="5" spans="1:4" x14ac:dyDescent="0.2">
      <c r="A5" s="6" t="s">
        <v>14</v>
      </c>
      <c r="B5" s="3">
        <v>10379</v>
      </c>
      <c r="C5" s="2">
        <f>StateSenatorSenateDistrict2General41[[#This Row],[Part of Suffolk County Vote Results]]</f>
        <v>10379</v>
      </c>
      <c r="D5" s="1"/>
    </row>
    <row r="6" spans="1:4" x14ac:dyDescent="0.2">
      <c r="A6" s="6" t="s">
        <v>13</v>
      </c>
      <c r="B6" s="3">
        <v>2895</v>
      </c>
      <c r="C6" s="2">
        <f>StateSenatorSenateDistrict2General41[[#This Row],[Part of Suffolk County Vote Results]]</f>
        <v>2895</v>
      </c>
      <c r="D6" s="1"/>
    </row>
    <row r="7" spans="1:4" x14ac:dyDescent="0.2">
      <c r="A7" s="5" t="s">
        <v>3</v>
      </c>
      <c r="B7" s="3">
        <v>3540</v>
      </c>
      <c r="C7" s="2">
        <f>StateSenatorSenateDistrict2General41[[#This Row],[Part of Suffolk County Vote Results]]</f>
        <v>3540</v>
      </c>
      <c r="D7" s="1"/>
    </row>
    <row r="8" spans="1:4" x14ac:dyDescent="0.2">
      <c r="A8" s="5" t="s">
        <v>2</v>
      </c>
      <c r="B8" s="3">
        <v>21</v>
      </c>
      <c r="C8" s="2">
        <f>StateSenatorSenateDistrict2General41[[#This Row],[Part of Suffolk County Vote Results]]</f>
        <v>21</v>
      </c>
      <c r="D8" s="1"/>
    </row>
    <row r="9" spans="1:4" x14ac:dyDescent="0.2">
      <c r="A9" s="5" t="s">
        <v>1</v>
      </c>
      <c r="B9" s="3">
        <v>22</v>
      </c>
      <c r="C9" s="2">
        <f>StateSenatorSenateDistrict2General41[[#This Row],[Part of Suffolk County Vote Results]]</f>
        <v>22</v>
      </c>
      <c r="D9" s="1"/>
    </row>
    <row r="10" spans="1:4" x14ac:dyDescent="0.2">
      <c r="A10" s="4" t="s">
        <v>0</v>
      </c>
      <c r="B10" s="3">
        <f>SUM(StateSenatorSenateDistrict2General41[Part of Suffolk County Vote Results])</f>
        <v>145188</v>
      </c>
      <c r="C10" s="2">
        <f>SUM(StateSenatorSenateDistrict2General41[Total Votes by Party])</f>
        <v>145188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75CD-A365-411F-8A00-24DB98512A69}">
  <sheetPr codeName="Sheet20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95</v>
      </c>
    </row>
    <row r="2" spans="1:4" ht="25.5" x14ac:dyDescent="0.2">
      <c r="A2" s="11" t="s">
        <v>11</v>
      </c>
      <c r="B2" s="10" t="s">
        <v>63</v>
      </c>
      <c r="C2" s="9" t="s">
        <v>9</v>
      </c>
      <c r="D2" s="8" t="s">
        <v>8</v>
      </c>
    </row>
    <row r="3" spans="1:4" x14ac:dyDescent="0.2">
      <c r="A3" s="6" t="s">
        <v>94</v>
      </c>
      <c r="B3" s="14">
        <v>62092</v>
      </c>
      <c r="C3" s="2">
        <f>StateSenatorSenateDistrict20General[[#This Row],[Part of Kings County Vote Results]]</f>
        <v>62092</v>
      </c>
      <c r="D3" s="7">
        <f>SUM(C3,C4)</f>
        <v>80036</v>
      </c>
    </row>
    <row r="4" spans="1:4" x14ac:dyDescent="0.2">
      <c r="A4" s="6" t="s">
        <v>93</v>
      </c>
      <c r="B4" s="14">
        <v>17944</v>
      </c>
      <c r="C4" s="2">
        <f>StateSenatorSenateDistrict20General[[#This Row],[Part of Kings County Vote Results]]</f>
        <v>17944</v>
      </c>
      <c r="D4" s="1"/>
    </row>
    <row r="5" spans="1:4" x14ac:dyDescent="0.2">
      <c r="A5" s="5" t="s">
        <v>3</v>
      </c>
      <c r="B5" s="14">
        <v>8910</v>
      </c>
      <c r="C5" s="2">
        <f>StateSenatorSenateDistrict20General[[#This Row],[Part of Kings County Vote Results]]</f>
        <v>8910</v>
      </c>
      <c r="D5" s="1"/>
    </row>
    <row r="6" spans="1:4" x14ac:dyDescent="0.2">
      <c r="A6" s="5" t="s">
        <v>2</v>
      </c>
      <c r="B6" s="14">
        <v>308</v>
      </c>
      <c r="C6" s="2">
        <f>StateSenatorSenateDistrict20General[[#This Row],[Part of Kings County Vote Results]]</f>
        <v>308</v>
      </c>
      <c r="D6" s="1"/>
    </row>
    <row r="7" spans="1:4" x14ac:dyDescent="0.2">
      <c r="A7" s="5" t="s">
        <v>1</v>
      </c>
      <c r="B7" s="14">
        <v>402</v>
      </c>
      <c r="C7" s="2">
        <f>StateSenatorSenateDistrict20General[[#This Row],[Part of Kings County Vote Results]]</f>
        <v>402</v>
      </c>
      <c r="D7" s="1"/>
    </row>
    <row r="8" spans="1:4" x14ac:dyDescent="0.2">
      <c r="A8" s="4" t="s">
        <v>0</v>
      </c>
      <c r="B8" s="13">
        <f>SUM(StateSenatorSenateDistrict20General[Part of Kings County Vote Results])</f>
        <v>89656</v>
      </c>
      <c r="C8" s="2">
        <f>SUM(StateSenatorSenateDistrict20General[Total Votes by Party])</f>
        <v>89656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3EAE-0123-4EFC-96CE-AA5832AE0E68}">
  <sheetPr codeName="Sheet21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98</v>
      </c>
    </row>
    <row r="2" spans="1:4" ht="25.5" x14ac:dyDescent="0.2">
      <c r="A2" s="11" t="s">
        <v>11</v>
      </c>
      <c r="B2" s="10" t="s">
        <v>63</v>
      </c>
      <c r="C2" s="9" t="s">
        <v>9</v>
      </c>
      <c r="D2" s="8" t="s">
        <v>8</v>
      </c>
    </row>
    <row r="3" spans="1:4" x14ac:dyDescent="0.2">
      <c r="A3" s="6" t="s">
        <v>97</v>
      </c>
      <c r="B3" s="14">
        <v>47308</v>
      </c>
      <c r="C3" s="2">
        <f>StateSenatorSenateDistrict21General[[#This Row],[Part of Kings County Vote Results]]</f>
        <v>47308</v>
      </c>
      <c r="D3" s="7">
        <f>SUM(C3)</f>
        <v>47308</v>
      </c>
    </row>
    <row r="4" spans="1:4" x14ac:dyDescent="0.2">
      <c r="A4" s="6" t="s">
        <v>96</v>
      </c>
      <c r="B4" s="14">
        <v>11581</v>
      </c>
      <c r="C4" s="2">
        <f>StateSenatorSenateDistrict21General[[#This Row],[Part of Kings County Vote Results]]</f>
        <v>11581</v>
      </c>
      <c r="D4" s="7">
        <f>SUM(C4)</f>
        <v>11581</v>
      </c>
    </row>
    <row r="5" spans="1:4" x14ac:dyDescent="0.2">
      <c r="A5" s="5" t="s">
        <v>3</v>
      </c>
      <c r="B5" s="14">
        <v>12506</v>
      </c>
      <c r="C5" s="2">
        <f>StateSenatorSenateDistrict21General[[#This Row],[Part of Kings County Vote Results]]</f>
        <v>12506</v>
      </c>
      <c r="D5" s="1"/>
    </row>
    <row r="6" spans="1:4" x14ac:dyDescent="0.2">
      <c r="A6" s="5" t="s">
        <v>2</v>
      </c>
      <c r="B6" s="14">
        <v>114</v>
      </c>
      <c r="C6" s="2">
        <f>StateSenatorSenateDistrict21General[[#This Row],[Part of Kings County Vote Results]]</f>
        <v>114</v>
      </c>
      <c r="D6" s="1"/>
    </row>
    <row r="7" spans="1:4" x14ac:dyDescent="0.2">
      <c r="A7" s="5" t="s">
        <v>1</v>
      </c>
      <c r="B7" s="14">
        <v>441</v>
      </c>
      <c r="C7" s="2">
        <f>StateSenatorSenateDistrict21General[[#This Row],[Part of Kings County Vote Results]]</f>
        <v>441</v>
      </c>
      <c r="D7" s="1"/>
    </row>
    <row r="8" spans="1:4" x14ac:dyDescent="0.2">
      <c r="A8" s="4" t="s">
        <v>0</v>
      </c>
      <c r="B8" s="13">
        <f>SUM(StateSenatorSenateDistrict21General[Part of Kings County Vote Results])</f>
        <v>71950</v>
      </c>
      <c r="C8" s="2">
        <f>SUM(StateSenatorSenateDistrict21General[Total Votes by Party])</f>
        <v>71950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C37A-9CE3-4C13-9D61-F57A6BCBECD9}">
  <sheetPr codeName="Sheet22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103</v>
      </c>
    </row>
    <row r="2" spans="1:4" ht="25.5" x14ac:dyDescent="0.2">
      <c r="A2" s="11" t="s">
        <v>11</v>
      </c>
      <c r="B2" s="10" t="s">
        <v>63</v>
      </c>
      <c r="C2" s="9" t="s">
        <v>9</v>
      </c>
      <c r="D2" s="8" t="s">
        <v>8</v>
      </c>
    </row>
    <row r="3" spans="1:4" x14ac:dyDescent="0.2">
      <c r="A3" s="6" t="s">
        <v>102</v>
      </c>
      <c r="B3" s="14">
        <v>16386</v>
      </c>
      <c r="C3" s="2">
        <f>StateSenatorSenateDistrict22General[[#This Row],[Part of Kings County Vote Results]]</f>
        <v>16386</v>
      </c>
      <c r="D3" s="7">
        <f>SUM(C3:C5)</f>
        <v>59534</v>
      </c>
    </row>
    <row r="4" spans="1:4" x14ac:dyDescent="0.2">
      <c r="A4" s="6" t="s">
        <v>101</v>
      </c>
      <c r="B4" s="14">
        <v>39234</v>
      </c>
      <c r="C4" s="2">
        <f>StateSenatorSenateDistrict22General[[#This Row],[Part of Kings County Vote Results]]</f>
        <v>39234</v>
      </c>
      <c r="D4" s="23"/>
    </row>
    <row r="5" spans="1:4" x14ac:dyDescent="0.2">
      <c r="A5" s="6" t="s">
        <v>100</v>
      </c>
      <c r="B5" s="14">
        <v>3914</v>
      </c>
      <c r="C5" s="2">
        <f>StateSenatorSenateDistrict22General[[#This Row],[Part of Kings County Vote Results]]</f>
        <v>3914</v>
      </c>
      <c r="D5" s="23"/>
    </row>
    <row r="6" spans="1:4" x14ac:dyDescent="0.2">
      <c r="A6" s="6" t="s">
        <v>99</v>
      </c>
      <c r="B6" s="14">
        <v>2846</v>
      </c>
      <c r="C6" s="2">
        <f>StateSenatorSenateDistrict22General[[#This Row],[Part of Kings County Vote Results]]</f>
        <v>2846</v>
      </c>
      <c r="D6" s="7">
        <f>SUM(C6)</f>
        <v>2846</v>
      </c>
    </row>
    <row r="7" spans="1:4" x14ac:dyDescent="0.2">
      <c r="A7" s="5" t="s">
        <v>3</v>
      </c>
      <c r="B7" s="14">
        <v>2235</v>
      </c>
      <c r="C7" s="2">
        <f>StateSenatorSenateDistrict22General[[#This Row],[Part of Kings County Vote Results]]</f>
        <v>2235</v>
      </c>
      <c r="D7" s="1"/>
    </row>
    <row r="8" spans="1:4" x14ac:dyDescent="0.2">
      <c r="A8" s="5" t="s">
        <v>2</v>
      </c>
      <c r="B8" s="14">
        <v>159</v>
      </c>
      <c r="C8" s="2">
        <f>StateSenatorSenateDistrict22General[[#This Row],[Part of Kings County Vote Results]]</f>
        <v>159</v>
      </c>
      <c r="D8" s="1"/>
    </row>
    <row r="9" spans="1:4" x14ac:dyDescent="0.2">
      <c r="A9" s="5" t="s">
        <v>1</v>
      </c>
      <c r="B9" s="14">
        <v>242</v>
      </c>
      <c r="C9" s="2">
        <f>StateSenatorSenateDistrict22General[[#This Row],[Part of Kings County Vote Results]]</f>
        <v>242</v>
      </c>
      <c r="D9" s="1"/>
    </row>
    <row r="10" spans="1:4" x14ac:dyDescent="0.2">
      <c r="A10" s="4" t="s">
        <v>0</v>
      </c>
      <c r="B10" s="13">
        <f>SUM(StateSenatorSenateDistrict22General[Part of Kings County Vote Results])</f>
        <v>65016</v>
      </c>
      <c r="C10" s="2">
        <f>SUM(StateSenatorSenateDistrict22General[Total Votes by Party])</f>
        <v>65016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5FD1-FFC7-46A8-ADD0-9F3D4AACC989}">
  <sheetPr codeName="Sheet23">
    <pageSetUpPr fitToPage="1"/>
  </sheetPr>
  <dimension ref="A1:E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108</v>
      </c>
    </row>
    <row r="2" spans="1:5" ht="25.5" x14ac:dyDescent="0.2">
      <c r="A2" s="11" t="s">
        <v>11</v>
      </c>
      <c r="B2" s="10" t="s">
        <v>63</v>
      </c>
      <c r="C2" s="10" t="s">
        <v>107</v>
      </c>
      <c r="D2" s="9" t="s">
        <v>9</v>
      </c>
      <c r="E2" s="8" t="s">
        <v>8</v>
      </c>
    </row>
    <row r="3" spans="1:5" x14ac:dyDescent="0.2">
      <c r="A3" s="6" t="s">
        <v>106</v>
      </c>
      <c r="B3" s="25">
        <v>9301</v>
      </c>
      <c r="C3" s="13">
        <v>20249</v>
      </c>
      <c r="D3" s="2">
        <f>SUM(StateSenatorSenateDistrict23General[[#This Row],[Part of Kings County Vote Results]:[Part of Richmond County Vote Results]])</f>
        <v>29550</v>
      </c>
      <c r="E3" s="7">
        <f>SUM(D3)</f>
        <v>29550</v>
      </c>
    </row>
    <row r="4" spans="1:5" x14ac:dyDescent="0.2">
      <c r="A4" s="6" t="s">
        <v>105</v>
      </c>
      <c r="B4" s="14">
        <v>14256</v>
      </c>
      <c r="C4" s="13">
        <v>12543</v>
      </c>
      <c r="D4" s="2">
        <f>SUM(StateSenatorSenateDistrict23General[[#This Row],[Part of Kings County Vote Results]:[Part of Richmond County Vote Results]])</f>
        <v>26799</v>
      </c>
      <c r="E4" s="7">
        <f>SUM(D4,D5)</f>
        <v>28501</v>
      </c>
    </row>
    <row r="5" spans="1:5" x14ac:dyDescent="0.2">
      <c r="A5" s="6" t="s">
        <v>104</v>
      </c>
      <c r="B5" s="14">
        <v>571</v>
      </c>
      <c r="C5" s="13">
        <v>1131</v>
      </c>
      <c r="D5" s="2">
        <f>SUM(StateSenatorSenateDistrict23General[[#This Row],[Part of Kings County Vote Results]:[Part of Richmond County Vote Results]])</f>
        <v>1702</v>
      </c>
      <c r="E5" s="1"/>
    </row>
    <row r="6" spans="1:5" x14ac:dyDescent="0.2">
      <c r="A6" s="5" t="s">
        <v>3</v>
      </c>
      <c r="B6" s="14">
        <v>1554</v>
      </c>
      <c r="C6" s="13">
        <v>1285</v>
      </c>
      <c r="D6" s="2">
        <f>SUM(StateSenatorSenateDistrict23General[[#This Row],[Part of Kings County Vote Results]:[Part of Richmond County Vote Results]])</f>
        <v>2839</v>
      </c>
      <c r="E6" s="1"/>
    </row>
    <row r="7" spans="1:5" x14ac:dyDescent="0.2">
      <c r="A7" s="5" t="s">
        <v>2</v>
      </c>
      <c r="B7" s="14">
        <v>46</v>
      </c>
      <c r="C7" s="13">
        <v>28</v>
      </c>
      <c r="D7" s="2">
        <f>SUM(StateSenatorSenateDistrict23General[[#This Row],[Part of Kings County Vote Results]:[Part of Richmond County Vote Results]])</f>
        <v>74</v>
      </c>
      <c r="E7" s="1"/>
    </row>
    <row r="8" spans="1:5" x14ac:dyDescent="0.2">
      <c r="A8" s="5" t="s">
        <v>1</v>
      </c>
      <c r="B8" s="24">
        <v>27</v>
      </c>
      <c r="C8" s="13">
        <v>55</v>
      </c>
      <c r="D8" s="2">
        <f>SUM(StateSenatorSenateDistrict23General[[#This Row],[Part of Kings County Vote Results]:[Part of Richmond County Vote Results]])</f>
        <v>82</v>
      </c>
      <c r="E8" s="1"/>
    </row>
    <row r="9" spans="1:5" x14ac:dyDescent="0.2">
      <c r="A9" s="4" t="s">
        <v>0</v>
      </c>
      <c r="B9" s="13">
        <f>SUM(StateSenatorSenateDistrict23General[Part of Kings County Vote Results])</f>
        <v>25755</v>
      </c>
      <c r="C9" s="13">
        <f>SUM(StateSenatorSenateDistrict23General[Part of Richmond County Vote Results])</f>
        <v>35291</v>
      </c>
      <c r="D9" s="2">
        <f>SUM(StateSenatorSenateDistrict23General[Total Votes by Party])</f>
        <v>61046</v>
      </c>
      <c r="E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C89-A581-49DE-AB4D-BEBF381EF3FA}">
  <sheetPr codeName="Sheet24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111</v>
      </c>
    </row>
    <row r="2" spans="1:4" ht="25.5" x14ac:dyDescent="0.2">
      <c r="A2" s="11" t="s">
        <v>11</v>
      </c>
      <c r="B2" s="10" t="s">
        <v>107</v>
      </c>
      <c r="C2" s="9" t="s">
        <v>9</v>
      </c>
      <c r="D2" s="8" t="s">
        <v>8</v>
      </c>
    </row>
    <row r="3" spans="1:4" x14ac:dyDescent="0.2">
      <c r="A3" s="6" t="s">
        <v>110</v>
      </c>
      <c r="B3" s="13">
        <v>79313</v>
      </c>
      <c r="C3" s="2">
        <f>StateSenatorSenateDistrict24General[[#This Row],[Part of Richmond County Vote Results]]</f>
        <v>79313</v>
      </c>
      <c r="D3" s="7">
        <f>SUM(C3,C4)</f>
        <v>86642</v>
      </c>
    </row>
    <row r="4" spans="1:4" x14ac:dyDescent="0.2">
      <c r="A4" s="6" t="s">
        <v>109</v>
      </c>
      <c r="B4" s="13">
        <v>7329</v>
      </c>
      <c r="C4" s="2">
        <f>StateSenatorSenateDistrict24General[[#This Row],[Part of Richmond County Vote Results]]</f>
        <v>7329</v>
      </c>
      <c r="D4" s="1"/>
    </row>
    <row r="5" spans="1:4" x14ac:dyDescent="0.2">
      <c r="A5" s="5" t="s">
        <v>3</v>
      </c>
      <c r="B5" s="13">
        <v>18890</v>
      </c>
      <c r="C5" s="2">
        <f>StateSenatorSenateDistrict24General[[#This Row],[Part of Richmond County Vote Results]]</f>
        <v>18890</v>
      </c>
      <c r="D5" s="1"/>
    </row>
    <row r="6" spans="1:4" x14ac:dyDescent="0.2">
      <c r="A6" s="5" t="s">
        <v>2</v>
      </c>
      <c r="B6" s="13">
        <v>47</v>
      </c>
      <c r="C6" s="2">
        <f>StateSenatorSenateDistrict24General[[#This Row],[Part of Richmond County Vote Results]]</f>
        <v>47</v>
      </c>
      <c r="D6" s="1"/>
    </row>
    <row r="7" spans="1:4" x14ac:dyDescent="0.2">
      <c r="A7" s="5" t="s">
        <v>1</v>
      </c>
      <c r="B7" s="13">
        <v>1105</v>
      </c>
      <c r="C7" s="2">
        <f>StateSenatorSenateDistrict24General[[#This Row],[Part of Richmond County Vote Results]]</f>
        <v>1105</v>
      </c>
      <c r="D7" s="1"/>
    </row>
    <row r="8" spans="1:4" x14ac:dyDescent="0.2">
      <c r="A8" s="4" t="s">
        <v>0</v>
      </c>
      <c r="B8" s="13">
        <f>SUM(StateSenatorSenateDistrict24General[Part of Richmond County Vote Results])</f>
        <v>106684</v>
      </c>
      <c r="C8" s="2">
        <f>SUM(StateSenatorSenateDistrict24General[Total Votes by Party])</f>
        <v>106684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C7BB-2144-4973-8284-D834FE51C587}">
  <sheetPr codeName="Sheet25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6.42578125" customWidth="1"/>
    <col min="2" max="4" width="20.5703125" customWidth="1"/>
    <col min="5" max="6" width="23.5703125" customWidth="1"/>
  </cols>
  <sheetData>
    <row r="1" spans="1:4" ht="18.75" x14ac:dyDescent="0.2">
      <c r="A1" s="12" t="s">
        <v>114</v>
      </c>
    </row>
    <row r="2" spans="1:4" ht="25.5" x14ac:dyDescent="0.2">
      <c r="A2" s="11" t="s">
        <v>11</v>
      </c>
      <c r="B2" s="10" t="s">
        <v>63</v>
      </c>
      <c r="C2" s="9" t="s">
        <v>9</v>
      </c>
      <c r="D2" s="8" t="s">
        <v>8</v>
      </c>
    </row>
    <row r="3" spans="1:4" x14ac:dyDescent="0.2">
      <c r="A3" s="6" t="s">
        <v>113</v>
      </c>
      <c r="B3" s="14">
        <v>50505</v>
      </c>
      <c r="C3" s="2">
        <f>StateSenatorSenateDistrict25General[[#This Row],[Part of Kings County Vote Results]]</f>
        <v>50505</v>
      </c>
      <c r="D3" s="7">
        <f>SUM(C3,C4)</f>
        <v>63017</v>
      </c>
    </row>
    <row r="4" spans="1:4" x14ac:dyDescent="0.2">
      <c r="A4" s="6" t="s">
        <v>112</v>
      </c>
      <c r="B4" s="14">
        <v>12512</v>
      </c>
      <c r="C4" s="2">
        <f>StateSenatorSenateDistrict25General[[#This Row],[Part of Kings County Vote Results]]</f>
        <v>12512</v>
      </c>
      <c r="D4" s="1"/>
    </row>
    <row r="5" spans="1:4" x14ac:dyDescent="0.2">
      <c r="A5" s="5" t="s">
        <v>3</v>
      </c>
      <c r="B5" s="14">
        <v>5960</v>
      </c>
      <c r="C5" s="2">
        <f>StateSenatorSenateDistrict25General[[#This Row],[Part of Kings County Vote Results]]</f>
        <v>5960</v>
      </c>
      <c r="D5" s="1"/>
    </row>
    <row r="6" spans="1:4" x14ac:dyDescent="0.2">
      <c r="A6" s="5" t="s">
        <v>2</v>
      </c>
      <c r="B6" s="22">
        <v>120</v>
      </c>
      <c r="C6" s="2">
        <f>StateSenatorSenateDistrict25General[[#This Row],[Part of Kings County Vote Results]]</f>
        <v>120</v>
      </c>
      <c r="D6" s="1"/>
    </row>
    <row r="7" spans="1:4" x14ac:dyDescent="0.2">
      <c r="A7" s="5" t="s">
        <v>1</v>
      </c>
      <c r="B7" s="22">
        <v>328</v>
      </c>
      <c r="C7" s="2">
        <f>StateSenatorSenateDistrict25General[[#This Row],[Part of Kings County Vote Results]]</f>
        <v>328</v>
      </c>
      <c r="D7" s="1"/>
    </row>
    <row r="8" spans="1:4" x14ac:dyDescent="0.2">
      <c r="A8" s="4" t="s">
        <v>0</v>
      </c>
      <c r="B8" s="13">
        <f>SUM(StateSenatorSenateDistrict25General[Part of Kings County Vote Results])</f>
        <v>69425</v>
      </c>
      <c r="C8" s="2">
        <f>SUM(StateSenatorSenateDistrict25General[Total Votes by Party])</f>
        <v>69425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F7CF-48DD-4C64-AD38-F7B060AADC2E}">
  <sheetPr codeName="Sheet26">
    <pageSetUpPr fitToPage="1"/>
  </sheetPr>
  <dimension ref="A1:E11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121</v>
      </c>
    </row>
    <row r="2" spans="1:5" ht="25.5" x14ac:dyDescent="0.2">
      <c r="A2" s="11" t="s">
        <v>11</v>
      </c>
      <c r="B2" s="10" t="s">
        <v>63</v>
      </c>
      <c r="C2" s="10" t="s">
        <v>120</v>
      </c>
      <c r="D2" s="9" t="s">
        <v>9</v>
      </c>
      <c r="E2" s="8" t="s">
        <v>8</v>
      </c>
    </row>
    <row r="3" spans="1:5" x14ac:dyDescent="0.2">
      <c r="A3" s="6" t="s">
        <v>119</v>
      </c>
      <c r="B3" s="14">
        <v>56550</v>
      </c>
      <c r="C3" s="13">
        <v>0</v>
      </c>
      <c r="D3" s="2">
        <f>SUM(StateSenatorSenateDistrict26General[[#This Row],[Part of Kings County Vote Results]:[Part of New York County Vote Results]])</f>
        <v>56550</v>
      </c>
      <c r="E3" s="7">
        <f>SUM(D3,D6)</f>
        <v>69976</v>
      </c>
    </row>
    <row r="4" spans="1:5" x14ac:dyDescent="0.2">
      <c r="A4" s="6" t="s">
        <v>118</v>
      </c>
      <c r="B4" s="14">
        <v>16145</v>
      </c>
      <c r="C4" s="13">
        <v>0</v>
      </c>
      <c r="D4" s="2">
        <f>SUM(StateSenatorSenateDistrict26General[[#This Row],[Part of Kings County Vote Results]:[Part of New York County Vote Results]])</f>
        <v>16145</v>
      </c>
      <c r="E4" s="7">
        <f>SUM(D4,D5)</f>
        <v>17767</v>
      </c>
    </row>
    <row r="5" spans="1:5" x14ac:dyDescent="0.2">
      <c r="A5" s="5" t="s">
        <v>117</v>
      </c>
      <c r="B5" s="14">
        <v>1622</v>
      </c>
      <c r="C5" s="13">
        <v>0</v>
      </c>
      <c r="D5" s="2">
        <f>SUM(StateSenatorSenateDistrict26General[[#This Row],[Part of Kings County Vote Results]:[Part of New York County Vote Results]])</f>
        <v>1622</v>
      </c>
      <c r="E5" s="26"/>
    </row>
    <row r="6" spans="1:5" x14ac:dyDescent="0.2">
      <c r="A6" s="5" t="s">
        <v>116</v>
      </c>
      <c r="B6" s="14">
        <v>13426</v>
      </c>
      <c r="C6" s="13">
        <v>0</v>
      </c>
      <c r="D6" s="2">
        <f>SUM(StateSenatorSenateDistrict26General[[#This Row],[Part of Kings County Vote Results]:[Part of New York County Vote Results]])</f>
        <v>13426</v>
      </c>
      <c r="E6" s="26"/>
    </row>
    <row r="7" spans="1:5" x14ac:dyDescent="0.2">
      <c r="A7" s="6" t="s">
        <v>115</v>
      </c>
      <c r="B7" s="14">
        <v>665</v>
      </c>
      <c r="C7" s="13">
        <v>0</v>
      </c>
      <c r="D7" s="2">
        <f>SUM(StateSenatorSenateDistrict26General[[#This Row],[Part of Kings County Vote Results]:[Part of New York County Vote Results]])</f>
        <v>665</v>
      </c>
      <c r="E7" s="7">
        <f>SUM(D7)</f>
        <v>665</v>
      </c>
    </row>
    <row r="8" spans="1:5" x14ac:dyDescent="0.2">
      <c r="A8" s="5" t="s">
        <v>3</v>
      </c>
      <c r="B8" s="14">
        <v>1928</v>
      </c>
      <c r="C8" s="13">
        <v>0</v>
      </c>
      <c r="D8" s="2">
        <f>SUM(StateSenatorSenateDistrict26General[[#This Row],[Part of Kings County Vote Results]:[Part of New York County Vote Results]])</f>
        <v>1928</v>
      </c>
      <c r="E8" s="1"/>
    </row>
    <row r="9" spans="1:5" x14ac:dyDescent="0.2">
      <c r="A9" s="5" t="s">
        <v>2</v>
      </c>
      <c r="B9" s="14">
        <v>406</v>
      </c>
      <c r="C9" s="13">
        <v>1</v>
      </c>
      <c r="D9" s="2">
        <f>SUM(StateSenatorSenateDistrict26General[[#This Row],[Part of Kings County Vote Results]:[Part of New York County Vote Results]])</f>
        <v>407</v>
      </c>
      <c r="E9" s="1"/>
    </row>
    <row r="10" spans="1:5" x14ac:dyDescent="0.2">
      <c r="A10" s="5" t="s">
        <v>1</v>
      </c>
      <c r="B10" s="14">
        <v>78</v>
      </c>
      <c r="C10" s="13">
        <v>0</v>
      </c>
      <c r="D10" s="2">
        <f>SUM(StateSenatorSenateDistrict26General[[#This Row],[Part of Kings County Vote Results]:[Part of New York County Vote Results]])</f>
        <v>78</v>
      </c>
      <c r="E10" s="1"/>
    </row>
    <row r="11" spans="1:5" x14ac:dyDescent="0.2">
      <c r="A11" s="4" t="s">
        <v>0</v>
      </c>
      <c r="B11" s="13">
        <f>SUM(StateSenatorSenateDistrict26General[Part of Kings County Vote Results])</f>
        <v>90820</v>
      </c>
      <c r="C11" s="13">
        <f>SUM(StateSenatorSenateDistrict26General[Part of New York County Vote Results])</f>
        <v>1</v>
      </c>
      <c r="D11" s="2">
        <f>SUM(StateSenatorSenateDistrict26General[Total Votes by Party])</f>
        <v>90821</v>
      </c>
      <c r="E11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713E-9011-48A6-8065-D0A58B023E0B}">
  <sheetPr codeName="Sheet27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124</v>
      </c>
    </row>
    <row r="2" spans="1:4" ht="25.5" x14ac:dyDescent="0.2">
      <c r="A2" s="11" t="s">
        <v>11</v>
      </c>
      <c r="B2" s="10" t="s">
        <v>120</v>
      </c>
      <c r="C2" s="9" t="s">
        <v>9</v>
      </c>
      <c r="D2" s="8" t="s">
        <v>8</v>
      </c>
    </row>
    <row r="3" spans="1:4" x14ac:dyDescent="0.2">
      <c r="A3" s="6" t="s">
        <v>123</v>
      </c>
      <c r="B3" s="13">
        <v>62906</v>
      </c>
      <c r="C3" s="2">
        <f>StateSenatorSenateDistrict27General[[#This Row],[Part of New York County Vote Results]]</f>
        <v>62906</v>
      </c>
      <c r="D3" s="7">
        <f>SUM(C3)</f>
        <v>62906</v>
      </c>
    </row>
    <row r="4" spans="1:4" x14ac:dyDescent="0.2">
      <c r="A4" s="6" t="s">
        <v>122</v>
      </c>
      <c r="B4" s="13">
        <v>2684</v>
      </c>
      <c r="C4" s="2">
        <f>StateSenatorSenateDistrict27General[[#This Row],[Part of New York County Vote Results]]</f>
        <v>2684</v>
      </c>
      <c r="D4" s="7">
        <f>SUM(C4)</f>
        <v>2684</v>
      </c>
    </row>
    <row r="5" spans="1:4" x14ac:dyDescent="0.2">
      <c r="A5" s="5" t="s">
        <v>3</v>
      </c>
      <c r="B5" s="13">
        <v>12811</v>
      </c>
      <c r="C5" s="2">
        <f>StateSenatorSenateDistrict27General[[#This Row],[Part of New York County Vote Results]]</f>
        <v>12811</v>
      </c>
      <c r="D5" s="1"/>
    </row>
    <row r="6" spans="1:4" x14ac:dyDescent="0.2">
      <c r="A6" s="5" t="s">
        <v>2</v>
      </c>
      <c r="B6" s="13">
        <v>629</v>
      </c>
      <c r="C6" s="2">
        <f>StateSenatorSenateDistrict27General[[#This Row],[Part of New York County Vote Results]]</f>
        <v>629</v>
      </c>
      <c r="D6" s="1"/>
    </row>
    <row r="7" spans="1:4" x14ac:dyDescent="0.2">
      <c r="A7" s="5" t="s">
        <v>1</v>
      </c>
      <c r="B7" s="13">
        <v>378</v>
      </c>
      <c r="C7" s="2">
        <f>StateSenatorSenateDistrict27General[[#This Row],[Part of New York County Vote Results]]</f>
        <v>378</v>
      </c>
      <c r="D7" s="1"/>
    </row>
    <row r="8" spans="1:4" x14ac:dyDescent="0.2">
      <c r="A8" s="4" t="s">
        <v>0</v>
      </c>
      <c r="B8" s="13">
        <f>SUM(StateSenatorSenateDistrict27General[Part of New York County Vote Results])</f>
        <v>79408</v>
      </c>
      <c r="C8" s="2">
        <f>SUM(StateSenatorSenateDistrict27General[Total Votes by Party])</f>
        <v>79408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C4B3-91A6-4D88-839F-7F8678CEA5C6}">
  <sheetPr codeName="Sheet28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128</v>
      </c>
    </row>
    <row r="2" spans="1:4" ht="25.5" x14ac:dyDescent="0.2">
      <c r="A2" s="11" t="s">
        <v>11</v>
      </c>
      <c r="B2" s="10" t="s">
        <v>120</v>
      </c>
      <c r="C2" s="9" t="s">
        <v>9</v>
      </c>
      <c r="D2" s="8" t="s">
        <v>8</v>
      </c>
    </row>
    <row r="3" spans="1:4" x14ac:dyDescent="0.2">
      <c r="A3" s="6" t="s">
        <v>127</v>
      </c>
      <c r="B3" s="13">
        <v>72039</v>
      </c>
      <c r="C3" s="2">
        <f>StateSenatorSenateDistrict28General[[#This Row],[Part of New York County Vote Results]]</f>
        <v>72039</v>
      </c>
      <c r="D3" s="7">
        <f>SUM(C3,C5)</f>
        <v>76737</v>
      </c>
    </row>
    <row r="4" spans="1:4" x14ac:dyDescent="0.2">
      <c r="A4" s="6" t="s">
        <v>126</v>
      </c>
      <c r="B4" s="13">
        <v>22158</v>
      </c>
      <c r="C4" s="2">
        <f>StateSenatorSenateDistrict28General[[#This Row],[Part of New York County Vote Results]]</f>
        <v>22158</v>
      </c>
      <c r="D4" s="7">
        <f>SUM(C4)</f>
        <v>22158</v>
      </c>
    </row>
    <row r="5" spans="1:4" x14ac:dyDescent="0.2">
      <c r="A5" s="6" t="s">
        <v>125</v>
      </c>
      <c r="B5" s="13">
        <v>4698</v>
      </c>
      <c r="C5" s="2">
        <f>StateSenatorSenateDistrict28General[[#This Row],[Part of New York County Vote Results]]</f>
        <v>4698</v>
      </c>
      <c r="D5" s="1"/>
    </row>
    <row r="6" spans="1:4" x14ac:dyDescent="0.2">
      <c r="A6" s="5" t="s">
        <v>3</v>
      </c>
      <c r="B6" s="13">
        <v>2887</v>
      </c>
      <c r="C6" s="2">
        <f>StateSenatorSenateDistrict28General[[#This Row],[Part of New York County Vote Results]]</f>
        <v>2887</v>
      </c>
      <c r="D6" s="1"/>
    </row>
    <row r="7" spans="1:4" x14ac:dyDescent="0.2">
      <c r="A7" s="5" t="s">
        <v>2</v>
      </c>
      <c r="B7" s="13">
        <v>959</v>
      </c>
      <c r="C7" s="2">
        <f>StateSenatorSenateDistrict28General[[#This Row],[Part of New York County Vote Results]]</f>
        <v>959</v>
      </c>
      <c r="D7" s="1"/>
    </row>
    <row r="8" spans="1:4" x14ac:dyDescent="0.2">
      <c r="A8" s="5" t="s">
        <v>1</v>
      </c>
      <c r="B8" s="13">
        <v>61</v>
      </c>
      <c r="C8" s="2">
        <f>StateSenatorSenateDistrict28General[[#This Row],[Part of New York County Vote Results]]</f>
        <v>61</v>
      </c>
      <c r="D8" s="1"/>
    </row>
    <row r="9" spans="1:4" x14ac:dyDescent="0.2">
      <c r="A9" s="4" t="s">
        <v>0</v>
      </c>
      <c r="B9" s="13">
        <f>SUM(StateSenatorSenateDistrict28General[Part of New York County Vote Results])</f>
        <v>102802</v>
      </c>
      <c r="C9" s="2">
        <f>SUM(StateSenatorSenateDistrict28General[Total Votes by Party])</f>
        <v>102802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3C03-D9AA-44CA-A9F3-E4F018C8BEAE}">
  <sheetPr codeName="Sheet29">
    <pageSetUpPr fitToPage="1"/>
  </sheetPr>
  <dimension ref="A1:E8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131</v>
      </c>
    </row>
    <row r="2" spans="1:5" ht="25.5" x14ac:dyDescent="0.2">
      <c r="A2" s="11" t="s">
        <v>11</v>
      </c>
      <c r="B2" s="10" t="s">
        <v>59</v>
      </c>
      <c r="C2" s="10" t="s">
        <v>120</v>
      </c>
      <c r="D2" s="9" t="s">
        <v>9</v>
      </c>
      <c r="E2" s="8" t="s">
        <v>8</v>
      </c>
    </row>
    <row r="3" spans="1:5" x14ac:dyDescent="0.2">
      <c r="A3" s="6" t="s">
        <v>130</v>
      </c>
      <c r="B3" s="13">
        <v>18000</v>
      </c>
      <c r="C3" s="13">
        <v>19770</v>
      </c>
      <c r="D3" s="2">
        <f>SUM(StateSenatorSenateDistrict29General[[#This Row],[Part of Bronx County Vote Results]:[Part of New York County Vote Results]])</f>
        <v>37770</v>
      </c>
      <c r="E3" s="7">
        <f>SUM(D3,D4)</f>
        <v>40546</v>
      </c>
    </row>
    <row r="4" spans="1:5" x14ac:dyDescent="0.2">
      <c r="A4" s="6" t="s">
        <v>129</v>
      </c>
      <c r="B4" s="13">
        <v>955</v>
      </c>
      <c r="C4" s="13">
        <v>1821</v>
      </c>
      <c r="D4" s="2">
        <f>SUM(StateSenatorSenateDistrict29General[[#This Row],[Part of Bronx County Vote Results]:[Part of New York County Vote Results]])</f>
        <v>2776</v>
      </c>
      <c r="E4" s="1"/>
    </row>
    <row r="5" spans="1:5" x14ac:dyDescent="0.2">
      <c r="A5" s="5" t="s">
        <v>3</v>
      </c>
      <c r="B5" s="13">
        <v>4691</v>
      </c>
      <c r="C5" s="13">
        <v>4523</v>
      </c>
      <c r="D5" s="2">
        <f>SUM(StateSenatorSenateDistrict29General[[#This Row],[Part of Bronx County Vote Results]:[Part of New York County Vote Results]])</f>
        <v>9214</v>
      </c>
      <c r="E5" s="1"/>
    </row>
    <row r="6" spans="1:5" x14ac:dyDescent="0.2">
      <c r="A6" s="5" t="s">
        <v>2</v>
      </c>
      <c r="B6" s="13">
        <v>26</v>
      </c>
      <c r="C6" s="13">
        <v>131</v>
      </c>
      <c r="D6" s="2">
        <f>SUM(StateSenatorSenateDistrict29General[[#This Row],[Part of Bronx County Vote Results]:[Part of New York County Vote Results]])</f>
        <v>157</v>
      </c>
      <c r="E6" s="1"/>
    </row>
    <row r="7" spans="1:5" x14ac:dyDescent="0.2">
      <c r="A7" s="5" t="s">
        <v>1</v>
      </c>
      <c r="B7" s="13">
        <v>36</v>
      </c>
      <c r="C7" s="13">
        <v>167</v>
      </c>
      <c r="D7" s="2">
        <f>SUM(StateSenatorSenateDistrict29General[[#This Row],[Part of Bronx County Vote Results]:[Part of New York County Vote Results]])</f>
        <v>203</v>
      </c>
      <c r="E7" s="1"/>
    </row>
    <row r="8" spans="1:5" x14ac:dyDescent="0.2">
      <c r="A8" s="4" t="s">
        <v>0</v>
      </c>
      <c r="B8" s="13">
        <f>SUM(StateSenatorSenateDistrict29General[Part of Bronx County Vote Results])</f>
        <v>23708</v>
      </c>
      <c r="C8" s="13">
        <f>SUM(StateSenatorSenateDistrict29General[Part of New York County Vote Results])</f>
        <v>26412</v>
      </c>
      <c r="D8" s="2">
        <f>SUM(StateSenatorSenateDistrict29General[Total Votes by Party])</f>
        <v>50120</v>
      </c>
      <c r="E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84F9-EB35-4946-BF8B-D0766CA9A23D}">
  <sheetPr codeName="Sheet3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21</v>
      </c>
    </row>
    <row r="2" spans="1:4" ht="24.95" customHeight="1" x14ac:dyDescent="0.2">
      <c r="A2" s="11" t="s">
        <v>11</v>
      </c>
      <c r="B2" s="10" t="s">
        <v>10</v>
      </c>
      <c r="C2" s="9" t="s">
        <v>9</v>
      </c>
      <c r="D2" s="8" t="s">
        <v>8</v>
      </c>
    </row>
    <row r="3" spans="1:4" x14ac:dyDescent="0.2">
      <c r="A3" s="6" t="s">
        <v>20</v>
      </c>
      <c r="B3" s="13">
        <v>38129</v>
      </c>
      <c r="C3" s="2">
        <f>StateSenatorSenateDistrict3General42[[#This Row],[Part of Suffolk County Vote Results]]</f>
        <v>38129</v>
      </c>
      <c r="D3" s="7">
        <f>SUM(C3)</f>
        <v>38129</v>
      </c>
    </row>
    <row r="4" spans="1:4" x14ac:dyDescent="0.2">
      <c r="A4" s="6" t="s">
        <v>19</v>
      </c>
      <c r="B4" s="13">
        <v>61459</v>
      </c>
      <c r="C4" s="2">
        <f>StateSenatorSenateDistrict3General42[[#This Row],[Part of Suffolk County Vote Results]]</f>
        <v>61459</v>
      </c>
      <c r="D4" s="7">
        <f>SUM(C4,C5)</f>
        <v>71186</v>
      </c>
    </row>
    <row r="5" spans="1:4" x14ac:dyDescent="0.2">
      <c r="A5" s="6" t="s">
        <v>18</v>
      </c>
      <c r="B5" s="13">
        <v>9727</v>
      </c>
      <c r="C5" s="2">
        <f>StateSenatorSenateDistrict3General42[[#This Row],[Part of Suffolk County Vote Results]]</f>
        <v>9727</v>
      </c>
      <c r="D5" s="1"/>
    </row>
    <row r="6" spans="1:4" x14ac:dyDescent="0.2">
      <c r="A6" s="5" t="s">
        <v>3</v>
      </c>
      <c r="B6" s="13">
        <v>4868</v>
      </c>
      <c r="C6" s="2">
        <f>StateSenatorSenateDistrict3General42[[#This Row],[Part of Suffolk County Vote Results]]</f>
        <v>4868</v>
      </c>
      <c r="D6" s="1"/>
    </row>
    <row r="7" spans="1:4" x14ac:dyDescent="0.2">
      <c r="A7" s="5" t="s">
        <v>2</v>
      </c>
      <c r="B7" s="13">
        <v>14</v>
      </c>
      <c r="C7" s="2">
        <f>StateSenatorSenateDistrict3General42[[#This Row],[Part of Suffolk County Vote Results]]</f>
        <v>14</v>
      </c>
      <c r="D7" s="1"/>
    </row>
    <row r="8" spans="1:4" x14ac:dyDescent="0.2">
      <c r="A8" s="5" t="s">
        <v>1</v>
      </c>
      <c r="B8" s="13">
        <v>20</v>
      </c>
      <c r="C8" s="2">
        <f>StateSenatorSenateDistrict3General42[[#This Row],[Part of Suffolk County Vote Results]]</f>
        <v>20</v>
      </c>
      <c r="D8" s="1"/>
    </row>
    <row r="9" spans="1:4" x14ac:dyDescent="0.2">
      <c r="A9" s="4" t="s">
        <v>0</v>
      </c>
      <c r="B9" s="13">
        <f>SUM(StateSenatorSenateDistrict3General42[Part of Suffolk County Vote Results])</f>
        <v>114217</v>
      </c>
      <c r="C9" s="2">
        <f>SUM(StateSenatorSenateDistrict3General42[Total Votes by Party])</f>
        <v>114217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6BB1-40C5-4974-8E29-16FF237766DA}">
  <sheetPr codeName="Sheet30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134</v>
      </c>
    </row>
    <row r="2" spans="1:4" ht="25.5" x14ac:dyDescent="0.2">
      <c r="A2" s="11" t="s">
        <v>11</v>
      </c>
      <c r="B2" s="10" t="s">
        <v>120</v>
      </c>
      <c r="C2" s="9" t="s">
        <v>9</v>
      </c>
      <c r="D2" s="8" t="s">
        <v>8</v>
      </c>
    </row>
    <row r="3" spans="1:4" x14ac:dyDescent="0.2">
      <c r="A3" s="6" t="s">
        <v>133</v>
      </c>
      <c r="B3" s="13">
        <v>55813</v>
      </c>
      <c r="C3" s="2">
        <f>StateSenatorSenateDistrict30General[[#This Row],[Part of New York County Vote Results]]</f>
        <v>55813</v>
      </c>
      <c r="D3" s="7">
        <f>SUM(C3,C4)</f>
        <v>61749</v>
      </c>
    </row>
    <row r="4" spans="1:4" x14ac:dyDescent="0.2">
      <c r="A4" s="6" t="s">
        <v>132</v>
      </c>
      <c r="B4" s="13">
        <v>5936</v>
      </c>
      <c r="C4" s="2">
        <f>StateSenatorSenateDistrict30General[[#This Row],[Part of New York County Vote Results]]</f>
        <v>5936</v>
      </c>
      <c r="D4" s="1"/>
    </row>
    <row r="5" spans="1:4" x14ac:dyDescent="0.2">
      <c r="A5" s="5" t="s">
        <v>3</v>
      </c>
      <c r="B5" s="13">
        <v>9566</v>
      </c>
      <c r="C5" s="2">
        <f>StateSenatorSenateDistrict30General[[#This Row],[Part of New York County Vote Results]]</f>
        <v>9566</v>
      </c>
      <c r="D5" s="1"/>
    </row>
    <row r="6" spans="1:4" x14ac:dyDescent="0.2">
      <c r="A6" s="5" t="s">
        <v>2</v>
      </c>
      <c r="B6" s="13">
        <v>312</v>
      </c>
      <c r="C6" s="2">
        <f>StateSenatorSenateDistrict30General[[#This Row],[Part of New York County Vote Results]]</f>
        <v>312</v>
      </c>
      <c r="D6" s="1"/>
    </row>
    <row r="7" spans="1:4" x14ac:dyDescent="0.2">
      <c r="A7" s="5" t="s">
        <v>1</v>
      </c>
      <c r="B7" s="13">
        <v>258</v>
      </c>
      <c r="C7" s="2">
        <f>StateSenatorSenateDistrict30General[[#This Row],[Part of New York County Vote Results]]</f>
        <v>258</v>
      </c>
      <c r="D7" s="1"/>
    </row>
    <row r="8" spans="1:4" x14ac:dyDescent="0.2">
      <c r="A8" s="4" t="s">
        <v>0</v>
      </c>
      <c r="B8" s="13">
        <f>SUM(StateSenatorSenateDistrict30General[Part of New York County Vote Results])</f>
        <v>71885</v>
      </c>
      <c r="C8" s="2">
        <f>SUM(StateSenatorSenateDistrict30General[Total Votes by Party])</f>
        <v>71885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AB608-13F8-4C8D-B5B4-EA7891DA2558}">
  <sheetPr codeName="Sheet31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138</v>
      </c>
    </row>
    <row r="2" spans="1:5" ht="25.5" x14ac:dyDescent="0.2">
      <c r="A2" s="11" t="s">
        <v>11</v>
      </c>
      <c r="B2" s="10" t="s">
        <v>59</v>
      </c>
      <c r="C2" s="10" t="s">
        <v>120</v>
      </c>
      <c r="D2" s="27" t="s">
        <v>9</v>
      </c>
      <c r="E2" s="8" t="s">
        <v>8</v>
      </c>
    </row>
    <row r="3" spans="1:5" x14ac:dyDescent="0.2">
      <c r="A3" s="6" t="s">
        <v>137</v>
      </c>
      <c r="B3" s="13">
        <v>10150</v>
      </c>
      <c r="C3" s="13">
        <v>26777</v>
      </c>
      <c r="D3" s="2">
        <f>SUM(StateSenatorSenateDistrict31General[[#This Row],[Part of Bronx County Vote Results]:[Part of New York County Vote Results]])</f>
        <v>36927</v>
      </c>
      <c r="E3" s="7">
        <f>SUM(D3,D5)</f>
        <v>42110</v>
      </c>
    </row>
    <row r="4" spans="1:5" x14ac:dyDescent="0.2">
      <c r="A4" s="6" t="s">
        <v>136</v>
      </c>
      <c r="B4" s="13">
        <v>2864</v>
      </c>
      <c r="C4" s="13">
        <v>4413</v>
      </c>
      <c r="D4" s="2">
        <f>SUM(StateSenatorSenateDistrict31General[[#This Row],[Part of Bronx County Vote Results]:[Part of New York County Vote Results]])</f>
        <v>7277</v>
      </c>
      <c r="E4" s="7">
        <f>SUM(D4)</f>
        <v>7277</v>
      </c>
    </row>
    <row r="5" spans="1:5" x14ac:dyDescent="0.2">
      <c r="A5" s="6" t="s">
        <v>135</v>
      </c>
      <c r="B5" s="13">
        <v>744</v>
      </c>
      <c r="C5" s="13">
        <v>4439</v>
      </c>
      <c r="D5" s="2">
        <f>SUM(StateSenatorSenateDistrict31General[[#This Row],[Part of Bronx County Vote Results]:[Part of New York County Vote Results]])</f>
        <v>5183</v>
      </c>
      <c r="E5" s="1"/>
    </row>
    <row r="6" spans="1:5" x14ac:dyDescent="0.2">
      <c r="A6" s="5" t="s">
        <v>3</v>
      </c>
      <c r="B6" s="13">
        <v>2151</v>
      </c>
      <c r="C6" s="13">
        <v>3684</v>
      </c>
      <c r="D6" s="2">
        <f>SUM(StateSenatorSenateDistrict31General[[#This Row],[Part of Bronx County Vote Results]:[Part of New York County Vote Results]])</f>
        <v>5835</v>
      </c>
      <c r="E6" s="1"/>
    </row>
    <row r="7" spans="1:5" x14ac:dyDescent="0.2">
      <c r="A7" s="5" t="s">
        <v>2</v>
      </c>
      <c r="B7" s="13">
        <v>43</v>
      </c>
      <c r="C7" s="13">
        <v>173</v>
      </c>
      <c r="D7" s="2">
        <f>SUM(StateSenatorSenateDistrict31General[[#This Row],[Part of Bronx County Vote Results]:[Part of New York County Vote Results]])</f>
        <v>216</v>
      </c>
      <c r="E7" s="1"/>
    </row>
    <row r="8" spans="1:5" x14ac:dyDescent="0.2">
      <c r="A8" s="5" t="s">
        <v>1</v>
      </c>
      <c r="B8" s="13">
        <v>12</v>
      </c>
      <c r="C8" s="13">
        <v>72</v>
      </c>
      <c r="D8" s="2">
        <f>SUM(StateSenatorSenateDistrict31General[[#This Row],[Part of Bronx County Vote Results]:[Part of New York County Vote Results]])</f>
        <v>84</v>
      </c>
      <c r="E8" s="1"/>
    </row>
    <row r="9" spans="1:5" x14ac:dyDescent="0.2">
      <c r="A9" s="4" t="s">
        <v>0</v>
      </c>
      <c r="B9" s="13">
        <f>SUM(StateSenatorSenateDistrict31General[Part of Bronx County Vote Results])</f>
        <v>15964</v>
      </c>
      <c r="C9" s="13">
        <f>SUM(StateSenatorSenateDistrict31General[Part of New York County Vote Results])</f>
        <v>39558</v>
      </c>
      <c r="D9" s="2">
        <f>SUM(StateSenatorSenateDistrict31General[Total Votes by Party])</f>
        <v>55522</v>
      </c>
      <c r="E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8378-21F1-4127-B6DA-0A4BA95B4E56}">
  <sheetPr codeName="Sheet32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142</v>
      </c>
    </row>
    <row r="2" spans="1:4" ht="25.5" x14ac:dyDescent="0.2">
      <c r="A2" s="11" t="s">
        <v>11</v>
      </c>
      <c r="B2" s="10" t="s">
        <v>59</v>
      </c>
      <c r="C2" s="9" t="s">
        <v>9</v>
      </c>
      <c r="D2" s="8" t="s">
        <v>8</v>
      </c>
    </row>
    <row r="3" spans="1:4" x14ac:dyDescent="0.2">
      <c r="A3" s="6" t="s">
        <v>141</v>
      </c>
      <c r="B3" s="13">
        <v>23184</v>
      </c>
      <c r="C3" s="2">
        <f>StateSenatorSenateDistrict32General[[#This Row],[Part of Bronx County Vote Results]]</f>
        <v>23184</v>
      </c>
      <c r="D3" s="7">
        <f>SUM(C3)</f>
        <v>23184</v>
      </c>
    </row>
    <row r="4" spans="1:4" x14ac:dyDescent="0.2">
      <c r="A4" s="6" t="s">
        <v>140</v>
      </c>
      <c r="B4" s="13">
        <v>4053</v>
      </c>
      <c r="C4" s="2">
        <f>StateSenatorSenateDistrict32General[[#This Row],[Part of Bronx County Vote Results]]</f>
        <v>4053</v>
      </c>
      <c r="D4" s="7">
        <f>SUM(C4)</f>
        <v>4053</v>
      </c>
    </row>
    <row r="5" spans="1:4" x14ac:dyDescent="0.2">
      <c r="A5" s="6" t="s">
        <v>139</v>
      </c>
      <c r="B5" s="13">
        <v>599</v>
      </c>
      <c r="C5" s="2">
        <f>StateSenatorSenateDistrict32General[[#This Row],[Part of Bronx County Vote Results]]</f>
        <v>599</v>
      </c>
      <c r="D5" s="7">
        <f>SUM(C5)</f>
        <v>599</v>
      </c>
    </row>
    <row r="6" spans="1:4" x14ac:dyDescent="0.2">
      <c r="A6" s="5" t="s">
        <v>3</v>
      </c>
      <c r="B6" s="13">
        <v>3913</v>
      </c>
      <c r="C6" s="2">
        <f>StateSenatorSenateDistrict32General[[#This Row],[Part of Bronx County Vote Results]]</f>
        <v>3913</v>
      </c>
      <c r="D6" s="1"/>
    </row>
    <row r="7" spans="1:4" x14ac:dyDescent="0.2">
      <c r="A7" s="5" t="s">
        <v>2</v>
      </c>
      <c r="B7" s="13">
        <v>27</v>
      </c>
      <c r="C7" s="2">
        <f>StateSenatorSenateDistrict32General[[#This Row],[Part of Bronx County Vote Results]]</f>
        <v>27</v>
      </c>
      <c r="D7" s="1"/>
    </row>
    <row r="8" spans="1:4" x14ac:dyDescent="0.2">
      <c r="A8" s="5" t="s">
        <v>1</v>
      </c>
      <c r="B8" s="13">
        <v>30</v>
      </c>
      <c r="C8" s="2">
        <f>StateSenatorSenateDistrict32General[[#This Row],[Part of Bronx County Vote Results]]</f>
        <v>30</v>
      </c>
      <c r="D8" s="1"/>
    </row>
    <row r="9" spans="1:4" x14ac:dyDescent="0.2">
      <c r="A9" s="4" t="s">
        <v>0</v>
      </c>
      <c r="B9" s="13">
        <f>SUM(StateSenatorSenateDistrict32General[Part of Bronx County Vote Results])</f>
        <v>31806</v>
      </c>
      <c r="C9" s="2">
        <f>SUM(StateSenatorSenateDistrict32General[Total Votes by Party])</f>
        <v>31806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7862-C43C-4E78-A64E-122B409C133F}">
  <sheetPr codeName="Sheet33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145</v>
      </c>
    </row>
    <row r="2" spans="1:4" ht="25.5" x14ac:dyDescent="0.2">
      <c r="A2" s="11" t="s">
        <v>11</v>
      </c>
      <c r="B2" s="10" t="s">
        <v>59</v>
      </c>
      <c r="C2" s="9" t="s">
        <v>9</v>
      </c>
      <c r="D2" s="8" t="s">
        <v>8</v>
      </c>
    </row>
    <row r="3" spans="1:4" x14ac:dyDescent="0.2">
      <c r="A3" s="6" t="s">
        <v>144</v>
      </c>
      <c r="B3" s="13">
        <v>30136</v>
      </c>
      <c r="C3" s="2">
        <f>StateSenatorSenateDistrict33General[[#This Row],[Part of Bronx County Vote Results]]</f>
        <v>30136</v>
      </c>
      <c r="D3" s="7">
        <f>SUM(C3,C4)</f>
        <v>33020</v>
      </c>
    </row>
    <row r="4" spans="1:4" x14ac:dyDescent="0.2">
      <c r="A4" s="6" t="s">
        <v>143</v>
      </c>
      <c r="B4" s="13">
        <v>2884</v>
      </c>
      <c r="C4" s="2">
        <f>StateSenatorSenateDistrict33General[[#This Row],[Part of Bronx County Vote Results]]</f>
        <v>2884</v>
      </c>
      <c r="D4" s="1"/>
    </row>
    <row r="5" spans="1:4" x14ac:dyDescent="0.2">
      <c r="A5" s="5" t="s">
        <v>3</v>
      </c>
      <c r="B5" s="13">
        <v>11381</v>
      </c>
      <c r="C5" s="2">
        <f>StateSenatorSenateDistrict33General[[#This Row],[Part of Bronx County Vote Results]]</f>
        <v>11381</v>
      </c>
      <c r="D5" s="1"/>
    </row>
    <row r="6" spans="1:4" x14ac:dyDescent="0.2">
      <c r="A6" s="5" t="s">
        <v>2</v>
      </c>
      <c r="B6" s="13">
        <v>141</v>
      </c>
      <c r="C6" s="2">
        <f>StateSenatorSenateDistrict33General[[#This Row],[Part of Bronx County Vote Results]]</f>
        <v>141</v>
      </c>
      <c r="D6" s="1"/>
    </row>
    <row r="7" spans="1:4" x14ac:dyDescent="0.2">
      <c r="A7" s="5" t="s">
        <v>1</v>
      </c>
      <c r="B7" s="13">
        <v>163</v>
      </c>
      <c r="C7" s="2">
        <f>StateSenatorSenateDistrict33General[[#This Row],[Part of Bronx County Vote Results]]</f>
        <v>163</v>
      </c>
      <c r="D7" s="1"/>
    </row>
    <row r="8" spans="1:4" x14ac:dyDescent="0.2">
      <c r="A8" s="4" t="s">
        <v>0</v>
      </c>
      <c r="B8" s="13">
        <f>SUM(StateSenatorSenateDistrict33General[Part of Bronx County Vote Results])</f>
        <v>44705</v>
      </c>
      <c r="C8" s="2">
        <f>SUM(StateSenatorSenateDistrict33General[Total Votes by Party])</f>
        <v>44705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55D8-6679-4909-AF1B-75D1BF51B598}">
  <sheetPr codeName="Sheet34">
    <pageSetUpPr fitToPage="1"/>
  </sheetPr>
  <dimension ref="A1:E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150</v>
      </c>
    </row>
    <row r="2" spans="1:5" ht="25.5" x14ac:dyDescent="0.2">
      <c r="A2" s="11" t="s">
        <v>11</v>
      </c>
      <c r="B2" s="10" t="s">
        <v>59</v>
      </c>
      <c r="C2" s="10" t="s">
        <v>149</v>
      </c>
      <c r="D2" s="9" t="s">
        <v>9</v>
      </c>
      <c r="E2" s="8" t="s">
        <v>8</v>
      </c>
    </row>
    <row r="3" spans="1:5" x14ac:dyDescent="0.2">
      <c r="A3" s="6" t="s">
        <v>148</v>
      </c>
      <c r="B3" s="13">
        <v>24731</v>
      </c>
      <c r="C3" s="13">
        <v>9647</v>
      </c>
      <c r="D3" s="2">
        <f>SUM(StateSenatorSenateDistrict34General[[#This Row],[Part of Bronx County Vote Results]:[Part of Westchester County Vote Results]])</f>
        <v>34378</v>
      </c>
      <c r="E3" s="7">
        <f>SUM(D3)</f>
        <v>34378</v>
      </c>
    </row>
    <row r="4" spans="1:5" x14ac:dyDescent="0.2">
      <c r="A4" s="6" t="s">
        <v>147</v>
      </c>
      <c r="B4" s="13">
        <v>12591</v>
      </c>
      <c r="C4" s="13">
        <v>4510</v>
      </c>
      <c r="D4" s="2">
        <f>SUM(StateSenatorSenateDistrict34General[[#This Row],[Part of Bronx County Vote Results]:[Part of Westchester County Vote Results]])</f>
        <v>17101</v>
      </c>
      <c r="E4" s="7">
        <f>SUM(D4,D5)</f>
        <v>18335</v>
      </c>
    </row>
    <row r="5" spans="1:5" x14ac:dyDescent="0.2">
      <c r="A5" s="6" t="s">
        <v>146</v>
      </c>
      <c r="B5" s="13">
        <v>866</v>
      </c>
      <c r="C5" s="13">
        <v>368</v>
      </c>
      <c r="D5" s="2">
        <f>SUM(StateSenatorSenateDistrict34General[[#This Row],[Part of Bronx County Vote Results]:[Part of Westchester County Vote Results]])</f>
        <v>1234</v>
      </c>
      <c r="E5" s="1"/>
    </row>
    <row r="6" spans="1:5" x14ac:dyDescent="0.2">
      <c r="A6" s="5" t="s">
        <v>3</v>
      </c>
      <c r="B6" s="13">
        <v>3753</v>
      </c>
      <c r="C6" s="13">
        <v>1201</v>
      </c>
      <c r="D6" s="2">
        <f>SUM(StateSenatorSenateDistrict34General[[#This Row],[Part of Bronx County Vote Results]:[Part of Westchester County Vote Results]])</f>
        <v>4954</v>
      </c>
      <c r="E6" s="1"/>
    </row>
    <row r="7" spans="1:5" x14ac:dyDescent="0.2">
      <c r="A7" s="5" t="s">
        <v>2</v>
      </c>
      <c r="B7" s="13">
        <v>52</v>
      </c>
      <c r="C7" s="13"/>
      <c r="D7" s="2">
        <f>SUM(StateSenatorSenateDistrict34General[[#This Row],[Part of Bronx County Vote Results]:[Part of Westchester County Vote Results]])</f>
        <v>52</v>
      </c>
      <c r="E7" s="1"/>
    </row>
    <row r="8" spans="1:5" x14ac:dyDescent="0.2">
      <c r="A8" s="5" t="s">
        <v>1</v>
      </c>
      <c r="B8" s="13">
        <v>16</v>
      </c>
      <c r="C8" s="13">
        <v>2</v>
      </c>
      <c r="D8" s="2">
        <f>SUM(StateSenatorSenateDistrict34General[[#This Row],[Part of Bronx County Vote Results]:[Part of Westchester County Vote Results]])</f>
        <v>18</v>
      </c>
      <c r="E8" s="1"/>
    </row>
    <row r="9" spans="1:5" x14ac:dyDescent="0.2">
      <c r="A9" s="4" t="s">
        <v>0</v>
      </c>
      <c r="B9" s="13">
        <f>SUM(StateSenatorSenateDistrict34General[Part of Bronx County Vote Results])</f>
        <v>42009</v>
      </c>
      <c r="C9" s="13">
        <f>SUM(StateSenatorSenateDistrict34General[Part of Westchester County Vote Results])</f>
        <v>15728</v>
      </c>
      <c r="D9" s="2">
        <f>SUM(StateSenatorSenateDistrict34General[Total Votes by Party])</f>
        <v>57737</v>
      </c>
      <c r="E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490E-2F9B-4568-9C33-10C5B12A2752}">
  <sheetPr codeName="Sheet35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154</v>
      </c>
    </row>
    <row r="2" spans="1:4" ht="25.5" x14ac:dyDescent="0.2">
      <c r="A2" s="11" t="s">
        <v>11</v>
      </c>
      <c r="B2" s="10" t="s">
        <v>149</v>
      </c>
      <c r="C2" s="9" t="s">
        <v>9</v>
      </c>
      <c r="D2" s="8" t="s">
        <v>8</v>
      </c>
    </row>
    <row r="3" spans="1:4" x14ac:dyDescent="0.2">
      <c r="A3" s="6" t="s">
        <v>153</v>
      </c>
      <c r="B3" s="13">
        <v>52693</v>
      </c>
      <c r="C3" s="2">
        <f>StateSenatorSenateDistrict35General[[#This Row],[Part of Westchester County Vote Results]]</f>
        <v>52693</v>
      </c>
      <c r="D3" s="7">
        <f>SUM(C3,C5)</f>
        <v>56220</v>
      </c>
    </row>
    <row r="4" spans="1:4" x14ac:dyDescent="0.2">
      <c r="A4" s="6" t="s">
        <v>152</v>
      </c>
      <c r="B4" s="13">
        <v>30549</v>
      </c>
      <c r="C4" s="2">
        <f>StateSenatorSenateDistrict35General[[#This Row],[Part of Westchester County Vote Results]]</f>
        <v>30549</v>
      </c>
      <c r="D4" s="7">
        <f>SUM(C4)</f>
        <v>30549</v>
      </c>
    </row>
    <row r="5" spans="1:4" x14ac:dyDescent="0.2">
      <c r="A5" s="6" t="s">
        <v>151</v>
      </c>
      <c r="B5" s="13">
        <v>3527</v>
      </c>
      <c r="C5" s="2">
        <f>StateSenatorSenateDistrict35General[[#This Row],[Part of Westchester County Vote Results]]</f>
        <v>3527</v>
      </c>
      <c r="D5" s="1"/>
    </row>
    <row r="6" spans="1:4" x14ac:dyDescent="0.2">
      <c r="A6" s="5" t="s">
        <v>3</v>
      </c>
      <c r="B6" s="13">
        <v>4605</v>
      </c>
      <c r="C6" s="2">
        <f>StateSenatorSenateDistrict35General[[#This Row],[Part of Westchester County Vote Results]]</f>
        <v>4605</v>
      </c>
      <c r="D6" s="1"/>
    </row>
    <row r="7" spans="1:4" x14ac:dyDescent="0.2">
      <c r="A7" s="5" t="s">
        <v>2</v>
      </c>
      <c r="B7" s="13"/>
      <c r="C7" s="2">
        <f>StateSenatorSenateDistrict35General[[#This Row],[Part of Westchester County Vote Results]]</f>
        <v>0</v>
      </c>
      <c r="D7" s="1"/>
    </row>
    <row r="8" spans="1:4" x14ac:dyDescent="0.2">
      <c r="A8" s="5" t="s">
        <v>1</v>
      </c>
      <c r="B8" s="13">
        <v>20</v>
      </c>
      <c r="C8" s="2">
        <f>StateSenatorSenateDistrict35General[[#This Row],[Part of Westchester County Vote Results]]</f>
        <v>20</v>
      </c>
      <c r="D8" s="1"/>
    </row>
    <row r="9" spans="1:4" x14ac:dyDescent="0.2">
      <c r="A9" s="4" t="s">
        <v>0</v>
      </c>
      <c r="B9" s="13">
        <f>SUM(StateSenatorSenateDistrict35General[Part of Westchester County Vote Results])</f>
        <v>91394</v>
      </c>
      <c r="C9" s="2">
        <f>SUM(StateSenatorSenateDistrict35General[Total Votes by Party])</f>
        <v>91394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A6E-375D-4C2F-8ADB-FFF8E0D5BC63}">
  <sheetPr codeName="Sheet36">
    <pageSetUpPr fitToPage="1"/>
  </sheetPr>
  <dimension ref="A1:E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156</v>
      </c>
    </row>
    <row r="2" spans="1:5" ht="25.5" x14ac:dyDescent="0.2">
      <c r="A2" s="11" t="s">
        <v>11</v>
      </c>
      <c r="B2" s="10" t="s">
        <v>59</v>
      </c>
      <c r="C2" s="10" t="s">
        <v>149</v>
      </c>
      <c r="D2" s="9" t="s">
        <v>9</v>
      </c>
      <c r="E2" s="8" t="s">
        <v>8</v>
      </c>
    </row>
    <row r="3" spans="1:5" x14ac:dyDescent="0.2">
      <c r="A3" s="6" t="s">
        <v>155</v>
      </c>
      <c r="B3" s="13">
        <v>37009</v>
      </c>
      <c r="C3" s="13">
        <v>12604</v>
      </c>
      <c r="D3" s="2">
        <f>SUM(StateSenatorSenateDistrict36General[[#This Row],[Part of Bronx County Vote Results]:[Part of Westchester County Vote Results]])</f>
        <v>49613</v>
      </c>
      <c r="E3" s="7">
        <f>SUM(StateSenatorSenateDistrict36General[[#This Row],[Total Votes by Party]])</f>
        <v>49613</v>
      </c>
    </row>
    <row r="4" spans="1:5" x14ac:dyDescent="0.2">
      <c r="A4" s="5" t="s">
        <v>3</v>
      </c>
      <c r="B4" s="13">
        <v>8022</v>
      </c>
      <c r="C4" s="13">
        <v>2954</v>
      </c>
      <c r="D4" s="2">
        <f>SUM(StateSenatorSenateDistrict36General[[#This Row],[Part of Bronx County Vote Results]:[Part of Westchester County Vote Results]])</f>
        <v>10976</v>
      </c>
      <c r="E4" s="1"/>
    </row>
    <row r="5" spans="1:5" x14ac:dyDescent="0.2">
      <c r="A5" s="5" t="s">
        <v>2</v>
      </c>
      <c r="B5" s="13">
        <v>50</v>
      </c>
      <c r="C5" s="13"/>
      <c r="D5" s="2">
        <f>SUM(StateSenatorSenateDistrict36General[[#This Row],[Part of Bronx County Vote Results]:[Part of Westchester County Vote Results]])</f>
        <v>50</v>
      </c>
      <c r="E5" s="1"/>
    </row>
    <row r="6" spans="1:5" x14ac:dyDescent="0.2">
      <c r="A6" s="5" t="s">
        <v>1</v>
      </c>
      <c r="B6" s="13">
        <v>129</v>
      </c>
      <c r="C6" s="13">
        <v>25</v>
      </c>
      <c r="D6" s="2">
        <f>SUM(StateSenatorSenateDistrict36General[[#This Row],[Part of Bronx County Vote Results]:[Part of Westchester County Vote Results]])</f>
        <v>154</v>
      </c>
      <c r="E6" s="1"/>
    </row>
    <row r="7" spans="1:5" x14ac:dyDescent="0.2">
      <c r="A7" s="4" t="s">
        <v>0</v>
      </c>
      <c r="B7" s="13">
        <f>SUM(StateSenatorSenateDistrict36General[Part of Bronx County Vote Results])</f>
        <v>45210</v>
      </c>
      <c r="C7" s="13">
        <f>SUM(StateSenatorSenateDistrict36General[Part of Westchester County Vote Results])</f>
        <v>15583</v>
      </c>
      <c r="D7" s="2">
        <f>SUM(StateSenatorSenateDistrict36General[Total Votes by Party])</f>
        <v>60793</v>
      </c>
      <c r="E7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4BB2-3768-428D-97CB-BE65FA08B86E}">
  <sheetPr codeName="Sheet37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160</v>
      </c>
    </row>
    <row r="2" spans="1:4" ht="25.5" x14ac:dyDescent="0.2">
      <c r="A2" s="11" t="s">
        <v>11</v>
      </c>
      <c r="B2" s="10" t="s">
        <v>149</v>
      </c>
      <c r="C2" s="9" t="s">
        <v>9</v>
      </c>
      <c r="D2" s="8" t="s">
        <v>8</v>
      </c>
    </row>
    <row r="3" spans="1:4" x14ac:dyDescent="0.2">
      <c r="A3" s="6" t="s">
        <v>159</v>
      </c>
      <c r="B3" s="13">
        <v>63913</v>
      </c>
      <c r="C3" s="2">
        <f>StateSenatorSenateDistrict37General[[#This Row],[Part of Westchester County Vote Results]]</f>
        <v>63913</v>
      </c>
      <c r="D3" s="7">
        <f>SUM(C3,C5)</f>
        <v>67130</v>
      </c>
    </row>
    <row r="4" spans="1:4" x14ac:dyDescent="0.2">
      <c r="A4" s="6" t="s">
        <v>158</v>
      </c>
      <c r="B4" s="13">
        <v>42767</v>
      </c>
      <c r="C4" s="2">
        <f>StateSenatorSenateDistrict37General[[#This Row],[Part of Westchester County Vote Results]]</f>
        <v>42767</v>
      </c>
      <c r="D4" s="7">
        <f>SUM(C4)</f>
        <v>42767</v>
      </c>
    </row>
    <row r="5" spans="1:4" x14ac:dyDescent="0.2">
      <c r="A5" s="6" t="s">
        <v>157</v>
      </c>
      <c r="B5" s="13">
        <v>3217</v>
      </c>
      <c r="C5" s="2">
        <f>StateSenatorSenateDistrict37General[[#This Row],[Part of Westchester County Vote Results]]</f>
        <v>3217</v>
      </c>
      <c r="D5" s="1"/>
    </row>
    <row r="6" spans="1:4" x14ac:dyDescent="0.2">
      <c r="A6" s="5" t="s">
        <v>3</v>
      </c>
      <c r="B6" s="13">
        <v>6435</v>
      </c>
      <c r="C6" s="2">
        <f>StateSenatorSenateDistrict37General[[#This Row],[Part of Westchester County Vote Results]]</f>
        <v>6435</v>
      </c>
      <c r="D6" s="1"/>
    </row>
    <row r="7" spans="1:4" x14ac:dyDescent="0.2">
      <c r="A7" s="5" t="s">
        <v>2</v>
      </c>
      <c r="B7" s="13"/>
      <c r="C7" s="2">
        <f>StateSenatorSenateDistrict37General[[#This Row],[Part of Westchester County Vote Results]]</f>
        <v>0</v>
      </c>
      <c r="D7" s="1"/>
    </row>
    <row r="8" spans="1:4" x14ac:dyDescent="0.2">
      <c r="A8" s="5" t="s">
        <v>1</v>
      </c>
      <c r="B8" s="13">
        <v>30</v>
      </c>
      <c r="C8" s="2">
        <f>StateSenatorSenateDistrict37General[[#This Row],[Part of Westchester County Vote Results]]</f>
        <v>30</v>
      </c>
      <c r="D8" s="1"/>
    </row>
    <row r="9" spans="1:4" x14ac:dyDescent="0.2">
      <c r="A9" s="4" t="s">
        <v>0</v>
      </c>
      <c r="B9" s="13">
        <f>SUM(StateSenatorSenateDistrict37General[Part of Westchester County Vote Results])</f>
        <v>116362</v>
      </c>
      <c r="C9" s="2">
        <f>SUM(StateSenatorSenateDistrict37General[Total Votes by Party])</f>
        <v>116362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C835-9648-4F36-B2BA-3FCEDBD1FF45}">
  <sheetPr codeName="Sheet38">
    <pageSetUpPr fitToPage="1"/>
  </sheetPr>
  <dimension ref="A1:D10"/>
  <sheetViews>
    <sheetView workbookViewId="0">
      <selection activeCell="B20" sqref="B20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166</v>
      </c>
    </row>
    <row r="2" spans="1:4" ht="25.5" x14ac:dyDescent="0.2">
      <c r="A2" s="11" t="s">
        <v>11</v>
      </c>
      <c r="B2" s="10" t="s">
        <v>165</v>
      </c>
      <c r="C2" s="9" t="s">
        <v>9</v>
      </c>
      <c r="D2" s="8" t="s">
        <v>8</v>
      </c>
    </row>
    <row r="3" spans="1:4" x14ac:dyDescent="0.2">
      <c r="A3" s="6" t="s">
        <v>164</v>
      </c>
      <c r="B3" s="13">
        <v>45264</v>
      </c>
      <c r="C3" s="2">
        <f>StateSenatorSenateDistrict38General[[#This Row],[Part of Rockland County Vote Results]]</f>
        <v>45264</v>
      </c>
      <c r="D3" s="7">
        <f>SUM(C3,C6)</f>
        <v>47872</v>
      </c>
    </row>
    <row r="4" spans="1:4" x14ac:dyDescent="0.2">
      <c r="A4" s="6" t="s">
        <v>163</v>
      </c>
      <c r="B4" s="13">
        <v>42612</v>
      </c>
      <c r="C4" s="2">
        <f>StateSenatorSenateDistrict38General[[#This Row],[Part of Rockland County Vote Results]]</f>
        <v>42612</v>
      </c>
      <c r="D4" s="7">
        <f>SUM(C4,C5)</f>
        <v>51085</v>
      </c>
    </row>
    <row r="5" spans="1:4" x14ac:dyDescent="0.2">
      <c r="A5" s="6" t="s">
        <v>162</v>
      </c>
      <c r="B5" s="13">
        <v>8473</v>
      </c>
      <c r="C5" s="2">
        <f>StateSenatorSenateDistrict38General[[#This Row],[Part of Rockland County Vote Results]]</f>
        <v>8473</v>
      </c>
      <c r="D5" s="1"/>
    </row>
    <row r="6" spans="1:4" x14ac:dyDescent="0.2">
      <c r="A6" s="6" t="s">
        <v>161</v>
      </c>
      <c r="B6" s="13">
        <v>2608</v>
      </c>
      <c r="C6" s="2">
        <f>StateSenatorSenateDistrict38General[[#This Row],[Part of Rockland County Vote Results]]</f>
        <v>2608</v>
      </c>
      <c r="D6" s="1"/>
    </row>
    <row r="7" spans="1:4" x14ac:dyDescent="0.2">
      <c r="A7" s="5" t="s">
        <v>3</v>
      </c>
      <c r="B7" s="13">
        <v>5047</v>
      </c>
      <c r="C7" s="2">
        <f>StateSenatorSenateDistrict38General[[#This Row],[Part of Rockland County Vote Results]]</f>
        <v>5047</v>
      </c>
      <c r="D7" s="1"/>
    </row>
    <row r="8" spans="1:4" x14ac:dyDescent="0.2">
      <c r="A8" s="5" t="s">
        <v>2</v>
      </c>
      <c r="B8" s="13">
        <v>46</v>
      </c>
      <c r="C8" s="2">
        <f>StateSenatorSenateDistrict38General[[#This Row],[Part of Rockland County Vote Results]]</f>
        <v>46</v>
      </c>
      <c r="D8" s="1"/>
    </row>
    <row r="9" spans="1:4" x14ac:dyDescent="0.2">
      <c r="A9" s="5" t="s">
        <v>1</v>
      </c>
      <c r="B9" s="13">
        <v>115</v>
      </c>
      <c r="C9" s="2">
        <f>StateSenatorSenateDistrict38General[[#This Row],[Part of Rockland County Vote Results]]</f>
        <v>115</v>
      </c>
      <c r="D9" s="1"/>
    </row>
    <row r="10" spans="1:4" x14ac:dyDescent="0.2">
      <c r="A10" s="4" t="s">
        <v>0</v>
      </c>
      <c r="B10" s="13">
        <f>SUM(StateSenatorSenateDistrict38General[Part of Rockland County Vote Results])</f>
        <v>104165</v>
      </c>
      <c r="C10" s="2">
        <f>SUM(StateSenatorSenateDistrict38General[Total Votes by Party])</f>
        <v>104165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285C-D821-4C9C-B252-05E6CB1C7184}">
  <sheetPr codeName="Sheet39">
    <pageSetUpPr fitToPage="1"/>
  </sheetPr>
  <dimension ref="A1:F9"/>
  <sheetViews>
    <sheetView zoomScaleNormal="100" zoomScaleSheetLayoutView="100"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2" t="s">
        <v>173</v>
      </c>
    </row>
    <row r="2" spans="1:6" ht="25.5" x14ac:dyDescent="0.2">
      <c r="A2" s="11" t="s">
        <v>11</v>
      </c>
      <c r="B2" s="10" t="s">
        <v>172</v>
      </c>
      <c r="C2" s="10" t="s">
        <v>171</v>
      </c>
      <c r="D2" s="10" t="s">
        <v>170</v>
      </c>
      <c r="E2" s="9" t="s">
        <v>9</v>
      </c>
      <c r="F2" s="8" t="s">
        <v>8</v>
      </c>
    </row>
    <row r="3" spans="1:6" x14ac:dyDescent="0.2">
      <c r="A3" s="6" t="s">
        <v>169</v>
      </c>
      <c r="B3" s="13">
        <v>32595</v>
      </c>
      <c r="C3" s="13">
        <v>9758</v>
      </c>
      <c r="D3" s="13">
        <v>4567</v>
      </c>
      <c r="E3" s="2">
        <f>SUM(StateSenatorSenateDistrict39General[[#This Row],[Part of Dutchess County Vote Results]:[Part of Putnam County Vote Results]])</f>
        <v>46920</v>
      </c>
      <c r="F3" s="7">
        <f>SUM(E5,E3)</f>
        <v>51394</v>
      </c>
    </row>
    <row r="4" spans="1:6" x14ac:dyDescent="0.2">
      <c r="A4" s="6" t="s">
        <v>168</v>
      </c>
      <c r="B4" s="13">
        <v>42087</v>
      </c>
      <c r="C4" s="13">
        <v>11551</v>
      </c>
      <c r="D4" s="13">
        <v>4494</v>
      </c>
      <c r="E4" s="2">
        <f>SUM(StateSenatorSenateDistrict39General[[#This Row],[Part of Dutchess County Vote Results]:[Part of Putnam County Vote Results]])</f>
        <v>58132</v>
      </c>
      <c r="F4" s="7">
        <f>SUM(E4)</f>
        <v>58132</v>
      </c>
    </row>
    <row r="5" spans="1:6" x14ac:dyDescent="0.2">
      <c r="A5" s="6" t="s">
        <v>167</v>
      </c>
      <c r="B5" s="13">
        <v>3194</v>
      </c>
      <c r="C5" s="13">
        <v>720</v>
      </c>
      <c r="D5" s="13">
        <v>560</v>
      </c>
      <c r="E5" s="2">
        <f>SUM(StateSenatorSenateDistrict39General[[#This Row],[Part of Dutchess County Vote Results]:[Part of Putnam County Vote Results]])</f>
        <v>4474</v>
      </c>
      <c r="F5" s="1"/>
    </row>
    <row r="6" spans="1:6" x14ac:dyDescent="0.2">
      <c r="A6" s="5" t="s">
        <v>3</v>
      </c>
      <c r="B6" s="13">
        <v>2414</v>
      </c>
      <c r="C6" s="13">
        <v>1426</v>
      </c>
      <c r="D6" s="13">
        <v>516</v>
      </c>
      <c r="E6" s="2">
        <f>SUM(StateSenatorSenateDistrict39General[[#This Row],[Part of Dutchess County Vote Results]:[Part of Putnam County Vote Results]])</f>
        <v>4356</v>
      </c>
      <c r="F6" s="1"/>
    </row>
    <row r="7" spans="1:6" x14ac:dyDescent="0.2">
      <c r="A7" s="5" t="s">
        <v>2</v>
      </c>
      <c r="B7" s="13">
        <v>12</v>
      </c>
      <c r="C7" s="13">
        <v>4</v>
      </c>
      <c r="D7" s="13">
        <v>0</v>
      </c>
      <c r="E7" s="2">
        <f>SUM(StateSenatorSenateDistrict39General[[#This Row],[Part of Dutchess County Vote Results]:[Part of Putnam County Vote Results]])</f>
        <v>16</v>
      </c>
      <c r="F7" s="1"/>
    </row>
    <row r="8" spans="1:6" x14ac:dyDescent="0.2">
      <c r="A8" s="5" t="s">
        <v>1</v>
      </c>
      <c r="B8" s="13">
        <v>24</v>
      </c>
      <c r="C8" s="13">
        <v>4</v>
      </c>
      <c r="D8" s="13">
        <v>2</v>
      </c>
      <c r="E8" s="2">
        <f>SUM(StateSenatorSenateDistrict39General[[#This Row],[Part of Dutchess County Vote Results]:[Part of Putnam County Vote Results]])</f>
        <v>30</v>
      </c>
      <c r="F8" s="1"/>
    </row>
    <row r="9" spans="1:6" x14ac:dyDescent="0.2">
      <c r="A9" s="4" t="s">
        <v>0</v>
      </c>
      <c r="B9" s="13">
        <f>SUM(StateSenatorSenateDistrict39General[Part of Dutchess County Vote Results])</f>
        <v>80326</v>
      </c>
      <c r="C9" s="13">
        <f>SUM(StateSenatorSenateDistrict39General[Part of Orange County Vote Results])</f>
        <v>23463</v>
      </c>
      <c r="D9" s="13">
        <f>SUM(StateSenatorSenateDistrict39General[Part of Putnam County Vote Results])</f>
        <v>10139</v>
      </c>
      <c r="E9" s="2">
        <f>SUM(StateSenatorSenateDistrict39General[Total Votes by Party])</f>
        <v>113928</v>
      </c>
      <c r="F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F9C6-BC1F-4D26-BD1C-1443786D63FD}">
  <sheetPr codeName="Sheet4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26</v>
      </c>
    </row>
    <row r="2" spans="1:4" ht="24.95" customHeight="1" x14ac:dyDescent="0.2">
      <c r="A2" s="11" t="s">
        <v>11</v>
      </c>
      <c r="B2" s="10" t="s">
        <v>10</v>
      </c>
      <c r="C2" s="9" t="s">
        <v>9</v>
      </c>
      <c r="D2" s="8" t="s">
        <v>8</v>
      </c>
    </row>
    <row r="3" spans="1:4" x14ac:dyDescent="0.2">
      <c r="A3" s="6" t="s">
        <v>25</v>
      </c>
      <c r="B3" s="3">
        <v>35478</v>
      </c>
      <c r="C3" s="2">
        <f>StateSenatorSenateDistrict4General43[[#This Row],[Part of Suffolk County Vote Results]]</f>
        <v>35478</v>
      </c>
      <c r="D3" s="7">
        <f>SUM(C3,C6)</f>
        <v>37173</v>
      </c>
    </row>
    <row r="4" spans="1:4" x14ac:dyDescent="0.2">
      <c r="A4" s="6" t="s">
        <v>24</v>
      </c>
      <c r="B4" s="3">
        <v>30885</v>
      </c>
      <c r="C4" s="2">
        <f>StateSenatorSenateDistrict4General43[[#This Row],[Part of Suffolk County Vote Results]]</f>
        <v>30885</v>
      </c>
      <c r="D4" s="7">
        <f>SUM(C4,C5)</f>
        <v>35173</v>
      </c>
    </row>
    <row r="5" spans="1:4" x14ac:dyDescent="0.2">
      <c r="A5" s="6" t="s">
        <v>23</v>
      </c>
      <c r="B5" s="3">
        <v>4288</v>
      </c>
      <c r="C5" s="2">
        <f>StateSenatorSenateDistrict4General43[[#This Row],[Part of Suffolk County Vote Results]]</f>
        <v>4288</v>
      </c>
      <c r="D5" s="1"/>
    </row>
    <row r="6" spans="1:4" x14ac:dyDescent="0.2">
      <c r="A6" s="6" t="s">
        <v>22</v>
      </c>
      <c r="B6" s="3">
        <v>1695</v>
      </c>
      <c r="C6" s="2">
        <f>StateSenatorSenateDistrict4General43[[#This Row],[Part of Suffolk County Vote Results]]</f>
        <v>1695</v>
      </c>
      <c r="D6" s="1"/>
    </row>
    <row r="7" spans="1:4" x14ac:dyDescent="0.2">
      <c r="A7" s="5" t="s">
        <v>3</v>
      </c>
      <c r="B7" s="3">
        <v>2884</v>
      </c>
      <c r="C7" s="2">
        <f>StateSenatorSenateDistrict4General43[[#This Row],[Part of Suffolk County Vote Results]]</f>
        <v>2884</v>
      </c>
      <c r="D7" s="1"/>
    </row>
    <row r="8" spans="1:4" x14ac:dyDescent="0.2">
      <c r="A8" s="5" t="s">
        <v>2</v>
      </c>
      <c r="B8" s="3">
        <v>32</v>
      </c>
      <c r="C8" s="2">
        <f>StateSenatorSenateDistrict4General43[[#This Row],[Part of Suffolk County Vote Results]]</f>
        <v>32</v>
      </c>
      <c r="D8" s="1"/>
    </row>
    <row r="9" spans="1:4" x14ac:dyDescent="0.2">
      <c r="A9" s="5" t="s">
        <v>1</v>
      </c>
      <c r="B9" s="3">
        <v>14</v>
      </c>
      <c r="C9" s="2">
        <f>StateSenatorSenateDistrict4General43[[#This Row],[Part of Suffolk County Vote Results]]</f>
        <v>14</v>
      </c>
      <c r="D9" s="1"/>
    </row>
    <row r="10" spans="1:4" x14ac:dyDescent="0.2">
      <c r="A10" s="4" t="s">
        <v>0</v>
      </c>
      <c r="B10" s="3">
        <f>SUM(StateSenatorSenateDistrict4General43[Part of Suffolk County Vote Results])</f>
        <v>75276</v>
      </c>
      <c r="C10" s="2">
        <f>SUM(StateSenatorSenateDistrict4General43[Total Votes by Party])</f>
        <v>75276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C942-C91C-47D7-B043-EE877003B5BB}">
  <sheetPr codeName="Sheet40">
    <pageSetUpPr fitToPage="1"/>
  </sheetPr>
  <dimension ref="A1:F9"/>
  <sheetViews>
    <sheetView zoomScaleNormal="100" zoomScaleSheetLayoutView="100" workbookViewId="0">
      <selection activeCell="D2" sqref="D2"/>
    </sheetView>
  </sheetViews>
  <sheetFormatPr defaultRowHeight="12.75" x14ac:dyDescent="0.2"/>
  <cols>
    <col min="1" max="1" width="26.85546875" customWidth="1"/>
    <col min="2" max="6" width="20.5703125" customWidth="1"/>
    <col min="7" max="8" width="23.5703125" customWidth="1"/>
  </cols>
  <sheetData>
    <row r="1" spans="1:6" ht="18.75" x14ac:dyDescent="0.2">
      <c r="A1" s="12" t="s">
        <v>177</v>
      </c>
    </row>
    <row r="2" spans="1:6" ht="25.5" x14ac:dyDescent="0.2">
      <c r="A2" s="11" t="s">
        <v>11</v>
      </c>
      <c r="B2" s="10" t="s">
        <v>170</v>
      </c>
      <c r="C2" s="10" t="s">
        <v>165</v>
      </c>
      <c r="D2" s="10" t="s">
        <v>149</v>
      </c>
      <c r="E2" s="9" t="s">
        <v>9</v>
      </c>
      <c r="F2" s="8" t="s">
        <v>8</v>
      </c>
    </row>
    <row r="3" spans="1:6" x14ac:dyDescent="0.2">
      <c r="A3" s="6" t="s">
        <v>176</v>
      </c>
      <c r="B3" s="13">
        <v>10613</v>
      </c>
      <c r="C3" s="13">
        <v>1856</v>
      </c>
      <c r="D3" s="13">
        <v>49558</v>
      </c>
      <c r="E3" s="2">
        <f>SUM(StateSenatorSenateDistrict40General[[#This Row],[Part of Putnam County Vote Results]:[Part of Westchester County Vote Results]])</f>
        <v>62027</v>
      </c>
      <c r="F3" s="7">
        <f>SUM(E3,E5)</f>
        <v>66419</v>
      </c>
    </row>
    <row r="4" spans="1:6" x14ac:dyDescent="0.2">
      <c r="A4" s="6" t="s">
        <v>175</v>
      </c>
      <c r="B4" s="13">
        <v>18564</v>
      </c>
      <c r="C4" s="13">
        <v>3763</v>
      </c>
      <c r="D4" s="13">
        <v>35598</v>
      </c>
      <c r="E4" s="2">
        <f>SUM(StateSenatorSenateDistrict40General[[#This Row],[Part of Putnam County Vote Results]:[Part of Westchester County Vote Results]])</f>
        <v>57925</v>
      </c>
      <c r="F4" s="7">
        <f>SUM(E4)</f>
        <v>57925</v>
      </c>
    </row>
    <row r="5" spans="1:6" x14ac:dyDescent="0.2">
      <c r="A5" s="6" t="s">
        <v>174</v>
      </c>
      <c r="B5" s="13">
        <v>824</v>
      </c>
      <c r="C5" s="13">
        <v>136</v>
      </c>
      <c r="D5" s="13">
        <v>3432</v>
      </c>
      <c r="E5" s="2">
        <f>SUM(StateSenatorSenateDistrict40General[[#This Row],[Part of Putnam County Vote Results]:[Part of Westchester County Vote Results]])</f>
        <v>4392</v>
      </c>
      <c r="F5" s="1"/>
    </row>
    <row r="6" spans="1:6" x14ac:dyDescent="0.2">
      <c r="A6" s="5" t="s">
        <v>3</v>
      </c>
      <c r="B6" s="13">
        <v>1535</v>
      </c>
      <c r="C6" s="13">
        <v>345</v>
      </c>
      <c r="D6" s="13">
        <v>3916</v>
      </c>
      <c r="E6" s="2">
        <f>SUM(StateSenatorSenateDistrict40General[[#This Row],[Part of Putnam County Vote Results]:[Part of Westchester County Vote Results]])</f>
        <v>5796</v>
      </c>
      <c r="F6" s="1"/>
    </row>
    <row r="7" spans="1:6" x14ac:dyDescent="0.2">
      <c r="A7" s="5" t="s">
        <v>2</v>
      </c>
      <c r="B7" s="13">
        <v>0</v>
      </c>
      <c r="C7" s="13">
        <v>1</v>
      </c>
      <c r="D7" s="13"/>
      <c r="E7" s="2">
        <f>SUM(StateSenatorSenateDistrict40General[[#This Row],[Part of Putnam County Vote Results]:[Part of Westchester County Vote Results]])</f>
        <v>1</v>
      </c>
      <c r="F7" s="1"/>
    </row>
    <row r="8" spans="1:6" x14ac:dyDescent="0.2">
      <c r="A8" s="5" t="s">
        <v>1</v>
      </c>
      <c r="B8" s="13">
        <v>4</v>
      </c>
      <c r="C8" s="13">
        <v>1</v>
      </c>
      <c r="D8" s="13">
        <v>15</v>
      </c>
      <c r="E8" s="2">
        <f>SUM(StateSenatorSenateDistrict40General[[#This Row],[Part of Putnam County Vote Results]:[Part of Westchester County Vote Results]])</f>
        <v>20</v>
      </c>
      <c r="F8" s="1"/>
    </row>
    <row r="9" spans="1:6" x14ac:dyDescent="0.2">
      <c r="A9" s="4" t="s">
        <v>0</v>
      </c>
      <c r="B9" s="13">
        <f>SUM(StateSenatorSenateDistrict40General[Part of Putnam County Vote Results])</f>
        <v>31540</v>
      </c>
      <c r="C9" s="13">
        <f>SUM(StateSenatorSenateDistrict40General[Part of Rockland County Vote Results])</f>
        <v>6102</v>
      </c>
      <c r="D9" s="13">
        <f>SUM(StateSenatorSenateDistrict40General[Part of Westchester County Vote Results])</f>
        <v>92519</v>
      </c>
      <c r="E9" s="2">
        <f>SUM(StateSenatorSenateDistrict40General[Total Votes by Party])</f>
        <v>130161</v>
      </c>
      <c r="F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DF1A-825B-4A06-BFB8-4F40926F5704}">
  <sheetPr codeName="Sheet41">
    <pageSetUpPr fitToPage="1"/>
  </sheetPr>
  <dimension ref="A1:G11"/>
  <sheetViews>
    <sheetView workbookViewId="0">
      <selection activeCell="E2" sqref="E2"/>
    </sheetView>
  </sheetViews>
  <sheetFormatPr defaultRowHeight="12.75" x14ac:dyDescent="0.2"/>
  <cols>
    <col min="1" max="1" width="27.85546875" customWidth="1"/>
    <col min="2" max="7" width="20.5703125" customWidth="1"/>
    <col min="8" max="9" width="23.5703125" customWidth="1"/>
  </cols>
  <sheetData>
    <row r="1" spans="1:7" ht="18.75" x14ac:dyDescent="0.2">
      <c r="A1" s="12" t="s">
        <v>186</v>
      </c>
    </row>
    <row r="2" spans="1:7" ht="25.5" x14ac:dyDescent="0.2">
      <c r="A2" s="11" t="s">
        <v>11</v>
      </c>
      <c r="B2" s="10" t="s">
        <v>185</v>
      </c>
      <c r="C2" s="10" t="s">
        <v>172</v>
      </c>
      <c r="D2" s="10" t="s">
        <v>184</v>
      </c>
      <c r="E2" s="10" t="s">
        <v>183</v>
      </c>
      <c r="F2" s="9" t="s">
        <v>9</v>
      </c>
      <c r="G2" s="8" t="s">
        <v>8</v>
      </c>
    </row>
    <row r="3" spans="1:7" x14ac:dyDescent="0.2">
      <c r="A3" s="6" t="s">
        <v>182</v>
      </c>
      <c r="B3" s="13">
        <v>14093</v>
      </c>
      <c r="C3" s="13">
        <v>14795</v>
      </c>
      <c r="D3" s="13">
        <v>6852</v>
      </c>
      <c r="E3" s="13">
        <v>28952</v>
      </c>
      <c r="F3" s="2">
        <f>SUM(StateSenatorSenateDistrict41General[[#This Row],[Columbia County
Vote Results]:[Part of Ulster County Vote Results]])</f>
        <v>64692</v>
      </c>
      <c r="G3" s="7">
        <f>SUM(F3,F6)</f>
        <v>74373</v>
      </c>
    </row>
    <row r="4" spans="1:7" x14ac:dyDescent="0.2">
      <c r="A4" s="6" t="s">
        <v>181</v>
      </c>
      <c r="B4" s="13">
        <v>11284</v>
      </c>
      <c r="C4" s="13">
        <v>16132</v>
      </c>
      <c r="D4" s="13">
        <v>10183</v>
      </c>
      <c r="E4" s="13">
        <v>19156</v>
      </c>
      <c r="F4" s="2">
        <f>SUM(StateSenatorSenateDistrict41General[[#This Row],[Columbia County
Vote Results]:[Part of Ulster County Vote Results]])</f>
        <v>56755</v>
      </c>
      <c r="G4" s="7">
        <f>SUM(F4,F5,F7)</f>
        <v>66735</v>
      </c>
    </row>
    <row r="5" spans="1:7" x14ac:dyDescent="0.2">
      <c r="A5" s="6" t="s">
        <v>180</v>
      </c>
      <c r="B5" s="13">
        <v>1903</v>
      </c>
      <c r="C5" s="13">
        <v>2150</v>
      </c>
      <c r="D5" s="13">
        <v>1696</v>
      </c>
      <c r="E5" s="13">
        <v>3213</v>
      </c>
      <c r="F5" s="2">
        <f>SUM(StateSenatorSenateDistrict41General[[#This Row],[Columbia County
Vote Results]:[Part of Ulster County Vote Results]])</f>
        <v>8962</v>
      </c>
      <c r="G5" s="1"/>
    </row>
    <row r="6" spans="1:7" x14ac:dyDescent="0.2">
      <c r="A6" s="6" t="s">
        <v>179</v>
      </c>
      <c r="B6" s="13">
        <v>1811</v>
      </c>
      <c r="C6" s="13">
        <v>1676</v>
      </c>
      <c r="D6" s="13">
        <v>984</v>
      </c>
      <c r="E6" s="13">
        <v>5210</v>
      </c>
      <c r="F6" s="2">
        <f>SUM(StateSenatorSenateDistrict41General[[#This Row],[Columbia County
Vote Results]:[Part of Ulster County Vote Results]])</f>
        <v>9681</v>
      </c>
      <c r="G6" s="1"/>
    </row>
    <row r="7" spans="1:7" x14ac:dyDescent="0.2">
      <c r="A7" s="6" t="s">
        <v>178</v>
      </c>
      <c r="B7" s="13">
        <v>260</v>
      </c>
      <c r="C7" s="13">
        <v>365</v>
      </c>
      <c r="D7" s="13">
        <v>123</v>
      </c>
      <c r="E7" s="13">
        <v>270</v>
      </c>
      <c r="F7" s="2">
        <f>SUM(StateSenatorSenateDistrict41General[[#This Row],[Columbia County
Vote Results]:[Part of Ulster County Vote Results]])</f>
        <v>1018</v>
      </c>
      <c r="G7" s="1"/>
    </row>
    <row r="8" spans="1:7" x14ac:dyDescent="0.2">
      <c r="A8" s="5" t="s">
        <v>3</v>
      </c>
      <c r="B8" s="13">
        <v>569</v>
      </c>
      <c r="C8" s="13">
        <v>262</v>
      </c>
      <c r="D8" s="13">
        <v>522</v>
      </c>
      <c r="E8" s="13">
        <v>822</v>
      </c>
      <c r="F8" s="2">
        <f>SUM(StateSenatorSenateDistrict41General[[#This Row],[Columbia County
Vote Results]:[Part of Ulster County Vote Results]])</f>
        <v>2175</v>
      </c>
      <c r="G8" s="1"/>
    </row>
    <row r="9" spans="1:7" x14ac:dyDescent="0.2">
      <c r="A9" s="5" t="s">
        <v>2</v>
      </c>
      <c r="B9" s="13">
        <v>8</v>
      </c>
      <c r="C9" s="13">
        <v>12</v>
      </c>
      <c r="D9" s="13">
        <v>3</v>
      </c>
      <c r="E9" s="13">
        <v>17</v>
      </c>
      <c r="F9" s="2">
        <f>SUM(StateSenatorSenateDistrict41General[[#This Row],[Columbia County
Vote Results]:[Part of Ulster County Vote Results]])</f>
        <v>40</v>
      </c>
      <c r="G9" s="1"/>
    </row>
    <row r="10" spans="1:7" x14ac:dyDescent="0.2">
      <c r="A10" s="5" t="s">
        <v>1</v>
      </c>
      <c r="B10" s="13">
        <v>3</v>
      </c>
      <c r="C10" s="13">
        <v>8</v>
      </c>
      <c r="D10" s="13">
        <v>4</v>
      </c>
      <c r="E10" s="13">
        <v>18</v>
      </c>
      <c r="F10" s="2">
        <f>SUM(StateSenatorSenateDistrict41General[[#This Row],[Columbia County
Vote Results]:[Part of Ulster County Vote Results]])</f>
        <v>33</v>
      </c>
      <c r="G10" s="1"/>
    </row>
    <row r="11" spans="1:7" x14ac:dyDescent="0.2">
      <c r="A11" s="4" t="s">
        <v>0</v>
      </c>
      <c r="B11" s="13">
        <f>SUM(StateSenatorSenateDistrict41General[Columbia County
Vote Results])</f>
        <v>29931</v>
      </c>
      <c r="C11" s="13">
        <f>SUM(StateSenatorSenateDistrict41General[Part of Dutchess County Vote Results])</f>
        <v>35400</v>
      </c>
      <c r="D11" s="13">
        <f>SUM(StateSenatorSenateDistrict41General[Part of Green County Vote Results])</f>
        <v>20367</v>
      </c>
      <c r="E11" s="13">
        <f>SUM(StateSenatorSenateDistrict41General[Part of Ulster County Vote Results])</f>
        <v>57658</v>
      </c>
      <c r="F11" s="2">
        <f>SUM(StateSenatorSenateDistrict41General[Total Votes by Party])</f>
        <v>143356</v>
      </c>
      <c r="G11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D906-AC7B-4C94-A0A2-7A7552C41C0C}">
  <sheetPr codeName="Sheet42">
    <pageSetUpPr fitToPage="1"/>
  </sheetPr>
  <dimension ref="A1:D10"/>
  <sheetViews>
    <sheetView zoomScaleNormal="100" zoomScaleSheetLayoutView="100"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191</v>
      </c>
    </row>
    <row r="2" spans="1:4" ht="25.5" x14ac:dyDescent="0.2">
      <c r="A2" s="11" t="s">
        <v>11</v>
      </c>
      <c r="B2" s="10" t="s">
        <v>171</v>
      </c>
      <c r="C2" s="9" t="s">
        <v>9</v>
      </c>
      <c r="D2" s="8" t="s">
        <v>8</v>
      </c>
    </row>
    <row r="3" spans="1:4" x14ac:dyDescent="0.2">
      <c r="A3" s="6" t="s">
        <v>190</v>
      </c>
      <c r="B3" s="13">
        <v>46686</v>
      </c>
      <c r="C3" s="2">
        <f>StateSenatorSenateDistrict42General[[#This Row],[Part of Orange County Vote Results]]</f>
        <v>46686</v>
      </c>
      <c r="D3" s="7">
        <f>SUM(C3,C6)</f>
        <v>49728</v>
      </c>
    </row>
    <row r="4" spans="1:4" x14ac:dyDescent="0.2">
      <c r="A4" s="6" t="s">
        <v>189</v>
      </c>
      <c r="B4" s="13">
        <v>43292</v>
      </c>
      <c r="C4" s="2">
        <f>StateSenatorSenateDistrict42General[[#This Row],[Part of Orange County Vote Results]]</f>
        <v>43292</v>
      </c>
      <c r="D4" s="7">
        <f>SUM(C5,C4)</f>
        <v>48296</v>
      </c>
    </row>
    <row r="5" spans="1:4" x14ac:dyDescent="0.2">
      <c r="A5" s="6" t="s">
        <v>188</v>
      </c>
      <c r="B5" s="13">
        <v>5004</v>
      </c>
      <c r="C5" s="2">
        <f>StateSenatorSenateDistrict42General[[#This Row],[Part of Orange County Vote Results]]</f>
        <v>5004</v>
      </c>
      <c r="D5" s="1"/>
    </row>
    <row r="6" spans="1:4" x14ac:dyDescent="0.2">
      <c r="A6" s="6" t="s">
        <v>187</v>
      </c>
      <c r="B6" s="13">
        <v>3042</v>
      </c>
      <c r="C6" s="2">
        <f>StateSenatorSenateDistrict42General[[#This Row],[Part of Orange County Vote Results]]</f>
        <v>3042</v>
      </c>
      <c r="D6" s="1"/>
    </row>
    <row r="7" spans="1:4" x14ac:dyDescent="0.2">
      <c r="A7" s="5" t="s">
        <v>3</v>
      </c>
      <c r="B7" s="13">
        <v>3308</v>
      </c>
      <c r="C7" s="2">
        <f>StateSenatorSenateDistrict42General[[#This Row],[Part of Orange County Vote Results]]</f>
        <v>3308</v>
      </c>
      <c r="D7" s="1"/>
    </row>
    <row r="8" spans="1:4" x14ac:dyDescent="0.2">
      <c r="A8" s="5" t="s">
        <v>2</v>
      </c>
      <c r="B8" s="13">
        <v>45</v>
      </c>
      <c r="C8" s="2">
        <f>StateSenatorSenateDistrict42General[[#This Row],[Part of Orange County Vote Results]]</f>
        <v>45</v>
      </c>
      <c r="D8" s="1"/>
    </row>
    <row r="9" spans="1:4" x14ac:dyDescent="0.2">
      <c r="A9" s="5" t="s">
        <v>1</v>
      </c>
      <c r="B9" s="13">
        <v>35</v>
      </c>
      <c r="C9" s="2">
        <f>StateSenatorSenateDistrict42General[[#This Row],[Part of Orange County Vote Results]]</f>
        <v>35</v>
      </c>
      <c r="D9" s="1"/>
    </row>
    <row r="10" spans="1:4" x14ac:dyDescent="0.2">
      <c r="A10" s="4" t="s">
        <v>0</v>
      </c>
      <c r="B10" s="13">
        <f>SUM(StateSenatorSenateDistrict42General[Part of Orange County Vote Results])</f>
        <v>101412</v>
      </c>
      <c r="C10" s="2">
        <f>SUM(StateSenatorSenateDistrict42General[Total Votes by Party])</f>
        <v>101412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AC9A-4231-4503-BB55-0826302B51C6}">
  <sheetPr codeName="Sheet43">
    <pageSetUpPr fitToPage="1"/>
  </sheetPr>
  <dimension ref="A1:F10"/>
  <sheetViews>
    <sheetView zoomScaleNormal="100" zoomScaleSheetLayoutView="100"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2" t="s">
        <v>199</v>
      </c>
    </row>
    <row r="2" spans="1:6" ht="25.5" x14ac:dyDescent="0.2">
      <c r="A2" s="11" t="s">
        <v>11</v>
      </c>
      <c r="B2" s="10" t="s">
        <v>198</v>
      </c>
      <c r="C2" s="10" t="s">
        <v>197</v>
      </c>
      <c r="D2" s="10" t="s">
        <v>196</v>
      </c>
      <c r="E2" s="9" t="s">
        <v>9</v>
      </c>
      <c r="F2" s="8" t="s">
        <v>8</v>
      </c>
    </row>
    <row r="3" spans="1:6" x14ac:dyDescent="0.2">
      <c r="A3" s="6" t="s">
        <v>195</v>
      </c>
      <c r="B3" s="13">
        <v>21170</v>
      </c>
      <c r="C3" s="13">
        <v>24156</v>
      </c>
      <c r="D3" s="13">
        <v>5184</v>
      </c>
      <c r="E3" s="2">
        <f>SUM(StateSenatorSenateDistrict43General[[#This Row],[Part of Albany County Vote Results]:[Part of Washington County Vote Results]])</f>
        <v>50510</v>
      </c>
      <c r="F3" s="7">
        <f>SUM(E3,E6)</f>
        <v>55935</v>
      </c>
    </row>
    <row r="4" spans="1:6" x14ac:dyDescent="0.2">
      <c r="A4" s="6" t="s">
        <v>194</v>
      </c>
      <c r="B4" s="13">
        <v>17219</v>
      </c>
      <c r="C4" s="13">
        <v>27672</v>
      </c>
      <c r="D4" s="13">
        <v>7927</v>
      </c>
      <c r="E4" s="2">
        <f>SUM(StateSenatorSenateDistrict43General[[#This Row],[Part of Albany County Vote Results]:[Part of Washington County Vote Results]])</f>
        <v>52818</v>
      </c>
      <c r="F4" s="7">
        <f>SUM(E5,E4)</f>
        <v>62769</v>
      </c>
    </row>
    <row r="5" spans="1:6" x14ac:dyDescent="0.2">
      <c r="A5" s="6" t="s">
        <v>193</v>
      </c>
      <c r="B5" s="13">
        <v>2756</v>
      </c>
      <c r="C5" s="13">
        <v>6163</v>
      </c>
      <c r="D5" s="13">
        <v>1032</v>
      </c>
      <c r="E5" s="2">
        <f>SUM(StateSenatorSenateDistrict43General[[#This Row],[Part of Albany County Vote Results]:[Part of Washington County Vote Results]])</f>
        <v>9951</v>
      </c>
      <c r="F5" s="1"/>
    </row>
    <row r="6" spans="1:6" x14ac:dyDescent="0.2">
      <c r="A6" s="6" t="s">
        <v>192</v>
      </c>
      <c r="B6" s="13">
        <v>1927</v>
      </c>
      <c r="C6" s="13">
        <v>3085</v>
      </c>
      <c r="D6" s="13">
        <v>413</v>
      </c>
      <c r="E6" s="2">
        <f>SUM(StateSenatorSenateDistrict43General[[#This Row],[Part of Albany County Vote Results]:[Part of Washington County Vote Results]])</f>
        <v>5425</v>
      </c>
      <c r="F6" s="1"/>
    </row>
    <row r="7" spans="1:6" x14ac:dyDescent="0.2">
      <c r="A7" s="5" t="s">
        <v>3</v>
      </c>
      <c r="B7" s="13">
        <v>1586</v>
      </c>
      <c r="C7" s="13">
        <v>1735</v>
      </c>
      <c r="D7" s="13">
        <v>49</v>
      </c>
      <c r="E7" s="2">
        <f>SUM(StateSenatorSenateDistrict43General[[#This Row],[Part of Albany County Vote Results]:[Part of Washington County Vote Results]])</f>
        <v>3370</v>
      </c>
      <c r="F7" s="1"/>
    </row>
    <row r="8" spans="1:6" x14ac:dyDescent="0.2">
      <c r="A8" s="5" t="s">
        <v>2</v>
      </c>
      <c r="B8" s="13">
        <v>15</v>
      </c>
      <c r="C8" s="13">
        <v>0</v>
      </c>
      <c r="D8" s="13">
        <v>5</v>
      </c>
      <c r="E8" s="2">
        <f>SUM(StateSenatorSenateDistrict43General[[#This Row],[Part of Albany County Vote Results]:[Part of Washington County Vote Results]])</f>
        <v>20</v>
      </c>
      <c r="F8" s="1"/>
    </row>
    <row r="9" spans="1:6" x14ac:dyDescent="0.2">
      <c r="A9" s="5" t="s">
        <v>1</v>
      </c>
      <c r="B9" s="13">
        <v>36</v>
      </c>
      <c r="C9" s="13">
        <v>21</v>
      </c>
      <c r="D9" s="13">
        <v>5</v>
      </c>
      <c r="E9" s="2">
        <f>SUM(StateSenatorSenateDistrict43General[[#This Row],[Part of Albany County Vote Results]:[Part of Washington County Vote Results]])</f>
        <v>62</v>
      </c>
      <c r="F9" s="1"/>
    </row>
    <row r="10" spans="1:6" x14ac:dyDescent="0.2">
      <c r="A10" s="4" t="s">
        <v>0</v>
      </c>
      <c r="B10" s="13">
        <f>SUM(StateSenatorSenateDistrict43General[Part of Albany County Vote Results])</f>
        <v>44709</v>
      </c>
      <c r="C10" s="13">
        <f>SUM(StateSenatorSenateDistrict43General[ Rensselaer County 
Vote Results])</f>
        <v>62832</v>
      </c>
      <c r="D10" s="13">
        <f>SUM(StateSenatorSenateDistrict43General[Part of Washington County Vote Results])</f>
        <v>14615</v>
      </c>
      <c r="E10" s="2">
        <f>SUM(StateSenatorSenateDistrict43General[Total Votes by Party])</f>
        <v>122156</v>
      </c>
      <c r="F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B04D-4E08-4855-B597-F7D97A75B10F}">
  <sheetPr codeName="Sheet44">
    <pageSetUpPr fitToPage="1"/>
  </sheetPr>
  <dimension ref="A1:E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206</v>
      </c>
    </row>
    <row r="2" spans="1:5" ht="25.5" x14ac:dyDescent="0.2">
      <c r="A2" s="11" t="s">
        <v>11</v>
      </c>
      <c r="B2" s="10" t="s">
        <v>205</v>
      </c>
      <c r="C2" s="10" t="s">
        <v>204</v>
      </c>
      <c r="D2" s="9" t="s">
        <v>9</v>
      </c>
      <c r="E2" s="8" t="s">
        <v>8</v>
      </c>
    </row>
    <row r="3" spans="1:5" x14ac:dyDescent="0.2">
      <c r="A3" s="6" t="s">
        <v>203</v>
      </c>
      <c r="B3" s="13">
        <v>38648</v>
      </c>
      <c r="C3" s="13">
        <v>11779</v>
      </c>
      <c r="D3" s="2">
        <f>SUM(StateSenatorSenateDistrict44General[[#This Row],[Saratoga County 
Vote Results]:[Part of Schenectady County Vote Results]])</f>
        <v>50427</v>
      </c>
      <c r="E3" s="7">
        <f>SUM(D3,D6)</f>
        <v>54651</v>
      </c>
    </row>
    <row r="4" spans="1:5" x14ac:dyDescent="0.2">
      <c r="A4" s="6" t="s">
        <v>202</v>
      </c>
      <c r="B4" s="13">
        <v>53067</v>
      </c>
      <c r="C4" s="13">
        <v>8543</v>
      </c>
      <c r="D4" s="2">
        <f>SUM(StateSenatorSenateDistrict44General[[#This Row],[Saratoga County 
Vote Results]:[Part of Schenectady County Vote Results]])</f>
        <v>61610</v>
      </c>
      <c r="E4" s="7">
        <f>SUM(D4,D5)</f>
        <v>70957</v>
      </c>
    </row>
    <row r="5" spans="1:5" x14ac:dyDescent="0.2">
      <c r="A5" s="6" t="s">
        <v>201</v>
      </c>
      <c r="B5" s="13">
        <v>7909</v>
      </c>
      <c r="C5" s="13">
        <v>1438</v>
      </c>
      <c r="D5" s="2">
        <f>SUM(StateSenatorSenateDistrict44General[[#This Row],[Saratoga County 
Vote Results]:[Part of Schenectady County Vote Results]])</f>
        <v>9347</v>
      </c>
      <c r="E5" s="1"/>
    </row>
    <row r="6" spans="1:5" x14ac:dyDescent="0.2">
      <c r="A6" s="6" t="s">
        <v>200</v>
      </c>
      <c r="B6" s="13">
        <v>2928</v>
      </c>
      <c r="C6" s="13">
        <v>1296</v>
      </c>
      <c r="D6" s="2">
        <f>SUM(StateSenatorSenateDistrict44General[[#This Row],[Saratoga County 
Vote Results]:[Part of Schenectady County Vote Results]])</f>
        <v>4224</v>
      </c>
      <c r="E6" s="1"/>
    </row>
    <row r="7" spans="1:5" x14ac:dyDescent="0.2">
      <c r="A7" s="5" t="s">
        <v>3</v>
      </c>
      <c r="B7" s="13">
        <v>2201</v>
      </c>
      <c r="C7" s="13">
        <v>661</v>
      </c>
      <c r="D7" s="2">
        <f>SUM(StateSenatorSenateDistrict44General[[#This Row],[Saratoga County 
Vote Results]:[Part of Schenectady County Vote Results]])</f>
        <v>2862</v>
      </c>
      <c r="E7" s="1"/>
    </row>
    <row r="8" spans="1:5" x14ac:dyDescent="0.2">
      <c r="A8" s="5" t="s">
        <v>2</v>
      </c>
      <c r="B8" s="13">
        <v>11</v>
      </c>
      <c r="C8" s="13">
        <v>13</v>
      </c>
      <c r="D8" s="2">
        <f>SUM(StateSenatorSenateDistrict44General[[#This Row],[Saratoga County 
Vote Results]:[Part of Schenectady County Vote Results]])</f>
        <v>24</v>
      </c>
      <c r="E8" s="1"/>
    </row>
    <row r="9" spans="1:5" x14ac:dyDescent="0.2">
      <c r="A9" s="5" t="s">
        <v>1</v>
      </c>
      <c r="B9" s="13">
        <v>82</v>
      </c>
      <c r="C9" s="13">
        <v>12</v>
      </c>
      <c r="D9" s="2">
        <f>SUM(StateSenatorSenateDistrict44General[[#This Row],[Saratoga County 
Vote Results]:[Part of Schenectady County Vote Results]])</f>
        <v>94</v>
      </c>
      <c r="E9" s="1"/>
    </row>
    <row r="10" spans="1:5" x14ac:dyDescent="0.2">
      <c r="A10" s="4" t="s">
        <v>0</v>
      </c>
      <c r="B10" s="13">
        <f>SUM(StateSenatorSenateDistrict44General[Saratoga County 
Vote Results])</f>
        <v>104846</v>
      </c>
      <c r="C10" s="13">
        <f>SUM(StateSenatorSenateDistrict44General[Part of Schenectady County Vote Results])</f>
        <v>23742</v>
      </c>
      <c r="D10" s="2">
        <f>SUM(StateSenatorSenateDistrict44General[Total Votes by Party])</f>
        <v>128588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AA6A-8019-47FA-923B-03664A330440}">
  <sheetPr codeName="Sheet45">
    <pageSetUpPr fitToPage="1"/>
  </sheetPr>
  <dimension ref="A1:I9"/>
  <sheetViews>
    <sheetView zoomScaleNormal="100" zoomScaleSheetLayoutView="100" workbookViewId="0">
      <pane xSplit="1" topLeftCell="B1" activePane="topRight" state="frozen"/>
      <selection pane="topRight" activeCell="G2" sqref="G2"/>
    </sheetView>
  </sheetViews>
  <sheetFormatPr defaultRowHeight="12.75" x14ac:dyDescent="0.2"/>
  <cols>
    <col min="1" max="1" width="25.5703125" customWidth="1"/>
    <col min="2" max="9" width="20.5703125" customWidth="1"/>
    <col min="10" max="11" width="23.5703125" customWidth="1"/>
  </cols>
  <sheetData>
    <row r="1" spans="1:9" ht="18.75" x14ac:dyDescent="0.2">
      <c r="A1" s="12" t="s">
        <v>215</v>
      </c>
    </row>
    <row r="2" spans="1:9" ht="25.5" x14ac:dyDescent="0.2">
      <c r="A2" s="11" t="s">
        <v>11</v>
      </c>
      <c r="B2" s="10" t="s">
        <v>214</v>
      </c>
      <c r="C2" s="10" t="s">
        <v>213</v>
      </c>
      <c r="D2" s="10" t="s">
        <v>212</v>
      </c>
      <c r="E2" s="10" t="s">
        <v>211</v>
      </c>
      <c r="F2" s="10" t="s">
        <v>210</v>
      </c>
      <c r="G2" s="10" t="s">
        <v>196</v>
      </c>
      <c r="H2" s="9" t="s">
        <v>9</v>
      </c>
      <c r="I2" s="8" t="s">
        <v>8</v>
      </c>
    </row>
    <row r="3" spans="1:9" x14ac:dyDescent="0.2">
      <c r="A3" s="6" t="s">
        <v>209</v>
      </c>
      <c r="B3" s="13">
        <v>11378</v>
      </c>
      <c r="C3" s="13">
        <v>6423</v>
      </c>
      <c r="D3" s="13">
        <v>5797</v>
      </c>
      <c r="E3" s="13">
        <v>8917</v>
      </c>
      <c r="F3" s="13">
        <v>10662</v>
      </c>
      <c r="G3" s="13">
        <v>1898</v>
      </c>
      <c r="H3" s="2">
        <f>SUM(StateSenatorSenateDistrict45General[[#This Row],[Clinton County Vote Results]:[Part of Washington County Vote Results]])</f>
        <v>45075</v>
      </c>
      <c r="I3" s="7">
        <f>SUM(H3)</f>
        <v>45075</v>
      </c>
    </row>
    <row r="4" spans="1:9" x14ac:dyDescent="0.2">
      <c r="A4" s="6" t="s">
        <v>208</v>
      </c>
      <c r="B4" s="13">
        <v>14231</v>
      </c>
      <c r="C4" s="13">
        <v>8115</v>
      </c>
      <c r="D4" s="13">
        <v>8278</v>
      </c>
      <c r="E4" s="13">
        <v>11205</v>
      </c>
      <c r="F4" s="13">
        <v>15292</v>
      </c>
      <c r="G4" s="13">
        <v>4699</v>
      </c>
      <c r="H4" s="2">
        <f>SUM(StateSenatorSenateDistrict45General[[#This Row],[Clinton County Vote Results]:[Part of Washington County Vote Results]])</f>
        <v>61820</v>
      </c>
      <c r="I4" s="7">
        <f>SUM(H5,H4)</f>
        <v>68294</v>
      </c>
    </row>
    <row r="5" spans="1:9" x14ac:dyDescent="0.2">
      <c r="A5" s="6" t="s">
        <v>207</v>
      </c>
      <c r="B5" s="13">
        <v>1359</v>
      </c>
      <c r="C5" s="13">
        <v>689</v>
      </c>
      <c r="D5" s="13">
        <v>757</v>
      </c>
      <c r="E5" s="13">
        <v>1372</v>
      </c>
      <c r="F5" s="13">
        <v>1856</v>
      </c>
      <c r="G5" s="13">
        <v>441</v>
      </c>
      <c r="H5" s="2">
        <f>SUM(StateSenatorSenateDistrict45General[[#This Row],[Clinton County Vote Results]:[Part of Washington County Vote Results]])</f>
        <v>6474</v>
      </c>
      <c r="I5" s="1"/>
    </row>
    <row r="6" spans="1:9" x14ac:dyDescent="0.2">
      <c r="A6" s="5" t="s">
        <v>3</v>
      </c>
      <c r="B6" s="13">
        <v>855</v>
      </c>
      <c r="C6" s="13">
        <v>553</v>
      </c>
      <c r="D6" s="13">
        <v>527</v>
      </c>
      <c r="E6" s="13">
        <v>1458</v>
      </c>
      <c r="F6" s="13">
        <v>569</v>
      </c>
      <c r="G6" s="13">
        <v>16</v>
      </c>
      <c r="H6" s="2">
        <f>SUM(StateSenatorSenateDistrict45General[[#This Row],[Clinton County Vote Results]:[Part of Washington County Vote Results]])</f>
        <v>3978</v>
      </c>
      <c r="I6" s="1"/>
    </row>
    <row r="7" spans="1:9" x14ac:dyDescent="0.2">
      <c r="A7" s="5" t="s">
        <v>2</v>
      </c>
      <c r="B7" s="13">
        <v>4</v>
      </c>
      <c r="C7" s="13">
        <v>7</v>
      </c>
      <c r="D7" s="13">
        <v>1</v>
      </c>
      <c r="E7" s="13">
        <v>0</v>
      </c>
      <c r="F7" s="13">
        <v>2</v>
      </c>
      <c r="G7" s="13">
        <v>1</v>
      </c>
      <c r="H7" s="2">
        <f>SUM(StateSenatorSenateDistrict45General[[#This Row],[Clinton County Vote Results]:[Part of Washington County Vote Results]])</f>
        <v>15</v>
      </c>
      <c r="I7" s="1"/>
    </row>
    <row r="8" spans="1:9" x14ac:dyDescent="0.2">
      <c r="A8" s="5" t="s">
        <v>1</v>
      </c>
      <c r="B8" s="13">
        <v>5</v>
      </c>
      <c r="C8" s="13">
        <v>1</v>
      </c>
      <c r="D8" s="13">
        <v>4</v>
      </c>
      <c r="E8" s="13">
        <v>3</v>
      </c>
      <c r="F8" s="13">
        <v>12</v>
      </c>
      <c r="G8" s="13">
        <v>0</v>
      </c>
      <c r="H8" s="2">
        <f>SUM(StateSenatorSenateDistrict45General[[#This Row],[Clinton County Vote Results]:[Part of Washington County Vote Results]])</f>
        <v>25</v>
      </c>
      <c r="I8" s="1"/>
    </row>
    <row r="9" spans="1:9" x14ac:dyDescent="0.2">
      <c r="A9" s="4" t="s">
        <v>0</v>
      </c>
      <c r="B9" s="13">
        <f>SUM(StateSenatorSenateDistrict45General[Clinton County Vote Results])</f>
        <v>27832</v>
      </c>
      <c r="C9" s="13">
        <f>SUM(StateSenatorSenateDistrict45General[Essex County Vote Results])</f>
        <v>15788</v>
      </c>
      <c r="D9" s="13">
        <f>SUM(StateSenatorSenateDistrict45General[Franklin County Vote Results])</f>
        <v>15364</v>
      </c>
      <c r="E9" s="13">
        <f>SUM(StateSenatorSenateDistrict45General[Part of St. Lawrence County Vote Results])</f>
        <v>22955</v>
      </c>
      <c r="F9" s="13">
        <f>SUM(StateSenatorSenateDistrict45General[Warren County Vote Results])</f>
        <v>28393</v>
      </c>
      <c r="G9" s="13">
        <f>SUM(StateSenatorSenateDistrict45General[Part of Washington County Vote Results])</f>
        <v>7055</v>
      </c>
      <c r="H9" s="2">
        <f>SUM(StateSenatorSenateDistrict45General[Total Votes by Party])</f>
        <v>117387</v>
      </c>
      <c r="I9" s="1"/>
    </row>
  </sheetData>
  <pageMargins left="0.25" right="0.25" top="0.25" bottom="0.25" header="0.25" footer="0.25"/>
  <pageSetup paperSize="5" scale="9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B16A-C0EE-4872-A8E5-AAE1F24ABB89}">
  <sheetPr codeName="Sheet46">
    <pageSetUpPr fitToPage="1"/>
  </sheetPr>
  <dimension ref="A1:F10"/>
  <sheetViews>
    <sheetView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2" t="s">
        <v>221</v>
      </c>
    </row>
    <row r="2" spans="1:6" ht="25.5" x14ac:dyDescent="0.2">
      <c r="A2" s="11" t="s">
        <v>11</v>
      </c>
      <c r="B2" s="10" t="s">
        <v>198</v>
      </c>
      <c r="C2" s="10" t="s">
        <v>220</v>
      </c>
      <c r="D2" s="10" t="s">
        <v>204</v>
      </c>
      <c r="E2" s="9" t="s">
        <v>9</v>
      </c>
      <c r="F2" s="8" t="s">
        <v>8</v>
      </c>
    </row>
    <row r="3" spans="1:6" x14ac:dyDescent="0.2">
      <c r="A3" s="6" t="s">
        <v>219</v>
      </c>
      <c r="B3" s="3">
        <v>41319</v>
      </c>
      <c r="C3" s="13">
        <v>4521</v>
      </c>
      <c r="D3" s="13">
        <v>11940</v>
      </c>
      <c r="E3" s="2">
        <f>SUM(StateSenatorSenateDistrict46General[[#This Row],[Part of Albany County Vote Results]:[Part of Schenectady County Vote Results]])</f>
        <v>57780</v>
      </c>
      <c r="F3" s="7">
        <f>SUM(E3,E6)</f>
        <v>64631</v>
      </c>
    </row>
    <row r="4" spans="1:6" x14ac:dyDescent="0.2">
      <c r="A4" s="6" t="s">
        <v>218</v>
      </c>
      <c r="B4" s="3">
        <v>20369</v>
      </c>
      <c r="C4" s="13">
        <v>9153</v>
      </c>
      <c r="D4" s="13">
        <v>14255</v>
      </c>
      <c r="E4" s="2">
        <f>SUM(StateSenatorSenateDistrict46General[[#This Row],[Part of Albany County Vote Results]:[Part of Schenectady County Vote Results]])</f>
        <v>43777</v>
      </c>
      <c r="F4" s="7">
        <f>SUM(E4,E5)</f>
        <v>52570</v>
      </c>
    </row>
    <row r="5" spans="1:6" x14ac:dyDescent="0.2">
      <c r="A5" s="6" t="s">
        <v>217</v>
      </c>
      <c r="B5" s="3">
        <v>4372</v>
      </c>
      <c r="C5" s="13">
        <v>1409</v>
      </c>
      <c r="D5" s="13">
        <v>3012</v>
      </c>
      <c r="E5" s="2">
        <f>SUM(StateSenatorSenateDistrict46General[[#This Row],[Part of Albany County Vote Results]:[Part of Schenectady County Vote Results]])</f>
        <v>8793</v>
      </c>
      <c r="F5" s="1"/>
    </row>
    <row r="6" spans="1:6" x14ac:dyDescent="0.2">
      <c r="A6" s="6" t="s">
        <v>216</v>
      </c>
      <c r="B6" s="3">
        <v>5342</v>
      </c>
      <c r="C6" s="13">
        <v>337</v>
      </c>
      <c r="D6" s="13">
        <v>1172</v>
      </c>
      <c r="E6" s="2">
        <f>SUM(StateSenatorSenateDistrict46General[[#This Row],[Part of Albany County Vote Results]:[Part of Schenectady County Vote Results]])</f>
        <v>6851</v>
      </c>
      <c r="F6" s="1"/>
    </row>
    <row r="7" spans="1:6" x14ac:dyDescent="0.2">
      <c r="A7" s="5" t="s">
        <v>3</v>
      </c>
      <c r="B7" s="3">
        <v>1627</v>
      </c>
      <c r="C7" s="13">
        <v>645</v>
      </c>
      <c r="D7" s="13">
        <v>910</v>
      </c>
      <c r="E7" s="2">
        <f>SUM(StateSenatorSenateDistrict46General[[#This Row],[Part of Albany County Vote Results]:[Part of Schenectady County Vote Results]])</f>
        <v>3182</v>
      </c>
      <c r="F7" s="1"/>
    </row>
    <row r="8" spans="1:6" x14ac:dyDescent="0.2">
      <c r="A8" s="5" t="s">
        <v>2</v>
      </c>
      <c r="B8" s="3">
        <v>28</v>
      </c>
      <c r="C8" s="13">
        <v>3</v>
      </c>
      <c r="D8" s="13">
        <v>2</v>
      </c>
      <c r="E8" s="2">
        <f>SUM(StateSenatorSenateDistrict46General[[#This Row],[Part of Albany County Vote Results]:[Part of Schenectady County Vote Results]])</f>
        <v>33</v>
      </c>
      <c r="F8" s="1"/>
    </row>
    <row r="9" spans="1:6" x14ac:dyDescent="0.2">
      <c r="A9" s="5" t="s">
        <v>1</v>
      </c>
      <c r="B9" s="3">
        <v>59</v>
      </c>
      <c r="C9" s="13">
        <v>3</v>
      </c>
      <c r="D9" s="13">
        <v>13</v>
      </c>
      <c r="E9" s="2">
        <f>SUM(StateSenatorSenateDistrict46General[[#This Row],[Part of Albany County Vote Results]:[Part of Schenectady County Vote Results]])</f>
        <v>75</v>
      </c>
      <c r="F9" s="1"/>
    </row>
    <row r="10" spans="1:6" x14ac:dyDescent="0.2">
      <c r="A10" s="4" t="s">
        <v>0</v>
      </c>
      <c r="B10" s="3">
        <f>SUM(StateSenatorSenateDistrict46General[Part of Albany County Vote Results])</f>
        <v>73116</v>
      </c>
      <c r="C10" s="13">
        <f>SUM(StateSenatorSenateDistrict46General[Montgomery County Vote Results])</f>
        <v>16071</v>
      </c>
      <c r="D10" s="13">
        <f>SUM(StateSenatorSenateDistrict46General[Part of Schenectady County Vote Results])</f>
        <v>31304</v>
      </c>
      <c r="E10" s="2">
        <f>SUM(StateSenatorSenateDistrict46General[Total Votes by Party])</f>
        <v>120491</v>
      </c>
      <c r="F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245CC-ACF3-41B0-A8BA-C1A8EA46D4CE}">
  <sheetPr codeName="Sheet47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226</v>
      </c>
    </row>
    <row r="2" spans="1:4" ht="25.5" x14ac:dyDescent="0.2">
      <c r="A2" s="11" t="s">
        <v>11</v>
      </c>
      <c r="B2" s="10" t="s">
        <v>120</v>
      </c>
      <c r="C2" s="9" t="s">
        <v>9</v>
      </c>
      <c r="D2" s="8" t="s">
        <v>8</v>
      </c>
    </row>
    <row r="3" spans="1:4" x14ac:dyDescent="0.2">
      <c r="A3" s="6" t="s">
        <v>225</v>
      </c>
      <c r="B3" s="13">
        <v>81710</v>
      </c>
      <c r="C3" s="2">
        <f t="shared" ref="C3:C9" si="0">SUM(B3)</f>
        <v>81710</v>
      </c>
      <c r="D3" s="7">
        <f>SUM(C3,C4)</f>
        <v>90711</v>
      </c>
    </row>
    <row r="4" spans="1:4" x14ac:dyDescent="0.2">
      <c r="A4" s="5" t="s">
        <v>224</v>
      </c>
      <c r="B4" s="13">
        <v>9001</v>
      </c>
      <c r="C4" s="2">
        <f t="shared" si="0"/>
        <v>9001</v>
      </c>
      <c r="D4" s="23"/>
    </row>
    <row r="5" spans="1:4" x14ac:dyDescent="0.2">
      <c r="A5" s="6" t="s">
        <v>223</v>
      </c>
      <c r="B5" s="13">
        <v>1536</v>
      </c>
      <c r="C5" s="2">
        <f t="shared" si="0"/>
        <v>1536</v>
      </c>
      <c r="D5" s="7">
        <f>SUM(C5)</f>
        <v>1536</v>
      </c>
    </row>
    <row r="6" spans="1:4" x14ac:dyDescent="0.2">
      <c r="A6" s="6" t="s">
        <v>222</v>
      </c>
      <c r="B6" s="13">
        <v>4937</v>
      </c>
      <c r="C6" s="2">
        <f t="shared" si="0"/>
        <v>4937</v>
      </c>
      <c r="D6" s="7">
        <f>SUM(C6)</f>
        <v>4937</v>
      </c>
    </row>
    <row r="7" spans="1:4" x14ac:dyDescent="0.2">
      <c r="A7" s="5" t="s">
        <v>3</v>
      </c>
      <c r="B7" s="13">
        <v>11022</v>
      </c>
      <c r="C7" s="2">
        <f t="shared" si="0"/>
        <v>11022</v>
      </c>
      <c r="D7" s="1"/>
    </row>
    <row r="8" spans="1:4" x14ac:dyDescent="0.2">
      <c r="A8" s="5" t="s">
        <v>2</v>
      </c>
      <c r="B8" s="13">
        <v>953</v>
      </c>
      <c r="C8" s="2">
        <f t="shared" si="0"/>
        <v>953</v>
      </c>
      <c r="D8" s="1"/>
    </row>
    <row r="9" spans="1:4" x14ac:dyDescent="0.2">
      <c r="A9" s="5" t="s">
        <v>1</v>
      </c>
      <c r="B9" s="13">
        <v>349</v>
      </c>
      <c r="C9" s="2">
        <f t="shared" si="0"/>
        <v>349</v>
      </c>
      <c r="D9" s="1"/>
    </row>
    <row r="10" spans="1:4" x14ac:dyDescent="0.2">
      <c r="A10" s="4" t="s">
        <v>0</v>
      </c>
      <c r="B10" s="13">
        <f>SUM(StateSenatorSenateDistrict47General[Part of New York County Vote Results])</f>
        <v>109508</v>
      </c>
      <c r="C10" s="2">
        <f>SUM(StateSenatorSenateDistrict47General[Total Votes by Party])</f>
        <v>109508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1D33-8CBC-47D0-9DF9-57A5786DAFD1}">
  <sheetPr codeName="Sheet48"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233</v>
      </c>
    </row>
    <row r="2" spans="1:5" ht="25.5" x14ac:dyDescent="0.2">
      <c r="A2" s="11" t="s">
        <v>11</v>
      </c>
      <c r="B2" s="10" t="s">
        <v>232</v>
      </c>
      <c r="C2" s="10" t="s">
        <v>231</v>
      </c>
      <c r="D2" s="9" t="s">
        <v>9</v>
      </c>
      <c r="E2" s="8" t="s">
        <v>8</v>
      </c>
    </row>
    <row r="3" spans="1:5" x14ac:dyDescent="0.2">
      <c r="A3" s="6" t="s">
        <v>230</v>
      </c>
      <c r="B3" s="13">
        <v>9320</v>
      </c>
      <c r="C3" s="13">
        <v>37648</v>
      </c>
      <c r="D3" s="2">
        <f>SUM(StateSenatorSenateDistrict48General[[#This Row],[Cayuga County Vote Results]:[Part of Onondaga County Vote Results]])</f>
        <v>46968</v>
      </c>
      <c r="E3" s="7">
        <f>SUM(D3,D6)</f>
        <v>50668</v>
      </c>
    </row>
    <row r="4" spans="1:5" x14ac:dyDescent="0.2">
      <c r="A4" s="6" t="s">
        <v>229</v>
      </c>
      <c r="B4" s="13">
        <v>14096</v>
      </c>
      <c r="C4" s="13">
        <v>28798</v>
      </c>
      <c r="D4" s="2">
        <f>SUM(StateSenatorSenateDistrict48General[[#This Row],[Cayuga County Vote Results]:[Part of Onondaga County Vote Results]])</f>
        <v>42894</v>
      </c>
      <c r="E4" s="7">
        <f>SUM(D4)</f>
        <v>42894</v>
      </c>
    </row>
    <row r="5" spans="1:5" x14ac:dyDescent="0.2">
      <c r="A5" s="5" t="s">
        <v>228</v>
      </c>
      <c r="B5" s="13">
        <v>2465</v>
      </c>
      <c r="C5" s="13">
        <v>4752</v>
      </c>
      <c r="D5" s="2">
        <f>SUM(StateSenatorSenateDistrict48General[[#This Row],[Cayuga County Vote Results]:[Part of Onondaga County Vote Results]])</f>
        <v>7217</v>
      </c>
      <c r="E5" s="28">
        <f>SUM(D5)</f>
        <v>7217</v>
      </c>
    </row>
    <row r="6" spans="1:5" x14ac:dyDescent="0.2">
      <c r="A6" s="6" t="s">
        <v>227</v>
      </c>
      <c r="B6" s="13">
        <v>633</v>
      </c>
      <c r="C6" s="13">
        <v>3067</v>
      </c>
      <c r="D6" s="2">
        <f>SUM(StateSenatorSenateDistrict48General[[#This Row],[Cayuga County Vote Results]:[Part of Onondaga County Vote Results]])</f>
        <v>3700</v>
      </c>
      <c r="E6" s="1"/>
    </row>
    <row r="7" spans="1:5" x14ac:dyDescent="0.2">
      <c r="A7" s="5" t="s">
        <v>3</v>
      </c>
      <c r="B7" s="13">
        <v>601</v>
      </c>
      <c r="C7" s="13">
        <v>1758</v>
      </c>
      <c r="D7" s="2">
        <f>SUM(StateSenatorSenateDistrict48General[[#This Row],[Cayuga County Vote Results]:[Part of Onondaga County Vote Results]])</f>
        <v>2359</v>
      </c>
      <c r="E7" s="1"/>
    </row>
    <row r="8" spans="1:5" x14ac:dyDescent="0.2">
      <c r="A8" s="5" t="s">
        <v>2</v>
      </c>
      <c r="B8" s="13">
        <v>10</v>
      </c>
      <c r="C8" s="13">
        <v>45</v>
      </c>
      <c r="D8" s="2">
        <f>SUM(StateSenatorSenateDistrict48General[[#This Row],[Cayuga County Vote Results]:[Part of Onondaga County Vote Results]])</f>
        <v>55</v>
      </c>
      <c r="E8" s="1"/>
    </row>
    <row r="9" spans="1:5" x14ac:dyDescent="0.2">
      <c r="A9" s="5" t="s">
        <v>1</v>
      </c>
      <c r="B9" s="13">
        <v>9</v>
      </c>
      <c r="C9" s="13">
        <v>34</v>
      </c>
      <c r="D9" s="2">
        <f>SUM(StateSenatorSenateDistrict48General[[#This Row],[Cayuga County Vote Results]:[Part of Onondaga County Vote Results]])</f>
        <v>43</v>
      </c>
      <c r="E9" s="1"/>
    </row>
    <row r="10" spans="1:5" x14ac:dyDescent="0.2">
      <c r="A10" s="4" t="s">
        <v>0</v>
      </c>
      <c r="B10" s="13">
        <f>SUM(StateSenatorSenateDistrict48General[Cayuga County Vote Results])</f>
        <v>27134</v>
      </c>
      <c r="C10" s="13">
        <f>SUM(StateSenatorSenateDistrict48General[Part of Onondaga County Vote Results])</f>
        <v>76102</v>
      </c>
      <c r="D10" s="2">
        <f>SUM(StateSenatorSenateDistrict48General[Total Votes by Party])</f>
        <v>103236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02DD-0BD3-45C8-BB23-A8CD9FE2D128}">
  <sheetPr codeName="Sheet49">
    <pageSetUpPr fitToPage="1"/>
  </sheetPr>
  <dimension ref="A1:J8"/>
  <sheetViews>
    <sheetView workbookViewId="0">
      <selection activeCell="H2" sqref="H2"/>
    </sheetView>
  </sheetViews>
  <sheetFormatPr defaultRowHeight="12.75" x14ac:dyDescent="0.2"/>
  <cols>
    <col min="1" max="1" width="25.5703125" customWidth="1"/>
    <col min="2" max="10" width="20.5703125" customWidth="1"/>
    <col min="11" max="12" width="23.5703125" customWidth="1"/>
  </cols>
  <sheetData>
    <row r="1" spans="1:10" ht="18.75" x14ac:dyDescent="0.2">
      <c r="A1" s="12" t="s">
        <v>242</v>
      </c>
    </row>
    <row r="2" spans="1:10" ht="25.5" x14ac:dyDescent="0.2">
      <c r="A2" s="11" t="s">
        <v>11</v>
      </c>
      <c r="B2" s="10" t="s">
        <v>241</v>
      </c>
      <c r="C2" s="10" t="s">
        <v>240</v>
      </c>
      <c r="D2" s="10" t="s">
        <v>239</v>
      </c>
      <c r="E2" s="10" t="s">
        <v>238</v>
      </c>
      <c r="F2" s="10" t="s">
        <v>237</v>
      </c>
      <c r="G2" s="10" t="s">
        <v>236</v>
      </c>
      <c r="H2" s="10" t="s">
        <v>211</v>
      </c>
      <c r="I2" s="9" t="s">
        <v>9</v>
      </c>
      <c r="J2" s="8" t="s">
        <v>8</v>
      </c>
    </row>
    <row r="3" spans="1:10" x14ac:dyDescent="0.2">
      <c r="A3" s="6" t="s">
        <v>235</v>
      </c>
      <c r="B3" s="13">
        <v>12477</v>
      </c>
      <c r="C3" s="13">
        <v>1934</v>
      </c>
      <c r="D3" s="13">
        <v>12814</v>
      </c>
      <c r="E3" s="13">
        <v>22631</v>
      </c>
      <c r="F3" s="13">
        <v>7957</v>
      </c>
      <c r="G3" s="13">
        <v>7151</v>
      </c>
      <c r="H3" s="13">
        <v>8248</v>
      </c>
      <c r="I3" s="2">
        <f>SUM(StateSenatorSenateDistrict49General[[#This Row],[Fulton County Vote Results]:[Part of St. Lawrence County Vote Results]])</f>
        <v>73212</v>
      </c>
      <c r="J3" s="7">
        <f>SUM(I3:I4)</f>
        <v>83238</v>
      </c>
    </row>
    <row r="4" spans="1:10" x14ac:dyDescent="0.2">
      <c r="A4" s="6" t="s">
        <v>234</v>
      </c>
      <c r="B4" s="13">
        <v>1626</v>
      </c>
      <c r="C4" s="13">
        <v>247</v>
      </c>
      <c r="D4" s="13">
        <v>1694</v>
      </c>
      <c r="E4" s="13">
        <v>3150</v>
      </c>
      <c r="F4" s="13">
        <v>924</v>
      </c>
      <c r="G4" s="13">
        <v>1088</v>
      </c>
      <c r="H4" s="13">
        <v>1297</v>
      </c>
      <c r="I4" s="2">
        <f>SUM(StateSenatorSenateDistrict49General[[#This Row],[Fulton County Vote Results]:[Part of St. Lawrence County Vote Results]])</f>
        <v>10026</v>
      </c>
      <c r="J4" s="1"/>
    </row>
    <row r="5" spans="1:10" x14ac:dyDescent="0.2">
      <c r="A5" s="5" t="s">
        <v>3</v>
      </c>
      <c r="B5" s="13">
        <v>4917</v>
      </c>
      <c r="C5" s="13">
        <v>741</v>
      </c>
      <c r="D5" s="13">
        <v>6014</v>
      </c>
      <c r="E5" s="13">
        <v>5977</v>
      </c>
      <c r="F5" s="13">
        <v>1870</v>
      </c>
      <c r="G5" s="13">
        <v>1824</v>
      </c>
      <c r="H5" s="13">
        <v>2319</v>
      </c>
      <c r="I5" s="2">
        <f>SUM(StateSenatorSenateDistrict49General[[#This Row],[Fulton County Vote Results]:[Part of St. Lawrence County Vote Results]])</f>
        <v>23662</v>
      </c>
      <c r="J5" s="1"/>
    </row>
    <row r="6" spans="1:10" x14ac:dyDescent="0.2">
      <c r="A6" s="5" t="s">
        <v>2</v>
      </c>
      <c r="B6" s="13">
        <v>1</v>
      </c>
      <c r="C6" s="13">
        <v>0</v>
      </c>
      <c r="D6" s="13">
        <v>1</v>
      </c>
      <c r="E6" s="13">
        <v>3</v>
      </c>
      <c r="F6" s="13">
        <v>0</v>
      </c>
      <c r="G6" s="13">
        <v>2</v>
      </c>
      <c r="H6" s="13">
        <v>0</v>
      </c>
      <c r="I6" s="2">
        <f>SUM(StateSenatorSenateDistrict49General[[#This Row],[Fulton County Vote Results]:[Part of St. Lawrence County Vote Results]])</f>
        <v>7</v>
      </c>
      <c r="J6" s="1"/>
    </row>
    <row r="7" spans="1:10" x14ac:dyDescent="0.2">
      <c r="A7" s="5" t="s">
        <v>1</v>
      </c>
      <c r="B7" s="13">
        <v>39</v>
      </c>
      <c r="C7" s="13">
        <v>13</v>
      </c>
      <c r="D7" s="13">
        <v>40</v>
      </c>
      <c r="E7" s="13">
        <v>211</v>
      </c>
      <c r="F7" s="13">
        <v>28</v>
      </c>
      <c r="G7" s="13">
        <v>27</v>
      </c>
      <c r="H7" s="13">
        <v>30</v>
      </c>
      <c r="I7" s="2">
        <f>SUM(StateSenatorSenateDistrict49General[[#This Row],[Fulton County Vote Results]:[Part of St. Lawrence County Vote Results]])</f>
        <v>388</v>
      </c>
      <c r="J7" s="1"/>
    </row>
    <row r="8" spans="1:10" x14ac:dyDescent="0.2">
      <c r="A8" s="4" t="s">
        <v>0</v>
      </c>
      <c r="B8" s="13">
        <f>SUM(StateSenatorSenateDistrict49General[Fulton County Vote Results])</f>
        <v>19060</v>
      </c>
      <c r="C8" s="13">
        <f>SUM(StateSenatorSenateDistrict49General[Hamilton County Vote Results])</f>
        <v>2935</v>
      </c>
      <c r="D8" s="13">
        <f>SUM(StateSenatorSenateDistrict49General[Part of Herkimer County Vote Results])</f>
        <v>20563</v>
      </c>
      <c r="E8" s="13">
        <f>SUM(StateSenatorSenateDistrict49General[Jefferson County Vote Results])</f>
        <v>31972</v>
      </c>
      <c r="F8" s="13">
        <f>SUM(StateSenatorSenateDistrict49General[Lewis County
Vote Results])</f>
        <v>10779</v>
      </c>
      <c r="G8" s="13">
        <f>SUM(StateSenatorSenateDistrict49General[Part of Oswego County Vote Results])</f>
        <v>10092</v>
      </c>
      <c r="H8" s="13">
        <f>SUM(StateSenatorSenateDistrict49General[Part of St. Lawrence County Vote Results])</f>
        <v>11894</v>
      </c>
      <c r="I8" s="2">
        <f>SUM(StateSenatorSenateDistrict49General[Total Votes by Party])</f>
        <v>107295</v>
      </c>
      <c r="J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681F-DD06-4E27-B42F-C6B73AEE4898}">
  <sheetPr codeName="Sheet5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75" customHeight="1" x14ac:dyDescent="0.2">
      <c r="A1" s="12" t="s">
        <v>32</v>
      </c>
    </row>
    <row r="2" spans="1:4" ht="25.5" x14ac:dyDescent="0.2">
      <c r="A2" s="11" t="s">
        <v>11</v>
      </c>
      <c r="B2" s="10" t="s">
        <v>31</v>
      </c>
      <c r="C2" s="9" t="s">
        <v>9</v>
      </c>
      <c r="D2" s="8" t="s">
        <v>8</v>
      </c>
    </row>
    <row r="3" spans="1:4" x14ac:dyDescent="0.2">
      <c r="A3" s="6" t="s">
        <v>30</v>
      </c>
      <c r="B3" s="3">
        <v>50191</v>
      </c>
      <c r="C3" s="2">
        <f>StateSenatorSenateDistrict5General44[[#This Row],[Part of Nassau County Vote Results]]</f>
        <v>50191</v>
      </c>
      <c r="D3" s="7">
        <f>SUM(C3,C6)</f>
        <v>52110</v>
      </c>
    </row>
    <row r="4" spans="1:4" x14ac:dyDescent="0.2">
      <c r="A4" s="6" t="s">
        <v>29</v>
      </c>
      <c r="B4" s="3">
        <v>73844</v>
      </c>
      <c r="C4" s="2">
        <f>StateSenatorSenateDistrict5General44[[#This Row],[Part of Nassau County Vote Results]]</f>
        <v>73844</v>
      </c>
      <c r="D4" s="7">
        <f>SUM(C4,C5)</f>
        <v>80693</v>
      </c>
    </row>
    <row r="5" spans="1:4" x14ac:dyDescent="0.2">
      <c r="A5" s="6" t="s">
        <v>28</v>
      </c>
      <c r="B5" s="3">
        <v>6849</v>
      </c>
      <c r="C5" s="2">
        <f>StateSenatorSenateDistrict5General44[[#This Row],[Part of Nassau County Vote Results]]</f>
        <v>6849</v>
      </c>
      <c r="D5" s="1"/>
    </row>
    <row r="6" spans="1:4" x14ac:dyDescent="0.2">
      <c r="A6" s="6" t="s">
        <v>27</v>
      </c>
      <c r="B6" s="3">
        <v>1919</v>
      </c>
      <c r="C6" s="2">
        <f>StateSenatorSenateDistrict5General44[[#This Row],[Part of Nassau County Vote Results]]</f>
        <v>1919</v>
      </c>
      <c r="D6" s="1"/>
    </row>
    <row r="7" spans="1:4" x14ac:dyDescent="0.2">
      <c r="A7" s="5" t="s">
        <v>3</v>
      </c>
      <c r="B7" s="3">
        <v>4260</v>
      </c>
      <c r="C7" s="2">
        <f>StateSenatorSenateDistrict5General44[[#This Row],[Part of Nassau County Vote Results]]</f>
        <v>4260</v>
      </c>
      <c r="D7" s="1"/>
    </row>
    <row r="8" spans="1:4" x14ac:dyDescent="0.2">
      <c r="A8" s="5" t="s">
        <v>2</v>
      </c>
      <c r="B8" s="3">
        <v>38</v>
      </c>
      <c r="C8" s="2">
        <f>StateSenatorSenateDistrict5General44[[#This Row],[Part of Nassau County Vote Results]]</f>
        <v>38</v>
      </c>
      <c r="D8" s="1"/>
    </row>
    <row r="9" spans="1:4" x14ac:dyDescent="0.2">
      <c r="A9" s="5" t="s">
        <v>1</v>
      </c>
      <c r="B9" s="3">
        <v>23</v>
      </c>
      <c r="C9" s="2">
        <f>StateSenatorSenateDistrict5General44[[#This Row],[Part of Nassau County Vote Results]]</f>
        <v>23</v>
      </c>
      <c r="D9" s="1"/>
    </row>
    <row r="10" spans="1:4" x14ac:dyDescent="0.2">
      <c r="A10" s="4" t="s">
        <v>0</v>
      </c>
      <c r="B10" s="3">
        <f>SUM(StateSenatorSenateDistrict5General44[Part of Nassau County Vote Results])</f>
        <v>137124</v>
      </c>
      <c r="C10" s="2">
        <f>SUM(StateSenatorSenateDistrict5General44[Total Votes by Party])</f>
        <v>137124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DCA9-145F-42CA-9C38-EC503215C0F2}">
  <sheetPr codeName="Sheet50">
    <pageSetUpPr fitToPage="1"/>
  </sheetPr>
  <dimension ref="A1:E10"/>
  <sheetViews>
    <sheetView workbookViewId="0">
      <selection activeCell="C15" sqref="C15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2" t="s">
        <v>248</v>
      </c>
    </row>
    <row r="2" spans="1:5" ht="25.5" x14ac:dyDescent="0.2">
      <c r="A2" s="11" t="s">
        <v>11</v>
      </c>
      <c r="B2" s="10" t="s">
        <v>247</v>
      </c>
      <c r="C2" s="10" t="s">
        <v>236</v>
      </c>
      <c r="D2" s="9" t="s">
        <v>9</v>
      </c>
      <c r="E2" s="8" t="s">
        <v>8</v>
      </c>
    </row>
    <row r="3" spans="1:5" x14ac:dyDescent="0.2">
      <c r="A3" s="6" t="s">
        <v>246</v>
      </c>
      <c r="B3" s="13">
        <v>47572</v>
      </c>
      <c r="C3" s="13">
        <v>10140</v>
      </c>
      <c r="D3" s="2">
        <f>SUM(StateSenatorSenateDistrict50General66[[#This Row],[Part of Onondago County Vote Results]:[Part of Oswego County Vote Results]])</f>
        <v>57712</v>
      </c>
      <c r="E3" s="7">
        <f>SUM(D3,D6)</f>
        <v>61579</v>
      </c>
    </row>
    <row r="4" spans="1:5" x14ac:dyDescent="0.2">
      <c r="A4" s="6" t="s">
        <v>245</v>
      </c>
      <c r="B4" s="13">
        <v>36180</v>
      </c>
      <c r="C4" s="13">
        <v>16390</v>
      </c>
      <c r="D4" s="2">
        <f>SUM(StateSenatorSenateDistrict50General66[[#This Row],[Part of Onondago County Vote Results]:[Part of Oswego County Vote Results]])</f>
        <v>52570</v>
      </c>
      <c r="E4" s="7">
        <f>SUM(D4,D5)</f>
        <v>61569</v>
      </c>
    </row>
    <row r="5" spans="1:5" x14ac:dyDescent="0.2">
      <c r="A5" s="6" t="s">
        <v>244</v>
      </c>
      <c r="B5" s="13">
        <v>6559</v>
      </c>
      <c r="C5" s="13">
        <v>2440</v>
      </c>
      <c r="D5" s="2">
        <f>SUM(StateSenatorSenateDistrict50General66[[#This Row],[Part of Onondago County Vote Results]:[Part of Oswego County Vote Results]])</f>
        <v>8999</v>
      </c>
      <c r="E5" s="1"/>
    </row>
    <row r="6" spans="1:5" x14ac:dyDescent="0.2">
      <c r="A6" s="6" t="s">
        <v>243</v>
      </c>
      <c r="B6" s="13">
        <v>3163</v>
      </c>
      <c r="C6" s="13">
        <v>704</v>
      </c>
      <c r="D6" s="2">
        <f>SUM(StateSenatorSenateDistrict50General66[[#This Row],[Part of Onondago County Vote Results]:[Part of Oswego County Vote Results]])</f>
        <v>3867</v>
      </c>
      <c r="E6" s="1"/>
    </row>
    <row r="7" spans="1:5" x14ac:dyDescent="0.2">
      <c r="A7" s="5" t="s">
        <v>3</v>
      </c>
      <c r="B7" s="13">
        <v>1581</v>
      </c>
      <c r="C7" s="13">
        <v>655</v>
      </c>
      <c r="D7" s="2">
        <f>SUM(StateSenatorSenateDistrict50General66[[#This Row],[Part of Onondago County Vote Results]:[Part of Oswego County Vote Results]])</f>
        <v>2236</v>
      </c>
      <c r="E7" s="1"/>
    </row>
    <row r="8" spans="1:5" x14ac:dyDescent="0.2">
      <c r="A8" s="5" t="s">
        <v>2</v>
      </c>
      <c r="B8" s="13">
        <v>32</v>
      </c>
      <c r="C8" s="13">
        <v>61</v>
      </c>
      <c r="D8" s="2">
        <f>SUM(StateSenatorSenateDistrict50General66[[#This Row],[Part of Onondago County Vote Results]:[Part of Oswego County Vote Results]])</f>
        <v>93</v>
      </c>
      <c r="E8" s="1"/>
    </row>
    <row r="9" spans="1:5" x14ac:dyDescent="0.2">
      <c r="A9" s="5" t="s">
        <v>1</v>
      </c>
      <c r="B9" s="13">
        <v>23</v>
      </c>
      <c r="C9" s="13">
        <v>7</v>
      </c>
      <c r="D9" s="2">
        <f>SUM(StateSenatorSenateDistrict50General66[[#This Row],[Part of Onondago County Vote Results]:[Part of Oswego County Vote Results]])</f>
        <v>30</v>
      </c>
      <c r="E9" s="1"/>
    </row>
    <row r="10" spans="1:5" x14ac:dyDescent="0.2">
      <c r="A10" s="4" t="s">
        <v>0</v>
      </c>
      <c r="B10" s="13">
        <f>SUM(StateSenatorSenateDistrict50General66[Part of Onondago County Vote Results])</f>
        <v>95110</v>
      </c>
      <c r="C10" s="13">
        <f>SUM(StateSenatorSenateDistrict50General66[Part of Oswego County Vote Results])</f>
        <v>30397</v>
      </c>
      <c r="D10" s="2">
        <f>SUM(StateSenatorSenateDistrict50General66[Total Votes by Party])</f>
        <v>125507</v>
      </c>
      <c r="E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3098-26E4-4956-88C0-4980010884F5}">
  <sheetPr codeName="Sheet51">
    <pageSetUpPr fitToPage="1"/>
  </sheetPr>
  <dimension ref="A1:J9"/>
  <sheetViews>
    <sheetView workbookViewId="0">
      <pane xSplit="1" topLeftCell="B1" activePane="topRight" state="frozen"/>
      <selection activeCell="A32" sqref="A32:XFD32"/>
      <selection pane="topRight" activeCell="B2" sqref="B2"/>
    </sheetView>
  </sheetViews>
  <sheetFormatPr defaultRowHeight="12.75" x14ac:dyDescent="0.2"/>
  <cols>
    <col min="1" max="1" width="25.5703125" customWidth="1"/>
    <col min="2" max="11" width="15.7109375" customWidth="1"/>
    <col min="12" max="13" width="23.5703125" customWidth="1"/>
  </cols>
  <sheetData>
    <row r="1" spans="1:10" ht="18.75" x14ac:dyDescent="0.2">
      <c r="A1" s="12" t="s">
        <v>258</v>
      </c>
    </row>
    <row r="2" spans="1:10" ht="38.25" customHeight="1" x14ac:dyDescent="0.2">
      <c r="A2" s="11" t="s">
        <v>11</v>
      </c>
      <c r="B2" s="10" t="s">
        <v>257</v>
      </c>
      <c r="C2" s="10" t="s">
        <v>256</v>
      </c>
      <c r="D2" s="10" t="s">
        <v>255</v>
      </c>
      <c r="E2" s="10" t="s">
        <v>254</v>
      </c>
      <c r="F2" s="10" t="s">
        <v>253</v>
      </c>
      <c r="G2" s="10" t="s">
        <v>252</v>
      </c>
      <c r="H2" s="10" t="s">
        <v>183</v>
      </c>
      <c r="I2" s="9" t="s">
        <v>9</v>
      </c>
      <c r="J2" s="8" t="s">
        <v>8</v>
      </c>
    </row>
    <row r="3" spans="1:10" x14ac:dyDescent="0.2">
      <c r="A3" s="6" t="s">
        <v>251</v>
      </c>
      <c r="B3" s="13">
        <v>3627</v>
      </c>
      <c r="C3" s="13">
        <v>3145</v>
      </c>
      <c r="D3" s="13">
        <v>6397</v>
      </c>
      <c r="E3" s="13">
        <v>8254</v>
      </c>
      <c r="F3" s="13">
        <v>3507</v>
      </c>
      <c r="G3" s="13">
        <v>9349</v>
      </c>
      <c r="H3" s="13">
        <v>10659</v>
      </c>
      <c r="I3" s="2">
        <f>SUM(StateSenatorSenateDistrict51General[[#This Row],[Part of Broome County Vote Results]:[Part of Ulster County Vote Results]])</f>
        <v>44938</v>
      </c>
      <c r="J3" s="7">
        <f>SUM(I3)</f>
        <v>44938</v>
      </c>
    </row>
    <row r="4" spans="1:10" x14ac:dyDescent="0.2">
      <c r="A4" s="6" t="s">
        <v>250</v>
      </c>
      <c r="B4" s="13">
        <v>8126</v>
      </c>
      <c r="C4" s="13">
        <v>6518</v>
      </c>
      <c r="D4" s="13">
        <v>10931</v>
      </c>
      <c r="E4" s="13">
        <v>12000</v>
      </c>
      <c r="F4" s="13">
        <v>7795</v>
      </c>
      <c r="G4" s="13">
        <v>12851</v>
      </c>
      <c r="H4" s="13">
        <v>8336</v>
      </c>
      <c r="I4" s="2">
        <f>SUM(StateSenatorSenateDistrict51General[[#This Row],[Part of Broome County Vote Results]:[Part of Ulster County Vote Results]])</f>
        <v>66557</v>
      </c>
      <c r="J4" s="7">
        <f>SUM(I4,I5)</f>
        <v>74508</v>
      </c>
    </row>
    <row r="5" spans="1:10" x14ac:dyDescent="0.2">
      <c r="A5" s="6" t="s">
        <v>249</v>
      </c>
      <c r="B5" s="13">
        <v>810</v>
      </c>
      <c r="C5" s="13">
        <v>593</v>
      </c>
      <c r="D5" s="13">
        <v>1028</v>
      </c>
      <c r="E5" s="13">
        <v>1316</v>
      </c>
      <c r="F5" s="13">
        <v>1297</v>
      </c>
      <c r="G5" s="13">
        <v>1641</v>
      </c>
      <c r="H5" s="13">
        <v>1266</v>
      </c>
      <c r="I5" s="2">
        <f>SUM(StateSenatorSenateDistrict51General[[#This Row],[Part of Broome County Vote Results]:[Part of Ulster County Vote Results]])</f>
        <v>7951</v>
      </c>
      <c r="J5" s="1"/>
    </row>
    <row r="6" spans="1:10" x14ac:dyDescent="0.2">
      <c r="A6" s="5" t="s">
        <v>3</v>
      </c>
      <c r="B6" s="13">
        <v>528</v>
      </c>
      <c r="C6" s="13">
        <v>269</v>
      </c>
      <c r="D6" s="13">
        <v>334</v>
      </c>
      <c r="E6" s="13">
        <v>585</v>
      </c>
      <c r="F6" s="13">
        <v>348</v>
      </c>
      <c r="G6" s="13">
        <v>1128</v>
      </c>
      <c r="H6" s="13">
        <v>801</v>
      </c>
      <c r="I6" s="2">
        <f>SUM(StateSenatorSenateDistrict51General[[#This Row],[Part of Broome County Vote Results]:[Part of Ulster County Vote Results]])</f>
        <v>3993</v>
      </c>
      <c r="J6" s="1"/>
    </row>
    <row r="7" spans="1:10" x14ac:dyDescent="0.2">
      <c r="A7" s="5" t="s">
        <v>2</v>
      </c>
      <c r="B7" s="13">
        <v>3</v>
      </c>
      <c r="C7" s="13">
        <v>3</v>
      </c>
      <c r="D7" s="13">
        <v>0</v>
      </c>
      <c r="E7" s="13">
        <v>6</v>
      </c>
      <c r="F7" s="13">
        <v>3</v>
      </c>
      <c r="G7" s="13">
        <v>31</v>
      </c>
      <c r="H7" s="13">
        <v>1</v>
      </c>
      <c r="I7" s="2">
        <f>SUM(StateSenatorSenateDistrict51General[[#This Row],[Part of Broome County Vote Results]:[Part of Ulster County Vote Results]])</f>
        <v>47</v>
      </c>
      <c r="J7" s="1"/>
    </row>
    <row r="8" spans="1:10" ht="12" customHeight="1" x14ac:dyDescent="0.2">
      <c r="A8" s="5" t="s">
        <v>1</v>
      </c>
      <c r="B8" s="13">
        <v>10</v>
      </c>
      <c r="C8" s="13">
        <v>10</v>
      </c>
      <c r="D8" s="13">
        <v>8</v>
      </c>
      <c r="E8" s="13">
        <v>71</v>
      </c>
      <c r="F8" s="13">
        <v>3</v>
      </c>
      <c r="G8" s="13">
        <v>5</v>
      </c>
      <c r="H8" s="13">
        <v>3</v>
      </c>
      <c r="I8" s="2">
        <f>SUM(StateSenatorSenateDistrict51General[[#This Row],[Part of Broome County Vote Results]:[Part of Ulster County Vote Results]])</f>
        <v>110</v>
      </c>
      <c r="J8" s="1"/>
    </row>
    <row r="9" spans="1:10" x14ac:dyDescent="0.2">
      <c r="A9" s="4" t="s">
        <v>0</v>
      </c>
      <c r="B9" s="13">
        <f>SUM(StateSenatorSenateDistrict51General[Part of Broome County Vote Results])</f>
        <v>13104</v>
      </c>
      <c r="C9" s="13">
        <f>SUM(StateSenatorSenateDistrict51General[Part of Chenango County Vote Results])</f>
        <v>10538</v>
      </c>
      <c r="D9" s="13">
        <f>SUM(StateSenatorSenateDistrict51General[Delaware County Vote Results])</f>
        <v>18698</v>
      </c>
      <c r="E9" s="13">
        <f>SUM(StateSenatorSenateDistrict51General[Otsego County Vote Results])</f>
        <v>22232</v>
      </c>
      <c r="F9" s="13">
        <f>SUM(StateSenatorSenateDistrict51General[Schoharie County Vote Results])</f>
        <v>12953</v>
      </c>
      <c r="G9" s="13">
        <f>SUM(StateSenatorSenateDistrict51General[Sullivan County Vote Results])</f>
        <v>25005</v>
      </c>
      <c r="H9" s="13">
        <f>SUM(StateSenatorSenateDistrict51General[Part of Ulster County Vote Results])</f>
        <v>21066</v>
      </c>
      <c r="I9" s="2">
        <f>SUM(StateSenatorSenateDistrict51General[Total Votes by Party])</f>
        <v>123596</v>
      </c>
      <c r="J9" s="1"/>
    </row>
  </sheetData>
  <pageMargins left="0.25" right="0.25" top="0.25" bottom="0.25" header="0.25" footer="0.25"/>
  <pageSetup paperSize="5" scale="88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7F10-991C-44A7-A7B5-4EE55674DD52}">
  <sheetPr codeName="Sheet52">
    <pageSetUpPr fitToPage="1"/>
  </sheetPr>
  <dimension ref="A1:F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2" t="s">
        <v>265</v>
      </c>
    </row>
    <row r="2" spans="1:6" ht="25.5" x14ac:dyDescent="0.2">
      <c r="A2" s="11" t="s">
        <v>11</v>
      </c>
      <c r="B2" s="10" t="s">
        <v>257</v>
      </c>
      <c r="C2" s="10" t="s">
        <v>264</v>
      </c>
      <c r="D2" s="10" t="s">
        <v>263</v>
      </c>
      <c r="E2" s="9" t="s">
        <v>9</v>
      </c>
      <c r="F2" s="8" t="s">
        <v>8</v>
      </c>
    </row>
    <row r="3" spans="1:6" x14ac:dyDescent="0.2">
      <c r="A3" s="6" t="s">
        <v>262</v>
      </c>
      <c r="B3" s="13">
        <v>19875</v>
      </c>
      <c r="C3" s="13">
        <v>6014</v>
      </c>
      <c r="D3" s="13">
        <v>20199</v>
      </c>
      <c r="E3" s="2">
        <f>SUM(StateSenatorSenateDistrict52General[[#This Row],[Part of Broome County Vote Results]:[Tompkins County Vote Results]])</f>
        <v>46088</v>
      </c>
      <c r="F3" s="7">
        <f>SUM(E3,E6)</f>
        <v>53851</v>
      </c>
    </row>
    <row r="4" spans="1:6" x14ac:dyDescent="0.2">
      <c r="A4" s="6" t="s">
        <v>261</v>
      </c>
      <c r="B4" s="13">
        <v>28961</v>
      </c>
      <c r="C4" s="13">
        <v>8317</v>
      </c>
      <c r="D4" s="13">
        <v>8740</v>
      </c>
      <c r="E4" s="2">
        <f>SUM(StateSenatorSenateDistrict52General[[#This Row],[Part of Broome County Vote Results]:[Tompkins County Vote Results]])</f>
        <v>46018</v>
      </c>
      <c r="F4" s="7">
        <f>SUM(E4,E5)</f>
        <v>51454</v>
      </c>
    </row>
    <row r="5" spans="1:6" x14ac:dyDescent="0.2">
      <c r="A5" s="6" t="s">
        <v>260</v>
      </c>
      <c r="B5" s="13">
        <v>3416</v>
      </c>
      <c r="C5" s="13">
        <v>992</v>
      </c>
      <c r="D5" s="13">
        <v>1028</v>
      </c>
      <c r="E5" s="2">
        <f>SUM(StateSenatorSenateDistrict52General[[#This Row],[Part of Broome County Vote Results]:[Tompkins County Vote Results]])</f>
        <v>5436</v>
      </c>
      <c r="F5" s="1"/>
    </row>
    <row r="6" spans="1:6" x14ac:dyDescent="0.2">
      <c r="A6" s="6" t="s">
        <v>259</v>
      </c>
      <c r="B6" s="13">
        <v>2392</v>
      </c>
      <c r="C6" s="13">
        <v>608</v>
      </c>
      <c r="D6" s="13">
        <v>4763</v>
      </c>
      <c r="E6" s="2">
        <f>SUM(StateSenatorSenateDistrict52General[[#This Row],[Part of Broome County Vote Results]:[Tompkins County Vote Results]])</f>
        <v>7763</v>
      </c>
      <c r="F6" s="1"/>
    </row>
    <row r="7" spans="1:6" x14ac:dyDescent="0.2">
      <c r="A7" s="5" t="s">
        <v>3</v>
      </c>
      <c r="B7" s="13">
        <v>1017</v>
      </c>
      <c r="C7" s="13">
        <v>336</v>
      </c>
      <c r="D7" s="13">
        <v>458</v>
      </c>
      <c r="E7" s="2">
        <f>SUM(StateSenatorSenateDistrict52General[[#This Row],[Part of Broome County Vote Results]:[Tompkins County Vote Results]])</f>
        <v>1811</v>
      </c>
      <c r="F7" s="1"/>
    </row>
    <row r="8" spans="1:6" x14ac:dyDescent="0.2">
      <c r="A8" s="5" t="s">
        <v>2</v>
      </c>
      <c r="B8" s="13">
        <v>28</v>
      </c>
      <c r="C8" s="13">
        <v>3</v>
      </c>
      <c r="D8" s="13">
        <v>6</v>
      </c>
      <c r="E8" s="2">
        <f>SUM(StateSenatorSenateDistrict52General[[#This Row],[Part of Broome County Vote Results]:[Tompkins County Vote Results]])</f>
        <v>37</v>
      </c>
      <c r="F8" s="1"/>
    </row>
    <row r="9" spans="1:6" x14ac:dyDescent="0.2">
      <c r="A9" s="5" t="s">
        <v>1</v>
      </c>
      <c r="B9" s="13">
        <v>60</v>
      </c>
      <c r="C9" s="13">
        <v>9</v>
      </c>
      <c r="D9" s="13">
        <v>17</v>
      </c>
      <c r="E9" s="2">
        <f>SUM(StateSenatorSenateDistrict52General[[#This Row],[Part of Broome County Vote Results]:[Tompkins County Vote Results]])</f>
        <v>86</v>
      </c>
      <c r="F9" s="1"/>
    </row>
    <row r="10" spans="1:6" x14ac:dyDescent="0.2">
      <c r="A10" s="4" t="s">
        <v>0</v>
      </c>
      <c r="B10" s="13">
        <f>SUM(StateSenatorSenateDistrict52General[Part of Broome County Vote Results])</f>
        <v>55749</v>
      </c>
      <c r="C10" s="13">
        <f>SUM(StateSenatorSenateDistrict52General[Cortland County Vote Results])</f>
        <v>16279</v>
      </c>
      <c r="D10" s="13">
        <f>SUM(StateSenatorSenateDistrict52General[Tompkins County Vote Results])</f>
        <v>35211</v>
      </c>
      <c r="E10" s="2">
        <f>SUM(StateSenatorSenateDistrict52General[Total Votes by Party])</f>
        <v>107239</v>
      </c>
      <c r="F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4A2C-9CB8-46AD-A18E-C1896A9B77A8}">
  <sheetPr codeName="Sheet53">
    <pageSetUpPr fitToPage="1"/>
  </sheetPr>
  <dimension ref="A1:G8"/>
  <sheetViews>
    <sheetView workbookViewId="0">
      <selection activeCell="E2" sqref="E2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2" t="s">
        <v>270</v>
      </c>
    </row>
    <row r="2" spans="1:7" ht="25.5" x14ac:dyDescent="0.2">
      <c r="A2" s="11" t="s">
        <v>11</v>
      </c>
      <c r="B2" s="10" t="s">
        <v>256</v>
      </c>
      <c r="C2" s="10" t="s">
        <v>239</v>
      </c>
      <c r="D2" s="10" t="s">
        <v>269</v>
      </c>
      <c r="E2" s="10" t="s">
        <v>268</v>
      </c>
      <c r="F2" s="9" t="s">
        <v>9</v>
      </c>
      <c r="G2" s="8" t="s">
        <v>8</v>
      </c>
    </row>
    <row r="3" spans="1:7" x14ac:dyDescent="0.2">
      <c r="A3" s="6" t="s">
        <v>267</v>
      </c>
      <c r="B3" s="13">
        <v>4480</v>
      </c>
      <c r="C3" s="13">
        <v>1005</v>
      </c>
      <c r="D3" s="13">
        <v>15873</v>
      </c>
      <c r="E3" s="13">
        <v>52351</v>
      </c>
      <c r="F3" s="2">
        <f>SUM(StateSenatorSenateDistrict53General[[#This Row],[Part of Chenango County Vote Results]:[Part of Oneida County Vote Results]])</f>
        <v>73709</v>
      </c>
      <c r="G3" s="7">
        <f>SUM(F3,F4)</f>
        <v>86372</v>
      </c>
    </row>
    <row r="4" spans="1:7" x14ac:dyDescent="0.2">
      <c r="A4" s="6" t="s">
        <v>266</v>
      </c>
      <c r="B4" s="13">
        <v>605</v>
      </c>
      <c r="C4" s="13">
        <v>157</v>
      </c>
      <c r="D4" s="13">
        <v>3240</v>
      </c>
      <c r="E4" s="13">
        <v>8661</v>
      </c>
      <c r="F4" s="2">
        <f>SUM(StateSenatorSenateDistrict53General[[#This Row],[Part of Chenango County Vote Results]:[Part of Oneida County Vote Results]])</f>
        <v>12663</v>
      </c>
      <c r="G4" s="1"/>
    </row>
    <row r="5" spans="1:7" x14ac:dyDescent="0.2">
      <c r="A5" s="5" t="s">
        <v>3</v>
      </c>
      <c r="B5" s="13">
        <v>1304</v>
      </c>
      <c r="C5" s="13">
        <v>769</v>
      </c>
      <c r="D5" s="13">
        <v>7197</v>
      </c>
      <c r="E5" s="13">
        <v>14643</v>
      </c>
      <c r="F5" s="2">
        <f>SUM(StateSenatorSenateDistrict53General[[#This Row],[Part of Chenango County Vote Results]:[Part of Oneida County Vote Results]])</f>
        <v>23913</v>
      </c>
      <c r="G5" s="1"/>
    </row>
    <row r="6" spans="1:7" x14ac:dyDescent="0.2">
      <c r="A6" s="5" t="s">
        <v>2</v>
      </c>
      <c r="B6" s="13">
        <v>0</v>
      </c>
      <c r="C6" s="13">
        <v>0</v>
      </c>
      <c r="D6" s="13">
        <v>0</v>
      </c>
      <c r="E6" s="13">
        <v>5</v>
      </c>
      <c r="F6" s="2">
        <f>SUM(StateSenatorSenateDistrict53General[[#This Row],[Part of Chenango County Vote Results]:[Part of Oneida County Vote Results]])</f>
        <v>5</v>
      </c>
      <c r="G6" s="1"/>
    </row>
    <row r="7" spans="1:7" x14ac:dyDescent="0.2">
      <c r="A7" s="5" t="s">
        <v>1</v>
      </c>
      <c r="B7" s="13">
        <v>26</v>
      </c>
      <c r="C7" s="13">
        <v>2</v>
      </c>
      <c r="D7" s="13">
        <v>206</v>
      </c>
      <c r="E7" s="13">
        <v>346</v>
      </c>
      <c r="F7" s="2">
        <f>SUM(StateSenatorSenateDistrict53General[[#This Row],[Part of Chenango County Vote Results]:[Part of Oneida County Vote Results]])</f>
        <v>580</v>
      </c>
      <c r="G7" s="1"/>
    </row>
    <row r="8" spans="1:7" x14ac:dyDescent="0.2">
      <c r="A8" s="4" t="s">
        <v>0</v>
      </c>
      <c r="B8" s="13">
        <f>SUM(StateSenatorSenateDistrict53General[Part of Chenango County Vote Results])</f>
        <v>6415</v>
      </c>
      <c r="C8" s="13">
        <f>SUM(StateSenatorSenateDistrict53General[Part of Herkimer County Vote Results])</f>
        <v>1933</v>
      </c>
      <c r="D8" s="13">
        <f>SUM(StateSenatorSenateDistrict53General[Madison County Vote Results])</f>
        <v>26516</v>
      </c>
      <c r="E8" s="13">
        <f>SUM(StateSenatorSenateDistrict53General[Part of Oneida County Vote Results])</f>
        <v>76006</v>
      </c>
      <c r="F8" s="2">
        <f>SUM(StateSenatorSenateDistrict53General[Total Votes by Party])</f>
        <v>110870</v>
      </c>
      <c r="G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6C0A-200F-4811-AE20-1CA2ADEC104F}">
  <sheetPr codeName="Sheet54">
    <pageSetUpPr fitToPage="1"/>
  </sheetPr>
  <dimension ref="A1:G9"/>
  <sheetViews>
    <sheetView workbookViewId="0">
      <selection activeCell="E2" sqref="E2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7" ht="18.75" x14ac:dyDescent="0.2">
      <c r="A1" s="12" t="s">
        <v>278</v>
      </c>
    </row>
    <row r="2" spans="1:7" ht="30" customHeight="1" x14ac:dyDescent="0.2">
      <c r="A2" s="11" t="s">
        <v>11</v>
      </c>
      <c r="B2" s="10" t="s">
        <v>277</v>
      </c>
      <c r="C2" s="10" t="s">
        <v>276</v>
      </c>
      <c r="D2" s="10" t="s">
        <v>275</v>
      </c>
      <c r="E2" s="10" t="s">
        <v>274</v>
      </c>
      <c r="F2" s="9" t="s">
        <v>9</v>
      </c>
      <c r="G2" s="8" t="s">
        <v>8</v>
      </c>
    </row>
    <row r="3" spans="1:7" x14ac:dyDescent="0.2">
      <c r="A3" s="6" t="s">
        <v>273</v>
      </c>
      <c r="B3" s="13">
        <v>7342</v>
      </c>
      <c r="C3" s="13">
        <v>9503</v>
      </c>
      <c r="D3" s="13">
        <v>16548</v>
      </c>
      <c r="E3" s="13">
        <v>8823</v>
      </c>
      <c r="F3" s="2">
        <f>SUM(StateSenatorSenateDistrict54General[[#This Row],[Livingston County Vote Results]:[Wayne County Vote Results]])</f>
        <v>42216</v>
      </c>
      <c r="G3" s="7">
        <f>SUM(F3)</f>
        <v>42216</v>
      </c>
    </row>
    <row r="4" spans="1:7" x14ac:dyDescent="0.2">
      <c r="A4" s="6" t="s">
        <v>272</v>
      </c>
      <c r="B4" s="13">
        <v>13839</v>
      </c>
      <c r="C4" s="13">
        <v>11462</v>
      </c>
      <c r="D4" s="13">
        <v>24532</v>
      </c>
      <c r="E4" s="13">
        <v>20264</v>
      </c>
      <c r="F4" s="2">
        <f>SUM(StateSenatorSenateDistrict54General[[#This Row],[Livingston County Vote Results]:[Wayne County Vote Results]])</f>
        <v>70097</v>
      </c>
      <c r="G4" s="7">
        <f>SUM(F4,F5)</f>
        <v>83650</v>
      </c>
    </row>
    <row r="5" spans="1:7" x14ac:dyDescent="0.2">
      <c r="A5" s="6" t="s">
        <v>271</v>
      </c>
      <c r="B5" s="13">
        <v>2368</v>
      </c>
      <c r="C5" s="13">
        <v>2740</v>
      </c>
      <c r="D5" s="13">
        <v>4360</v>
      </c>
      <c r="E5" s="13">
        <v>4085</v>
      </c>
      <c r="F5" s="2">
        <f>SUM(StateSenatorSenateDistrict54General[[#This Row],[Livingston County Vote Results]:[Wayne County Vote Results]])</f>
        <v>13553</v>
      </c>
      <c r="G5" s="1"/>
    </row>
    <row r="6" spans="1:7" x14ac:dyDescent="0.2">
      <c r="A6" s="5" t="s">
        <v>3</v>
      </c>
      <c r="B6" s="13">
        <v>954</v>
      </c>
      <c r="C6" s="13">
        <v>796</v>
      </c>
      <c r="D6" s="13">
        <v>1108</v>
      </c>
      <c r="E6" s="13">
        <v>692</v>
      </c>
      <c r="F6" s="2">
        <f>SUM(StateSenatorSenateDistrict54General[[#This Row],[Livingston County Vote Results]:[Wayne County Vote Results]])</f>
        <v>3550</v>
      </c>
      <c r="G6" s="1"/>
    </row>
    <row r="7" spans="1:7" x14ac:dyDescent="0.2">
      <c r="A7" s="5" t="s">
        <v>2</v>
      </c>
      <c r="B7" s="13">
        <v>1</v>
      </c>
      <c r="C7" s="13">
        <v>2</v>
      </c>
      <c r="D7" s="13">
        <v>6</v>
      </c>
      <c r="E7" s="13">
        <v>0</v>
      </c>
      <c r="F7" s="2">
        <f>SUM(StateSenatorSenateDistrict54General[[#This Row],[Livingston County Vote Results]:[Wayne County Vote Results]])</f>
        <v>9</v>
      </c>
      <c r="G7" s="1"/>
    </row>
    <row r="8" spans="1:7" x14ac:dyDescent="0.2">
      <c r="A8" s="5" t="s">
        <v>1</v>
      </c>
      <c r="B8" s="13">
        <v>8</v>
      </c>
      <c r="C8" s="13">
        <v>5</v>
      </c>
      <c r="D8" s="13">
        <v>6</v>
      </c>
      <c r="E8" s="13">
        <v>8</v>
      </c>
      <c r="F8" s="2">
        <f>SUM(StateSenatorSenateDistrict54General[[#This Row],[Livingston County Vote Results]:[Wayne County Vote Results]])</f>
        <v>27</v>
      </c>
      <c r="G8" s="1"/>
    </row>
    <row r="9" spans="1:7" x14ac:dyDescent="0.2">
      <c r="A9" s="4" t="s">
        <v>0</v>
      </c>
      <c r="B9" s="13">
        <f>SUM(StateSenatorSenateDistrict54General[Livingston County Vote Results])</f>
        <v>24512</v>
      </c>
      <c r="C9" s="13">
        <f>SUM(StateSenatorSenateDistrict54General[Part of Monroe County Vote Results])</f>
        <v>24508</v>
      </c>
      <c r="D9" s="13">
        <f>SUM(StateSenatorSenateDistrict54General[Ontario County Vote Results])</f>
        <v>46560</v>
      </c>
      <c r="E9" s="13">
        <f>SUM(StateSenatorSenateDistrict54General[Wayne County Vote Results])</f>
        <v>33872</v>
      </c>
      <c r="F9" s="2">
        <f>SUM(StateSenatorSenateDistrict54General[Total Votes by Party])</f>
        <v>129452</v>
      </c>
      <c r="G9" s="1"/>
    </row>
  </sheetData>
  <pageMargins left="0.25" right="0.25" top="0.25" bottom="0.25" header="0.25" footer="0.25"/>
  <pageSetup paperSize="5" scale="9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3185-5519-4971-B5E1-141F4785FA11}">
  <sheetPr codeName="Sheet55">
    <pageSetUpPr fitToPage="1"/>
  </sheetPr>
  <dimension ref="A1:D11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284</v>
      </c>
    </row>
    <row r="2" spans="1:4" ht="25.5" x14ac:dyDescent="0.2">
      <c r="A2" s="11" t="s">
        <v>11</v>
      </c>
      <c r="B2" s="10" t="s">
        <v>276</v>
      </c>
      <c r="C2" s="9" t="s">
        <v>9</v>
      </c>
      <c r="D2" s="8" t="s">
        <v>8</v>
      </c>
    </row>
    <row r="3" spans="1:4" x14ac:dyDescent="0.2">
      <c r="A3" s="6" t="s">
        <v>283</v>
      </c>
      <c r="B3" s="13">
        <v>66949</v>
      </c>
      <c r="C3" s="2">
        <f>StateSenatorSenateDistrict55General[[#This Row],[Part of Monroe County Vote Results]]</f>
        <v>66949</v>
      </c>
      <c r="D3" s="7">
        <f>SUM(C3,C6)</f>
        <v>73332</v>
      </c>
    </row>
    <row r="4" spans="1:4" x14ac:dyDescent="0.2">
      <c r="A4" s="6" t="s">
        <v>282</v>
      </c>
      <c r="B4" s="13">
        <v>43199</v>
      </c>
      <c r="C4" s="2">
        <f>StateSenatorSenateDistrict55General[[#This Row],[Part of Monroe County Vote Results]]</f>
        <v>43199</v>
      </c>
      <c r="D4" s="7">
        <f>SUM(C4,C5,C7)</f>
        <v>52269</v>
      </c>
    </row>
    <row r="5" spans="1:4" x14ac:dyDescent="0.2">
      <c r="A5" s="6" t="s">
        <v>281</v>
      </c>
      <c r="B5" s="13">
        <v>8517</v>
      </c>
      <c r="C5" s="2">
        <f>StateSenatorSenateDistrict55General[[#This Row],[Part of Monroe County Vote Results]]</f>
        <v>8517</v>
      </c>
      <c r="D5" s="1"/>
    </row>
    <row r="6" spans="1:4" x14ac:dyDescent="0.2">
      <c r="A6" s="6" t="s">
        <v>280</v>
      </c>
      <c r="B6" s="13">
        <v>6383</v>
      </c>
      <c r="C6" s="2">
        <f>StateSenatorSenateDistrict55General[[#This Row],[Part of Monroe County Vote Results]]</f>
        <v>6383</v>
      </c>
      <c r="D6" s="1"/>
    </row>
    <row r="7" spans="1:4" x14ac:dyDescent="0.2">
      <c r="A7" s="6" t="s">
        <v>279</v>
      </c>
      <c r="B7" s="13">
        <v>553</v>
      </c>
      <c r="C7" s="2">
        <f>StateSenatorSenateDistrict55General[[#This Row],[Part of Monroe County Vote Results]]</f>
        <v>553</v>
      </c>
      <c r="D7" s="1"/>
    </row>
    <row r="8" spans="1:4" x14ac:dyDescent="0.2">
      <c r="A8" s="5" t="s">
        <v>3</v>
      </c>
      <c r="B8" s="13">
        <v>2625</v>
      </c>
      <c r="C8" s="2">
        <f>StateSenatorSenateDistrict55General[[#This Row],[Part of Monroe County Vote Results]]</f>
        <v>2625</v>
      </c>
      <c r="D8" s="1"/>
    </row>
    <row r="9" spans="1:4" x14ac:dyDescent="0.2">
      <c r="A9" s="5" t="s">
        <v>2</v>
      </c>
      <c r="B9" s="13">
        <v>28</v>
      </c>
      <c r="C9" s="2">
        <f>StateSenatorSenateDistrict55General[[#This Row],[Part of Monroe County Vote Results]]</f>
        <v>28</v>
      </c>
      <c r="D9" s="1"/>
    </row>
    <row r="10" spans="1:4" x14ac:dyDescent="0.2">
      <c r="A10" s="5" t="s">
        <v>1</v>
      </c>
      <c r="B10" s="13">
        <v>37</v>
      </c>
      <c r="C10" s="2">
        <f>StateSenatorSenateDistrict55General[[#This Row],[Part of Monroe County Vote Results]]</f>
        <v>37</v>
      </c>
      <c r="D10" s="1"/>
    </row>
    <row r="11" spans="1:4" x14ac:dyDescent="0.2">
      <c r="A11" s="4" t="s">
        <v>0</v>
      </c>
      <c r="B11" s="13">
        <f>SUM(StateSenatorSenateDistrict55General[Part of Monroe County Vote Results])</f>
        <v>128291</v>
      </c>
      <c r="C11" s="2">
        <f>SUM(StateSenatorSenateDistrict55General[Total Votes by Party])</f>
        <v>128291</v>
      </c>
      <c r="D11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6A30-E961-494F-962B-A691F3796EC9}">
  <sheetPr codeName="Sheet56">
    <pageSetUpPr fitToPage="1"/>
  </sheetPr>
  <dimension ref="A1:D11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290</v>
      </c>
    </row>
    <row r="2" spans="1:4" ht="25.5" x14ac:dyDescent="0.2">
      <c r="A2" s="11" t="s">
        <v>11</v>
      </c>
      <c r="B2" s="10" t="s">
        <v>276</v>
      </c>
      <c r="C2" s="9" t="s">
        <v>9</v>
      </c>
      <c r="D2" s="8" t="s">
        <v>8</v>
      </c>
    </row>
    <row r="3" spans="1:4" x14ac:dyDescent="0.2">
      <c r="A3" s="6" t="s">
        <v>289</v>
      </c>
      <c r="B3" s="13">
        <v>47782</v>
      </c>
      <c r="C3" s="2">
        <f>StateSenatorSenateDistrict56General[[#This Row],[Part of Monroe County Vote Results]]</f>
        <v>47782</v>
      </c>
      <c r="D3" s="7">
        <f>SUM(C3,C6)</f>
        <v>51704</v>
      </c>
    </row>
    <row r="4" spans="1:4" x14ac:dyDescent="0.2">
      <c r="A4" s="6" t="s">
        <v>288</v>
      </c>
      <c r="B4" s="13">
        <v>35879</v>
      </c>
      <c r="C4" s="2">
        <f>StateSenatorSenateDistrict56General[[#This Row],[Part of Monroe County Vote Results]]</f>
        <v>35879</v>
      </c>
      <c r="D4" s="7">
        <f>SUM(C4,C5,C7)</f>
        <v>43686</v>
      </c>
    </row>
    <row r="5" spans="1:4" x14ac:dyDescent="0.2">
      <c r="A5" s="6" t="s">
        <v>287</v>
      </c>
      <c r="B5" s="13">
        <v>7295</v>
      </c>
      <c r="C5" s="2">
        <f>StateSenatorSenateDistrict56General[[#This Row],[Part of Monroe County Vote Results]]</f>
        <v>7295</v>
      </c>
      <c r="D5" s="1"/>
    </row>
    <row r="6" spans="1:4" x14ac:dyDescent="0.2">
      <c r="A6" s="6" t="s">
        <v>286</v>
      </c>
      <c r="B6" s="13">
        <v>3922</v>
      </c>
      <c r="C6" s="2">
        <f>StateSenatorSenateDistrict56General[[#This Row],[Part of Monroe County Vote Results]]</f>
        <v>3922</v>
      </c>
      <c r="D6" s="1"/>
    </row>
    <row r="7" spans="1:4" x14ac:dyDescent="0.2">
      <c r="A7" s="6" t="s">
        <v>285</v>
      </c>
      <c r="B7" s="13">
        <v>512</v>
      </c>
      <c r="C7" s="2">
        <f>StateSenatorSenateDistrict56General[[#This Row],[Part of Monroe County Vote Results]]</f>
        <v>512</v>
      </c>
      <c r="D7" s="1"/>
    </row>
    <row r="8" spans="1:4" x14ac:dyDescent="0.2">
      <c r="A8" s="5" t="s">
        <v>3</v>
      </c>
      <c r="B8" s="13">
        <v>2246</v>
      </c>
      <c r="C8" s="2">
        <f>StateSenatorSenateDistrict56General[[#This Row],[Part of Monroe County Vote Results]]</f>
        <v>2246</v>
      </c>
      <c r="D8" s="1"/>
    </row>
    <row r="9" spans="1:4" x14ac:dyDescent="0.2">
      <c r="A9" s="5" t="s">
        <v>2</v>
      </c>
      <c r="B9" s="13">
        <v>45</v>
      </c>
      <c r="C9" s="2">
        <f>StateSenatorSenateDistrict56General[[#This Row],[Part of Monroe County Vote Results]]</f>
        <v>45</v>
      </c>
      <c r="D9" s="1"/>
    </row>
    <row r="10" spans="1:4" x14ac:dyDescent="0.2">
      <c r="A10" s="5" t="s">
        <v>1</v>
      </c>
      <c r="B10" s="13">
        <v>31</v>
      </c>
      <c r="C10" s="2">
        <f>StateSenatorSenateDistrict56General[[#This Row],[Part of Monroe County Vote Results]]</f>
        <v>31</v>
      </c>
      <c r="D10" s="1"/>
    </row>
    <row r="11" spans="1:4" x14ac:dyDescent="0.2">
      <c r="A11" s="4" t="s">
        <v>0</v>
      </c>
      <c r="B11" s="13">
        <f>SUM(StateSenatorSenateDistrict56General[Part of Monroe County Vote Results])</f>
        <v>97712</v>
      </c>
      <c r="C11" s="2">
        <f>SUM(StateSenatorSenateDistrict56General[Total Votes by Party])</f>
        <v>97712</v>
      </c>
      <c r="D11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41F5-DA1F-4BAF-9EA9-D3B471737851}">
  <sheetPr codeName="Sheet57">
    <pageSetUpPr fitToPage="1"/>
  </sheetPr>
  <dimension ref="A1:H9"/>
  <sheetViews>
    <sheetView workbookViewId="0">
      <pane xSplit="1" topLeftCell="B1" activePane="topRight" state="frozen"/>
      <selection pane="topRight" activeCell="F2" sqref="F2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2" t="s">
        <v>299</v>
      </c>
    </row>
    <row r="2" spans="1:8" ht="25.5" x14ac:dyDescent="0.2">
      <c r="A2" s="11" t="s">
        <v>11</v>
      </c>
      <c r="B2" s="10" t="s">
        <v>298</v>
      </c>
      <c r="C2" s="10" t="s">
        <v>297</v>
      </c>
      <c r="D2" s="10" t="s">
        <v>296</v>
      </c>
      <c r="E2" s="10" t="s">
        <v>295</v>
      </c>
      <c r="F2" s="10" t="s">
        <v>294</v>
      </c>
      <c r="G2" s="9" t="s">
        <v>9</v>
      </c>
      <c r="H2" s="8" t="s">
        <v>8</v>
      </c>
    </row>
    <row r="3" spans="1:8" x14ac:dyDescent="0.2">
      <c r="A3" s="6" t="s">
        <v>293</v>
      </c>
      <c r="B3" s="13">
        <v>1474</v>
      </c>
      <c r="C3" s="13">
        <v>7555</v>
      </c>
      <c r="D3" s="13">
        <v>12208</v>
      </c>
      <c r="E3" s="13">
        <v>5680</v>
      </c>
      <c r="F3" s="13">
        <v>3187</v>
      </c>
      <c r="G3" s="2">
        <f>SUM(StateSenatorSenateDistrict57General[[#This Row],[Part of Allegany County Vote Results]:[Wyoming County Vote Results]])</f>
        <v>30104</v>
      </c>
      <c r="H3" s="7">
        <f>SUM(G3)</f>
        <v>30104</v>
      </c>
    </row>
    <row r="4" spans="1:8" x14ac:dyDescent="0.2">
      <c r="A4" s="6" t="s">
        <v>292</v>
      </c>
      <c r="B4" s="13">
        <v>5758</v>
      </c>
      <c r="C4" s="13">
        <v>15684</v>
      </c>
      <c r="D4" s="13">
        <v>26444</v>
      </c>
      <c r="E4" s="13">
        <v>13190</v>
      </c>
      <c r="F4" s="13">
        <v>9821</v>
      </c>
      <c r="G4" s="2">
        <f>SUM(StateSenatorSenateDistrict57General[[#This Row],[Part of Allegany County Vote Results]:[Wyoming County Vote Results]])</f>
        <v>70897</v>
      </c>
      <c r="H4" s="7">
        <f>SUM(G4,G5)</f>
        <v>81673</v>
      </c>
    </row>
    <row r="5" spans="1:8" x14ac:dyDescent="0.2">
      <c r="A5" s="6" t="s">
        <v>291</v>
      </c>
      <c r="B5" s="13">
        <v>603</v>
      </c>
      <c r="C5" s="13">
        <v>2123</v>
      </c>
      <c r="D5" s="13">
        <v>4074</v>
      </c>
      <c r="E5" s="13">
        <v>2381</v>
      </c>
      <c r="F5" s="13">
        <v>1595</v>
      </c>
      <c r="G5" s="2">
        <f>SUM(StateSenatorSenateDistrict57General[[#This Row],[Part of Allegany County Vote Results]:[Wyoming County Vote Results]])</f>
        <v>10776</v>
      </c>
      <c r="H5" s="1"/>
    </row>
    <row r="6" spans="1:8" x14ac:dyDescent="0.2">
      <c r="A6" s="5" t="s">
        <v>3</v>
      </c>
      <c r="B6" s="13">
        <v>286</v>
      </c>
      <c r="C6" s="13">
        <v>980</v>
      </c>
      <c r="D6" s="13">
        <v>1068</v>
      </c>
      <c r="E6" s="13">
        <v>1184</v>
      </c>
      <c r="F6" s="13">
        <v>777</v>
      </c>
      <c r="G6" s="2">
        <f>SUM(StateSenatorSenateDistrict57General[[#This Row],[Part of Allegany County Vote Results]:[Wyoming County Vote Results]])</f>
        <v>4295</v>
      </c>
      <c r="H6" s="1"/>
    </row>
    <row r="7" spans="1:8" x14ac:dyDescent="0.2">
      <c r="A7" s="5" t="s">
        <v>2</v>
      </c>
      <c r="B7" s="13">
        <v>1</v>
      </c>
      <c r="C7" s="13">
        <v>8</v>
      </c>
      <c r="D7" s="13">
        <v>15</v>
      </c>
      <c r="E7" s="13">
        <v>13</v>
      </c>
      <c r="F7" s="13">
        <v>6</v>
      </c>
      <c r="G7" s="2">
        <f>SUM(StateSenatorSenateDistrict57General[[#This Row],[Part of Allegany County Vote Results]:[Wyoming County Vote Results]])</f>
        <v>43</v>
      </c>
      <c r="H7" s="1"/>
    </row>
    <row r="8" spans="1:8" x14ac:dyDescent="0.2">
      <c r="A8" s="5" t="s">
        <v>1</v>
      </c>
      <c r="B8" s="13">
        <v>2</v>
      </c>
      <c r="C8" s="13">
        <v>0</v>
      </c>
      <c r="D8" s="13">
        <v>6</v>
      </c>
      <c r="E8" s="13">
        <v>6</v>
      </c>
      <c r="F8" s="13">
        <v>2</v>
      </c>
      <c r="G8" s="2">
        <f>SUM(StateSenatorSenateDistrict57General[[#This Row],[Part of Allegany County Vote Results]:[Wyoming County Vote Results]])</f>
        <v>16</v>
      </c>
      <c r="H8" s="1"/>
    </row>
    <row r="9" spans="1:8" x14ac:dyDescent="0.2">
      <c r="A9" s="4" t="s">
        <v>0</v>
      </c>
      <c r="B9" s="13">
        <f>SUM(StateSenatorSenateDistrict57General[Part of Allegany County Vote Results])</f>
        <v>8124</v>
      </c>
      <c r="C9" s="13">
        <f>SUM(StateSenatorSenateDistrict57General[Cattaraugus County Vote Results])</f>
        <v>26350</v>
      </c>
      <c r="D9" s="13">
        <f>SUM(StateSenatorSenateDistrict57General[[ Chautauqua County Vote Results]])</f>
        <v>43815</v>
      </c>
      <c r="E9" s="13">
        <f>SUM(StateSenatorSenateDistrict57General[Genesee County Vote Results])</f>
        <v>22454</v>
      </c>
      <c r="F9" s="13">
        <f>SUM(StateSenatorSenateDistrict57General[Wyoming County Vote Results])</f>
        <v>15388</v>
      </c>
      <c r="G9" s="2">
        <f>SUM(StateSenatorSenateDistrict57General[Total Votes by Party])</f>
        <v>116131</v>
      </c>
      <c r="H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F72F-847B-4E7F-A79E-51CE7AE54867}">
  <sheetPr codeName="Sheet58">
    <pageSetUpPr fitToPage="1"/>
  </sheetPr>
  <dimension ref="A1:J8"/>
  <sheetViews>
    <sheetView workbookViewId="0">
      <pane xSplit="1" topLeftCell="B1" activePane="topRight" state="frozen"/>
      <selection activeCell="A32" sqref="A32:XFD32"/>
      <selection pane="topRight" activeCell="H2" sqref="H2"/>
    </sheetView>
  </sheetViews>
  <sheetFormatPr defaultRowHeight="12.75" x14ac:dyDescent="0.2"/>
  <cols>
    <col min="1" max="1" width="25.5703125" customWidth="1"/>
    <col min="2" max="10" width="20.5703125" customWidth="1"/>
    <col min="11" max="12" width="23.5703125" customWidth="1"/>
  </cols>
  <sheetData>
    <row r="1" spans="1:10" ht="18.75" x14ac:dyDescent="0.2">
      <c r="A1" s="12" t="s">
        <v>308</v>
      </c>
    </row>
    <row r="2" spans="1:10" ht="25.5" x14ac:dyDescent="0.2">
      <c r="A2" s="11" t="s">
        <v>11</v>
      </c>
      <c r="B2" s="10" t="s">
        <v>298</v>
      </c>
      <c r="C2" s="10" t="s">
        <v>307</v>
      </c>
      <c r="D2" s="10" t="s">
        <v>306</v>
      </c>
      <c r="E2" s="10" t="s">
        <v>305</v>
      </c>
      <c r="F2" s="10" t="s">
        <v>304</v>
      </c>
      <c r="G2" s="10" t="s">
        <v>303</v>
      </c>
      <c r="H2" s="10" t="s">
        <v>302</v>
      </c>
      <c r="I2" s="9" t="s">
        <v>9</v>
      </c>
      <c r="J2" s="8" t="s">
        <v>8</v>
      </c>
    </row>
    <row r="3" spans="1:10" x14ac:dyDescent="0.2">
      <c r="A3" s="6" t="s">
        <v>301</v>
      </c>
      <c r="B3" s="13">
        <v>5393</v>
      </c>
      <c r="C3" s="13">
        <v>18902</v>
      </c>
      <c r="D3" s="13">
        <v>5026</v>
      </c>
      <c r="E3" s="13">
        <v>7240</v>
      </c>
      <c r="F3" s="13">
        <v>25110</v>
      </c>
      <c r="G3" s="13">
        <v>12823</v>
      </c>
      <c r="H3" s="13">
        <v>5326</v>
      </c>
      <c r="I3" s="2">
        <f>SUM(StateSenatorSenateDistrict58General[[#This Row],[Part of Allegany County Vote Results]:[Yates County Vote Results]])</f>
        <v>79820</v>
      </c>
      <c r="J3" s="7">
        <f>SUM(I3,I4)</f>
        <v>90352</v>
      </c>
    </row>
    <row r="4" spans="1:10" x14ac:dyDescent="0.2">
      <c r="A4" s="6" t="s">
        <v>300</v>
      </c>
      <c r="B4" s="13">
        <v>689</v>
      </c>
      <c r="C4" s="13">
        <v>2586</v>
      </c>
      <c r="D4" s="13">
        <v>687</v>
      </c>
      <c r="E4" s="13">
        <v>1248</v>
      </c>
      <c r="F4" s="13">
        <v>2830</v>
      </c>
      <c r="G4" s="13">
        <v>1612</v>
      </c>
      <c r="H4" s="13">
        <v>880</v>
      </c>
      <c r="I4" s="2">
        <f>SUM(StateSenatorSenateDistrict58General[[#This Row],[Part of Allegany County Vote Results]:[Yates County Vote Results]])</f>
        <v>10532</v>
      </c>
      <c r="J4" s="1"/>
    </row>
    <row r="5" spans="1:10" x14ac:dyDescent="0.2">
      <c r="A5" s="5" t="s">
        <v>3</v>
      </c>
      <c r="B5" s="13">
        <v>1745</v>
      </c>
      <c r="C5" s="13">
        <v>6372</v>
      </c>
      <c r="D5" s="13">
        <v>2051</v>
      </c>
      <c r="E5" s="13">
        <v>3083</v>
      </c>
      <c r="F5" s="13">
        <v>6642</v>
      </c>
      <c r="G5" s="13">
        <v>4585</v>
      </c>
      <c r="H5" s="13">
        <v>2115</v>
      </c>
      <c r="I5" s="2">
        <f>SUM(StateSenatorSenateDistrict58General[[#This Row],[Part of Allegany County Vote Results]:[Yates County Vote Results]])</f>
        <v>26593</v>
      </c>
      <c r="J5" s="1"/>
    </row>
    <row r="6" spans="1:10" x14ac:dyDescent="0.2">
      <c r="A6" s="5" t="s">
        <v>2</v>
      </c>
      <c r="B6" s="13">
        <v>1</v>
      </c>
      <c r="C6" s="13">
        <v>0</v>
      </c>
      <c r="D6" s="13">
        <v>0</v>
      </c>
      <c r="E6" s="13">
        <v>0</v>
      </c>
      <c r="F6" s="13">
        <v>6</v>
      </c>
      <c r="G6" s="13">
        <v>2</v>
      </c>
      <c r="H6" s="13">
        <v>0</v>
      </c>
      <c r="I6" s="2">
        <f>SUM(StateSenatorSenateDistrict58General[[#This Row],[Part of Allegany County Vote Results]:[Yates County Vote Results]])</f>
        <v>9</v>
      </c>
      <c r="J6" s="1"/>
    </row>
    <row r="7" spans="1:10" x14ac:dyDescent="0.2">
      <c r="A7" s="5" t="s">
        <v>1</v>
      </c>
      <c r="B7" s="13">
        <v>30</v>
      </c>
      <c r="C7" s="13">
        <v>209</v>
      </c>
      <c r="D7" s="13">
        <v>41</v>
      </c>
      <c r="E7" s="13">
        <v>63</v>
      </c>
      <c r="F7" s="13">
        <v>154</v>
      </c>
      <c r="G7" s="13">
        <v>106</v>
      </c>
      <c r="H7" s="13">
        <v>24</v>
      </c>
      <c r="I7" s="2">
        <f>SUM(StateSenatorSenateDistrict58General[[#This Row],[Part of Allegany County Vote Results]:[Yates County Vote Results]])</f>
        <v>627</v>
      </c>
      <c r="J7" s="1"/>
    </row>
    <row r="8" spans="1:10" x14ac:dyDescent="0.2">
      <c r="A8" s="4" t="s">
        <v>0</v>
      </c>
      <c r="B8" s="13">
        <f>SUM(StateSenatorSenateDistrict58General[Part of Allegany County Vote Results])</f>
        <v>7858</v>
      </c>
      <c r="C8" s="13">
        <f>SUM(StateSenatorSenateDistrict58General[Chemung County Vote Results])</f>
        <v>28069</v>
      </c>
      <c r="D8" s="13">
        <f>SUM(StateSenatorSenateDistrict58General[Schuyler County Vote Results])</f>
        <v>7805</v>
      </c>
      <c r="E8" s="13">
        <f>SUM(StateSenatorSenateDistrict58General[Seneca County Vote Results])</f>
        <v>11634</v>
      </c>
      <c r="F8" s="13">
        <f>SUM(StateSenatorSenateDistrict58General[Steuben County Vote Results])</f>
        <v>34742</v>
      </c>
      <c r="G8" s="13">
        <f>SUM(StateSenatorSenateDistrict58General[Tioga County Vote Results])</f>
        <v>19128</v>
      </c>
      <c r="H8" s="13">
        <f>SUM(StateSenatorSenateDistrict58General[Yates County Vote Results])</f>
        <v>8345</v>
      </c>
      <c r="I8" s="2">
        <f>SUM(StateSenatorSenateDistrict58General[Total Votes by Party])</f>
        <v>117581</v>
      </c>
      <c r="J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95029-E24E-4D36-9CAA-3AF4EE63F09D}">
  <sheetPr codeName="Sheet59">
    <pageSetUpPr fitToPage="1"/>
  </sheetPr>
  <dimension ref="A1:F8"/>
  <sheetViews>
    <sheetView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2" t="s">
        <v>311</v>
      </c>
    </row>
    <row r="2" spans="1:6" ht="25.5" x14ac:dyDescent="0.2">
      <c r="A2" s="11" t="s">
        <v>11</v>
      </c>
      <c r="B2" s="10" t="s">
        <v>63</v>
      </c>
      <c r="C2" s="10" t="s">
        <v>120</v>
      </c>
      <c r="D2" s="10" t="s">
        <v>53</v>
      </c>
      <c r="E2" s="9" t="s">
        <v>9</v>
      </c>
      <c r="F2" s="8" t="s">
        <v>8</v>
      </c>
    </row>
    <row r="3" spans="1:6" x14ac:dyDescent="0.2">
      <c r="A3" s="6" t="s">
        <v>310</v>
      </c>
      <c r="B3" s="13">
        <v>12986</v>
      </c>
      <c r="C3" s="13">
        <v>22016</v>
      </c>
      <c r="D3" s="13">
        <v>21337</v>
      </c>
      <c r="E3" s="2">
        <f>SUM(StateSenatorSenateDistrict59General[[#This Row],[Part of Kings County Vote Results]:[Part of Queens County Vote Results]])</f>
        <v>56339</v>
      </c>
      <c r="F3" s="7">
        <f>SUM(E3,E4)</f>
        <v>69050</v>
      </c>
    </row>
    <row r="4" spans="1:6" x14ac:dyDescent="0.2">
      <c r="A4" s="6" t="s">
        <v>309</v>
      </c>
      <c r="B4" s="13">
        <v>4561</v>
      </c>
      <c r="C4" s="13">
        <v>2482</v>
      </c>
      <c r="D4" s="13">
        <v>5668</v>
      </c>
      <c r="E4" s="2">
        <f>SUM(StateSenatorSenateDistrict59General[[#This Row],[Part of Kings County Vote Results]:[Part of Queens County Vote Results]])</f>
        <v>12711</v>
      </c>
      <c r="F4" s="1"/>
    </row>
    <row r="5" spans="1:6" x14ac:dyDescent="0.2">
      <c r="A5" s="5" t="s">
        <v>3</v>
      </c>
      <c r="B5" s="13">
        <v>2197</v>
      </c>
      <c r="C5" s="13">
        <v>5215</v>
      </c>
      <c r="D5" s="13">
        <v>5110</v>
      </c>
      <c r="E5" s="2">
        <f>SUM(StateSenatorSenateDistrict59General[[#This Row],[Part of Kings County Vote Results]:[Part of Queens County Vote Results]])</f>
        <v>12522</v>
      </c>
      <c r="F5" s="1"/>
    </row>
    <row r="6" spans="1:6" x14ac:dyDescent="0.2">
      <c r="A6" s="5" t="s">
        <v>2</v>
      </c>
      <c r="B6" s="13">
        <v>84</v>
      </c>
      <c r="C6" s="13">
        <v>231</v>
      </c>
      <c r="D6" s="13">
        <v>143</v>
      </c>
      <c r="E6" s="2">
        <f>SUM(StateSenatorSenateDistrict59General[[#This Row],[Part of Kings County Vote Results]:[Part of Queens County Vote Results]])</f>
        <v>458</v>
      </c>
      <c r="F6" s="1"/>
    </row>
    <row r="7" spans="1:6" x14ac:dyDescent="0.2">
      <c r="A7" s="5" t="s">
        <v>1</v>
      </c>
      <c r="B7" s="13">
        <v>174</v>
      </c>
      <c r="C7" s="13">
        <v>229</v>
      </c>
      <c r="D7" s="13">
        <v>363</v>
      </c>
      <c r="E7" s="2">
        <f>SUM(StateSenatorSenateDistrict59General[[#This Row],[Part of Kings County Vote Results]:[Part of Queens County Vote Results]])</f>
        <v>766</v>
      </c>
      <c r="F7" s="1"/>
    </row>
    <row r="8" spans="1:6" x14ac:dyDescent="0.2">
      <c r="A8" s="4" t="s">
        <v>0</v>
      </c>
      <c r="B8" s="13">
        <f>SUM(StateSenatorSenateDistrict59General[Part of Kings County Vote Results])</f>
        <v>20002</v>
      </c>
      <c r="C8" s="13">
        <f>SUM(StateSenatorSenateDistrict59General[Part of New York County Vote Results])</f>
        <v>30173</v>
      </c>
      <c r="D8" s="13">
        <f>SUM(StateSenatorSenateDistrict59General[Part of Queens County Vote Results])</f>
        <v>32621</v>
      </c>
      <c r="E8" s="2">
        <f>SUM(StateSenatorSenateDistrict59General[Total Votes by Party])</f>
        <v>82796</v>
      </c>
      <c r="F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73C6-4FE8-498E-A94B-57EF486C1357}">
  <sheetPr codeName="Sheet6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37</v>
      </c>
    </row>
    <row r="2" spans="1:4" ht="24.95" customHeight="1" x14ac:dyDescent="0.2">
      <c r="A2" s="11" t="s">
        <v>11</v>
      </c>
      <c r="B2" s="10" t="s">
        <v>31</v>
      </c>
      <c r="C2" s="9" t="s">
        <v>9</v>
      </c>
      <c r="D2" s="8" t="s">
        <v>8</v>
      </c>
    </row>
    <row r="3" spans="1:4" x14ac:dyDescent="0.2">
      <c r="A3" s="6" t="s">
        <v>36</v>
      </c>
      <c r="B3" s="13">
        <v>52510</v>
      </c>
      <c r="C3" s="2">
        <f>StateSenatorSenateDistrict6General45[[#This Row],[Part of Nassau County Vote Results]]</f>
        <v>52510</v>
      </c>
      <c r="D3" s="7">
        <f>SUM(C3,C6)</f>
        <v>54013</v>
      </c>
    </row>
    <row r="4" spans="1:4" x14ac:dyDescent="0.2">
      <c r="A4" s="6" t="s">
        <v>35</v>
      </c>
      <c r="B4" s="13">
        <v>33877</v>
      </c>
      <c r="C4" s="2">
        <f>StateSenatorSenateDistrict6General45[[#This Row],[Part of Nassau County Vote Results]]</f>
        <v>33877</v>
      </c>
      <c r="D4" s="7">
        <f>SUM(C4,C5)</f>
        <v>37231</v>
      </c>
    </row>
    <row r="5" spans="1:4" x14ac:dyDescent="0.2">
      <c r="A5" s="6" t="s">
        <v>34</v>
      </c>
      <c r="B5" s="13">
        <v>3354</v>
      </c>
      <c r="C5" s="2">
        <f>StateSenatorSenateDistrict6General45[[#This Row],[Part of Nassau County Vote Results]]</f>
        <v>3354</v>
      </c>
      <c r="D5" s="1"/>
    </row>
    <row r="6" spans="1:4" x14ac:dyDescent="0.2">
      <c r="A6" s="6" t="s">
        <v>33</v>
      </c>
      <c r="B6" s="13">
        <v>1503</v>
      </c>
      <c r="C6" s="2">
        <f>StateSenatorSenateDistrict6General45[[#This Row],[Part of Nassau County Vote Results]]</f>
        <v>1503</v>
      </c>
      <c r="D6" s="1"/>
    </row>
    <row r="7" spans="1:4" x14ac:dyDescent="0.2">
      <c r="A7" s="5" t="s">
        <v>3</v>
      </c>
      <c r="B7" s="13">
        <v>3606</v>
      </c>
      <c r="C7" s="2">
        <f>StateSenatorSenateDistrict6General45[[#This Row],[Part of Nassau County Vote Results]]</f>
        <v>3606</v>
      </c>
      <c r="D7" s="1"/>
    </row>
    <row r="8" spans="1:4" x14ac:dyDescent="0.2">
      <c r="A8" s="5" t="s">
        <v>2</v>
      </c>
      <c r="B8" s="13">
        <v>32</v>
      </c>
      <c r="C8" s="2">
        <f>StateSenatorSenateDistrict6General45[[#This Row],[Part of Nassau County Vote Results]]</f>
        <v>32</v>
      </c>
      <c r="D8" s="1"/>
    </row>
    <row r="9" spans="1:4" x14ac:dyDescent="0.2">
      <c r="A9" s="5" t="s">
        <v>1</v>
      </c>
      <c r="B9" s="13">
        <v>45</v>
      </c>
      <c r="C9" s="2">
        <f>StateSenatorSenateDistrict6General45[[#This Row],[Part of Nassau County Vote Results]]</f>
        <v>45</v>
      </c>
      <c r="D9" s="1"/>
    </row>
    <row r="10" spans="1:4" x14ac:dyDescent="0.2">
      <c r="A10" s="4" t="s">
        <v>0</v>
      </c>
      <c r="B10" s="13">
        <f>SUM(StateSenatorSenateDistrict6General45[Part of Nassau County Vote Results])</f>
        <v>94927</v>
      </c>
      <c r="C10" s="2">
        <f>SUM(StateSenatorSenateDistrict6General45[Total Votes by Party])</f>
        <v>94927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F124-6CB6-43B1-B60E-A5CC2427D473}">
  <sheetPr codeName="Sheet60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315</v>
      </c>
    </row>
    <row r="2" spans="1:4" ht="25.5" x14ac:dyDescent="0.2">
      <c r="A2" s="11" t="s">
        <v>11</v>
      </c>
      <c r="B2" s="10" t="s">
        <v>314</v>
      </c>
      <c r="C2" s="9" t="s">
        <v>9</v>
      </c>
      <c r="D2" s="8" t="s">
        <v>8</v>
      </c>
    </row>
    <row r="3" spans="1:4" x14ac:dyDescent="0.2">
      <c r="A3" s="6" t="s">
        <v>313</v>
      </c>
      <c r="B3" s="13">
        <v>84009</v>
      </c>
      <c r="C3" s="2">
        <f>StateSenatorSenateDistrict60General[[#This Row],[Part of Erie County Vote Results]]</f>
        <v>84009</v>
      </c>
      <c r="D3" s="7">
        <f>SUM(C3,C4)</f>
        <v>110764</v>
      </c>
    </row>
    <row r="4" spans="1:4" x14ac:dyDescent="0.2">
      <c r="A4" s="6" t="s">
        <v>312</v>
      </c>
      <c r="B4" s="13">
        <v>26755</v>
      </c>
      <c r="C4" s="2">
        <f>StateSenatorSenateDistrict60General[[#This Row],[Part of Erie County Vote Results]]</f>
        <v>26755</v>
      </c>
      <c r="D4" s="1"/>
    </row>
    <row r="5" spans="1:4" x14ac:dyDescent="0.2">
      <c r="A5" s="5" t="s">
        <v>3</v>
      </c>
      <c r="B5" s="13">
        <v>38488</v>
      </c>
      <c r="C5" s="2">
        <f>StateSenatorSenateDistrict60General[[#This Row],[Part of Erie County Vote Results]]</f>
        <v>38488</v>
      </c>
      <c r="D5" s="1"/>
    </row>
    <row r="6" spans="1:4" x14ac:dyDescent="0.2">
      <c r="A6" s="5" t="s">
        <v>2</v>
      </c>
      <c r="B6" s="13">
        <v>7</v>
      </c>
      <c r="C6" s="2">
        <f>StateSenatorSenateDistrict60General[[#This Row],[Part of Erie County Vote Results]]</f>
        <v>7</v>
      </c>
      <c r="D6" s="1"/>
    </row>
    <row r="7" spans="1:4" x14ac:dyDescent="0.2">
      <c r="A7" s="5" t="s">
        <v>1</v>
      </c>
      <c r="B7" s="13">
        <v>1446</v>
      </c>
      <c r="C7" s="2">
        <f>StateSenatorSenateDistrict60General[[#This Row],[Part of Erie County Vote Results]]</f>
        <v>1446</v>
      </c>
      <c r="D7" s="1"/>
    </row>
    <row r="8" spans="1:4" x14ac:dyDescent="0.2">
      <c r="A8" s="4" t="s">
        <v>0</v>
      </c>
      <c r="B8" s="13">
        <f>SUM(StateSenatorSenateDistrict60General[Part of Erie County Vote Results])</f>
        <v>150705</v>
      </c>
      <c r="C8" s="2">
        <f>SUM(StateSenatorSenateDistrict60General[Total Votes by Party])</f>
        <v>150705</v>
      </c>
      <c r="D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4D0F-4CDB-4FA8-B7E6-41FF6138A123}">
  <sheetPr codeName="Sheet61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320</v>
      </c>
    </row>
    <row r="2" spans="1:4" ht="25.5" x14ac:dyDescent="0.2">
      <c r="A2" s="11" t="s">
        <v>11</v>
      </c>
      <c r="B2" s="10" t="s">
        <v>314</v>
      </c>
      <c r="C2" s="9" t="s">
        <v>9</v>
      </c>
      <c r="D2" s="8" t="s">
        <v>8</v>
      </c>
    </row>
    <row r="3" spans="1:4" x14ac:dyDescent="0.2">
      <c r="A3" s="6" t="s">
        <v>319</v>
      </c>
      <c r="B3" s="13">
        <v>57616</v>
      </c>
      <c r="C3" s="2">
        <f>StateSenatorSenateDistrict61General[[#This Row],[Part of Erie County Vote Results]]</f>
        <v>57616</v>
      </c>
      <c r="D3" s="7">
        <f>SUM(C3,C6)</f>
        <v>63901</v>
      </c>
    </row>
    <row r="4" spans="1:4" x14ac:dyDescent="0.2">
      <c r="A4" s="6" t="s">
        <v>318</v>
      </c>
      <c r="B4" s="13">
        <v>39305</v>
      </c>
      <c r="C4" s="2">
        <f>StateSenatorSenateDistrict61General[[#This Row],[Part of Erie County Vote Results]]</f>
        <v>39305</v>
      </c>
      <c r="D4" s="7">
        <f>SUM(C4,C5)</f>
        <v>48805</v>
      </c>
    </row>
    <row r="5" spans="1:4" x14ac:dyDescent="0.2">
      <c r="A5" s="6" t="s">
        <v>317</v>
      </c>
      <c r="B5" s="13">
        <v>9500</v>
      </c>
      <c r="C5" s="2">
        <f>StateSenatorSenateDistrict61General[[#This Row],[Part of Erie County Vote Results]]</f>
        <v>9500</v>
      </c>
      <c r="D5" s="1"/>
    </row>
    <row r="6" spans="1:4" x14ac:dyDescent="0.2">
      <c r="A6" s="6" t="s">
        <v>316</v>
      </c>
      <c r="B6" s="13">
        <v>6285</v>
      </c>
      <c r="C6" s="2">
        <f>StateSenatorSenateDistrict61General[[#This Row],[Part of Erie County Vote Results]]</f>
        <v>6285</v>
      </c>
      <c r="D6" s="1"/>
    </row>
    <row r="7" spans="1:4" x14ac:dyDescent="0.2">
      <c r="A7" s="5" t="s">
        <v>3</v>
      </c>
      <c r="B7" s="13">
        <v>2663</v>
      </c>
      <c r="C7" s="2">
        <f>StateSenatorSenateDistrict61General[[#This Row],[Part of Erie County Vote Results]]</f>
        <v>2663</v>
      </c>
      <c r="D7" s="1"/>
    </row>
    <row r="8" spans="1:4" x14ac:dyDescent="0.2">
      <c r="A8" s="5" t="s">
        <v>2</v>
      </c>
      <c r="B8" s="13">
        <v>35</v>
      </c>
      <c r="C8" s="2">
        <f>StateSenatorSenateDistrict61General[[#This Row],[Part of Erie County Vote Results]]</f>
        <v>35</v>
      </c>
      <c r="D8" s="1"/>
    </row>
    <row r="9" spans="1:4" x14ac:dyDescent="0.2">
      <c r="A9" s="5" t="s">
        <v>1</v>
      </c>
      <c r="B9" s="13">
        <v>90</v>
      </c>
      <c r="C9" s="2">
        <f>StateSenatorSenateDistrict61General[[#This Row],[Part of Erie County Vote Results]]</f>
        <v>90</v>
      </c>
      <c r="D9" s="1"/>
    </row>
    <row r="10" spans="1:4" x14ac:dyDescent="0.2">
      <c r="A10" s="4" t="s">
        <v>0</v>
      </c>
      <c r="B10" s="13">
        <f>SUM(StateSenatorSenateDistrict61General[Part of Erie County Vote Results])</f>
        <v>115494</v>
      </c>
      <c r="C10" s="2">
        <f>SUM(StateSenatorSenateDistrict61General[Total Votes by Party])</f>
        <v>115494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D598-7FD4-4807-A36E-B5B28050B947}">
  <sheetPr codeName="Sheet62">
    <pageSetUpPr fitToPage="1"/>
  </sheetPr>
  <dimension ref="A1:F8"/>
  <sheetViews>
    <sheetView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2" t="s">
        <v>325</v>
      </c>
    </row>
    <row r="2" spans="1:6" ht="25.5" x14ac:dyDescent="0.2">
      <c r="A2" s="11" t="s">
        <v>11</v>
      </c>
      <c r="B2" s="10" t="s">
        <v>276</v>
      </c>
      <c r="C2" s="10" t="s">
        <v>324</v>
      </c>
      <c r="D2" s="10" t="s">
        <v>323</v>
      </c>
      <c r="E2" s="9" t="s">
        <v>9</v>
      </c>
      <c r="F2" s="8" t="s">
        <v>8</v>
      </c>
    </row>
    <row r="3" spans="1:6" x14ac:dyDescent="0.2">
      <c r="A3" s="6" t="s">
        <v>322</v>
      </c>
      <c r="B3" s="13">
        <v>16542</v>
      </c>
      <c r="C3" s="13">
        <v>43145</v>
      </c>
      <c r="D3" s="13">
        <v>9360</v>
      </c>
      <c r="E3" s="2">
        <f>SUM(StateSenatorSenateDistrict62General[[#This Row],[Part of Monroe County Vote Results]:[Orleans County Vote Results]])</f>
        <v>69047</v>
      </c>
      <c r="F3" s="7">
        <f>SUM(E3,E4)</f>
        <v>85923</v>
      </c>
    </row>
    <row r="4" spans="1:6" x14ac:dyDescent="0.2">
      <c r="A4" s="6" t="s">
        <v>321</v>
      </c>
      <c r="B4" s="13">
        <v>4037</v>
      </c>
      <c r="C4" s="13">
        <v>11165</v>
      </c>
      <c r="D4" s="13">
        <v>1674</v>
      </c>
      <c r="E4" s="2">
        <f>SUM(StateSenatorSenateDistrict62General[[#This Row],[Part of Monroe County Vote Results]:[Orleans County Vote Results]])</f>
        <v>16876</v>
      </c>
      <c r="F4" s="1"/>
    </row>
    <row r="5" spans="1:6" x14ac:dyDescent="0.2">
      <c r="A5" s="5" t="s">
        <v>3</v>
      </c>
      <c r="B5" s="13">
        <v>6702</v>
      </c>
      <c r="C5" s="13">
        <v>22221</v>
      </c>
      <c r="D5" s="13">
        <v>2712</v>
      </c>
      <c r="E5" s="2">
        <f>SUM(StateSenatorSenateDistrict62General[[#This Row],[Part of Monroe County Vote Results]:[Orleans County Vote Results]])</f>
        <v>31635</v>
      </c>
      <c r="F5" s="1"/>
    </row>
    <row r="6" spans="1:6" x14ac:dyDescent="0.2">
      <c r="A6" s="5" t="s">
        <v>2</v>
      </c>
      <c r="B6" s="13">
        <v>2</v>
      </c>
      <c r="C6" s="13">
        <v>4</v>
      </c>
      <c r="D6" s="13">
        <v>19</v>
      </c>
      <c r="E6" s="2">
        <f>SUM(StateSenatorSenateDistrict62General[[#This Row],[Part of Monroe County Vote Results]:[Orleans County Vote Results]])</f>
        <v>25</v>
      </c>
      <c r="F6" s="1"/>
    </row>
    <row r="7" spans="1:6" x14ac:dyDescent="0.2">
      <c r="A7" s="5" t="s">
        <v>1</v>
      </c>
      <c r="B7" s="13">
        <v>156</v>
      </c>
      <c r="C7" s="13">
        <v>417</v>
      </c>
      <c r="D7" s="13">
        <v>20</v>
      </c>
      <c r="E7" s="2">
        <f>SUM(StateSenatorSenateDistrict62General[[#This Row],[Part of Monroe County Vote Results]:[Orleans County Vote Results]])</f>
        <v>593</v>
      </c>
      <c r="F7" s="1"/>
    </row>
    <row r="8" spans="1:6" x14ac:dyDescent="0.2">
      <c r="A8" s="4" t="s">
        <v>0</v>
      </c>
      <c r="B8" s="13">
        <f>SUM(StateSenatorSenateDistrict62General[Part of Monroe County Vote Results])</f>
        <v>27439</v>
      </c>
      <c r="C8" s="13">
        <f>SUM(StateSenatorSenateDistrict62General[Niagara County Vote Results])</f>
        <v>76952</v>
      </c>
      <c r="D8" s="13">
        <f>SUM(StateSenatorSenateDistrict62General[Orleans County Vote Results])</f>
        <v>13785</v>
      </c>
      <c r="E8" s="2">
        <f>SUM(StateSenatorSenateDistrict62General[Total Votes by Party])</f>
        <v>118176</v>
      </c>
      <c r="F8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F7D6-85C7-4B44-81C6-E8AF98323B54}">
  <sheetPr codeName="Sheet63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2" t="s">
        <v>329</v>
      </c>
    </row>
    <row r="2" spans="1:4" ht="25.5" x14ac:dyDescent="0.2">
      <c r="A2" s="11" t="s">
        <v>11</v>
      </c>
      <c r="B2" s="10" t="s">
        <v>314</v>
      </c>
      <c r="C2" s="9" t="s">
        <v>9</v>
      </c>
      <c r="D2" s="8" t="s">
        <v>8</v>
      </c>
    </row>
    <row r="3" spans="1:4" x14ac:dyDescent="0.2">
      <c r="A3" s="6" t="s">
        <v>328</v>
      </c>
      <c r="B3" s="13">
        <v>50977</v>
      </c>
      <c r="C3" s="2">
        <f>StateSenatorSenateDistrict63General[[#This Row],[Part of Erie County Vote Results]]</f>
        <v>50977</v>
      </c>
      <c r="D3" s="7">
        <f>SUM(C3,C5)</f>
        <v>57187</v>
      </c>
    </row>
    <row r="4" spans="1:4" x14ac:dyDescent="0.2">
      <c r="A4" s="6" t="s">
        <v>327</v>
      </c>
      <c r="B4" s="13">
        <v>11885</v>
      </c>
      <c r="C4" s="2">
        <f>StateSenatorSenateDistrict63General[[#This Row],[Part of Erie County Vote Results]]</f>
        <v>11885</v>
      </c>
      <c r="D4" s="7">
        <f>SUM(StateSenatorSenateDistrict63General[[#This Row],[Total Votes by Party]])</f>
        <v>11885</v>
      </c>
    </row>
    <row r="5" spans="1:4" x14ac:dyDescent="0.2">
      <c r="A5" s="6" t="s">
        <v>326</v>
      </c>
      <c r="B5" s="13">
        <v>6210</v>
      </c>
      <c r="C5" s="2">
        <f>StateSenatorSenateDistrict63General[[#This Row],[Part of Erie County Vote Results]]</f>
        <v>6210</v>
      </c>
      <c r="D5" s="1"/>
    </row>
    <row r="6" spans="1:4" x14ac:dyDescent="0.2">
      <c r="A6" s="5" t="s">
        <v>3</v>
      </c>
      <c r="B6" s="13">
        <v>10689</v>
      </c>
      <c r="C6" s="2">
        <f>StateSenatorSenateDistrict63General[[#This Row],[Part of Erie County Vote Results]]</f>
        <v>10689</v>
      </c>
      <c r="D6" s="1"/>
    </row>
    <row r="7" spans="1:4" x14ac:dyDescent="0.2">
      <c r="A7" s="5" t="s">
        <v>2</v>
      </c>
      <c r="B7" s="13">
        <v>23</v>
      </c>
      <c r="C7" s="2">
        <f>StateSenatorSenateDistrict63General[[#This Row],[Part of Erie County Vote Results]]</f>
        <v>23</v>
      </c>
      <c r="D7" s="1"/>
    </row>
    <row r="8" spans="1:4" x14ac:dyDescent="0.2">
      <c r="A8" s="5" t="s">
        <v>1</v>
      </c>
      <c r="B8" s="13">
        <v>104</v>
      </c>
      <c r="C8" s="2">
        <f>StateSenatorSenateDistrict63General[[#This Row],[Part of Erie County Vote Results]]</f>
        <v>104</v>
      </c>
      <c r="D8" s="1"/>
    </row>
    <row r="9" spans="1:4" x14ac:dyDescent="0.2">
      <c r="A9" s="4" t="s">
        <v>0</v>
      </c>
      <c r="B9" s="13">
        <f>SUM(StateSenatorSenateDistrict63General[Part of Erie County Vote Results])</f>
        <v>79888</v>
      </c>
      <c r="C9" s="2">
        <f>SUM(StateSenatorSenateDistrict63General[Total Votes by Party])</f>
        <v>79888</v>
      </c>
      <c r="D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C5AA-1C26-44AF-91A0-F250ACE828B3}">
  <sheetPr codeName="Sheet7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42</v>
      </c>
    </row>
    <row r="2" spans="1:4" ht="24.95" customHeight="1" x14ac:dyDescent="0.2">
      <c r="A2" s="11" t="s">
        <v>11</v>
      </c>
      <c r="B2" s="10" t="s">
        <v>31</v>
      </c>
      <c r="C2" s="9" t="s">
        <v>9</v>
      </c>
      <c r="D2" s="8" t="s">
        <v>8</v>
      </c>
    </row>
    <row r="3" spans="1:4" x14ac:dyDescent="0.2">
      <c r="A3" s="6" t="s">
        <v>41</v>
      </c>
      <c r="B3" s="13">
        <v>55243</v>
      </c>
      <c r="C3" s="2">
        <f>StateSenatorSenateDistrict7General46[[#This Row],[Part of Nassau County Vote Results]]</f>
        <v>55243</v>
      </c>
      <c r="D3" s="7">
        <f>SUM(C3,C6)</f>
        <v>57447</v>
      </c>
    </row>
    <row r="4" spans="1:4" x14ac:dyDescent="0.2">
      <c r="A4" s="6" t="s">
        <v>40</v>
      </c>
      <c r="B4" s="13">
        <v>60372</v>
      </c>
      <c r="C4" s="2">
        <f>StateSenatorSenateDistrict7General46[[#This Row],[Part of Nassau County Vote Results]]</f>
        <v>60372</v>
      </c>
      <c r="D4" s="7">
        <f>SUM(C4,C5)</f>
        <v>65275</v>
      </c>
    </row>
    <row r="5" spans="1:4" x14ac:dyDescent="0.2">
      <c r="A5" s="6" t="s">
        <v>39</v>
      </c>
      <c r="B5" s="13">
        <v>4903</v>
      </c>
      <c r="C5" s="2">
        <f>StateSenatorSenateDistrict7General46[[#This Row],[Part of Nassau County Vote Results]]</f>
        <v>4903</v>
      </c>
      <c r="D5" s="1"/>
    </row>
    <row r="6" spans="1:4" x14ac:dyDescent="0.2">
      <c r="A6" s="6" t="s">
        <v>38</v>
      </c>
      <c r="B6" s="13">
        <v>2204</v>
      </c>
      <c r="C6" s="2">
        <f>StateSenatorSenateDistrict7General46[[#This Row],[Part of Nassau County Vote Results]]</f>
        <v>2204</v>
      </c>
      <c r="D6" s="1"/>
    </row>
    <row r="7" spans="1:4" x14ac:dyDescent="0.2">
      <c r="A7" s="5" t="s">
        <v>3</v>
      </c>
      <c r="B7" s="13">
        <v>3199</v>
      </c>
      <c r="C7" s="2">
        <f>StateSenatorSenateDistrict7General46[[#This Row],[Part of Nassau County Vote Results]]</f>
        <v>3199</v>
      </c>
      <c r="D7" s="1"/>
    </row>
    <row r="8" spans="1:4" x14ac:dyDescent="0.2">
      <c r="A8" s="5" t="s">
        <v>2</v>
      </c>
      <c r="B8" s="13">
        <v>52</v>
      </c>
      <c r="C8" s="2">
        <f>StateSenatorSenateDistrict7General46[[#This Row],[Part of Nassau County Vote Results]]</f>
        <v>52</v>
      </c>
      <c r="D8" s="1"/>
    </row>
    <row r="9" spans="1:4" x14ac:dyDescent="0.2">
      <c r="A9" s="5" t="s">
        <v>1</v>
      </c>
      <c r="B9" s="13">
        <v>36</v>
      </c>
      <c r="C9" s="2">
        <f>StateSenatorSenateDistrict7General46[[#This Row],[Part of Nassau County Vote Results]]</f>
        <v>36</v>
      </c>
      <c r="D9" s="1"/>
    </row>
    <row r="10" spans="1:4" x14ac:dyDescent="0.2">
      <c r="A10" s="4" t="s">
        <v>0</v>
      </c>
      <c r="B10" s="13">
        <f>SUM(StateSenatorSenateDistrict7General46[Part of Nassau County Vote Results])</f>
        <v>126009</v>
      </c>
      <c r="C10" s="2">
        <f>SUM(StateSenatorSenateDistrict7General46[Total Votes by Party])</f>
        <v>126009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7406F-DDAE-4704-B0F0-9C44D43B03B7}">
  <sheetPr codeName="Sheet8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2" t="s">
        <v>46</v>
      </c>
    </row>
    <row r="2" spans="1:5" ht="25.5" x14ac:dyDescent="0.2">
      <c r="A2" s="11" t="s">
        <v>11</v>
      </c>
      <c r="B2" s="10" t="s">
        <v>31</v>
      </c>
      <c r="C2" s="10" t="s">
        <v>10</v>
      </c>
      <c r="D2" s="9" t="s">
        <v>9</v>
      </c>
      <c r="E2" s="8" t="s">
        <v>8</v>
      </c>
    </row>
    <row r="3" spans="1:5" x14ac:dyDescent="0.2">
      <c r="A3" s="6" t="s">
        <v>45</v>
      </c>
      <c r="B3" s="13">
        <v>12451</v>
      </c>
      <c r="C3" s="3">
        <v>30256</v>
      </c>
      <c r="D3" s="2">
        <f>SUM(StateSenatorSenateDistrict8General[[#This Row],[Part of Nassau County Vote Results]:[Part of Suffolk County Vote Results]])</f>
        <v>42707</v>
      </c>
      <c r="E3" s="7">
        <f>SUM(D3)</f>
        <v>42707</v>
      </c>
    </row>
    <row r="4" spans="1:5" x14ac:dyDescent="0.2">
      <c r="A4" s="6" t="s">
        <v>44</v>
      </c>
      <c r="B4" s="13">
        <v>28413</v>
      </c>
      <c r="C4" s="3">
        <v>55368</v>
      </c>
      <c r="D4" s="2">
        <f>SUM(StateSenatorSenateDistrict8General[[#This Row],[Part of Nassau County Vote Results]:[Part of Suffolk County Vote Results]])</f>
        <v>83781</v>
      </c>
      <c r="E4" s="7">
        <f>SUM(D4,D5)</f>
        <v>96262</v>
      </c>
    </row>
    <row r="5" spans="1:5" x14ac:dyDescent="0.2">
      <c r="A5" s="6" t="s">
        <v>43</v>
      </c>
      <c r="B5" s="13">
        <v>2716</v>
      </c>
      <c r="C5" s="3">
        <v>9765</v>
      </c>
      <c r="D5" s="2">
        <f>SUM(StateSenatorSenateDistrict8General[[#This Row],[Part of Nassau County Vote Results]:[Part of Suffolk County Vote Results]])</f>
        <v>12481</v>
      </c>
      <c r="E5" s="1"/>
    </row>
    <row r="6" spans="1:5" x14ac:dyDescent="0.2">
      <c r="A6" s="5" t="s">
        <v>3</v>
      </c>
      <c r="B6" s="13">
        <v>1942</v>
      </c>
      <c r="C6" s="3">
        <v>3526</v>
      </c>
      <c r="D6" s="2">
        <f>SUM(StateSenatorSenateDistrict8General[[#This Row],[Part of Nassau County Vote Results]:[Part of Suffolk County Vote Results]])</f>
        <v>5468</v>
      </c>
      <c r="E6" s="1"/>
    </row>
    <row r="7" spans="1:5" x14ac:dyDescent="0.2">
      <c r="A7" s="5" t="s">
        <v>2</v>
      </c>
      <c r="B7" s="13">
        <v>6</v>
      </c>
      <c r="C7" s="3">
        <v>31</v>
      </c>
      <c r="D7" s="2">
        <f>SUM(StateSenatorSenateDistrict8General[[#This Row],[Part of Nassau County Vote Results]:[Part of Suffolk County Vote Results]])</f>
        <v>37</v>
      </c>
      <c r="E7" s="1"/>
    </row>
    <row r="8" spans="1:5" x14ac:dyDescent="0.2">
      <c r="A8" s="5" t="s">
        <v>1</v>
      </c>
      <c r="B8" s="13">
        <v>7</v>
      </c>
      <c r="C8" s="3">
        <v>16</v>
      </c>
      <c r="D8" s="2">
        <f>SUM(StateSenatorSenateDistrict8General[[#This Row],[Part of Nassau County Vote Results]:[Part of Suffolk County Vote Results]])</f>
        <v>23</v>
      </c>
      <c r="E8" s="1"/>
    </row>
    <row r="9" spans="1:5" x14ac:dyDescent="0.2">
      <c r="A9" s="4" t="s">
        <v>0</v>
      </c>
      <c r="B9" s="13">
        <f>SUM(StateSenatorSenateDistrict8General[Part of Nassau County Vote Results])</f>
        <v>45535</v>
      </c>
      <c r="C9" s="3">
        <f>SUM(StateSenatorSenateDistrict8General[Part of Suffolk County Vote Results])</f>
        <v>98962</v>
      </c>
      <c r="D9" s="2">
        <f>SUM(StateSenatorSenateDistrict8General[Total Votes by Party])</f>
        <v>144497</v>
      </c>
      <c r="E9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77A5-1051-406A-8EA4-AF8715003029}">
  <sheetPr codeName="Sheet9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30.5703125" customWidth="1"/>
    <col min="2" max="4" width="20.5703125" customWidth="1"/>
    <col min="5" max="6" width="23.5703125" customWidth="1"/>
  </cols>
  <sheetData>
    <row r="1" spans="1:4" ht="24.95" customHeight="1" x14ac:dyDescent="0.2">
      <c r="A1" s="12" t="s">
        <v>51</v>
      </c>
    </row>
    <row r="2" spans="1:4" ht="24.95" customHeight="1" x14ac:dyDescent="0.2">
      <c r="A2" s="11" t="s">
        <v>11</v>
      </c>
      <c r="B2" s="10" t="s">
        <v>31</v>
      </c>
      <c r="C2" s="9" t="s">
        <v>9</v>
      </c>
      <c r="D2" s="8" t="s">
        <v>8</v>
      </c>
    </row>
    <row r="3" spans="1:4" x14ac:dyDescent="0.2">
      <c r="A3" s="6" t="s">
        <v>50</v>
      </c>
      <c r="B3" s="13">
        <v>47885</v>
      </c>
      <c r="C3" s="2">
        <f>StateSenatorSenateDistrict9General[[#This Row],[Part of Nassau County Vote Results]]</f>
        <v>47885</v>
      </c>
      <c r="D3" s="7">
        <f>SUM(C3,C6)</f>
        <v>49315</v>
      </c>
    </row>
    <row r="4" spans="1:4" x14ac:dyDescent="0.2">
      <c r="A4" s="6" t="s">
        <v>49</v>
      </c>
      <c r="B4" s="13">
        <v>58217</v>
      </c>
      <c r="C4" s="2">
        <f>StateSenatorSenateDistrict9General[[#This Row],[Part of Nassau County Vote Results]]</f>
        <v>58217</v>
      </c>
      <c r="D4" s="7">
        <f>SUM(C4,C5)</f>
        <v>63136</v>
      </c>
    </row>
    <row r="5" spans="1:4" x14ac:dyDescent="0.2">
      <c r="A5" s="6" t="s">
        <v>48</v>
      </c>
      <c r="B5" s="13">
        <v>4919</v>
      </c>
      <c r="C5" s="2">
        <f>StateSenatorSenateDistrict9General[[#This Row],[Part of Nassau County Vote Results]]</f>
        <v>4919</v>
      </c>
      <c r="D5" s="1"/>
    </row>
    <row r="6" spans="1:4" x14ac:dyDescent="0.2">
      <c r="A6" s="6" t="s">
        <v>47</v>
      </c>
      <c r="B6" s="13">
        <v>1430</v>
      </c>
      <c r="C6" s="2">
        <f>StateSenatorSenateDistrict9General[[#This Row],[Part of Nassau County Vote Results]]</f>
        <v>1430</v>
      </c>
      <c r="D6" s="1"/>
    </row>
    <row r="7" spans="1:4" x14ac:dyDescent="0.2">
      <c r="A7" s="5" t="s">
        <v>3</v>
      </c>
      <c r="B7" s="13">
        <v>4761</v>
      </c>
      <c r="C7" s="2">
        <f>StateSenatorSenateDistrict9General[[#This Row],[Part of Nassau County Vote Results]]</f>
        <v>4761</v>
      </c>
      <c r="D7" s="1"/>
    </row>
    <row r="8" spans="1:4" x14ac:dyDescent="0.2">
      <c r="A8" s="5" t="s">
        <v>2</v>
      </c>
      <c r="B8" s="13">
        <v>22</v>
      </c>
      <c r="C8" s="2">
        <f>StateSenatorSenateDistrict9General[[#This Row],[Part of Nassau County Vote Results]]</f>
        <v>22</v>
      </c>
      <c r="D8" s="1"/>
    </row>
    <row r="9" spans="1:4" x14ac:dyDescent="0.2">
      <c r="A9" s="5" t="s">
        <v>1</v>
      </c>
      <c r="B9" s="13">
        <v>28</v>
      </c>
      <c r="C9" s="2">
        <f>StateSenatorSenateDistrict9General[[#This Row],[Part of Nassau County Vote Results]]</f>
        <v>28</v>
      </c>
      <c r="D9" s="1"/>
    </row>
    <row r="10" spans="1:4" x14ac:dyDescent="0.2">
      <c r="A10" s="4" t="s">
        <v>0</v>
      </c>
      <c r="B10" s="13">
        <f>SUM(StateSenatorSenateDistrict9General[Part of Nassau County Vote Results])</f>
        <v>117262</v>
      </c>
      <c r="C10" s="2">
        <f>SUM(StateSenatorSenateDistrict9General[Total Votes by Party])</f>
        <v>117262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1</vt:i4>
      </vt:variant>
    </vt:vector>
  </HeadingPairs>
  <TitlesOfParts>
    <vt:vector size="64" baseType="lpstr">
      <vt:lpstr>1st SD</vt:lpstr>
      <vt:lpstr>2nd SD</vt:lpstr>
      <vt:lpstr>3rd SD</vt:lpstr>
      <vt:lpstr>4th SD</vt:lpstr>
      <vt:lpstr>5th SD</vt:lpstr>
      <vt:lpstr>6th SD</vt:lpstr>
      <vt:lpstr>7th SD</vt:lpstr>
      <vt:lpstr>8th SD</vt:lpstr>
      <vt:lpstr>9th SD</vt:lpstr>
      <vt:lpstr>10th SD</vt:lpstr>
      <vt:lpstr>11th SD</vt:lpstr>
      <vt:lpstr>12th SD</vt:lpstr>
      <vt:lpstr>13th SD</vt:lpstr>
      <vt:lpstr>14th SD</vt:lpstr>
      <vt:lpstr>15th SD</vt:lpstr>
      <vt:lpstr>16th SD</vt:lpstr>
      <vt:lpstr>17th SD</vt:lpstr>
      <vt:lpstr>18th SD</vt:lpstr>
      <vt:lpstr>19th SD</vt:lpstr>
      <vt:lpstr>20th SD</vt:lpstr>
      <vt:lpstr>21st SD</vt:lpstr>
      <vt:lpstr>22nd SD</vt:lpstr>
      <vt:lpstr>23rd SD</vt:lpstr>
      <vt:lpstr>24th SD</vt:lpstr>
      <vt:lpstr>25th SD</vt:lpstr>
      <vt:lpstr>26th SD</vt:lpstr>
      <vt:lpstr>27th SD</vt:lpstr>
      <vt:lpstr>28th SD</vt:lpstr>
      <vt:lpstr>29th SD</vt:lpstr>
      <vt:lpstr>30th SD</vt:lpstr>
      <vt:lpstr>31st SD</vt:lpstr>
      <vt:lpstr>32nd SD</vt:lpstr>
      <vt:lpstr>33rd SD</vt:lpstr>
      <vt:lpstr>34th SD</vt:lpstr>
      <vt:lpstr>35th SD</vt:lpstr>
      <vt:lpstr>36th SD</vt:lpstr>
      <vt:lpstr>37th SD</vt:lpstr>
      <vt:lpstr>38th SD</vt:lpstr>
      <vt:lpstr>39th SD</vt:lpstr>
      <vt:lpstr>40th SD</vt:lpstr>
      <vt:lpstr>41st SD</vt:lpstr>
      <vt:lpstr>42nd SD</vt:lpstr>
      <vt:lpstr>43rd SD</vt:lpstr>
      <vt:lpstr>44th SD</vt:lpstr>
      <vt:lpstr>45th SD</vt:lpstr>
      <vt:lpstr>46th SD</vt:lpstr>
      <vt:lpstr>47th SD</vt:lpstr>
      <vt:lpstr>48th SD</vt:lpstr>
      <vt:lpstr>49th SD</vt:lpstr>
      <vt:lpstr>50th SD</vt:lpstr>
      <vt:lpstr>51st SD</vt:lpstr>
      <vt:lpstr>52nd SD</vt:lpstr>
      <vt:lpstr>53rd SD</vt:lpstr>
      <vt:lpstr>54th SD</vt:lpstr>
      <vt:lpstr>55th SD</vt:lpstr>
      <vt:lpstr>56th SD</vt:lpstr>
      <vt:lpstr>57th SD</vt:lpstr>
      <vt:lpstr>58th SD</vt:lpstr>
      <vt:lpstr>59th SD</vt:lpstr>
      <vt:lpstr>60th SD</vt:lpstr>
      <vt:lpstr>61st SD</vt:lpstr>
      <vt:lpstr>62nd SD</vt:lpstr>
      <vt:lpstr>63rd SD</vt:lpstr>
      <vt:lpstr>'1st SD'!Print_Area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Wilson</dc:creator>
  <cp:lastModifiedBy>Joyce Cornell</cp:lastModifiedBy>
  <dcterms:created xsi:type="dcterms:W3CDTF">2022-12-16T14:49:25Z</dcterms:created>
  <dcterms:modified xsi:type="dcterms:W3CDTF">2023-01-13T21:47:02Z</dcterms:modified>
</cp:coreProperties>
</file>