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0FADBCFD-562A-407C-BBCB-10C0187AEDA4}" xr6:coauthVersionLast="47" xr6:coauthVersionMax="47" xr10:uidLastSave="{00000000-0000-0000-0000-000000000000}"/>
  <bookViews>
    <workbookView xWindow="-120" yWindow="-120" windowWidth="24240" windowHeight="13140" tabRatio="672" xr2:uid="{00000000-000D-0000-FFFF-FFFF00000000}"/>
  </bookViews>
  <sheets>
    <sheet name="1st AD" sheetId="612" r:id="rId1"/>
    <sheet name="2nd AD" sheetId="613" r:id="rId2"/>
    <sheet name="3rd AD" sheetId="614" r:id="rId3"/>
    <sheet name="4th AD" sheetId="615" r:id="rId4"/>
    <sheet name="5th AD" sheetId="616" r:id="rId5"/>
    <sheet name="6th AD" sheetId="617" r:id="rId6"/>
    <sheet name="7th AD" sheetId="618" r:id="rId7"/>
    <sheet name="8th AD" sheetId="619" r:id="rId8"/>
    <sheet name="9th AD" sheetId="620" r:id="rId9"/>
    <sheet name="10th AD" sheetId="621" r:id="rId10"/>
    <sheet name="11th AD" sheetId="622" r:id="rId11"/>
    <sheet name="12th AD" sheetId="623" r:id="rId12"/>
    <sheet name="13th AD" sheetId="624" r:id="rId13"/>
    <sheet name="14th AD" sheetId="625" r:id="rId14"/>
    <sheet name="15th AD" sheetId="626" r:id="rId15"/>
    <sheet name="16th AD" sheetId="627" r:id="rId16"/>
    <sheet name="17th AD" sheetId="628" r:id="rId17"/>
    <sheet name="18th AD" sheetId="629" r:id="rId18"/>
    <sheet name="19th AD" sheetId="630" r:id="rId19"/>
    <sheet name="20th AD" sheetId="631" r:id="rId20"/>
    <sheet name="21st AD" sheetId="632" r:id="rId21"/>
    <sheet name="22nd AD" sheetId="633" r:id="rId22"/>
    <sheet name="23rd AD" sheetId="634" r:id="rId23"/>
    <sheet name="24th AD" sheetId="635" r:id="rId24"/>
    <sheet name="25th AD" sheetId="636" r:id="rId25"/>
    <sheet name="26th AD" sheetId="637" r:id="rId26"/>
    <sheet name="27th AD" sheetId="638" r:id="rId27"/>
    <sheet name="28th AD" sheetId="639" r:id="rId28"/>
    <sheet name="29th AD" sheetId="640" r:id="rId29"/>
    <sheet name="30th AD" sheetId="641" r:id="rId30"/>
    <sheet name="31st AD" sheetId="642" r:id="rId31"/>
    <sheet name="32nd AD" sheetId="643" r:id="rId32"/>
    <sheet name="33rd AD" sheetId="644" r:id="rId33"/>
    <sheet name="34th AD" sheetId="645" r:id="rId34"/>
    <sheet name="35th AD" sheetId="646" r:id="rId35"/>
    <sheet name="36th AD" sheetId="647" r:id="rId36"/>
    <sheet name="37th AD" sheetId="648" r:id="rId37"/>
    <sheet name="38th AD" sheetId="649" r:id="rId38"/>
    <sheet name="39th AD" sheetId="650" r:id="rId39"/>
    <sheet name="40th AD" sheetId="651" r:id="rId40"/>
    <sheet name="41st AD" sheetId="652" r:id="rId41"/>
    <sheet name="42nd AD" sheetId="653" r:id="rId42"/>
    <sheet name="43rd AD" sheetId="654" r:id="rId43"/>
    <sheet name="44th AD" sheetId="655" r:id="rId44"/>
    <sheet name="45th AD" sheetId="656" r:id="rId45"/>
    <sheet name="46th AD" sheetId="657" r:id="rId46"/>
    <sheet name="47th AD" sheetId="658" r:id="rId47"/>
    <sheet name="48th AD" sheetId="659" r:id="rId48"/>
    <sheet name="49th AD" sheetId="660" r:id="rId49"/>
    <sheet name="50th AD" sheetId="661" r:id="rId50"/>
    <sheet name="52nd AD" sheetId="663" r:id="rId51"/>
    <sheet name="51st AD" sheetId="662" r:id="rId52"/>
    <sheet name="53rd AD" sheetId="664" r:id="rId53"/>
    <sheet name="54th AD" sheetId="665" r:id="rId54"/>
    <sheet name="55th AD" sheetId="666" r:id="rId55"/>
    <sheet name="56th AD" sheetId="667" r:id="rId56"/>
    <sheet name="57th AD" sheetId="668" r:id="rId57"/>
    <sheet name="58th AD" sheetId="669" r:id="rId58"/>
    <sheet name="59th AD" sheetId="670" r:id="rId59"/>
    <sheet name="60th AD" sheetId="671" r:id="rId60"/>
    <sheet name="61st AD" sheetId="762" r:id="rId61"/>
    <sheet name="62nd AD" sheetId="673" r:id="rId62"/>
    <sheet name="63rd AD" sheetId="674" r:id="rId63"/>
    <sheet name="64th AD" sheetId="675" r:id="rId64"/>
    <sheet name="65th AD" sheetId="676" r:id="rId65"/>
    <sheet name="66th AD" sheetId="677" r:id="rId66"/>
    <sheet name="67th AD" sheetId="678" r:id="rId67"/>
    <sheet name="68th AD" sheetId="679" r:id="rId68"/>
    <sheet name="69th AD" sheetId="680" r:id="rId69"/>
    <sheet name="70th AD" sheetId="681" r:id="rId70"/>
    <sheet name="71st AD" sheetId="682" r:id="rId71"/>
    <sheet name="72nd AD" sheetId="683" r:id="rId72"/>
    <sheet name="73rd AD" sheetId="684" r:id="rId73"/>
    <sheet name="74th AD" sheetId="685" r:id="rId74"/>
    <sheet name="75th AD" sheetId="686" r:id="rId75"/>
    <sheet name="76th AD" sheetId="687" r:id="rId76"/>
    <sheet name="77th AD" sheetId="688" r:id="rId77"/>
    <sheet name="78th AD" sheetId="689" r:id="rId78"/>
    <sheet name="79th AD" sheetId="690" r:id="rId79"/>
    <sheet name="80th AD" sheetId="691" r:id="rId80"/>
    <sheet name="81st AD" sheetId="692" r:id="rId81"/>
    <sheet name="82nd AD" sheetId="693" r:id="rId82"/>
    <sheet name="83rd AD" sheetId="694" r:id="rId83"/>
    <sheet name="84th AD" sheetId="695" r:id="rId84"/>
    <sheet name="85th AD" sheetId="696" r:id="rId85"/>
    <sheet name="86th AD" sheetId="697" r:id="rId86"/>
    <sheet name="87th AD" sheetId="698" r:id="rId87"/>
    <sheet name="88th AD" sheetId="699" r:id="rId88"/>
    <sheet name="89th AD" sheetId="700" r:id="rId89"/>
    <sheet name="90th AD" sheetId="701" r:id="rId90"/>
    <sheet name="91st AD" sheetId="702" r:id="rId91"/>
    <sheet name="92nd AD" sheetId="703" r:id="rId92"/>
    <sheet name="93rd AD" sheetId="704" r:id="rId93"/>
    <sheet name="94th AD" sheetId="705" r:id="rId94"/>
    <sheet name="95th AD" sheetId="706" r:id="rId95"/>
    <sheet name="96th AD" sheetId="707" r:id="rId96"/>
    <sheet name="97th AD" sheetId="708" r:id="rId97"/>
    <sheet name="98th AD" sheetId="709" r:id="rId98"/>
    <sheet name="99th AD" sheetId="710" r:id="rId99"/>
    <sheet name="100th AD" sheetId="711" r:id="rId100"/>
    <sheet name="101st AD" sheetId="712" r:id="rId101"/>
    <sheet name="102nd AD" sheetId="713" r:id="rId102"/>
    <sheet name="103rd AD" sheetId="714" r:id="rId103"/>
    <sheet name="104th AD" sheetId="715" r:id="rId104"/>
    <sheet name="105th AD" sheetId="716" r:id="rId105"/>
    <sheet name="106th AD" sheetId="717" r:id="rId106"/>
    <sheet name="107th AD" sheetId="718" r:id="rId107"/>
    <sheet name="108th AD" sheetId="719" r:id="rId108"/>
    <sheet name="109th AD" sheetId="720" r:id="rId109"/>
    <sheet name="110th AD" sheetId="721" r:id="rId110"/>
    <sheet name="111th AD" sheetId="722" r:id="rId111"/>
    <sheet name="112th AD" sheetId="723" r:id="rId112"/>
    <sheet name="113th AD" sheetId="724" r:id="rId113"/>
    <sheet name="114th AD" sheetId="725" r:id="rId114"/>
    <sheet name="115th AD" sheetId="726" r:id="rId115"/>
    <sheet name="116th AD" sheetId="727" r:id="rId116"/>
    <sheet name="117th AD" sheetId="728" r:id="rId117"/>
    <sheet name="118th AD" sheetId="729" r:id="rId118"/>
    <sheet name="119th AD" sheetId="730" r:id="rId119"/>
    <sheet name="120th AD" sheetId="731" r:id="rId120"/>
    <sheet name="121st AD" sheetId="732" r:id="rId121"/>
    <sheet name="122nd AD" sheetId="733" r:id="rId122"/>
    <sheet name="123rd AD" sheetId="734" r:id="rId123"/>
    <sheet name="124th AD" sheetId="735" r:id="rId124"/>
    <sheet name="125th AD" sheetId="736" r:id="rId125"/>
    <sheet name="126th AD" sheetId="737" r:id="rId126"/>
    <sheet name="127th AD" sheetId="738" r:id="rId127"/>
    <sheet name="128th AD" sheetId="739" r:id="rId128"/>
    <sheet name="129th AD" sheetId="740" r:id="rId129"/>
    <sheet name="130th AD" sheetId="741" r:id="rId130"/>
    <sheet name="131st AD" sheetId="742" r:id="rId131"/>
    <sheet name="132nd AD" sheetId="743" r:id="rId132"/>
    <sheet name="133rd AD" sheetId="744" r:id="rId133"/>
    <sheet name="134th AD" sheetId="745" r:id="rId134"/>
    <sheet name="135th AD" sheetId="746" r:id="rId135"/>
    <sheet name="136th AD" sheetId="747" r:id="rId136"/>
    <sheet name="137th AD" sheetId="748" r:id="rId137"/>
    <sheet name="138th AD" sheetId="749" r:id="rId138"/>
    <sheet name="139th AD" sheetId="750" r:id="rId139"/>
    <sheet name="140th AD" sheetId="751" r:id="rId140"/>
    <sheet name="141st AD" sheetId="752" r:id="rId141"/>
    <sheet name="142nd AD" sheetId="753" r:id="rId142"/>
    <sheet name="143rd AD" sheetId="754" r:id="rId143"/>
    <sheet name="144th AD" sheetId="755" r:id="rId144"/>
    <sheet name="145th AD" sheetId="756" r:id="rId145"/>
    <sheet name="146th AD" sheetId="757" r:id="rId146"/>
    <sheet name="147th AD" sheetId="758" r:id="rId147"/>
    <sheet name="148th AD" sheetId="759" r:id="rId148"/>
    <sheet name="149th AD" sheetId="760" r:id="rId149"/>
    <sheet name="150th AD" sheetId="761" r:id="rId150"/>
  </sheets>
  <definedNames>
    <definedName name="_xlnm.Print_Area" localSheetId="0">'1st AD'!$A$1:$O$1464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686" l="1"/>
  <c r="D4" i="685"/>
  <c r="D3" i="685"/>
  <c r="C10" i="634"/>
  <c r="B10" i="634"/>
  <c r="C9" i="634"/>
  <c r="C8" i="634"/>
  <c r="C7" i="634"/>
  <c r="C6" i="634"/>
  <c r="C5" i="634"/>
  <c r="C4" i="634"/>
  <c r="D4" i="634" s="1"/>
  <c r="D3" i="634"/>
  <c r="C3" i="634"/>
  <c r="D10" i="726"/>
  <c r="C10" i="726"/>
  <c r="B10" i="726"/>
  <c r="E9" i="726"/>
  <c r="E8" i="726"/>
  <c r="E7" i="726"/>
  <c r="E6" i="726"/>
  <c r="E5" i="726"/>
  <c r="E4" i="726"/>
  <c r="F4" i="726" s="1"/>
  <c r="F3" i="726"/>
  <c r="E3" i="726"/>
  <c r="E10" i="726" s="1"/>
  <c r="C7" i="719"/>
  <c r="D7" i="719"/>
  <c r="C3" i="682"/>
  <c r="C3" i="680"/>
  <c r="E3" i="762" l="1"/>
  <c r="F3" i="762" s="1"/>
  <c r="E4" i="762"/>
  <c r="E5" i="762"/>
  <c r="E6" i="762"/>
  <c r="B7" i="762"/>
  <c r="C7" i="762"/>
  <c r="D7" i="762"/>
  <c r="C3" i="746"/>
  <c r="C4" i="746"/>
  <c r="C5" i="746"/>
  <c r="C6" i="746"/>
  <c r="C7" i="746"/>
  <c r="C8" i="746"/>
  <c r="C9" i="746"/>
  <c r="E3" i="715"/>
  <c r="E4" i="715"/>
  <c r="E5" i="715"/>
  <c r="E6" i="715"/>
  <c r="E7" i="715"/>
  <c r="D3" i="622"/>
  <c r="D4" i="622"/>
  <c r="D5" i="622"/>
  <c r="D6" i="622"/>
  <c r="D7" i="622"/>
  <c r="D8" i="622"/>
  <c r="C9" i="622"/>
  <c r="D3" i="621"/>
  <c r="E3" i="621" s="1"/>
  <c r="D4" i="621"/>
  <c r="D5" i="621"/>
  <c r="D6" i="621"/>
  <c r="D7" i="621"/>
  <c r="D8" i="621"/>
  <c r="C9" i="621"/>
  <c r="E7" i="762" l="1"/>
  <c r="C10" i="723"/>
  <c r="D9" i="744"/>
  <c r="E9" i="744"/>
  <c r="D3" i="721"/>
  <c r="D3" i="761"/>
  <c r="E3" i="761" s="1"/>
  <c r="D4" i="761"/>
  <c r="D5" i="761"/>
  <c r="D6" i="761"/>
  <c r="D7" i="761"/>
  <c r="D8" i="761"/>
  <c r="B9" i="761"/>
  <c r="D8" i="759"/>
  <c r="C8" i="718"/>
  <c r="D8" i="718"/>
  <c r="C9" i="750"/>
  <c r="D9" i="750"/>
  <c r="E8" i="725"/>
  <c r="C9" i="724"/>
  <c r="C8" i="742"/>
  <c r="D8" i="742"/>
  <c r="E8" i="742"/>
  <c r="F8" i="742"/>
  <c r="G8" i="742"/>
  <c r="C9" i="761"/>
  <c r="C3" i="760"/>
  <c r="C4" i="760"/>
  <c r="C5" i="760"/>
  <c r="C6" i="760"/>
  <c r="C7" i="760"/>
  <c r="C8" i="760"/>
  <c r="C9" i="760"/>
  <c r="B10" i="760"/>
  <c r="F3" i="759"/>
  <c r="F4" i="759"/>
  <c r="F5" i="759"/>
  <c r="F6" i="759"/>
  <c r="F7" i="759"/>
  <c r="B8" i="759"/>
  <c r="C8" i="759"/>
  <c r="E8" i="759"/>
  <c r="D4" i="758"/>
  <c r="D3" i="758"/>
  <c r="D5" i="758"/>
  <c r="D6" i="758"/>
  <c r="D7" i="758"/>
  <c r="C8" i="758"/>
  <c r="B8" i="758"/>
  <c r="C3" i="757"/>
  <c r="C4" i="757"/>
  <c r="C5" i="757"/>
  <c r="C6" i="757"/>
  <c r="C7" i="757"/>
  <c r="C8" i="757"/>
  <c r="C9" i="757"/>
  <c r="B10" i="757"/>
  <c r="D3" i="756"/>
  <c r="E3" i="756" s="1"/>
  <c r="D4" i="756"/>
  <c r="D5" i="756"/>
  <c r="D6" i="756"/>
  <c r="D7" i="756"/>
  <c r="D8" i="756"/>
  <c r="B9" i="756"/>
  <c r="C9" i="756"/>
  <c r="D3" i="755"/>
  <c r="D4" i="755"/>
  <c r="D5" i="755"/>
  <c r="D6" i="755"/>
  <c r="D7" i="755"/>
  <c r="B8" i="755"/>
  <c r="C8" i="755"/>
  <c r="C3" i="754"/>
  <c r="C4" i="754"/>
  <c r="C5" i="754"/>
  <c r="C6" i="754"/>
  <c r="C7" i="754"/>
  <c r="C8" i="754"/>
  <c r="C9" i="754"/>
  <c r="B10" i="754"/>
  <c r="C3" i="753"/>
  <c r="D3" i="753" s="1"/>
  <c r="C4" i="753"/>
  <c r="C5" i="753"/>
  <c r="C6" i="753"/>
  <c r="C7" i="753"/>
  <c r="C8" i="753"/>
  <c r="B9" i="753"/>
  <c r="C3" i="752"/>
  <c r="D3" i="752" s="1"/>
  <c r="C4" i="752"/>
  <c r="C5" i="752"/>
  <c r="C6" i="752"/>
  <c r="B7" i="752"/>
  <c r="D4" i="757" l="1"/>
  <c r="E3" i="755"/>
  <c r="E4" i="761"/>
  <c r="C10" i="760"/>
  <c r="D4" i="760"/>
  <c r="D3" i="760"/>
  <c r="D9" i="761"/>
  <c r="G3" i="759"/>
  <c r="F8" i="759"/>
  <c r="D3" i="757"/>
  <c r="D3" i="754"/>
  <c r="D4" i="754"/>
  <c r="E3" i="758"/>
  <c r="D8" i="758"/>
  <c r="C10" i="757"/>
  <c r="E4" i="756"/>
  <c r="D9" i="756"/>
  <c r="D8" i="755"/>
  <c r="D4" i="753"/>
  <c r="C10" i="754"/>
  <c r="C9" i="753"/>
  <c r="C7" i="752"/>
  <c r="D3" i="751" l="1"/>
  <c r="D4" i="751"/>
  <c r="D5" i="751"/>
  <c r="D6" i="751"/>
  <c r="D7" i="751"/>
  <c r="D8" i="751"/>
  <c r="D9" i="751"/>
  <c r="B10" i="751"/>
  <c r="C10" i="751"/>
  <c r="F3" i="750"/>
  <c r="G3" i="750" s="1"/>
  <c r="F4" i="750"/>
  <c r="F5" i="750"/>
  <c r="F6" i="750"/>
  <c r="F7" i="750"/>
  <c r="F8" i="750"/>
  <c r="B9" i="750"/>
  <c r="E9" i="750"/>
  <c r="C3" i="749"/>
  <c r="C4" i="749"/>
  <c r="C6" i="749"/>
  <c r="C5" i="749"/>
  <c r="C7" i="749"/>
  <c r="C8" i="749"/>
  <c r="C9" i="749"/>
  <c r="B10" i="749"/>
  <c r="C3" i="748"/>
  <c r="C4" i="748"/>
  <c r="C6" i="748"/>
  <c r="C5" i="748"/>
  <c r="C7" i="748"/>
  <c r="C8" i="748"/>
  <c r="C9" i="748"/>
  <c r="B10" i="748"/>
  <c r="C3" i="747"/>
  <c r="C4" i="747"/>
  <c r="C5" i="747"/>
  <c r="C6" i="747"/>
  <c r="C7" i="747"/>
  <c r="C8" i="747"/>
  <c r="C9" i="747"/>
  <c r="B10" i="747"/>
  <c r="D3" i="747" l="1"/>
  <c r="D4" i="748"/>
  <c r="E3" i="751"/>
  <c r="D4" i="749"/>
  <c r="E4" i="751"/>
  <c r="G4" i="750"/>
  <c r="D10" i="751"/>
  <c r="D3" i="749"/>
  <c r="F9" i="750"/>
  <c r="D3" i="748"/>
  <c r="C10" i="749"/>
  <c r="C10" i="748"/>
  <c r="D4" i="747"/>
  <c r="C10" i="747"/>
  <c r="D4" i="746" l="1"/>
  <c r="D3" i="746"/>
  <c r="B10" i="746"/>
  <c r="C10" i="746"/>
  <c r="C4" i="745"/>
  <c r="C5" i="745"/>
  <c r="C6" i="745"/>
  <c r="C7" i="745"/>
  <c r="C3" i="745"/>
  <c r="D3" i="745" s="1"/>
  <c r="B8" i="745"/>
  <c r="G3" i="744"/>
  <c r="H3" i="744" s="1"/>
  <c r="G4" i="744"/>
  <c r="G5" i="744"/>
  <c r="G6" i="744"/>
  <c r="G7" i="744"/>
  <c r="G8" i="744"/>
  <c r="B9" i="744"/>
  <c r="C9" i="744"/>
  <c r="F9" i="744"/>
  <c r="G3" i="743"/>
  <c r="G4" i="743"/>
  <c r="G5" i="743"/>
  <c r="G6" i="743"/>
  <c r="G7" i="743"/>
  <c r="B8" i="743"/>
  <c r="C8" i="743"/>
  <c r="D8" i="743"/>
  <c r="E8" i="743"/>
  <c r="F8" i="743"/>
  <c r="I3" i="742"/>
  <c r="I4" i="742"/>
  <c r="I5" i="742"/>
  <c r="I6" i="742"/>
  <c r="I7" i="742"/>
  <c r="B8" i="742"/>
  <c r="H8" i="742"/>
  <c r="D3" i="741"/>
  <c r="D4" i="741"/>
  <c r="D5" i="741"/>
  <c r="D6" i="741"/>
  <c r="D7" i="741"/>
  <c r="D8" i="741"/>
  <c r="D9" i="741"/>
  <c r="B10" i="741"/>
  <c r="C10" i="741"/>
  <c r="C3" i="740"/>
  <c r="D3" i="740" s="1"/>
  <c r="C4" i="740"/>
  <c r="C5" i="740"/>
  <c r="C6" i="740"/>
  <c r="B7" i="740"/>
  <c r="C3" i="739"/>
  <c r="C4" i="739"/>
  <c r="C5" i="739"/>
  <c r="C6" i="739"/>
  <c r="C7" i="739"/>
  <c r="C8" i="739"/>
  <c r="C9" i="739"/>
  <c r="B10" i="739"/>
  <c r="D4" i="738"/>
  <c r="D5" i="738"/>
  <c r="D6" i="738"/>
  <c r="D7" i="738"/>
  <c r="D8" i="738"/>
  <c r="D9" i="738"/>
  <c r="D3" i="738"/>
  <c r="B10" i="738"/>
  <c r="C10" i="738"/>
  <c r="D3" i="737"/>
  <c r="E3" i="737" s="1"/>
  <c r="D4" i="737"/>
  <c r="D5" i="737"/>
  <c r="D6" i="737"/>
  <c r="D7" i="737"/>
  <c r="D8" i="737"/>
  <c r="B9" i="737"/>
  <c r="C9" i="737"/>
  <c r="D3" i="736"/>
  <c r="D4" i="736"/>
  <c r="D5" i="736"/>
  <c r="D6" i="736"/>
  <c r="D7" i="736"/>
  <c r="B8" i="736"/>
  <c r="C8" i="736"/>
  <c r="E3" i="735"/>
  <c r="E4" i="735"/>
  <c r="E5" i="735"/>
  <c r="E6" i="735"/>
  <c r="E7" i="735"/>
  <c r="B8" i="735"/>
  <c r="C8" i="735"/>
  <c r="D8" i="735"/>
  <c r="C3" i="734"/>
  <c r="C4" i="734"/>
  <c r="C5" i="734"/>
  <c r="C6" i="734"/>
  <c r="C7" i="734"/>
  <c r="C8" i="734"/>
  <c r="B9" i="734"/>
  <c r="F3" i="733"/>
  <c r="G3" i="733" s="1"/>
  <c r="F4" i="733"/>
  <c r="F5" i="733"/>
  <c r="F6" i="733"/>
  <c r="G6" i="733" s="1"/>
  <c r="F7" i="733"/>
  <c r="F8" i="733"/>
  <c r="F9" i="733"/>
  <c r="B10" i="733"/>
  <c r="C10" i="733"/>
  <c r="D10" i="733"/>
  <c r="E10" i="733"/>
  <c r="H4" i="732"/>
  <c r="C8" i="732"/>
  <c r="D8" i="732"/>
  <c r="E8" i="732"/>
  <c r="H3" i="732"/>
  <c r="H5" i="732"/>
  <c r="H6" i="732"/>
  <c r="H7" i="732"/>
  <c r="B8" i="732"/>
  <c r="F8" i="732"/>
  <c r="G8" i="732"/>
  <c r="E3" i="731"/>
  <c r="E4" i="731"/>
  <c r="E5" i="731"/>
  <c r="E6" i="731"/>
  <c r="E7" i="731"/>
  <c r="B8" i="731"/>
  <c r="C8" i="731"/>
  <c r="D8" i="731"/>
  <c r="C4" i="730"/>
  <c r="D4" i="730" s="1"/>
  <c r="C5" i="730"/>
  <c r="C6" i="730"/>
  <c r="C7" i="730"/>
  <c r="C8" i="730"/>
  <c r="C3" i="730"/>
  <c r="B9" i="730"/>
  <c r="G3" i="729"/>
  <c r="G4" i="729"/>
  <c r="G5" i="729"/>
  <c r="G6" i="729"/>
  <c r="G7" i="729"/>
  <c r="B8" i="729"/>
  <c r="C8" i="729"/>
  <c r="D8" i="729"/>
  <c r="E8" i="729"/>
  <c r="F8" i="729"/>
  <c r="F3" i="728"/>
  <c r="F4" i="728"/>
  <c r="F5" i="728"/>
  <c r="F6" i="728"/>
  <c r="F7" i="728"/>
  <c r="B8" i="728"/>
  <c r="C8" i="728"/>
  <c r="D8" i="728"/>
  <c r="E8" i="728"/>
  <c r="D3" i="727"/>
  <c r="E3" i="727" s="1"/>
  <c r="D4" i="727"/>
  <c r="E4" i="727" s="1"/>
  <c r="D5" i="727"/>
  <c r="D6" i="727"/>
  <c r="D7" i="727"/>
  <c r="B8" i="727"/>
  <c r="C8" i="727"/>
  <c r="G3" i="725"/>
  <c r="G4" i="725"/>
  <c r="G5" i="725"/>
  <c r="G6" i="725"/>
  <c r="G7" i="725"/>
  <c r="B8" i="725"/>
  <c r="C8" i="725"/>
  <c r="D8" i="725"/>
  <c r="F8" i="725"/>
  <c r="E3" i="724"/>
  <c r="F3" i="724" s="1"/>
  <c r="E4" i="724"/>
  <c r="E5" i="724"/>
  <c r="E6" i="724"/>
  <c r="E7" i="724"/>
  <c r="E8" i="724"/>
  <c r="B9" i="724"/>
  <c r="D9" i="724"/>
  <c r="E3" i="723"/>
  <c r="E4" i="723"/>
  <c r="E5" i="723"/>
  <c r="E6" i="723"/>
  <c r="E7" i="723"/>
  <c r="E8" i="723"/>
  <c r="E9" i="723"/>
  <c r="B10" i="723"/>
  <c r="D10" i="723"/>
  <c r="D3" i="722"/>
  <c r="D4" i="722"/>
  <c r="D5" i="722"/>
  <c r="D6" i="722"/>
  <c r="E6" i="722" s="1"/>
  <c r="D7" i="722"/>
  <c r="D8" i="722"/>
  <c r="D9" i="722"/>
  <c r="D10" i="722"/>
  <c r="B11" i="722"/>
  <c r="C11" i="722"/>
  <c r="D4" i="721"/>
  <c r="D5" i="721"/>
  <c r="D6" i="721"/>
  <c r="E3" i="721" s="1"/>
  <c r="D7" i="721"/>
  <c r="D8" i="721"/>
  <c r="D9" i="721"/>
  <c r="B10" i="721"/>
  <c r="C10" i="721"/>
  <c r="C3" i="720"/>
  <c r="D3" i="720" s="1"/>
  <c r="C4" i="720"/>
  <c r="C5" i="720"/>
  <c r="C6" i="720"/>
  <c r="C7" i="720"/>
  <c r="B8" i="720"/>
  <c r="E3" i="719"/>
  <c r="F3" i="719" s="1"/>
  <c r="E4" i="719"/>
  <c r="E5" i="719"/>
  <c r="E6" i="719"/>
  <c r="B7" i="719"/>
  <c r="F3" i="718"/>
  <c r="F4" i="718"/>
  <c r="F5" i="718"/>
  <c r="F6" i="718"/>
  <c r="F7" i="718"/>
  <c r="B8" i="718"/>
  <c r="E8" i="718"/>
  <c r="D3" i="717"/>
  <c r="E3" i="717" s="1"/>
  <c r="D4" i="717"/>
  <c r="D5" i="717"/>
  <c r="D6" i="717"/>
  <c r="D7" i="717"/>
  <c r="D8" i="717"/>
  <c r="B9" i="717"/>
  <c r="C9" i="717"/>
  <c r="C3" i="716"/>
  <c r="C4" i="716"/>
  <c r="C5" i="716"/>
  <c r="C6" i="716"/>
  <c r="C7" i="716"/>
  <c r="C8" i="716"/>
  <c r="C9" i="716"/>
  <c r="B10" i="716"/>
  <c r="F3" i="715"/>
  <c r="B8" i="715"/>
  <c r="C8" i="715"/>
  <c r="D8" i="715"/>
  <c r="E8" i="715"/>
  <c r="D3" i="714"/>
  <c r="D4" i="714"/>
  <c r="D5" i="714"/>
  <c r="D6" i="714"/>
  <c r="D7" i="714"/>
  <c r="D8" i="714"/>
  <c r="D9" i="714"/>
  <c r="B10" i="714"/>
  <c r="C10" i="714"/>
  <c r="H3" i="713"/>
  <c r="I3" i="713" s="1"/>
  <c r="H4" i="713"/>
  <c r="H5" i="713"/>
  <c r="H6" i="713"/>
  <c r="H7" i="713"/>
  <c r="H8" i="713"/>
  <c r="B9" i="713"/>
  <c r="C9" i="713"/>
  <c r="D9" i="713"/>
  <c r="E9" i="713"/>
  <c r="F9" i="713"/>
  <c r="G9" i="713"/>
  <c r="H3" i="712"/>
  <c r="H4" i="712"/>
  <c r="H5" i="712"/>
  <c r="H6" i="712"/>
  <c r="H7" i="712"/>
  <c r="H8" i="712"/>
  <c r="H9" i="712"/>
  <c r="B10" i="712"/>
  <c r="C10" i="712"/>
  <c r="D10" i="712"/>
  <c r="E10" i="712"/>
  <c r="F10" i="712"/>
  <c r="G10" i="712"/>
  <c r="D3" i="711"/>
  <c r="D4" i="711"/>
  <c r="D5" i="711"/>
  <c r="D6" i="711"/>
  <c r="D7" i="711"/>
  <c r="D8" i="711"/>
  <c r="D9" i="711"/>
  <c r="B10" i="711"/>
  <c r="C10" i="711"/>
  <c r="D3" i="710"/>
  <c r="E3" i="710" s="1"/>
  <c r="D4" i="710"/>
  <c r="D5" i="710"/>
  <c r="D6" i="710"/>
  <c r="D7" i="710"/>
  <c r="D8" i="710"/>
  <c r="B9" i="710"/>
  <c r="C9" i="710"/>
  <c r="D3" i="709"/>
  <c r="E3" i="709" s="1"/>
  <c r="D4" i="709"/>
  <c r="D5" i="709"/>
  <c r="D6" i="709"/>
  <c r="D7" i="709"/>
  <c r="D8" i="709"/>
  <c r="B9" i="709"/>
  <c r="C9" i="709"/>
  <c r="C3" i="708"/>
  <c r="D3" i="708" s="1"/>
  <c r="C4" i="708"/>
  <c r="C5" i="708"/>
  <c r="C6" i="708"/>
  <c r="C7" i="708"/>
  <c r="C8" i="708"/>
  <c r="B9" i="708"/>
  <c r="C3" i="707"/>
  <c r="D3" i="707" s="1"/>
  <c r="C4" i="707"/>
  <c r="D4" i="707" s="1"/>
  <c r="C5" i="707"/>
  <c r="C6" i="707"/>
  <c r="C7" i="707"/>
  <c r="B8" i="707"/>
  <c r="D3" i="706"/>
  <c r="D4" i="706"/>
  <c r="D5" i="706"/>
  <c r="D6" i="706"/>
  <c r="D7" i="706"/>
  <c r="D8" i="706"/>
  <c r="D9" i="706"/>
  <c r="B10" i="706"/>
  <c r="C10" i="706"/>
  <c r="D3" i="705"/>
  <c r="E3" i="705" s="1"/>
  <c r="D4" i="705"/>
  <c r="D5" i="705"/>
  <c r="D6" i="705"/>
  <c r="D7" i="705"/>
  <c r="D8" i="705"/>
  <c r="B9" i="705"/>
  <c r="C9" i="705"/>
  <c r="C3" i="704"/>
  <c r="C4" i="704"/>
  <c r="C5" i="704"/>
  <c r="C6" i="704"/>
  <c r="C7" i="704"/>
  <c r="C8" i="704"/>
  <c r="C9" i="704"/>
  <c r="B10" i="704"/>
  <c r="C3" i="703"/>
  <c r="C4" i="703"/>
  <c r="C5" i="703"/>
  <c r="C6" i="703"/>
  <c r="C7" i="703"/>
  <c r="C8" i="703"/>
  <c r="C9" i="703"/>
  <c r="B10" i="703"/>
  <c r="C3" i="702"/>
  <c r="C4" i="702"/>
  <c r="C5" i="702"/>
  <c r="C6" i="702"/>
  <c r="C7" i="702"/>
  <c r="B8" i="702"/>
  <c r="C3" i="701"/>
  <c r="C4" i="701"/>
  <c r="C5" i="701"/>
  <c r="C6" i="701"/>
  <c r="C7" i="701"/>
  <c r="C8" i="701"/>
  <c r="C9" i="701"/>
  <c r="B10" i="701"/>
  <c r="C3" i="700"/>
  <c r="D3" i="700" s="1"/>
  <c r="C4" i="700"/>
  <c r="D4" i="700" s="1"/>
  <c r="C5" i="700"/>
  <c r="C6" i="700"/>
  <c r="C7" i="700"/>
  <c r="B8" i="700"/>
  <c r="C3" i="699"/>
  <c r="C4" i="699"/>
  <c r="C5" i="699"/>
  <c r="C6" i="699"/>
  <c r="C7" i="699"/>
  <c r="C8" i="699"/>
  <c r="C9" i="699"/>
  <c r="B10" i="699"/>
  <c r="C3" i="698"/>
  <c r="C4" i="698"/>
  <c r="D4" i="698" s="1"/>
  <c r="C5" i="698"/>
  <c r="C6" i="698"/>
  <c r="C7" i="698"/>
  <c r="C8" i="698"/>
  <c r="B9" i="698"/>
  <c r="C3" i="697"/>
  <c r="C4" i="697"/>
  <c r="D4" i="697" s="1"/>
  <c r="C5" i="697"/>
  <c r="C6" i="697"/>
  <c r="C7" i="697"/>
  <c r="C8" i="697"/>
  <c r="B9" i="697"/>
  <c r="C3" i="696"/>
  <c r="C4" i="696"/>
  <c r="D4" i="696" s="1"/>
  <c r="C5" i="696"/>
  <c r="C6" i="696"/>
  <c r="C7" i="696"/>
  <c r="C8" i="696"/>
  <c r="B9" i="696"/>
  <c r="C4" i="695"/>
  <c r="D4" i="695" s="1"/>
  <c r="C5" i="695"/>
  <c r="C6" i="695"/>
  <c r="C7" i="695"/>
  <c r="C8" i="695"/>
  <c r="C3" i="695"/>
  <c r="B9" i="695"/>
  <c r="C3" i="694"/>
  <c r="D3" i="694" s="1"/>
  <c r="C4" i="694"/>
  <c r="D4" i="694" s="1"/>
  <c r="C5" i="694"/>
  <c r="C6" i="694"/>
  <c r="C7" i="694"/>
  <c r="B8" i="694"/>
  <c r="C3" i="693"/>
  <c r="D3" i="693" s="1"/>
  <c r="C4" i="693"/>
  <c r="C5" i="693"/>
  <c r="C6" i="693"/>
  <c r="C7" i="693"/>
  <c r="C8" i="693"/>
  <c r="B9" i="693"/>
  <c r="C3" i="692"/>
  <c r="D3" i="692" s="1"/>
  <c r="C4" i="692"/>
  <c r="D4" i="692" s="1"/>
  <c r="C5" i="692"/>
  <c r="D5" i="692" s="1"/>
  <c r="C6" i="692"/>
  <c r="C7" i="692"/>
  <c r="C8" i="692"/>
  <c r="B9" i="692"/>
  <c r="C3" i="691"/>
  <c r="D3" i="691" s="1"/>
  <c r="C4" i="691"/>
  <c r="C5" i="691"/>
  <c r="C6" i="691"/>
  <c r="C7" i="691"/>
  <c r="C8" i="691"/>
  <c r="B9" i="691"/>
  <c r="C5" i="690"/>
  <c r="C6" i="690"/>
  <c r="C7" i="690"/>
  <c r="C3" i="690"/>
  <c r="D3" i="690" s="1"/>
  <c r="C4" i="690"/>
  <c r="D4" i="690" s="1"/>
  <c r="B8" i="690"/>
  <c r="C3" i="689"/>
  <c r="D3" i="689" s="1"/>
  <c r="C4" i="689"/>
  <c r="C5" i="689"/>
  <c r="C6" i="689"/>
  <c r="C7" i="689"/>
  <c r="B8" i="689"/>
  <c r="C3" i="688"/>
  <c r="D3" i="688" s="1"/>
  <c r="C4" i="688"/>
  <c r="D4" i="688" s="1"/>
  <c r="C5" i="688"/>
  <c r="C6" i="688"/>
  <c r="C7" i="688"/>
  <c r="B8" i="688"/>
  <c r="C3" i="687"/>
  <c r="C4" i="687"/>
  <c r="C5" i="687"/>
  <c r="C6" i="687"/>
  <c r="C7" i="687"/>
  <c r="B8" i="687"/>
  <c r="C3" i="686"/>
  <c r="C4" i="686"/>
  <c r="C5" i="686"/>
  <c r="C6" i="686"/>
  <c r="C7" i="686"/>
  <c r="C8" i="686"/>
  <c r="B9" i="686"/>
  <c r="C3" i="685"/>
  <c r="C4" i="685"/>
  <c r="C5" i="685"/>
  <c r="C6" i="685"/>
  <c r="C7" i="685"/>
  <c r="C8" i="685"/>
  <c r="B9" i="685"/>
  <c r="C3" i="684"/>
  <c r="C4" i="684"/>
  <c r="D4" i="684" s="1"/>
  <c r="C5" i="684"/>
  <c r="C6" i="684"/>
  <c r="C7" i="684"/>
  <c r="C8" i="684"/>
  <c r="B9" i="684"/>
  <c r="C3" i="683"/>
  <c r="D3" i="683" s="1"/>
  <c r="C4" i="683"/>
  <c r="C5" i="683"/>
  <c r="C6" i="683"/>
  <c r="B7" i="683"/>
  <c r="C4" i="682"/>
  <c r="C5" i="682"/>
  <c r="C6" i="682"/>
  <c r="B7" i="682"/>
  <c r="B8" i="681"/>
  <c r="C7" i="681"/>
  <c r="C6" i="681"/>
  <c r="C5" i="681"/>
  <c r="C4" i="681"/>
  <c r="D4" i="681" s="1"/>
  <c r="C3" i="681"/>
  <c r="D3" i="680"/>
  <c r="C4" i="680"/>
  <c r="C5" i="680"/>
  <c r="C6" i="680"/>
  <c r="C7" i="680"/>
  <c r="B8" i="680"/>
  <c r="B9" i="679"/>
  <c r="C8" i="679"/>
  <c r="C7" i="679"/>
  <c r="C6" i="679"/>
  <c r="C5" i="679"/>
  <c r="C4" i="679"/>
  <c r="C3" i="679"/>
  <c r="B8" i="678"/>
  <c r="C7" i="678"/>
  <c r="C6" i="678"/>
  <c r="C5" i="678"/>
  <c r="C4" i="678"/>
  <c r="C3" i="678"/>
  <c r="B8" i="677"/>
  <c r="C7" i="677"/>
  <c r="C6" i="677"/>
  <c r="C5" i="677"/>
  <c r="C4" i="677"/>
  <c r="C3" i="677"/>
  <c r="B8" i="676"/>
  <c r="C7" i="676"/>
  <c r="C6" i="676"/>
  <c r="C5" i="676"/>
  <c r="C4" i="676"/>
  <c r="D4" i="676" s="1"/>
  <c r="C3" i="676"/>
  <c r="D3" i="676" s="1"/>
  <c r="C8" i="675"/>
  <c r="B8" i="675"/>
  <c r="D7" i="675"/>
  <c r="D6" i="675"/>
  <c r="D5" i="675"/>
  <c r="D4" i="675"/>
  <c r="D3" i="675"/>
  <c r="D3" i="734" l="1"/>
  <c r="D3" i="679"/>
  <c r="D4" i="679"/>
  <c r="E3" i="736"/>
  <c r="E3" i="722"/>
  <c r="J3" i="742"/>
  <c r="I3" i="732"/>
  <c r="H6" i="743"/>
  <c r="E4" i="741"/>
  <c r="H5" i="743"/>
  <c r="C8" i="745"/>
  <c r="H3" i="743"/>
  <c r="H4" i="744"/>
  <c r="G9" i="744"/>
  <c r="D10" i="741"/>
  <c r="H4" i="743"/>
  <c r="G8" i="743"/>
  <c r="H7" i="743" s="1"/>
  <c r="I8" i="742"/>
  <c r="D3" i="739"/>
  <c r="E3" i="741"/>
  <c r="D4" i="739"/>
  <c r="C7" i="740"/>
  <c r="C10" i="739"/>
  <c r="E4" i="737"/>
  <c r="E4" i="738"/>
  <c r="E3" i="738"/>
  <c r="D10" i="738"/>
  <c r="F3" i="735"/>
  <c r="D9" i="737"/>
  <c r="D8" i="736"/>
  <c r="F3" i="731"/>
  <c r="E8" i="735"/>
  <c r="C9" i="734"/>
  <c r="D4" i="734"/>
  <c r="G4" i="733"/>
  <c r="F10" i="733"/>
  <c r="H8" i="732"/>
  <c r="E8" i="731"/>
  <c r="D3" i="730"/>
  <c r="H3" i="729"/>
  <c r="C9" i="730"/>
  <c r="G8" i="729"/>
  <c r="G3" i="728"/>
  <c r="F8" i="728"/>
  <c r="D8" i="727"/>
  <c r="H3" i="725"/>
  <c r="G8" i="725"/>
  <c r="F4" i="723"/>
  <c r="E9" i="724"/>
  <c r="F4" i="724"/>
  <c r="F3" i="723"/>
  <c r="E10" i="723"/>
  <c r="E4" i="721"/>
  <c r="E4" i="722"/>
  <c r="D11" i="722"/>
  <c r="D4" i="716"/>
  <c r="E4" i="717"/>
  <c r="C8" i="720"/>
  <c r="D10" i="721"/>
  <c r="D4" i="720"/>
  <c r="E7" i="719"/>
  <c r="G3" i="718"/>
  <c r="F8" i="718"/>
  <c r="D3" i="716"/>
  <c r="C10" i="716"/>
  <c r="D9" i="717"/>
  <c r="E4" i="710"/>
  <c r="E4" i="714"/>
  <c r="E3" i="714"/>
  <c r="D10" i="714"/>
  <c r="I4" i="713"/>
  <c r="H9" i="713"/>
  <c r="E4" i="711"/>
  <c r="E3" i="711"/>
  <c r="I3" i="712"/>
  <c r="I4" i="712"/>
  <c r="H10" i="712"/>
  <c r="D9" i="710"/>
  <c r="D10" i="711"/>
  <c r="D3" i="701"/>
  <c r="D4" i="708"/>
  <c r="E4" i="709"/>
  <c r="D9" i="709"/>
  <c r="C9" i="708"/>
  <c r="E4" i="706"/>
  <c r="C8" i="707"/>
  <c r="E3" i="706"/>
  <c r="D10" i="706"/>
  <c r="E4" i="705"/>
  <c r="D9" i="705"/>
  <c r="D3" i="704"/>
  <c r="C10" i="704"/>
  <c r="D4" i="704"/>
  <c r="D3" i="703"/>
  <c r="D4" i="703"/>
  <c r="C10" i="703"/>
  <c r="D3" i="702"/>
  <c r="C8" i="702"/>
  <c r="D4" i="699"/>
  <c r="D4" i="701"/>
  <c r="C10" i="701"/>
  <c r="D3" i="699"/>
  <c r="C8" i="700"/>
  <c r="C10" i="699"/>
  <c r="D3" i="698"/>
  <c r="C9" i="698"/>
  <c r="D3" i="697"/>
  <c r="C9" i="697"/>
  <c r="C9" i="696"/>
  <c r="D3" i="696"/>
  <c r="D3" i="695"/>
  <c r="C9" i="695"/>
  <c r="D4" i="693"/>
  <c r="C8" i="694"/>
  <c r="D4" i="691"/>
  <c r="C9" i="693"/>
  <c r="C9" i="692"/>
  <c r="C9" i="691"/>
  <c r="C8" i="690"/>
  <c r="D3" i="687"/>
  <c r="C8" i="689"/>
  <c r="D4" i="689"/>
  <c r="C8" i="688"/>
  <c r="D3" i="684"/>
  <c r="C8" i="687"/>
  <c r="D4" i="686"/>
  <c r="C9" i="686"/>
  <c r="C9" i="685"/>
  <c r="C9" i="684"/>
  <c r="C7" i="683"/>
  <c r="C7" i="682"/>
  <c r="D3" i="682"/>
  <c r="C8" i="681"/>
  <c r="D3" i="681"/>
  <c r="D3" i="677"/>
  <c r="C8" i="680"/>
  <c r="D4" i="680"/>
  <c r="C9" i="679"/>
  <c r="C8" i="678"/>
  <c r="D3" i="678"/>
  <c r="C8" i="677"/>
  <c r="C8" i="676"/>
  <c r="D8" i="675"/>
  <c r="E3" i="675"/>
  <c r="C3" i="674" l="1"/>
  <c r="C4" i="674"/>
  <c r="C5" i="674"/>
  <c r="C6" i="674"/>
  <c r="C7" i="674"/>
  <c r="C8" i="674"/>
  <c r="C9" i="674"/>
  <c r="B10" i="674"/>
  <c r="C3" i="673"/>
  <c r="C4" i="673"/>
  <c r="C5" i="673"/>
  <c r="C6" i="673"/>
  <c r="C7" i="673"/>
  <c r="B8" i="673"/>
  <c r="C3" i="671"/>
  <c r="D3" i="671" s="1"/>
  <c r="C4" i="671"/>
  <c r="D4" i="671" s="1"/>
  <c r="C5" i="671"/>
  <c r="C6" i="671"/>
  <c r="C7" i="671"/>
  <c r="B8" i="671"/>
  <c r="C3" i="670"/>
  <c r="C4" i="670"/>
  <c r="C5" i="670"/>
  <c r="C6" i="670"/>
  <c r="C7" i="670"/>
  <c r="B8" i="670"/>
  <c r="C3" i="669"/>
  <c r="C4" i="669"/>
  <c r="C5" i="669"/>
  <c r="C6" i="669"/>
  <c r="C7" i="669"/>
  <c r="C8" i="669"/>
  <c r="C9" i="669"/>
  <c r="B10" i="669"/>
  <c r="C3" i="668"/>
  <c r="C4" i="668"/>
  <c r="C5" i="668"/>
  <c r="C6" i="668"/>
  <c r="C7" i="668"/>
  <c r="B8" i="668"/>
  <c r="C3" i="667"/>
  <c r="D3" i="667" s="1"/>
  <c r="C4" i="667"/>
  <c r="C5" i="667"/>
  <c r="C6" i="667"/>
  <c r="B7" i="667"/>
  <c r="C3" i="666"/>
  <c r="C4" i="666"/>
  <c r="D4" i="666" s="1"/>
  <c r="C5" i="666"/>
  <c r="C6" i="666"/>
  <c r="D6" i="666" s="1"/>
  <c r="C7" i="666"/>
  <c r="C8" i="666"/>
  <c r="C9" i="666"/>
  <c r="B10" i="666"/>
  <c r="C3" i="665"/>
  <c r="D3" i="665" s="1"/>
  <c r="C4" i="665"/>
  <c r="D4" i="665" s="1"/>
  <c r="C5" i="665"/>
  <c r="C6" i="665"/>
  <c r="C7" i="665"/>
  <c r="B8" i="665"/>
  <c r="C3" i="664"/>
  <c r="D3" i="664" s="1"/>
  <c r="C4" i="664"/>
  <c r="C5" i="664"/>
  <c r="C6" i="664"/>
  <c r="B7" i="664"/>
  <c r="C3" i="663"/>
  <c r="C4" i="663"/>
  <c r="C5" i="663"/>
  <c r="C6" i="663"/>
  <c r="C7" i="663"/>
  <c r="C8" i="663"/>
  <c r="C9" i="663"/>
  <c r="B10" i="663"/>
  <c r="C3" i="662"/>
  <c r="C4" i="662"/>
  <c r="C5" i="662"/>
  <c r="C6" i="662"/>
  <c r="C7" i="662"/>
  <c r="C8" i="662"/>
  <c r="C9" i="662"/>
  <c r="B10" i="662"/>
  <c r="C3" i="661"/>
  <c r="C4" i="661"/>
  <c r="C5" i="661"/>
  <c r="C6" i="661"/>
  <c r="C7" i="661"/>
  <c r="B8" i="661"/>
  <c r="C3" i="660"/>
  <c r="D3" i="660" s="1"/>
  <c r="C4" i="660"/>
  <c r="C5" i="660"/>
  <c r="C6" i="660"/>
  <c r="C7" i="660"/>
  <c r="C8" i="660"/>
  <c r="B9" i="660"/>
  <c r="C3" i="659"/>
  <c r="C4" i="659"/>
  <c r="C5" i="659"/>
  <c r="D5" i="659" s="1"/>
  <c r="C6" i="659"/>
  <c r="C7" i="659"/>
  <c r="C8" i="659"/>
  <c r="B9" i="659"/>
  <c r="C3" i="658"/>
  <c r="D3" i="658" s="1"/>
  <c r="C4" i="658"/>
  <c r="C5" i="658"/>
  <c r="C6" i="658"/>
  <c r="C7" i="658"/>
  <c r="C8" i="658"/>
  <c r="B9" i="658"/>
  <c r="C3" i="657"/>
  <c r="C4" i="657"/>
  <c r="C5" i="657"/>
  <c r="C6" i="657"/>
  <c r="C7" i="657"/>
  <c r="C8" i="657"/>
  <c r="C9" i="657"/>
  <c r="B10" i="657"/>
  <c r="C3" i="656"/>
  <c r="C4" i="656"/>
  <c r="C5" i="656"/>
  <c r="C6" i="656"/>
  <c r="C7" i="656"/>
  <c r="C8" i="656"/>
  <c r="C9" i="656"/>
  <c r="B10" i="656"/>
  <c r="C3" i="655"/>
  <c r="C4" i="655"/>
  <c r="C5" i="655"/>
  <c r="C6" i="655"/>
  <c r="C7" i="655"/>
  <c r="D7" i="655" s="1"/>
  <c r="C8" i="655"/>
  <c r="C9" i="655"/>
  <c r="C10" i="655"/>
  <c r="B11" i="655"/>
  <c r="C3" i="654"/>
  <c r="C4" i="654"/>
  <c r="C5" i="654"/>
  <c r="C6" i="654"/>
  <c r="C7" i="654"/>
  <c r="B8" i="654"/>
  <c r="C3" i="653"/>
  <c r="D3" i="653" s="1"/>
  <c r="C4" i="653"/>
  <c r="C5" i="653"/>
  <c r="C6" i="653"/>
  <c r="B7" i="653"/>
  <c r="C3" i="652"/>
  <c r="C4" i="652"/>
  <c r="D4" i="652" s="1"/>
  <c r="C5" i="652"/>
  <c r="C6" i="652"/>
  <c r="C7" i="652"/>
  <c r="C8" i="652"/>
  <c r="B9" i="652"/>
  <c r="C3" i="651"/>
  <c r="C4" i="651"/>
  <c r="C5" i="651"/>
  <c r="C6" i="651"/>
  <c r="C7" i="651"/>
  <c r="C8" i="651"/>
  <c r="C9" i="651"/>
  <c r="B10" i="651"/>
  <c r="C3" i="650"/>
  <c r="C4" i="650"/>
  <c r="C5" i="650"/>
  <c r="C6" i="650"/>
  <c r="C7" i="650"/>
  <c r="B8" i="650"/>
  <c r="C3" i="649"/>
  <c r="D3" i="649" s="1"/>
  <c r="C4" i="649"/>
  <c r="C5" i="649"/>
  <c r="C6" i="649"/>
  <c r="B7" i="649"/>
  <c r="C3" i="648"/>
  <c r="C4" i="648"/>
  <c r="C5" i="648"/>
  <c r="C6" i="648"/>
  <c r="C7" i="648"/>
  <c r="B8" i="648"/>
  <c r="C3" i="647"/>
  <c r="C4" i="647"/>
  <c r="C5" i="647"/>
  <c r="C6" i="647"/>
  <c r="C7" i="647"/>
  <c r="B8" i="647"/>
  <c r="C3" i="646"/>
  <c r="D3" i="646" s="1"/>
  <c r="C4" i="646"/>
  <c r="C5" i="646"/>
  <c r="C6" i="646"/>
  <c r="B7" i="646"/>
  <c r="C3" i="645"/>
  <c r="C4" i="645"/>
  <c r="C5" i="645"/>
  <c r="C6" i="645"/>
  <c r="C7" i="645"/>
  <c r="B8" i="645"/>
  <c r="C3" i="644"/>
  <c r="D3" i="644" s="1"/>
  <c r="C4" i="644"/>
  <c r="C5" i="644"/>
  <c r="C6" i="644"/>
  <c r="B7" i="644"/>
  <c r="C3" i="643"/>
  <c r="D3" i="643" s="1"/>
  <c r="C4" i="643"/>
  <c r="D4" i="643" s="1"/>
  <c r="C5" i="643"/>
  <c r="D5" i="643" s="1"/>
  <c r="C6" i="643"/>
  <c r="C7" i="643"/>
  <c r="C8" i="643"/>
  <c r="B9" i="643"/>
  <c r="C3" i="642"/>
  <c r="C4" i="642"/>
  <c r="C5" i="642"/>
  <c r="C6" i="642"/>
  <c r="C7" i="642"/>
  <c r="B8" i="642"/>
  <c r="C3" i="641"/>
  <c r="D3" i="641" s="1"/>
  <c r="C4" i="641"/>
  <c r="C5" i="641"/>
  <c r="C6" i="641"/>
  <c r="C7" i="641"/>
  <c r="C8" i="641"/>
  <c r="B9" i="641"/>
  <c r="C3" i="640"/>
  <c r="C4" i="640"/>
  <c r="C5" i="640"/>
  <c r="C6" i="640"/>
  <c r="C7" i="640"/>
  <c r="B8" i="640"/>
  <c r="C3" i="639"/>
  <c r="C4" i="639"/>
  <c r="C5" i="639"/>
  <c r="C6" i="639"/>
  <c r="C7" i="639"/>
  <c r="C8" i="639"/>
  <c r="C9" i="639"/>
  <c r="B10" i="639"/>
  <c r="C3" i="638"/>
  <c r="D3" i="638" s="1"/>
  <c r="C4" i="638"/>
  <c r="C5" i="638"/>
  <c r="C6" i="638"/>
  <c r="C7" i="638"/>
  <c r="C8" i="638"/>
  <c r="B9" i="638"/>
  <c r="C3" i="637"/>
  <c r="D3" i="637" s="1"/>
  <c r="C4" i="637"/>
  <c r="C5" i="637"/>
  <c r="C6" i="637"/>
  <c r="C7" i="637"/>
  <c r="C8" i="637"/>
  <c r="B9" i="637"/>
  <c r="C3" i="636"/>
  <c r="C4" i="636"/>
  <c r="D4" i="636" s="1"/>
  <c r="C5" i="636"/>
  <c r="C6" i="636"/>
  <c r="C7" i="636"/>
  <c r="C8" i="636"/>
  <c r="B9" i="636"/>
  <c r="C3" i="635"/>
  <c r="D3" i="635" s="1"/>
  <c r="C4" i="635"/>
  <c r="C5" i="635"/>
  <c r="C6" i="635"/>
  <c r="B7" i="635"/>
  <c r="C3" i="633"/>
  <c r="C4" i="633"/>
  <c r="C5" i="633"/>
  <c r="C6" i="633"/>
  <c r="C7" i="633"/>
  <c r="C8" i="633"/>
  <c r="C9" i="633"/>
  <c r="B10" i="633"/>
  <c r="C3" i="632"/>
  <c r="D3" i="632" s="1"/>
  <c r="C4" i="632"/>
  <c r="C5" i="632"/>
  <c r="C6" i="632"/>
  <c r="C7" i="632"/>
  <c r="C8" i="632"/>
  <c r="B9" i="632"/>
  <c r="C3" i="631"/>
  <c r="D3" i="631" s="1"/>
  <c r="C4" i="631"/>
  <c r="C5" i="631"/>
  <c r="C6" i="631"/>
  <c r="C7" i="631"/>
  <c r="C8" i="631"/>
  <c r="B9" i="631"/>
  <c r="C3" i="630"/>
  <c r="D3" i="630" s="1"/>
  <c r="C4" i="630"/>
  <c r="C5" i="630"/>
  <c r="C6" i="630"/>
  <c r="C7" i="630"/>
  <c r="C8" i="630"/>
  <c r="B9" i="630"/>
  <c r="C3" i="629"/>
  <c r="C4" i="629"/>
  <c r="C5" i="629"/>
  <c r="C6" i="629"/>
  <c r="C7" i="629"/>
  <c r="C8" i="629"/>
  <c r="C9" i="629"/>
  <c r="B10" i="629"/>
  <c r="C3" i="628"/>
  <c r="D3" i="628" s="1"/>
  <c r="C4" i="628"/>
  <c r="C5" i="628"/>
  <c r="C6" i="628"/>
  <c r="C7" i="628"/>
  <c r="C8" i="628"/>
  <c r="B9" i="628"/>
  <c r="C3" i="627"/>
  <c r="C4" i="627"/>
  <c r="C5" i="627"/>
  <c r="C6" i="627"/>
  <c r="C7" i="627"/>
  <c r="C8" i="627"/>
  <c r="C9" i="627"/>
  <c r="B10" i="627"/>
  <c r="C3" i="626"/>
  <c r="D3" i="626" s="1"/>
  <c r="C4" i="626"/>
  <c r="C5" i="626"/>
  <c r="C6" i="626"/>
  <c r="C7" i="626"/>
  <c r="C8" i="626"/>
  <c r="B9" i="626"/>
  <c r="C3" i="625"/>
  <c r="D3" i="625" s="1"/>
  <c r="C4" i="625"/>
  <c r="C5" i="625"/>
  <c r="C6" i="625"/>
  <c r="C7" i="625"/>
  <c r="C8" i="625"/>
  <c r="B9" i="625"/>
  <c r="C3" i="624"/>
  <c r="C4" i="624"/>
  <c r="C5" i="624"/>
  <c r="C6" i="624"/>
  <c r="C7" i="624"/>
  <c r="C8" i="624"/>
  <c r="C9" i="624"/>
  <c r="B10" i="624"/>
  <c r="C3" i="623"/>
  <c r="D3" i="623" s="1"/>
  <c r="C4" i="623"/>
  <c r="C5" i="623"/>
  <c r="C6" i="623"/>
  <c r="C7" i="623"/>
  <c r="C8" i="623"/>
  <c r="B9" i="623"/>
  <c r="E3" i="622"/>
  <c r="B9" i="622"/>
  <c r="B9" i="621"/>
  <c r="D3" i="620"/>
  <c r="E3" i="620" s="1"/>
  <c r="D4" i="620"/>
  <c r="D5" i="620"/>
  <c r="D6" i="620"/>
  <c r="D7" i="620"/>
  <c r="D8" i="620"/>
  <c r="B9" i="620"/>
  <c r="C9" i="620"/>
  <c r="C3" i="619"/>
  <c r="D3" i="619" s="1"/>
  <c r="C4" i="619"/>
  <c r="C5" i="619"/>
  <c r="C6" i="619"/>
  <c r="C7" i="619"/>
  <c r="C8" i="619"/>
  <c r="B9" i="619"/>
  <c r="C3" i="618"/>
  <c r="D3" i="618" s="1"/>
  <c r="C4" i="618"/>
  <c r="C5" i="618"/>
  <c r="C6" i="618"/>
  <c r="C7" i="618"/>
  <c r="C8" i="618"/>
  <c r="B9" i="618"/>
  <c r="C5" i="617"/>
  <c r="C3" i="617"/>
  <c r="D3" i="617" s="1"/>
  <c r="C4" i="617"/>
  <c r="C6" i="617"/>
  <c r="C7" i="617"/>
  <c r="C8" i="617"/>
  <c r="B9" i="617"/>
  <c r="C3" i="616"/>
  <c r="D3" i="616" s="1"/>
  <c r="C4" i="616"/>
  <c r="C5" i="616"/>
  <c r="C6" i="616"/>
  <c r="C7" i="616"/>
  <c r="C8" i="616"/>
  <c r="B9" i="616"/>
  <c r="C3" i="615"/>
  <c r="C4" i="615"/>
  <c r="C5" i="615"/>
  <c r="C6" i="615"/>
  <c r="C7" i="615"/>
  <c r="C8" i="615"/>
  <c r="C9" i="615"/>
  <c r="B10" i="615"/>
  <c r="C3" i="614"/>
  <c r="D3" i="614" s="1"/>
  <c r="C4" i="614"/>
  <c r="C5" i="614"/>
  <c r="C6" i="614"/>
  <c r="C7" i="614"/>
  <c r="C8" i="614"/>
  <c r="B9" i="614"/>
  <c r="C3" i="613"/>
  <c r="D3" i="613" s="1"/>
  <c r="C4" i="613"/>
  <c r="C5" i="613"/>
  <c r="C6" i="613"/>
  <c r="C7" i="613"/>
  <c r="C8" i="613"/>
  <c r="B9" i="613"/>
  <c r="C3" i="612"/>
  <c r="D3" i="612" s="1"/>
  <c r="C4" i="612"/>
  <c r="C5" i="612"/>
  <c r="C6" i="612"/>
  <c r="C7" i="612"/>
  <c r="C8" i="612"/>
  <c r="B9" i="612"/>
  <c r="D4" i="629" l="1"/>
  <c r="D3" i="674"/>
  <c r="D4" i="674"/>
  <c r="C10" i="674"/>
  <c r="C8" i="673"/>
  <c r="D3" i="673"/>
  <c r="D3" i="668"/>
  <c r="C8" i="671"/>
  <c r="D3" i="670"/>
  <c r="C8" i="670"/>
  <c r="D3" i="669"/>
  <c r="D4" i="669"/>
  <c r="C10" i="669"/>
  <c r="D4" i="633"/>
  <c r="C8" i="668"/>
  <c r="D4" i="632"/>
  <c r="D4" i="619"/>
  <c r="E4" i="620"/>
  <c r="D4" i="631"/>
  <c r="D3" i="636"/>
  <c r="D3" i="640"/>
  <c r="D4" i="663"/>
  <c r="D3" i="666"/>
  <c r="D3" i="662"/>
  <c r="D3" i="663"/>
  <c r="D4" i="616"/>
  <c r="C7" i="667"/>
  <c r="D4" i="613"/>
  <c r="D4" i="624"/>
  <c r="D3" i="627"/>
  <c r="D3" i="633"/>
  <c r="C10" i="666"/>
  <c r="D3" i="654"/>
  <c r="D3" i="661"/>
  <c r="D4" i="627"/>
  <c r="D3" i="650"/>
  <c r="C8" i="665"/>
  <c r="D4" i="618"/>
  <c r="D3" i="615"/>
  <c r="D4" i="628"/>
  <c r="D4" i="637"/>
  <c r="D3" i="647"/>
  <c r="C7" i="664"/>
  <c r="D4" i="639"/>
  <c r="D4" i="658"/>
  <c r="D4" i="657"/>
  <c r="D3" i="651"/>
  <c r="D3" i="657"/>
  <c r="C10" i="663"/>
  <c r="C11" i="655"/>
  <c r="D3" i="639"/>
  <c r="D4" i="662"/>
  <c r="D4" i="625"/>
  <c r="C10" i="633"/>
  <c r="C8" i="648"/>
  <c r="D4" i="655"/>
  <c r="C8" i="661"/>
  <c r="C10" i="662"/>
  <c r="D4" i="614"/>
  <c r="D4" i="626"/>
  <c r="C9" i="637"/>
  <c r="C9" i="612"/>
  <c r="D4" i="612"/>
  <c r="C10" i="615"/>
  <c r="D4" i="615"/>
  <c r="E4" i="622"/>
  <c r="D4" i="623"/>
  <c r="C9" i="626"/>
  <c r="D3" i="629"/>
  <c r="D4" i="641"/>
  <c r="C8" i="642"/>
  <c r="D3" i="648"/>
  <c r="D4" i="651"/>
  <c r="D3" i="655"/>
  <c r="D4" i="656"/>
  <c r="D3" i="659"/>
  <c r="D4" i="617"/>
  <c r="C9" i="619"/>
  <c r="D3" i="624"/>
  <c r="D4" i="630"/>
  <c r="C9" i="638"/>
  <c r="D3" i="652"/>
  <c r="D3" i="656"/>
  <c r="C9" i="616"/>
  <c r="C9" i="618"/>
  <c r="D9" i="621"/>
  <c r="D3" i="642"/>
  <c r="C8" i="647"/>
  <c r="C7" i="649"/>
  <c r="C8" i="650"/>
  <c r="C10" i="651"/>
  <c r="C7" i="653"/>
  <c r="C8" i="654"/>
  <c r="C10" i="657"/>
  <c r="C9" i="660"/>
  <c r="C9" i="614"/>
  <c r="C9" i="625"/>
  <c r="C9" i="628"/>
  <c r="C9" i="631"/>
  <c r="C8" i="640"/>
  <c r="C7" i="644"/>
  <c r="C7" i="646"/>
  <c r="C10" i="656"/>
  <c r="E4" i="621"/>
  <c r="C9" i="623"/>
  <c r="D4" i="638"/>
  <c r="C9" i="641"/>
  <c r="C9" i="659"/>
  <c r="D4" i="660"/>
  <c r="C9" i="658"/>
  <c r="C9" i="652"/>
  <c r="D3" i="645"/>
  <c r="C8" i="645"/>
  <c r="C9" i="643"/>
  <c r="C10" i="639"/>
  <c r="C9" i="636"/>
  <c r="C7" i="635"/>
  <c r="C9" i="632"/>
  <c r="C9" i="630"/>
  <c r="C10" i="629"/>
  <c r="C10" i="627"/>
  <c r="C10" i="624"/>
  <c r="D9" i="622"/>
  <c r="D9" i="620"/>
  <c r="C9" i="617"/>
  <c r="C9" i="613"/>
</calcChain>
</file>

<file path=xl/sharedStrings.xml><?xml version="1.0" encoding="utf-8"?>
<sst xmlns="http://schemas.openxmlformats.org/spreadsheetml/2006/main" count="1864" uniqueCount="648">
  <si>
    <t>Blank</t>
  </si>
  <si>
    <t>Void</t>
  </si>
  <si>
    <t>Total Votes by County</t>
  </si>
  <si>
    <t>Total Votes by Party</t>
  </si>
  <si>
    <t>Total Votes by Candidate</t>
  </si>
  <si>
    <t>Scattering</t>
  </si>
  <si>
    <t>Schoharie County Vote Results</t>
  </si>
  <si>
    <t>Greene County Vote Results</t>
  </si>
  <si>
    <t>Candidate Name (Party)</t>
  </si>
  <si>
    <t>Montgomery County Vote Results</t>
  </si>
  <si>
    <t>Hamilton County Vote Results</t>
  </si>
  <si>
    <t>Fulton County Vote Results</t>
  </si>
  <si>
    <t>Franklin County Vote Results</t>
  </si>
  <si>
    <t>Clinton County Vote Results</t>
  </si>
  <si>
    <t>Lewis County Vote Results</t>
  </si>
  <si>
    <t>Yates County Vote Results</t>
  </si>
  <si>
    <t>Wayne County Vote Results</t>
  </si>
  <si>
    <t>Livingston County Vote Results</t>
  </si>
  <si>
    <t>Wyoming County Vote Results</t>
  </si>
  <si>
    <t>Orleans County Vote Results</t>
  </si>
  <si>
    <t>Genesee County Vote Results</t>
  </si>
  <si>
    <t>Cattaraugus County Vote Results</t>
  </si>
  <si>
    <t>Allegany County Vote Results</t>
  </si>
  <si>
    <t>Part of Suffolk County Vote Results</t>
  </si>
  <si>
    <t>Part of Nassau County Vote Results</t>
  </si>
  <si>
    <t>Part of Queens County Vote Results</t>
  </si>
  <si>
    <t>Part of Kings County Vote Results</t>
  </si>
  <si>
    <t>Part of New York County Vote Results</t>
  </si>
  <si>
    <t>Part of Bronx County Vote Results</t>
  </si>
  <si>
    <t>Part of Westchester County Vote Results</t>
  </si>
  <si>
    <t>Part of Dutchess County Vote Results</t>
  </si>
  <si>
    <t>Part of Ulster County Vote Results</t>
  </si>
  <si>
    <t>Tioga County Vote Results</t>
  </si>
  <si>
    <t>Tompkins County Vote Results</t>
  </si>
  <si>
    <t>Part of Otsego County Vote Results</t>
  </si>
  <si>
    <t>Part of Rensselaer County Vote Results</t>
  </si>
  <si>
    <t>Part of Jefferson County Vote Results</t>
  </si>
  <si>
    <t>Part of Oswego County Vote Results</t>
  </si>
  <si>
    <t>Part of Erie County Vote Results</t>
  </si>
  <si>
    <t>Part of Niagara County Vote Results</t>
  </si>
  <si>
    <t>Part of Richmond County Vote Results</t>
  </si>
  <si>
    <t>Part of Rockland County Vote Results</t>
  </si>
  <si>
    <t>Part of Orange County Vote Results</t>
  </si>
  <si>
    <t>Part of Putnam County Vote Results</t>
  </si>
  <si>
    <t>Part of Washington County Vote Results</t>
  </si>
  <si>
    <t>Part of Albany County Vote Results</t>
  </si>
  <si>
    <t>Part of Schenectady County Vote Results</t>
  </si>
  <si>
    <t>Part of St. Lawrence County Vote Results</t>
  </si>
  <si>
    <t>Part of Onondaga County Vote Results</t>
  </si>
  <si>
    <t>Part of Herkimer County Vote Results</t>
  </si>
  <si>
    <t>Part of Chenango County Vote Results</t>
  </si>
  <si>
    <t>Part of Broome County Vote Results</t>
  </si>
  <si>
    <t>Part of Oneida County Vote Results</t>
  </si>
  <si>
    <t>Part of Monroe County Vote Results</t>
  </si>
  <si>
    <t>Schuyler County Vote Results</t>
  </si>
  <si>
    <t>Fred W. Thiele, Jr.  (DEM)</t>
  </si>
  <si>
    <t>Member of Assembly 1st Assembly District - General Election - November 8, 2022</t>
  </si>
  <si>
    <t>Jodi A. Giglio  (CON)</t>
  </si>
  <si>
    <t>Jodi A. Giglio (REP)</t>
  </si>
  <si>
    <t>Wendy E. Hamberger (DEM)</t>
  </si>
  <si>
    <t>Member of Assembly 2nd Assembly District - General Election - November 8, 2022</t>
  </si>
  <si>
    <t>Joseph P. De Stefano  (CON)</t>
  </si>
  <si>
    <t>Joseph P. De Stefano (REP)</t>
  </si>
  <si>
    <t>Trina R. Miles (DEM)</t>
  </si>
  <si>
    <t>Member of Assembly 3rd Assembly District - General Election - November 8, 2022</t>
  </si>
  <si>
    <t>Steven C. Englebright (WOR)</t>
  </si>
  <si>
    <t>Edward A. Flood (CON)</t>
  </si>
  <si>
    <t>Edward A. Flood (REP)</t>
  </si>
  <si>
    <t>Steven C. Englebright (DEM)</t>
  </si>
  <si>
    <t>Member of Assembly 4th Assembly District - General Election - November 8, 2022</t>
  </si>
  <si>
    <t>Douglas M. Smith (CON)</t>
  </si>
  <si>
    <t>Douglas M. Smith (REP)</t>
  </si>
  <si>
    <t>James M. Anthony (DEM)</t>
  </si>
  <si>
    <t>Member of Assembly 5th Assembly District - General Election - November 8, 2022</t>
  </si>
  <si>
    <t>Kevin C. Surdi (REP)</t>
  </si>
  <si>
    <t>Philip R. Ramos (DEM)</t>
  </si>
  <si>
    <t>Member of Assembly 6th Assembly District - General Election - November 8, 2022</t>
  </si>
  <si>
    <t>Kevin C. Surdi (CON)</t>
  </si>
  <si>
    <t>Jarett C. Gandolfo (CON)</t>
  </si>
  <si>
    <t>Jarett C. Gandolfo (REP)</t>
  </si>
  <si>
    <t>Douglas J. Pearsall (DEM)</t>
  </si>
  <si>
    <t>Member of Assembly 7th Assembly District - General Election - November 8, 2022</t>
  </si>
  <si>
    <t>Michael J. Fitzpatrick  (CON)</t>
  </si>
  <si>
    <t>Michael J. Fitzpatrick (REP)</t>
  </si>
  <si>
    <t>Jeanine Aponte (DEM)</t>
  </si>
  <si>
    <t>Member of Assembly 8th Assembly District - General Election - November 8, 2022</t>
  </si>
  <si>
    <t>Steven J. Dellavecchia (DEM)</t>
  </si>
  <si>
    <t>Member of Assembly 9th Assembly District - General Election - November 8, 2022</t>
  </si>
  <si>
    <t>Aamir Sultan (CON)</t>
  </si>
  <si>
    <t>Aamir Sultan (REP)</t>
  </si>
  <si>
    <t>Steve Stern (DEM)</t>
  </si>
  <si>
    <t>Member of Assembly 10th Assembly District - General Election - November 8, 2022</t>
  </si>
  <si>
    <t>Christopher Sperber (CON)</t>
  </si>
  <si>
    <t>Christopher Sperber (REP)</t>
  </si>
  <si>
    <t>Kimberly Jean-Pierre (DEM)</t>
  </si>
  <si>
    <t>Member of Assembly 11th Assembly District - General Election - November 8, 2022</t>
  </si>
  <si>
    <t>Keith Brown  (CON)</t>
  </si>
  <si>
    <t>Keith Brown (REP)</t>
  </si>
  <si>
    <t>Cooper Macco (DEM)</t>
  </si>
  <si>
    <t>Member of Assembly 12th Assembly District - General Election - November 8, 2022</t>
  </si>
  <si>
    <t>Charles D. Lavine  (WOR)</t>
  </si>
  <si>
    <t>Ruka Anzai (CON)</t>
  </si>
  <si>
    <t>Ruka Anzai (REP)</t>
  </si>
  <si>
    <t>Member of Assembly 13th Assembly District - General Election - November 8, 2022</t>
  </si>
  <si>
    <t>David G. McDonough (CON)</t>
  </si>
  <si>
    <t>David G. McDonough (REP)</t>
  </si>
  <si>
    <t>Dustin Scott Ginsberg (DEM)</t>
  </si>
  <si>
    <t>Member of Assembly 14th Assembly District - General Election - November 8, 2022</t>
  </si>
  <si>
    <t>Amanda R. Field (DEM)</t>
  </si>
  <si>
    <t>Member of Assembly 15th Assembly District - General Election - November 8, 2022</t>
  </si>
  <si>
    <t>Jake Ryan Blumencranz (REP)</t>
  </si>
  <si>
    <t>Jake Ryan Blumencranz (CON)</t>
  </si>
  <si>
    <t>Gina L. Sillitti (WOR)</t>
  </si>
  <si>
    <t>Vibhuti N. Jha (CON)</t>
  </si>
  <si>
    <t>Vibhuti N. Jha (REP)</t>
  </si>
  <si>
    <t>Gina L. Sillitti (DEM)</t>
  </si>
  <si>
    <t>Member of Assembly 16th Assembly District - General Election - November 8, 2022</t>
  </si>
  <si>
    <t>John K. Mikulin (CON)</t>
  </si>
  <si>
    <t>John K. Mikulin (REP)</t>
  </si>
  <si>
    <t>Paul R. Kaminsky (DEM)</t>
  </si>
  <si>
    <t>Member of Assembly 17th Assembly District - General Election - November 8, 2022</t>
  </si>
  <si>
    <t>Taylor R. Darling (WOR)</t>
  </si>
  <si>
    <t>Taylor R. Darling (DEM)</t>
  </si>
  <si>
    <t>Member of Assembly 18th Assembly District - General Election - November 8, 2022</t>
  </si>
  <si>
    <t>LaMont E. Johnson (CON)</t>
  </si>
  <si>
    <t>LaMont E. Johnson (REP)</t>
  </si>
  <si>
    <t>Edward P. Ra (CON)</t>
  </si>
  <si>
    <t>Edward P. Ra (REP)</t>
  </si>
  <si>
    <t>Member of Assembly 19th Assembly District - General Election - November 8, 2022</t>
  </si>
  <si>
    <t>Sanjeev Kumar Jindal (DEM)</t>
  </si>
  <si>
    <t>Michael A. Delury (DEM)</t>
  </si>
  <si>
    <t>Member of Assembly 20th Assembly District - General Election - November 8, 2022</t>
  </si>
  <si>
    <t>Eric Ari Brown (REP)</t>
  </si>
  <si>
    <t>Eric Ari Brown  (CON)</t>
  </si>
  <si>
    <t>Brian F. Curran (CON)</t>
  </si>
  <si>
    <t>Brian F. Curran (REP)</t>
  </si>
  <si>
    <t>Member of Assembly 21st Assembly District - General Election - November 8, 2022</t>
  </si>
  <si>
    <t>Judy A. Griffin (DEM)</t>
  </si>
  <si>
    <t>Michaelle C. Solages (WOR)</t>
  </si>
  <si>
    <t>Cara J. Castronuova (CON)</t>
  </si>
  <si>
    <t>Cara J. Castronuova (REP)</t>
  </si>
  <si>
    <t>Michaelle C. Solages (DEM)</t>
  </si>
  <si>
    <t>Member of Assembly 22nd Assembly District - General Election - November 8, 2022</t>
  </si>
  <si>
    <t>Stacey G. Pheffer Amato (WTP)</t>
  </si>
  <si>
    <t>Thomas P. Sullivan (CON)</t>
  </si>
  <si>
    <t>Thomas P. Sullivan (REP)</t>
  </si>
  <si>
    <t>Stacey G. Pheffer Amato (DEM)</t>
  </si>
  <si>
    <t>Member of Assembly 23rd Assembly District - General Election - November 8, 2022</t>
  </si>
  <si>
    <t>Member of Assembly 24th Assembly District - General Election - November 8, 2022</t>
  </si>
  <si>
    <t>David I. Weprin (DEM)</t>
  </si>
  <si>
    <t>Nily D. Rozic (WOR)</t>
  </si>
  <si>
    <t>Seth Breland (REP)</t>
  </si>
  <si>
    <t>Nily D. Rozic (DEM)</t>
  </si>
  <si>
    <t>Member of Assembly 25th Assembly District - General Election - November 8, 2022</t>
  </si>
  <si>
    <t>Robert J. Speranza (CON)</t>
  </si>
  <si>
    <t>Robert J. Speranza (REP)</t>
  </si>
  <si>
    <t>Member of Assembly 26th Assembly District - General Election - November 8, 2022</t>
  </si>
  <si>
    <t>Daniel Rosenthal (DEM)</t>
  </si>
  <si>
    <t>Member of Assembly 27th Assembly District - General Election - November 8, 2022</t>
  </si>
  <si>
    <t>Andrew D. Hevesi (WOR)</t>
  </si>
  <si>
    <t>Michael Conigliaro (CON)</t>
  </si>
  <si>
    <t>Michael Conigliaro (REP)</t>
  </si>
  <si>
    <t>Andrew D. Hevesi (DEM)</t>
  </si>
  <si>
    <t>Member of Assembly 28th Assembly District - General Election - November 8, 2022</t>
  </si>
  <si>
    <t>Alicia L. Hyndman (DEM)</t>
  </si>
  <si>
    <t>Member of Assembly 29th Assembly District - General Election - November 8, 2022</t>
  </si>
  <si>
    <t>Alicia L. Hyndman (WOR)</t>
  </si>
  <si>
    <t>Steven B. Raga (DEM)</t>
  </si>
  <si>
    <t>Member of Assembly 30th Assembly District - General Election - November 8, 2022</t>
  </si>
  <si>
    <t>Sean S. Lally (REP)</t>
  </si>
  <si>
    <t>Sean S. Lally (MED)</t>
  </si>
  <si>
    <t>Khaleel M. Anderson (WOR)</t>
  </si>
  <si>
    <t>Khaleel M. Anderson (DEM)</t>
  </si>
  <si>
    <t>Member of Assembly 31st Assembly District - General Election - November 8, 2022</t>
  </si>
  <si>
    <t>Marilyn Miller (REP)</t>
  </si>
  <si>
    <t>Vivian E. Cook (DEM)</t>
  </si>
  <si>
    <t>Member of Assembly 32nd Assembly District - General Election - November 8, 2022</t>
  </si>
  <si>
    <t>Anthony D. Andrews, Jr. (WOR)</t>
  </si>
  <si>
    <t>Clyde Vanel (DEM)</t>
  </si>
  <si>
    <t>Member of Assembly 33rd Assembly District - General Election - November 8, 2022</t>
  </si>
  <si>
    <t>Jessica Gonzalez-Rojas (WOR)</t>
  </si>
  <si>
    <t>Jessica Gonzalez-Rojas (DEM)</t>
  </si>
  <si>
    <t>Member of Assembly 34th Assembly District - General Election - November 8, 2022</t>
  </si>
  <si>
    <t>Jeffrion L. Aubry (DEM)</t>
  </si>
  <si>
    <t>Member of Assembly 35th Assembly District - General Election - November 8, 2022</t>
  </si>
  <si>
    <t>Zohran Mamdani (WOR)</t>
  </si>
  <si>
    <t>Zohran Mamdani (DEM)</t>
  </si>
  <si>
    <t>Member of Assembly 36th Assembly District - General Election - November 8, 2022</t>
  </si>
  <si>
    <t>Juan Ardila (WOR)</t>
  </si>
  <si>
    <t>Juan Ardila (DEM)</t>
  </si>
  <si>
    <t>Member of Assembly 37th Assembly District - General Election - November 8, 2022</t>
  </si>
  <si>
    <t>Jennifer Rajkumar (DEM)</t>
  </si>
  <si>
    <t>Member of Assembly 38th Assembly District - General Election - November 8, 2022</t>
  </si>
  <si>
    <t>Catalina Cruz (WOR)</t>
  </si>
  <si>
    <t>Catalina Cruz (DEM)</t>
  </si>
  <si>
    <t>Member of Assembly 39th Assembly District - General Election - November 8, 2022</t>
  </si>
  <si>
    <t>Ron Kim (WOR)</t>
  </si>
  <si>
    <t>Sharon A. Liao (CON)</t>
  </si>
  <si>
    <t>Sharon A. Liao (REP)</t>
  </si>
  <si>
    <t>Member of Assembly 40th Assembly District - General Election - November 8, 2022</t>
  </si>
  <si>
    <t>Ron Kim (DEM)</t>
  </si>
  <si>
    <t>Helene E. Weinstein (WOR)</t>
  </si>
  <si>
    <t>Ramona Johnson (CON)</t>
  </si>
  <si>
    <t>Helene E. Weinstein (DEM)</t>
  </si>
  <si>
    <t>Member of Assembly 41st Assembly District - General Election - November 8, 2022</t>
  </si>
  <si>
    <t>Rodneyse Bichotte (DEM)</t>
  </si>
  <si>
    <t>Member of Assembly 42nd Assembly District - General Election - November 8, 2022</t>
  </si>
  <si>
    <t>Brian A. Cunningham (WOR)</t>
  </si>
  <si>
    <t>Brian A. Cunningham (DEM)</t>
  </si>
  <si>
    <t>Member of Assembly 43rd Assembly District - General Election - November 8, 2022</t>
  </si>
  <si>
    <t>Arkadiusz T. Tomaszewski (MED)</t>
  </si>
  <si>
    <t>Robert C. Carroll (WOR)</t>
  </si>
  <si>
    <t>Brenda L. Horton (CON)</t>
  </si>
  <si>
    <t>Brenda L. Horton (REP)</t>
  </si>
  <si>
    <t>Robert C. Carroll (DEM)</t>
  </si>
  <si>
    <t>Member of Assembly 44th Assembly District - General Election - November 8, 2022</t>
  </si>
  <si>
    <t>Steven Cymbrowitz (IND)</t>
  </si>
  <si>
    <t>Steven Cymbrowitz (DEM)</t>
  </si>
  <si>
    <t>Member of Assembly 45th Assembly District - General Election - November 8, 2022</t>
  </si>
  <si>
    <t>Mathylde Frontus (WOR)</t>
  </si>
  <si>
    <t>Alec Brook-Krasny (CON)</t>
  </si>
  <si>
    <t>Alec Brook-Krasny (REP)</t>
  </si>
  <si>
    <t>Mathylde Frontus (DEM)</t>
  </si>
  <si>
    <t>Member of Assembly 46th Assembly District - General Election - November 8, 2022</t>
  </si>
  <si>
    <t>Dmitriy Kugel (CON)</t>
  </si>
  <si>
    <t>Dmitriy Kugel (REP)</t>
  </si>
  <si>
    <t>William Colton (DEM)</t>
  </si>
  <si>
    <t>Member of Assembly 47th Assembly District - General Election - November 8, 2022</t>
  </si>
  <si>
    <t>Linda A. Holmes (WOR)</t>
  </si>
  <si>
    <t>Simcha Eichenstein (CON)</t>
  </si>
  <si>
    <t>Simcha Eichenstein (DEM)</t>
  </si>
  <si>
    <t>Member of Assembly 48th Assembly District - General Election - November 8, 2022</t>
  </si>
  <si>
    <t>Lester Chang (CON)</t>
  </si>
  <si>
    <t>Lester Chang (REP)</t>
  </si>
  <si>
    <t>Member of Assembly 49th Assembly District - General Election - November 8, 2022</t>
  </si>
  <si>
    <t>Emily E. Gallagher (WOR)</t>
  </si>
  <si>
    <t>Emily E. Gallagher (DEM)</t>
  </si>
  <si>
    <t>Member of Assembly 50th Assembly District - General Election - November 8, 2022</t>
  </si>
  <si>
    <t>Marcela Mitaynes (WOR)</t>
  </si>
  <si>
    <t>Timothy Peterson (CON)</t>
  </si>
  <si>
    <t>Timothy Peterson (REP)</t>
  </si>
  <si>
    <t>Marcela Mitaynes (DEM)</t>
  </si>
  <si>
    <t>Member of Assembly 51st Assembly District - General Election - November 8, 2022</t>
  </si>
  <si>
    <t>Jo Anne Simon (WOR)</t>
  </si>
  <si>
    <t>Brett Eugene Wynkoop (CON)</t>
  </si>
  <si>
    <t>Brett Eugene Wynkoop (REP)</t>
  </si>
  <si>
    <t>Member of Assembly 52nd Assembly District - General Election - November 8, 2022</t>
  </si>
  <si>
    <t>Jo Anne Simon (DEM)</t>
  </si>
  <si>
    <t>Maritza Davila (DEM)</t>
  </si>
  <si>
    <t>Member of Assembly 53rd Assembly District - General Election - November 8, 2022</t>
  </si>
  <si>
    <t>Khorshed A. Chowdhury (REP)</t>
  </si>
  <si>
    <t>Erik Martin Dilan (DEM)</t>
  </si>
  <si>
    <t>Member of Assembly 54th Assembly District - General Election - November 8, 2022</t>
  </si>
  <si>
    <t>Anthony  T. Jones (RENT)</t>
  </si>
  <si>
    <t>Latrice Monique Walker (WOR)</t>
  </si>
  <si>
    <t>Latrice Monique Walker (DEM)</t>
  </si>
  <si>
    <t>Member of Assembly 55th Assembly District - General Election - November 8, 2022</t>
  </si>
  <si>
    <t>Stefani L. Zinerman (DEM)</t>
  </si>
  <si>
    <t>Member of Assembly 56th Assembly District - General Election - November 8, 2022</t>
  </si>
  <si>
    <t>Phara Souffrant Forrest (WOR)</t>
  </si>
  <si>
    <t>Phara Souffrant Forrest (DEM)</t>
  </si>
  <si>
    <t>Member of Assembly 57th Assembly District - General Election - November 8, 2022</t>
  </si>
  <si>
    <t>Monique Chandler-Waterman (WOR)</t>
  </si>
  <si>
    <t>Monique Allen-Davy (CON)</t>
  </si>
  <si>
    <t>Monique Allen-Davy (REP)</t>
  </si>
  <si>
    <t>Monique Chandler-Waterman (DEM)</t>
  </si>
  <si>
    <t>Member of Assembly 58th Assembly District - General Election - November 8, 2022</t>
  </si>
  <si>
    <t>Jaime R. Williams (WOR)</t>
  </si>
  <si>
    <t>Jaime R. Williams (DEM)</t>
  </si>
  <si>
    <t>Member of Assembly 59th Assembly District - General Election - November 8, 2022</t>
  </si>
  <si>
    <t>Keron Alleyne (WOR)</t>
  </si>
  <si>
    <t>Nikki Lucas (DEM)</t>
  </si>
  <si>
    <t>Member of Assembly 60th Assembly District - General Election - November 8, 2022</t>
  </si>
  <si>
    <t>Charles D. Fall (DEM)</t>
  </si>
  <si>
    <t>Part of Kings County  Vote Results</t>
  </si>
  <si>
    <t>Member of Assembly 61st Assembly District - General Election - November 8, 2022</t>
  </si>
  <si>
    <t>Member of Assembly 62nd Assembly District - General Election - November 8, 2022</t>
  </si>
  <si>
    <t>Vincent C. Argenziano (IND)</t>
  </si>
  <si>
    <t>Sam T. Pirozzolo (CON)</t>
  </si>
  <si>
    <t>Sam T. Pirozzolo (REP)</t>
  </si>
  <si>
    <t>Vincent C. Argenziano (DEM)</t>
  </si>
  <si>
    <t>Member of Assembly 63rd Assembly District - General Election - November 8, 2022</t>
  </si>
  <si>
    <t>Member of Assembly 64th Assembly District - General Election - November 8, 2022</t>
  </si>
  <si>
    <t>Michael Tannousis (REP)</t>
  </si>
  <si>
    <t>Michael Tannousis (CON)</t>
  </si>
  <si>
    <t>Member of Assembly 65th Assembly District - General Election - November 8, 2022</t>
  </si>
  <si>
    <t>Grace Lee (DEM)</t>
  </si>
  <si>
    <t>Helen Qiu (REP)</t>
  </si>
  <si>
    <t>Member of Assembly 66th Assembly District - General Election - November 8, 2022</t>
  </si>
  <si>
    <t>Deborah J. Glick (DEM)</t>
  </si>
  <si>
    <t>Deborah J. Glick (WOR)</t>
  </si>
  <si>
    <t>Member of Assembly 67th Assembly District - General Election - November 8, 2022</t>
  </si>
  <si>
    <t>Linda B. Rosenthal (DEM)</t>
  </si>
  <si>
    <t>Linda B. Rosenthal (WOR)</t>
  </si>
  <si>
    <t>Member of Assembly 68th Assembly District - General Election - November 8, 2022</t>
  </si>
  <si>
    <t>Edward Gibbs (DEM)</t>
  </si>
  <si>
    <t>Daby Benjamine Carreras (REP)</t>
  </si>
  <si>
    <t>Edward Gibbs (WOR)</t>
  </si>
  <si>
    <t>Ian Mckenzi (REP)</t>
  </si>
  <si>
    <t>Daniel J. O'Donnell (DEM)</t>
  </si>
  <si>
    <t>Member of Assembly 69th Assembly District - General Election - November 8, 2022</t>
  </si>
  <si>
    <t>Member of Assembly 70th Assembly District - General Election - November 8, 2022</t>
  </si>
  <si>
    <t>Inez E. Dickens (DEM)</t>
  </si>
  <si>
    <t>Cynthia Nelson-Acevedo (REP)</t>
  </si>
  <si>
    <t>Alfred E. Taylor (DEM)</t>
  </si>
  <si>
    <t>Member of Assembly 71st Assembly District - General Election - November 8, 2022</t>
  </si>
  <si>
    <t>Manny De Los Santos (DEM)</t>
  </si>
  <si>
    <t>Member of Assembly 72nd Assembly District - General Election - November 8, 2022</t>
  </si>
  <si>
    <t>Alex Bores (WOR)</t>
  </si>
  <si>
    <t>David Casavis (REP)</t>
  </si>
  <si>
    <t>Alex Bores (DEM)</t>
  </si>
  <si>
    <t>Member of Assembly 73rd Assembly District - General Election - November 8, 2022</t>
  </si>
  <si>
    <t>Harvey Epstein (WOR)</t>
  </si>
  <si>
    <t>Bryan Cooper (REP)</t>
  </si>
  <si>
    <t>Harvey Epstein (DEM)</t>
  </si>
  <si>
    <t>Member of Assembly 74th Assembly District - General Election - November 8, 2022</t>
  </si>
  <si>
    <t>Joseph Maffia (ART)</t>
  </si>
  <si>
    <t>Joseph Maffia (REP)</t>
  </si>
  <si>
    <t>Tony Simone (DEM)</t>
  </si>
  <si>
    <t>Member of Assembly 75th Assembly District - General Election - November 8, 2022</t>
  </si>
  <si>
    <t>Rebecca A. Seawright (WOR)</t>
  </si>
  <si>
    <t>Rebecca A. Seawright (DEM)</t>
  </si>
  <si>
    <t>Member of Assembly 76th Assembly District - General Election - November 8, 2022</t>
  </si>
  <si>
    <t>Tanya Carmichael (REP)</t>
  </si>
  <si>
    <t>Latoya B. Joyner (DEM)</t>
  </si>
  <si>
    <t>Member of Assembly 77th Assembly District - General Election - November 8, 2022</t>
  </si>
  <si>
    <t>Michael J. Dister (REP)</t>
  </si>
  <si>
    <t>George A. Alvarez (DEM)</t>
  </si>
  <si>
    <t>Member of Assembly 78th Assembly District - General Election - November 8, 2022</t>
  </si>
  <si>
    <t>Richard E. Bryan (REP)</t>
  </si>
  <si>
    <t>Chantel S. Jackson (DEM)</t>
  </si>
  <si>
    <t>Member of Assembly 79th Assembly District - General Election - November 8, 2022</t>
  </si>
  <si>
    <t>Phyllis T. Nastasio (CON)</t>
  </si>
  <si>
    <t>Phyllis T. Nastasio (REP)</t>
  </si>
  <si>
    <t>Member of Assembly 80th Assembly District - General Election - November 8, 2022</t>
  </si>
  <si>
    <t>John Zaccaro, Jr. (DEM)</t>
  </si>
  <si>
    <t>Jessica Altagracia Woolford (WOR)</t>
  </si>
  <si>
    <t>Kevin Pazmino (CON)</t>
  </si>
  <si>
    <t>Jeffrey Dinowitz (DEM)</t>
  </si>
  <si>
    <t>Member of Assembly 81st Assembly District - General Election - November 8, 2022</t>
  </si>
  <si>
    <t>Michael R. Benedetto (DEM)</t>
  </si>
  <si>
    <t>Member of Assembly 82nd Assembly District - General Election - November 8, 2022</t>
  </si>
  <si>
    <t>Tristann Ma Davis (REP)</t>
  </si>
  <si>
    <t>Carl E. Heastie (DEM)</t>
  </si>
  <si>
    <t>Member of Assembly 83rd Assembly District - General Election - November 8, 2022</t>
  </si>
  <si>
    <t>Amanda N. Septimo (WOR)</t>
  </si>
  <si>
    <t>Rosaline Nieves (REP)</t>
  </si>
  <si>
    <t>Amanda N. Septimo (DEM)</t>
  </si>
  <si>
    <t>Member of Assembly 84th Assembly District - General Election - November 8, 2022</t>
  </si>
  <si>
    <t>Kenneth Burgos (WOR)</t>
  </si>
  <si>
    <t>Laurine Berry (REP)</t>
  </si>
  <si>
    <t>Kenneth Burgos (DEM)</t>
  </si>
  <si>
    <t>Member of Assembly 85th Assembly District - General Election - November 8, 2022</t>
  </si>
  <si>
    <t>Yudelka  Tapia (WOR)</t>
  </si>
  <si>
    <t>Betty G. Obregon (REP)</t>
  </si>
  <si>
    <t>Yudelka  Tapia (DEM)</t>
  </si>
  <si>
    <t>Member of Assembly 86th Assembly District - General Election - November 8, 2022</t>
  </si>
  <si>
    <t>Karines Reyes (WOR)</t>
  </si>
  <si>
    <t>Karines Reyes (DEM)</t>
  </si>
  <si>
    <t>Member of Assembly 87th Assembly District - General Election - November 8, 2022</t>
  </si>
  <si>
    <t>Ariel Rivera-Diaz (REP)</t>
  </si>
  <si>
    <t>Amy Paulin (WOR)</t>
  </si>
  <si>
    <t>Thomas H. Fix Jr. (CON)</t>
  </si>
  <si>
    <t>Thomas H. Fix Jr. (REP)</t>
  </si>
  <si>
    <t>Member of Assembly 88th Assembly District - General Election - November 8, 2022</t>
  </si>
  <si>
    <t>Amy Paulin (DEM)</t>
  </si>
  <si>
    <t>Andrae L. Mitchell (WOR)</t>
  </si>
  <si>
    <t>J. Gary Pretlow (DEM)</t>
  </si>
  <si>
    <t>Member of Assembly 89th Assembly District - General Election - November 8, 2022</t>
  </si>
  <si>
    <t>Nader J. Sayegh (FAIR)</t>
  </si>
  <si>
    <t>Michael B. Breen (CON)</t>
  </si>
  <si>
    <t>Michael B. Breen (REP)</t>
  </si>
  <si>
    <t>Nader J. Sayegh (DEM)</t>
  </si>
  <si>
    <t>Member of Assembly 90th Assembly District - General Election - November 8, 2022</t>
  </si>
  <si>
    <t>Steven Otis (WOR)</t>
  </si>
  <si>
    <t>Steven Otis (DEM)</t>
  </si>
  <si>
    <t>Member of Assembly 91st Assembly District - General Election - November 8, 2022</t>
  </si>
  <si>
    <t>MaryJane C. Shimsky (WOR)</t>
  </si>
  <si>
    <t>Carlo Valente (CON)</t>
  </si>
  <si>
    <t>Carlo Valente (REP)</t>
  </si>
  <si>
    <t>MaryJane C. Shimsky (DEM)</t>
  </si>
  <si>
    <t>Member of Assembly 92nd Assembly District - General Election - November 8, 2022</t>
  </si>
  <si>
    <t>Gary N. Lipson (CON)</t>
  </si>
  <si>
    <t>Gary N. Lipson (REP)</t>
  </si>
  <si>
    <t>Member of Assembly 93rd Assembly District - General Election - November 8, 2022</t>
  </si>
  <si>
    <t>Chris Burdick (DEM)</t>
  </si>
  <si>
    <t>Chris Burdick (WOR)</t>
  </si>
  <si>
    <t>Matthew J. Slater (CON)</t>
  </si>
  <si>
    <t>Matthew J. Slater (REP)</t>
  </si>
  <si>
    <t>Kathleen M. Valletta (DEM)</t>
  </si>
  <si>
    <t>Member of Assembly 94th Assembly District - General Election - November 8, 2022</t>
  </si>
  <si>
    <t>Dana Levenberg (WOR)</t>
  </si>
  <si>
    <t>Dana Levenberg (DEM)</t>
  </si>
  <si>
    <t>Member of Assembly 95th Assembly District - General Election - November 8, 2022</t>
  </si>
  <si>
    <t>Stacy Halper (REP)</t>
  </si>
  <si>
    <t>Stacy Halper (CON)</t>
  </si>
  <si>
    <t>Kenneth P. Zebrowski (DEM)</t>
  </si>
  <si>
    <t>Member of Assembly 96th Assembly District - General Election - November 8, 2022</t>
  </si>
  <si>
    <t>Brett L. Yagel (REP)</t>
  </si>
  <si>
    <t>Eudson Tyson Francois (DEM)</t>
  </si>
  <si>
    <t>Member of Assembly 97th Assembly District - General Election - November 8, 2022</t>
  </si>
  <si>
    <t>John W. McGowan (CON)</t>
  </si>
  <si>
    <t>John W. McGowan (REP)</t>
  </si>
  <si>
    <t>Karl A. Brabenec (CON)</t>
  </si>
  <si>
    <t>Karl A. Brabenec (REP)</t>
  </si>
  <si>
    <t>Bruce M. Levine (DEM)</t>
  </si>
  <si>
    <t>Member of Assembly 98th Assembly District - General Election - November 8, 2022</t>
  </si>
  <si>
    <t>Kathryn D. Luciani (CON)</t>
  </si>
  <si>
    <t>Kathryn D. Luciani (REP)</t>
  </si>
  <si>
    <t>Christopher W. Eachus (DEM)</t>
  </si>
  <si>
    <t>Member of Assembly 99th Assembly District - General Election - November 8, 2022</t>
  </si>
  <si>
    <t>Lisa LaBue (CON)</t>
  </si>
  <si>
    <t>Lisa LaBue (REP)</t>
  </si>
  <si>
    <t>Part of Sullivan County Vote Results</t>
  </si>
  <si>
    <t>Member of Assembly 100th Assembly District - General Election - November 8, 2022</t>
  </si>
  <si>
    <t>Matthew Mackey (WOR)</t>
  </si>
  <si>
    <t>Brian M. Maher (CON)</t>
  </si>
  <si>
    <t>Brian M. Maher (REP)</t>
  </si>
  <si>
    <t>Matthew Mackey (DEM)</t>
  </si>
  <si>
    <t>Part of Madison County Vote Results</t>
  </si>
  <si>
    <t>Part of Delaware County Vote Results</t>
  </si>
  <si>
    <t>Member of Assembly 101st Assembly District - General Election - November 8, 2022</t>
  </si>
  <si>
    <t>Christopher Tague (CON)</t>
  </si>
  <si>
    <t>Christopher Tague (REP)</t>
  </si>
  <si>
    <t>Nicholas S. Chase (DEM)</t>
  </si>
  <si>
    <t>Part of Otsego County Vote Result</t>
  </si>
  <si>
    <t>Member of Assembly 102nd Assembly District - General Election - November 8, 2022</t>
  </si>
  <si>
    <t>Sarahana Shrestha (WOR)</t>
  </si>
  <si>
    <t>Patrick Sheehan (CON)</t>
  </si>
  <si>
    <t>Patrick Sheehan (REP)</t>
  </si>
  <si>
    <t>Sarahana Shrestha (DEM)</t>
  </si>
  <si>
    <t>Member of Assembly 103rd Assembly District - General Election - November 8, 2022</t>
  </si>
  <si>
    <t>Jonathan G. Jacobson (WOR)</t>
  </si>
  <si>
    <t>Jonathan G. Jacobson (DEM)</t>
  </si>
  <si>
    <t>Member of Assembly 104th Assembly District - General Election - November 8, 2022</t>
  </si>
  <si>
    <t>Jill Fieldstein (WOR)</t>
  </si>
  <si>
    <t>Jill Fieldstein (DEM)</t>
  </si>
  <si>
    <t>Member of Assembly 105th Assembly District - General Election - November 8, 2022</t>
  </si>
  <si>
    <t>Anil R. Beephan, Jr. (REP)</t>
  </si>
  <si>
    <t>Anil R. Beephan, Jr. (CON)</t>
  </si>
  <si>
    <t>Brandon Craig Gaylord (CON)</t>
  </si>
  <si>
    <t>Brandon Craig Gaylord (REP)</t>
  </si>
  <si>
    <t>Didi Barrett (DEM)</t>
  </si>
  <si>
    <t>Part of Columbia County Vote Results</t>
  </si>
  <si>
    <t>Member of Assembly 106th Assembly District - General Election - November 8, 2022</t>
  </si>
  <si>
    <t>Member of Assembly 107th Assembly District - General Election - November 8, 2022</t>
  </si>
  <si>
    <t>Scott H. Bendett (REP)</t>
  </si>
  <si>
    <t>Scott H. Bendett (Con)</t>
  </si>
  <si>
    <t>Part of Saratoga County Vote Results</t>
  </si>
  <si>
    <t>Member of Assembly 108th Assembly District - General Election - November 8, 2022</t>
  </si>
  <si>
    <t>Member of Assembly 109th Assembly District - General Election - November 8, 2022</t>
  </si>
  <si>
    <t>Alicia Purdy (REP)</t>
  </si>
  <si>
    <t>Phillip G. Steck (WOR)</t>
  </si>
  <si>
    <t>Alexandra M. Velella (CON)</t>
  </si>
  <si>
    <t>Alexandra M. Velella (REP)</t>
  </si>
  <si>
    <t>Phillip G. Steck (DEM)</t>
  </si>
  <si>
    <t>Member of Assembly 110th Assembly District - General Election - November 8, 2022</t>
  </si>
  <si>
    <t>Joseph C. Mastroianni (CON)</t>
  </si>
  <si>
    <t>Joseph C. Mastroianni (REP)</t>
  </si>
  <si>
    <t>Angelo L. Santabarbara (DEM)</t>
  </si>
  <si>
    <t>Member of Assembly 111th Assembly District - General Election - November 8, 2022</t>
  </si>
  <si>
    <t>Angelo L. Santabarbara (IND)</t>
  </si>
  <si>
    <t>Andrew McAdoo (WOR)</t>
  </si>
  <si>
    <t>Mary Beth Walsh (CON)</t>
  </si>
  <si>
    <t>Mary Beth Walsh (REP)</t>
  </si>
  <si>
    <t>Andrew McAdoo (DEM)</t>
  </si>
  <si>
    <t>Part of Fulton County Vote Results</t>
  </si>
  <si>
    <t>Member of Assembly 112th Assembly District - General Election - November 8, 2022</t>
  </si>
  <si>
    <t>David Catalfamo (CON)</t>
  </si>
  <si>
    <t>David Catalfamo (REP)</t>
  </si>
  <si>
    <t>Carrie Woerner (DEM)</t>
  </si>
  <si>
    <t>Member of Assembly 113th Assembly District - General Election - November 8, 2022</t>
  </si>
  <si>
    <t>Matthew J. Simpson (CON)</t>
  </si>
  <si>
    <t>Matthew J. Simpson (REP)</t>
  </si>
  <si>
    <t>Member of Assembly 114th Assembly District - General Election - November 8, 2022</t>
  </si>
  <si>
    <t>Part of Essex County Vote Results</t>
  </si>
  <si>
    <t>D. Billy Jones (Broadband)</t>
  </si>
  <si>
    <t>D. Billy Jones (DEM)</t>
  </si>
  <si>
    <t>Member of Assembly 115th Assembly District - General Election - November 8, 2022</t>
  </si>
  <si>
    <t>Susan M. Duffy (CON)</t>
  </si>
  <si>
    <t>Scott A. Gray (REP)</t>
  </si>
  <si>
    <t>Member of Assembly 116th Assembly District - General Election - November 8, 2022</t>
  </si>
  <si>
    <t>Kenneth Blankenbush (CON)</t>
  </si>
  <si>
    <t>Kenneth Blankenbush (REP)</t>
  </si>
  <si>
    <t>Member of Assembly 117th Assembly District - General Election - November 8, 2022</t>
  </si>
  <si>
    <t>Robert J. Smullen (CON)</t>
  </si>
  <si>
    <t>Robert J. Smullen (REP)</t>
  </si>
  <si>
    <t>Part of Montgomery County Vote Results</t>
  </si>
  <si>
    <t>Member of Assembly 118th Assembly District - General Election - November 8, 2022</t>
  </si>
  <si>
    <t>Marianne Buttenschon (CON)</t>
  </si>
  <si>
    <t>John S. Zielinski (REP)</t>
  </si>
  <si>
    <t>Marianne Buttenschon (DEM)</t>
  </si>
  <si>
    <t>Member of Assembly 119th Assembly District - General Election - November 8, 2022</t>
  </si>
  <si>
    <t>William A. Barclay (CON)</t>
  </si>
  <si>
    <t>William A. Barclay (REP)</t>
  </si>
  <si>
    <t>Part of Cayuga County Vote Results</t>
  </si>
  <si>
    <t>Member of Assembly 120th Assembly District - General Election - November 8, 2022</t>
  </si>
  <si>
    <t>Joe Angelino (CON)</t>
  </si>
  <si>
    <t>Joe Angelino (REP)</t>
  </si>
  <si>
    <t>Member of Assembly 121st Assembly District - General Election - November 8, 2022</t>
  </si>
  <si>
    <t>Colton Mennig (WOR)</t>
  </si>
  <si>
    <t>Brian D. Miller (CON)</t>
  </si>
  <si>
    <t>Brian D. Miller (REP)</t>
  </si>
  <si>
    <t>Dan Buttermann (DEM)</t>
  </si>
  <si>
    <t>Member of Assembly 122nd Assembly District - General Election - November 8, 2022</t>
  </si>
  <si>
    <t>Donna A. Lupardo (WOR)</t>
  </si>
  <si>
    <t>Sophia Resciniti (REP)</t>
  </si>
  <si>
    <t>Donna A. Lupardo (DEM)</t>
  </si>
  <si>
    <t>Member of Assembly 123rd Assembly District - General Election - November 8, 2022</t>
  </si>
  <si>
    <t>Christopher S. Friend (CON)</t>
  </si>
  <si>
    <t>Christopher S. Friend (REP)</t>
  </si>
  <si>
    <t>Part of Chemung County Vote Results</t>
  </si>
  <si>
    <t>Member of Assembly 124th Assembly District - General Election - November 8, 2022</t>
  </si>
  <si>
    <t>Anna Kelles (WOR)</t>
  </si>
  <si>
    <t>Anna Kelles (DEM)</t>
  </si>
  <si>
    <t>Part of Cortland County Vote Results</t>
  </si>
  <si>
    <t>Member of Assembly 125th Assembly District - General Election - November 8, 2022</t>
  </si>
  <si>
    <t>John Lemondes, Jr. (CON)</t>
  </si>
  <si>
    <t>John Lemondes, Jr. (REP)</t>
  </si>
  <si>
    <t>Bruce MacBain (DEM)</t>
  </si>
  <si>
    <t>Member of Assembly 126th Assembly District - General Election - November 8, 2022</t>
  </si>
  <si>
    <t>Albert A. Stirpe, Jr. (WOR)</t>
  </si>
  <si>
    <t>Albert A. Stirpe, Jr. (DEM)</t>
  </si>
  <si>
    <t>Member of Assembly 127th Assembly District - General Election - November 8, 2022</t>
  </si>
  <si>
    <t>Pamela Jo Hunter (WOR)</t>
  </si>
  <si>
    <t>Dominick J. Ciciarelli (CON)</t>
  </si>
  <si>
    <t>Dominick J. Ciciarelli (REP)</t>
  </si>
  <si>
    <t>Pamela Jo Hunter (DEM)</t>
  </si>
  <si>
    <t>Member of Assembly 128th Assembly District - General Election - November 8, 2022</t>
  </si>
  <si>
    <t>William B. Magnarelli (DEM)</t>
  </si>
  <si>
    <t>Member of Assembly 129th Assembly District - General Election - November 8, 2022</t>
  </si>
  <si>
    <t>Scott Comegys (WOR)</t>
  </si>
  <si>
    <t>Brian D. Manktelow (CON)</t>
  </si>
  <si>
    <t>Brian D. Manktelow (REP)</t>
  </si>
  <si>
    <t>Scott Comegys (DEM)</t>
  </si>
  <si>
    <t>Member of Assembly 130th Assembly District - General Election - November 8, 2022</t>
  </si>
  <si>
    <t>Jeff Gallahan (CON)</t>
  </si>
  <si>
    <t>Jeff Gallahan (REP)</t>
  </si>
  <si>
    <t>Part of Seneca County Vote Results</t>
  </si>
  <si>
    <t>Part of Ontario County Vote Results</t>
  </si>
  <si>
    <t>Member of Assembly 131st Assembly District - General Election - November 8, 2022</t>
  </si>
  <si>
    <t>Philip A. Palmesano (CON)</t>
  </si>
  <si>
    <t>Philip A. Palmesano (REP)</t>
  </si>
  <si>
    <t>Part of Steuben County Vote Results</t>
  </si>
  <si>
    <t>Member of Assembly 132nd Assembly District - General Election - November 8, 2022</t>
  </si>
  <si>
    <t>Marjorie L. Byrnes (CON)</t>
  </si>
  <si>
    <t>Marjorie L. Byrnes (REP)</t>
  </si>
  <si>
    <t>Sara M. Spezzano (DEM)</t>
  </si>
  <si>
    <t>Part of Wyoming County Vote Results</t>
  </si>
  <si>
    <t>Member of Assembly 133rd Assembly District - General Election - November 8, 2022</t>
  </si>
  <si>
    <t>Member of Assembly 134th Assembly District - General Election - November 8, 2022</t>
  </si>
  <si>
    <t>Joseph R. Chenelly (REP)</t>
  </si>
  <si>
    <t>Member of Assembly 135th Assembly District - General Election - November 8, 2022</t>
  </si>
  <si>
    <t>Jen Lunsford (DEM)</t>
  </si>
  <si>
    <t>Joseph R. Chenelly (CON)</t>
  </si>
  <si>
    <t>Jen Lunsford (WOR)</t>
  </si>
  <si>
    <t>Sarah H. Clark (WOR)</t>
  </si>
  <si>
    <t>Sarah H. Clark (DEM)</t>
  </si>
  <si>
    <t>Member of Assembly 136th Assembly District - General Election - November 8, 2022</t>
  </si>
  <si>
    <t>Orlando J. Rivera (REP)</t>
  </si>
  <si>
    <t>Orlando J. Rivera (CON)</t>
  </si>
  <si>
    <t>Marcus C. Williams (REP)</t>
  </si>
  <si>
    <t>Member of Assembly 137th Assembly District - General Election - November 8, 2022</t>
  </si>
  <si>
    <t>Marcus C. Williams (CON)</t>
  </si>
  <si>
    <t>Demond L. Meeks (DEM)</t>
  </si>
  <si>
    <t>Demond L. Meeks (WOR)</t>
  </si>
  <si>
    <t>Harry Bronson (WOR)</t>
  </si>
  <si>
    <t>Harry B. Bronson (DEM)</t>
  </si>
  <si>
    <t>Member of Assembly 138th Assembly District - General Election - November 8, 2022</t>
  </si>
  <si>
    <t>Tracy A. DiFlorio (REP)</t>
  </si>
  <si>
    <t>Tracy A. DiFlorio (CON)</t>
  </si>
  <si>
    <t>Stephen M. Hawley (CON)</t>
  </si>
  <si>
    <t>Stephen M. Hawley (REP)</t>
  </si>
  <si>
    <t>Jennifer A.O. Keys (DEM)</t>
  </si>
  <si>
    <t>Member of Assembly 139th Assembly District - General Election - November 8, 2022</t>
  </si>
  <si>
    <t>Scott A. Marciszewski (CON)</t>
  </si>
  <si>
    <t>Scott A. Marciszewski (REP)</t>
  </si>
  <si>
    <t>Member of Assembly 140th Assembly District - General Election - November 8, 2022</t>
  </si>
  <si>
    <t>Crystal D. Peoples (DEM)</t>
  </si>
  <si>
    <t>Member of Assembly 141st Assembly District - General Election - November 8, 2022</t>
  </si>
  <si>
    <t>Sandra J. Magnano (CON)</t>
  </si>
  <si>
    <t>Sandra J Magnano (REP)</t>
  </si>
  <si>
    <t>Patrick B. Burke (DEM)</t>
  </si>
  <si>
    <t>Member of Assembly 142nd Assembly District - General Election - November 8, 2022</t>
  </si>
  <si>
    <t>Monica Piga Wallace (Integrity)</t>
  </si>
  <si>
    <t>Monica Piga Wallace (DEM)</t>
  </si>
  <si>
    <t>Member of Assembly 143rd Assembly District - General Election - November 8, 2022</t>
  </si>
  <si>
    <t>Frank C. Smierciak, II (REP)</t>
  </si>
  <si>
    <t>Frank C. Smierciak, II (CON)</t>
  </si>
  <si>
    <t>Michael J. Norris (CON)</t>
  </si>
  <si>
    <t>Michael J. Norris (REP)</t>
  </si>
  <si>
    <t>Member of Assembly 144th Assembly District - General Election - November 8, 2022</t>
  </si>
  <si>
    <t>Angelo J. Morinello (CON)</t>
  </si>
  <si>
    <t>Angelo J. Morinello (REP)</t>
  </si>
  <si>
    <t>Douglas E. Mooradian (DEM)</t>
  </si>
  <si>
    <t>Member of Assembly 145th Assembly District - General Election - November 8, 2022</t>
  </si>
  <si>
    <t>Karen M. McMahon (Integrity)</t>
  </si>
  <si>
    <t>Member of Assembly 146th Assembly District - General Election - November 8, 2022</t>
  </si>
  <si>
    <t>Katrina A. Zeplowitz (CON)</t>
  </si>
  <si>
    <t>Katrina A. Zeplowitz (REP)</t>
  </si>
  <si>
    <t>David J. DiPietro (CON)</t>
  </si>
  <si>
    <t>David J. DiPietro (REP)</t>
  </si>
  <si>
    <t>Member of Assembly 147th Assembly District - General Election - November 8, 2022</t>
  </si>
  <si>
    <t>Joseph M. Giglio (CON)</t>
  </si>
  <si>
    <t>Joseph M. Giglio (REP)</t>
  </si>
  <si>
    <t>Member of Assembly 148th Assembly District - General Election - November 8, 2022</t>
  </si>
  <si>
    <t>Member of Assembly 149th Assembly District - General Election - November 8, 2022</t>
  </si>
  <si>
    <t>Jonathan D. Rivera (DEM)</t>
  </si>
  <si>
    <t>Ralph R. Hernandez (REP)</t>
  </si>
  <si>
    <t>Ralph R. Hernandez (CON)</t>
  </si>
  <si>
    <t>Jonathan D. Rivera (WOR)</t>
  </si>
  <si>
    <t>Andrew W. Goodell (CON)</t>
  </si>
  <si>
    <t>Andrew W. Goodell (REP)</t>
  </si>
  <si>
    <t>Sandra A. Lewis (DEM)</t>
  </si>
  <si>
    <t>Part of Chautauqua County Vote Results</t>
  </si>
  <si>
    <t>Member of Assembly 150th Assembly District - General Election - November 8, 2022</t>
  </si>
  <si>
    <t>Patricia A. Fahy (DEM)</t>
  </si>
  <si>
    <t>Stephen H. Chilton, III (REP)</t>
  </si>
  <si>
    <t>Stephen H. Chilton, III (CON)</t>
  </si>
  <si>
    <t>John T. McDonald, III (DEM)</t>
  </si>
  <si>
    <t>Robert J. Menzies (WOR)</t>
  </si>
  <si>
    <t>Aileen M. Gunther (DEM)</t>
  </si>
  <si>
    <t>Aileen M. Gunther (WOR)</t>
  </si>
  <si>
    <t>Josh Jensen (REP)</t>
  </si>
  <si>
    <t>Josh Jensen (CON)</t>
  </si>
  <si>
    <t>William C. Conrad, III (DEM)</t>
  </si>
  <si>
    <t>William C. Conrad, III (WOR)</t>
  </si>
  <si>
    <t>Karen Ayoub (REP)</t>
  </si>
  <si>
    <t>Karen Ayoub (CON)</t>
  </si>
  <si>
    <t>Karen M. McMahon (DEM)</t>
  </si>
  <si>
    <t>Edward C. Braunstein (DEM)</t>
  </si>
  <si>
    <t>Angelo King (REP)</t>
  </si>
  <si>
    <t>Angelo King (CON)</t>
  </si>
  <si>
    <t>Michael Novakhov (REP)</t>
  </si>
  <si>
    <t>Michael Novakhov (CON)</t>
  </si>
  <si>
    <t>John M. Greaney, Jr. (REP)</t>
  </si>
  <si>
    <t>John M. Greaney, Jr. (CON)</t>
  </si>
  <si>
    <t>Michael W. Reilly, Jr. (REP)</t>
  </si>
  <si>
    <t>Michael W. Reilly, Jr. (CON)</t>
  </si>
  <si>
    <t>Peter J. Abbate, Jr. (DEM)</t>
  </si>
  <si>
    <t>Berneda W. Jackson (REP)</t>
  </si>
  <si>
    <t xml:space="preserve">Part of Warren County Vote Results </t>
  </si>
  <si>
    <t>Part of Warren County Vote Results</t>
  </si>
  <si>
    <t>Peter G. Ganley, III (REP)</t>
  </si>
  <si>
    <t>Peter G. Ganley, III (CON)</t>
  </si>
  <si>
    <t>Michael A. Durso (REP)</t>
  </si>
  <si>
    <t>Michael A. Durso (CON)</t>
  </si>
  <si>
    <t>Charles D. Lavine (DEM)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</si>
</sst>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5B3D7"/>
      </bottom>
      <diagonal/>
    </border>
    <border>
      <left style="thin">
        <color indexed="64"/>
      </left>
      <right style="thin">
        <color indexed="64"/>
      </right>
      <top style="thin">
        <color rgb="FF95B3D7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3" fontId="2" fillId="5" borderId="1" xfId="0" applyNumberFormat="1" applyFont="1" applyFill="1" applyBorder="1"/>
    <xf numFmtId="3" fontId="2" fillId="4" borderId="1" xfId="0" applyNumberFormat="1" applyFont="1" applyFill="1" applyBorder="1"/>
    <xf numFmtId="3" fontId="2" fillId="8" borderId="1" xfId="0" applyNumberFormat="1" applyFont="1" applyFill="1" applyBorder="1"/>
    <xf numFmtId="0" fontId="3" fillId="3" borderId="1" xfId="0" applyFont="1" applyFill="1" applyBorder="1"/>
    <xf numFmtId="0" fontId="3" fillId="3" borderId="5" xfId="0" applyFont="1" applyFill="1" applyBorder="1"/>
    <xf numFmtId="0" fontId="3" fillId="3" borderId="4" xfId="0" applyFont="1" applyFill="1" applyBorder="1"/>
    <xf numFmtId="3" fontId="2" fillId="7" borderId="1" xfId="0" applyNumberFormat="1" applyFont="1" applyFill="1" applyBorder="1"/>
    <xf numFmtId="0" fontId="3" fillId="6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3" borderId="4" xfId="0" applyFont="1" applyFill="1" applyBorder="1" applyAlignment="1">
      <alignment vertic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 vertical="center" wrapText="1"/>
    </xf>
    <xf numFmtId="3" fontId="2" fillId="7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/>
    <xf numFmtId="3" fontId="3" fillId="4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3" fontId="2" fillId="8" borderId="3" xfId="0" applyNumberFormat="1" applyFont="1" applyFill="1" applyBorder="1"/>
    <xf numFmtId="3" fontId="2" fillId="0" borderId="3" xfId="0" applyNumberFormat="1" applyFont="1" applyBorder="1"/>
    <xf numFmtId="3" fontId="0" fillId="0" borderId="0" xfId="0" applyNumberFormat="1"/>
    <xf numFmtId="3" fontId="5" fillId="0" borderId="8" xfId="0" applyNumberFormat="1" applyFont="1" applyBorder="1"/>
    <xf numFmtId="3" fontId="5" fillId="0" borderId="1" xfId="0" applyNumberFormat="1" applyFont="1" applyBorder="1"/>
    <xf numFmtId="0" fontId="3" fillId="3" borderId="6" xfId="0" applyFont="1" applyFill="1" applyBorder="1" applyAlignment="1">
      <alignment vertical="center"/>
    </xf>
    <xf numFmtId="3" fontId="3" fillId="7" borderId="1" xfId="0" applyNumberFormat="1" applyFont="1" applyFill="1" applyBorder="1"/>
    <xf numFmtId="0" fontId="1" fillId="0" borderId="0" xfId="0" applyFont="1" applyAlignment="1">
      <alignment vertical="center"/>
    </xf>
    <xf numFmtId="0" fontId="3" fillId="6" borderId="2" xfId="0" applyFont="1" applyFill="1" applyBorder="1" applyAlignment="1">
      <alignment horizontal="right" vertical="center" wrapText="1"/>
    </xf>
    <xf numFmtId="3" fontId="2" fillId="10" borderId="1" xfId="0" applyNumberFormat="1" applyFont="1" applyFill="1" applyBorder="1"/>
    <xf numFmtId="0" fontId="3" fillId="3" borderId="5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3" borderId="6" xfId="0" applyFont="1" applyFill="1" applyBorder="1"/>
    <xf numFmtId="0" fontId="6" fillId="0" borderId="0" xfId="1"/>
    <xf numFmtId="3" fontId="2" fillId="5" borderId="1" xfId="1" applyNumberFormat="1" applyFont="1" applyFill="1" applyBorder="1"/>
    <xf numFmtId="3" fontId="2" fillId="4" borderId="1" xfId="1" applyNumberFormat="1" applyFont="1" applyFill="1" applyBorder="1"/>
    <xf numFmtId="3" fontId="2" fillId="0" borderId="1" xfId="1" applyNumberFormat="1" applyFont="1" applyBorder="1"/>
    <xf numFmtId="0" fontId="3" fillId="3" borderId="1" xfId="1" applyFont="1" applyFill="1" applyBorder="1"/>
    <xf numFmtId="0" fontId="3" fillId="3" borderId="5" xfId="1" applyFont="1" applyFill="1" applyBorder="1"/>
    <xf numFmtId="3" fontId="2" fillId="7" borderId="1" xfId="1" applyNumberFormat="1" applyFont="1" applyFill="1" applyBorder="1"/>
    <xf numFmtId="0" fontId="3" fillId="3" borderId="4" xfId="1" applyFont="1" applyFill="1" applyBorder="1"/>
    <xf numFmtId="0" fontId="3" fillId="6" borderId="2" xfId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0" fillId="0" borderId="0" xfId="0" applyFill="1"/>
    <xf numFmtId="3" fontId="2" fillId="9" borderId="3" xfId="0" applyNumberFormat="1" applyFont="1" applyFill="1" applyBorder="1"/>
    <xf numFmtId="0" fontId="2" fillId="0" borderId="2" xfId="0" applyFont="1" applyFill="1" applyBorder="1" applyAlignment="1">
      <alignment horizontal="right" vertical="center" wrapText="1"/>
    </xf>
    <xf numFmtId="3" fontId="2" fillId="9" borderId="1" xfId="0" applyNumberFormat="1" applyFont="1" applyFill="1" applyBorder="1"/>
    <xf numFmtId="3" fontId="2" fillId="0" borderId="1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/>
    <xf numFmtId="3" fontId="2" fillId="9" borderId="4" xfId="0" applyNumberFormat="1" applyFont="1" applyFill="1" applyBorder="1"/>
    <xf numFmtId="3" fontId="2" fillId="9" borderId="5" xfId="0" applyNumberFormat="1" applyFont="1" applyFill="1" applyBorder="1"/>
    <xf numFmtId="0" fontId="3" fillId="4" borderId="2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2" xfId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3" fillId="0" borderId="1" xfId="0" applyNumberFormat="1" applyFont="1" applyBorder="1"/>
    <xf numFmtId="0" fontId="1" fillId="0" borderId="0" xfId="0" applyFont="1" applyAlignment="1">
      <alignment vertical="center"/>
    </xf>
  </cellXfs>
  <cellStyles count="2">
    <cellStyle name="Normal" xfId="0" builtinId="0"/>
    <cellStyle name="Normal 2" xfId="1" xr:uid="{C01ADDD5-5950-43F3-A5A6-C61A494DA1A9}"/>
  </cellStyles>
  <dxfs count="22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5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A00BF2F-BE93-4633-BDAD-6B5C329F5507}" name="MemberOfAssemblyAssemblyDistrict1General" displayName="MemberOfAssemblyAssemblyDistrict1General" ref="A2:D9" totalsRowCount="1" headerRowDxfId="2260" dataDxfId="2258" totalsRowDxfId="2256" headerRowBorderDxfId="2259" tableBorderDxfId="2257" totalsRowBorderDxfId="2255">
  <autoFilter ref="A2:D8" xr:uid="{3A650E04-D3BE-4799-8EA0-96F8843917A4}">
    <filterColumn colId="0" hiddenButton="1"/>
    <filterColumn colId="1" hiddenButton="1"/>
    <filterColumn colId="2" hiddenButton="1"/>
    <filterColumn colId="3" hiddenButton="1"/>
  </autoFilter>
  <tableColumns count="4">
    <tableColumn id="1" xr3:uid="{966F2FF4-31F5-4097-915C-EB02CCB63253}" name="Candidate Name (Party)" totalsRowLabel="Total Votes by County" dataDxfId="2254" totalsRowDxfId="2253"/>
    <tableColumn id="4" xr3:uid="{C7D1CB6B-2624-47BC-8CF3-483AA1924117}" name="Part of Suffolk County Vote Results" totalsRowFunction="custom" dataDxfId="2252" totalsRowDxfId="2251">
      <totalsRowFormula>SUM(MemberOfAssemblyAssemblyDistrict1General[Part of Suffolk County Vote Results])</totalsRowFormula>
    </tableColumn>
    <tableColumn id="3" xr3:uid="{21A88CE6-83FA-4BA2-89A5-4AFC3DA6D922}" name="Total Votes by Party" totalsRowFunction="custom" dataDxfId="2250" totalsRowDxfId="2249">
      <calculatedColumnFormula>MemberOfAssemblyAssemblyDistrict1General[[#This Row],[Part of Suffolk County Vote Results]]</calculatedColumnFormula>
      <totalsRowFormula>SUM(MemberOfAssemblyAssemblyDistrict1General[Total Votes by Party])</totalsRowFormula>
    </tableColumn>
    <tableColumn id="2" xr3:uid="{F5952D43-6E82-4B57-8B57-34D0381677D3}" name="Total Votes by Candidate" dataDxfId="2248" totalsRowDxfId="2247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40FA801E-361A-4F0B-9B26-EB8977690059}" name="MemberOfAssemblyAssemblyDistrict10General" displayName="MemberOfAssemblyAssemblyDistrict10General" ref="A2:E9" totalsRowCount="1" headerRowDxfId="2132" dataDxfId="2130" totalsRowDxfId="2128" headerRowBorderDxfId="2131" tableBorderDxfId="2129" totalsRowBorderDxfId="2127">
  <autoFilter ref="A2:E8" xr:uid="{784F8CBD-14E3-44A5-A0D2-79783C1E721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354FF96-A466-4C76-9EDE-94D61D2C55C9}" name="Candidate Name (Party)" totalsRowLabel="Total Votes by County" dataDxfId="2126" totalsRowDxfId="2125"/>
    <tableColumn id="4" xr3:uid="{3B3313E5-4276-4730-8141-84BAF05ECD36}" name="Part of Nassau County Vote Results" totalsRowFunction="custom" dataDxfId="2124" totalsRowDxfId="2123">
      <totalsRowFormula>SUM(MemberOfAssemblyAssemblyDistrict10General[Part of Nassau County Vote Results])</totalsRowFormula>
    </tableColumn>
    <tableColumn id="6" xr3:uid="{2B6927D7-E201-4505-960D-C614319AA398}" name="Part of Suffolk County Vote Results" totalsRowFunction="custom" dataDxfId="2122" totalsRowDxfId="2121">
      <totalsRowFormula>SUM(MemberOfAssemblyAssemblyDistrict10General[Part of Suffolk County Vote Results])</totalsRowFormula>
    </tableColumn>
    <tableColumn id="3" xr3:uid="{E63AAB09-325B-4550-B37A-5DC13FCF8FD7}" name="Total Votes by Party" totalsRowFunction="custom" dataDxfId="2120" totalsRowDxfId="2119">
      <calculatedColumnFormula>SUM(MemberOfAssemblyAssemblyDistrict10General[[#This Row],[Part of Nassau County Vote Results]:[Part of Suffolk County Vote Results]])</calculatedColumnFormula>
      <totalsRowFormula>SUM(MemberOfAssemblyAssemblyDistrict10General[Total Votes by Party])</totalsRowFormula>
    </tableColumn>
    <tableColumn id="2" xr3:uid="{AE8AB542-A0BF-4BE0-9E10-5BB9F88745DA}" name="Total Votes by Candidate" dataDxfId="2118" totalsRowDxfId="2117">
      <calculatedColumnFormula>SUM(D3,D4)</calculatedColumnFormula>
    </tableColumn>
  </tableColumns>
  <tableStyleInfo name="TableStyleMedium2" showFirstColumn="0" showLastColumn="0" showRowStripes="0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8BBD9195-5F04-4B3F-9ED0-34D9F740B8C1}" name="MemberOfAssemblyAssemblyDistrict100General" displayName="MemberOfAssemblyAssemblyDistrict100General" ref="A2:E10" totalsRowCount="1" headerRowDxfId="875" dataDxfId="873" totalsRowDxfId="871" headerRowBorderDxfId="874" tableBorderDxfId="872" totalsRowBorderDxfId="870">
  <autoFilter ref="A2:E9" xr:uid="{DCA4E2B6-7050-4201-AFC1-F92DCDF029D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F7BAA80-7345-4286-80FE-E4D30264BCAC}" name="Candidate Name (Party)" totalsRowLabel="Total Votes by County" dataDxfId="869" totalsRowDxfId="868"/>
    <tableColumn id="2" xr3:uid="{C38BB9D5-9F8D-4621-A1B3-253C1FDD1C3F}" name="Part of Orange County Vote Results" totalsRowFunction="custom" dataDxfId="867" totalsRowDxfId="866">
      <totalsRowFormula>SUM(MemberOfAssemblyAssemblyDistrict100General[Part of Orange County Vote Results])</totalsRowFormula>
    </tableColumn>
    <tableColumn id="4" xr3:uid="{8EC3EF08-C5CA-4474-A68F-02B2F860B178}" name="Part of Sullivan County Vote Results" totalsRowFunction="custom" dataDxfId="865" totalsRowDxfId="864">
      <totalsRowFormula>SUM(MemberOfAssemblyAssemblyDistrict100General[Part of Sullivan County Vote Results])</totalsRowFormula>
    </tableColumn>
    <tableColumn id="3" xr3:uid="{891C3041-839A-4A89-8D4E-3D0F31D20C40}" name="Total Votes by Party" totalsRowFunction="custom" dataDxfId="863" totalsRowDxfId="862">
      <calculatedColumnFormula>SUM(MemberOfAssemblyAssemblyDistrict100General[[#This Row],[Part of Orange County Vote Results]:[Part of Sullivan County Vote Results]])</calculatedColumnFormula>
      <totalsRowFormula>SUM(MemberOfAssemblyAssemblyDistrict100General[Total Votes by Party])</totalsRowFormula>
    </tableColumn>
    <tableColumn id="5" xr3:uid="{BF0C7AE8-F57D-434A-85E3-1F71C8454C49}" name="Total Votes by Candidate" dataDxfId="861" totalsRowDxfId="860">
      <calculatedColumnFormula>SUM(D3,D4,D6)</calculatedColumnFormula>
    </tableColumn>
  </tableColumns>
  <tableStyleInfo name="TableStyleMedium2" showFirstColumn="0" showLastColumn="0" showRowStripes="0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3834FFF9-38BE-423F-8904-4112B7714B0F}" name="MemberOfAssemblyAssemblyDistrict101General" displayName="MemberOfAssemblyAssemblyDistrict101General" ref="A2:I10" totalsRowCount="1" headerRowDxfId="859" dataDxfId="857" totalsRowDxfId="855" headerRowBorderDxfId="858" tableBorderDxfId="856" totalsRowBorderDxfId="854">
  <autoFilter ref="A2:I9" xr:uid="{879D58E5-43D4-4437-B9F1-EC5E7D6959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3CE874A-3519-4A5A-B8E6-F7652EB5ED46}" name="Candidate Name (Party)" totalsRowLabel="Total Votes by County" dataDxfId="853" totalsRowDxfId="852"/>
    <tableColumn id="2" xr3:uid="{92380600-09E2-43DE-9293-8B84EA87ABC4}" name="Part of Delaware County Vote Results" totalsRowFunction="custom" dataDxfId="851" totalsRowDxfId="850">
      <totalsRowFormula>SUM(MemberOfAssemblyAssemblyDistrict101General[Part of Delaware County Vote Results])</totalsRowFormula>
    </tableColumn>
    <tableColumn id="10" xr3:uid="{E9C4DF6F-CF28-4D08-823F-0FECF6A1637B}" name="Part of Madison County Vote Results" totalsRowFunction="custom" dataDxfId="849" totalsRowDxfId="848">
      <totalsRowFormula>SUM(MemberOfAssemblyAssemblyDistrict101General[Part of Madison County Vote Results])</totalsRowFormula>
    </tableColumn>
    <tableColumn id="8" xr3:uid="{3E3A5E6B-BE3F-4819-8FC8-50EE754F34CB}" name="Part of Orange County Vote Results" totalsRowFunction="custom" dataDxfId="847" totalsRowDxfId="846">
      <totalsRowFormula>SUM(MemberOfAssemblyAssemblyDistrict101General[Part of Orange County Vote Results])</totalsRowFormula>
    </tableColumn>
    <tableColumn id="7" xr3:uid="{672863F6-F45E-4035-8903-078E31DBE339}" name="Part of Otsego County Vote Results" totalsRowFunction="custom" dataDxfId="845" totalsRowDxfId="844">
      <totalsRowFormula>SUM(MemberOfAssemblyAssemblyDistrict101General[Part of Otsego County Vote Results])</totalsRowFormula>
    </tableColumn>
    <tableColumn id="6" xr3:uid="{8FC1A0BD-7AF6-4C5F-8590-A744092C1C00}" name="Part of Sullivan County Vote Results" totalsRowFunction="custom" dataDxfId="843" totalsRowDxfId="842">
      <totalsRowFormula>SUM(MemberOfAssemblyAssemblyDistrict101General[Part of Sullivan County Vote Results])</totalsRowFormula>
    </tableColumn>
    <tableColumn id="4" xr3:uid="{C283AE54-E3F1-4F44-B8B2-E4A89DD6DCEB}" name="Part of Ulster County Vote Results" totalsRowFunction="custom" dataDxfId="841" totalsRowDxfId="840">
      <totalsRowFormula>SUM(MemberOfAssemblyAssemblyDistrict101General[Part of Ulster County Vote Results])</totalsRowFormula>
    </tableColumn>
    <tableColumn id="3" xr3:uid="{C5C24520-F9C9-47FB-A0BF-F79A5E220882}" name="Total Votes by Party" totalsRowFunction="custom" dataDxfId="839" totalsRowDxfId="838">
      <calculatedColumnFormula>SUM(MemberOfAssemblyAssemblyDistrict101General[[#This Row],[Part of Delaware County Vote Results]:[Part of Ulster County Vote Results]])</calculatedColumnFormula>
      <totalsRowFormula>SUM(MemberOfAssemblyAssemblyDistrict101General[Total Votes by Party])</totalsRowFormula>
    </tableColumn>
    <tableColumn id="5" xr3:uid="{1EC0B5C6-D469-45DB-818D-261ACD98D973}" name="Total Votes by Candidate" dataDxfId="837" totalsRowDxfId="836"/>
  </tableColumns>
  <tableStyleInfo name="TableStyleMedium2" showFirstColumn="0" showLastColumn="0" showRowStripes="0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2483ADF3-52FC-4675-8E64-0D4AFDB4A42B}" name="MemberOfAssemblyAssemblyDistrict102General" displayName="MemberOfAssemblyAssemblyDistrict102General" ref="A2:I9" totalsRowCount="1" headerRowDxfId="835" dataDxfId="833" totalsRowDxfId="831" headerRowBorderDxfId="834" tableBorderDxfId="832" totalsRowBorderDxfId="830">
  <autoFilter ref="A2:I8" xr:uid="{67401BB3-CFC4-47CC-B246-2E1D572C3D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8D79C0C-1193-45F2-99FC-3EEDA0041DB6}" name="Candidate Name (Party)" totalsRowLabel="Total Votes by County" dataDxfId="829" totalsRowDxfId="828"/>
    <tableColumn id="2" xr3:uid="{159F32DE-1CD4-4426-98EC-9A9ABC67B1B0}" name="Part of Albany County Vote Results" totalsRowFunction="custom" dataDxfId="827" totalsRowDxfId="826">
      <totalsRowFormula>SUM(MemberOfAssemblyAssemblyDistrict102General[Part of Albany County Vote Results])</totalsRowFormula>
    </tableColumn>
    <tableColumn id="10" xr3:uid="{C5B3E585-FE3C-49B6-9C32-AA8893EAC607}" name="Part of Delaware County Vote Results" totalsRowFunction="custom" dataDxfId="825" totalsRowDxfId="824">
      <totalsRowFormula>SUM(MemberOfAssemblyAssemblyDistrict102General[Part of Delaware County Vote Results])</totalsRowFormula>
    </tableColumn>
    <tableColumn id="9" xr3:uid="{CB9863CD-C74A-48EA-9D3F-32CCBF4C4D8D}" name="Greene County Vote Results" totalsRowFunction="custom" dataDxfId="823" totalsRowDxfId="822">
      <totalsRowFormula>SUM(MemberOfAssemblyAssemblyDistrict102General[Greene County Vote Results])</totalsRowFormula>
    </tableColumn>
    <tableColumn id="8" xr3:uid="{5E343521-440F-4795-8A07-796353C79BE6}" name="Part of Otsego County Vote Result" totalsRowFunction="custom" dataDxfId="821" totalsRowDxfId="820">
      <totalsRowFormula>SUM(MemberOfAssemblyAssemblyDistrict102General[Part of Otsego County Vote Result])</totalsRowFormula>
    </tableColumn>
    <tableColumn id="7" xr3:uid="{CDE81AC3-9525-43DF-916B-0B5CE84DB308}" name="Schoharie County Vote Results" totalsRowFunction="custom" dataDxfId="819" totalsRowDxfId="818">
      <totalsRowFormula>SUM(MemberOfAssemblyAssemblyDistrict102General[Schoharie County Vote Results])</totalsRowFormula>
    </tableColumn>
    <tableColumn id="4" xr3:uid="{162BD3D6-B8F5-496E-AD87-36CFBB00F04A}" name="Part of Ulster County Vote Results" totalsRowFunction="custom" dataDxfId="817" totalsRowDxfId="816">
      <totalsRowFormula>SUM(MemberOfAssemblyAssemblyDistrict102General[Part of Ulster County Vote Results])</totalsRowFormula>
    </tableColumn>
    <tableColumn id="3" xr3:uid="{C166CB74-A3ED-409C-BB61-C05F012E9AB4}" name="Total Votes by Party" totalsRowFunction="custom" dataDxfId="815" totalsRowDxfId="814">
      <calculatedColumnFormula>SUM(MemberOfAssemblyAssemblyDistrict102General[[#This Row],[Part of Albany County Vote Results]:[Part of Ulster County Vote Results]])</calculatedColumnFormula>
      <totalsRowFormula>SUM(MemberOfAssemblyAssemblyDistrict102General[Total Votes by Party])</totalsRowFormula>
    </tableColumn>
    <tableColumn id="5" xr3:uid="{5F2FCD4A-355E-4015-8F40-3B811F6F9B5D}" name="Total Votes by Candidate" dataDxfId="813" totalsRowDxfId="812"/>
  </tableColumns>
  <tableStyleInfo name="TableStyleMedium2" showFirstColumn="0" showLastColumn="0" showRowStripes="0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ACF150C9-9855-4958-815C-E2BAADD7A339}" name="MemberOfAssemblyAssemblyDistrict103General" displayName="MemberOfAssemblyAssemblyDistrict103General" ref="A2:E10" totalsRowCount="1" headerRowDxfId="811" dataDxfId="809" totalsRowDxfId="807" headerRowBorderDxfId="810" tableBorderDxfId="808" totalsRowBorderDxfId="806">
  <autoFilter ref="A2:E9" xr:uid="{F877A077-3BBC-4C6E-88B4-3CF33C73069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34DA60C-F55E-452B-811A-BB9A8C256E85}" name="Candidate Name (Party)" totalsRowLabel="Total Votes by County" dataDxfId="805" totalsRowDxfId="804"/>
    <tableColumn id="2" xr3:uid="{C8035E53-0931-4851-A819-B8DA81925235}" name="Part of Dutchess County Vote Results" totalsRowFunction="custom" dataDxfId="803" totalsRowDxfId="802">
      <totalsRowFormula>SUM(MemberOfAssemblyAssemblyDistrict103General[Part of Dutchess County Vote Results])</totalsRowFormula>
    </tableColumn>
    <tableColumn id="4" xr3:uid="{2DD00B07-C572-47AB-9023-F9F224A11BC2}" name="Part of Ulster County Vote Results" totalsRowFunction="custom" dataDxfId="801" totalsRowDxfId="800">
      <totalsRowFormula>SUM(MemberOfAssemblyAssemblyDistrict103General[Part of Ulster County Vote Results])</totalsRowFormula>
    </tableColumn>
    <tableColumn id="3" xr3:uid="{94FBC01B-EEF3-42AD-AEB0-3B5B77BC325F}" name="Total Votes by Party" totalsRowFunction="custom" dataDxfId="799" totalsRowDxfId="798">
      <calculatedColumnFormula>SUM(MemberOfAssemblyAssemblyDistrict103General[[#This Row],[Part of Dutchess County Vote Results]:[Part of Ulster County Vote Results]])</calculatedColumnFormula>
      <totalsRowFormula>SUM(MemberOfAssemblyAssemblyDistrict103General[Total Votes by Party])</totalsRowFormula>
    </tableColumn>
    <tableColumn id="5" xr3:uid="{C0E3E25E-9C63-40A9-9B8D-F47056E57A53}" name="Total Votes by Candidate" dataDxfId="797" totalsRowDxfId="796">
      <calculatedColumnFormula>SUM(MemberOfAssemblyAssemblyDistrict103General[[#This Row],[Total Votes by Party]],D6,#REF!)</calculatedColumnFormula>
    </tableColumn>
  </tableColumns>
  <tableStyleInfo name="TableStyleMedium2" showFirstColumn="0" showLastColumn="0" showRowStripes="0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0C7EEBF6-C2C5-4984-A036-AB72991C125A}" name="MemberOfAssemblyAssemblyDistrict104General" displayName="MemberOfAssemblyAssemblyDistrict104General" ref="A2:F8" totalsRowCount="1" headerRowDxfId="795" dataDxfId="793" totalsRowDxfId="791" headerRowBorderDxfId="794" tableBorderDxfId="792" totalsRowBorderDxfId="790">
  <autoFilter ref="A2:F7" xr:uid="{76D4C6D2-6514-4E33-B8CA-CAAAA53E94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E156591-D132-42E1-922C-03455DE6F72E}" name="Candidate Name (Party)" totalsRowLabel="Total Votes by County" dataDxfId="789" totalsRowDxfId="788"/>
    <tableColumn id="2" xr3:uid="{0F76CF50-0783-4541-AD5F-E21B5E50B997}" name="Part of Dutchess County Vote Results" totalsRowFunction="custom" dataDxfId="787" totalsRowDxfId="786">
      <totalsRowFormula>SUM(MemberOfAssemblyAssemblyDistrict104General[Part of Dutchess County Vote Results])</totalsRowFormula>
    </tableColumn>
    <tableColumn id="3" xr3:uid="{260E236A-4D63-4D4F-A836-9457C2B8A3B3}" name="Part of Orange County Vote Results" totalsRowFunction="custom" dataDxfId="785" totalsRowDxfId="784">
      <totalsRowFormula>SUM(MemberOfAssemblyAssemblyDistrict104General[Part of Orange County Vote Results])</totalsRowFormula>
    </tableColumn>
    <tableColumn id="4" xr3:uid="{6F8D8A48-1FFB-46B5-98AE-A594ACCD460B}" name="Part of Ulster County Vote Results" totalsRowFunction="custom" dataDxfId="783" totalsRowDxfId="782">
      <totalsRowFormula>SUM(MemberOfAssemblyAssemblyDistrict104General[Part of Ulster County Vote Results])</totalsRowFormula>
    </tableColumn>
    <tableColumn id="6" xr3:uid="{D6E1D6D6-411E-4B58-A8B2-03E73545CE23}" name="Total Votes by Party" totalsRowFunction="custom" dataDxfId="781" totalsRowDxfId="780">
      <calculatedColumnFormula>SUM(B3,C3,D3)</calculatedColumnFormula>
      <totalsRowFormula>SUM(MemberOfAssemblyAssemblyDistrict104General[Total Votes by Party])</totalsRowFormula>
    </tableColumn>
    <tableColumn id="5" xr3:uid="{349AA28F-4354-44A0-8B5B-F063696A6A26}" name="Total Votes by Candidate" dataDxfId="779" totalsRowDxfId="778"/>
  </tableColumns>
  <tableStyleInfo name="TableStyleMedium2" showFirstColumn="0" showLastColumn="0" showRowStripes="0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10C4E3B1-2DD3-428B-BE60-2ED7E791B450}" name="MemberOfAssemblyAssemblyDistrict105General" displayName="MemberOfAssemblyAssemblyDistrict105General" ref="A2:D10" totalsRowCount="1" headerRowDxfId="777" dataDxfId="775" totalsRowDxfId="773" headerRowBorderDxfId="776" tableBorderDxfId="774" totalsRowBorderDxfId="772">
  <autoFilter ref="A2:D9" xr:uid="{123EF28F-8EA3-4F75-B5C2-5C0EA23BBC10}">
    <filterColumn colId="0" hiddenButton="1"/>
    <filterColumn colId="1" hiddenButton="1"/>
    <filterColumn colId="2" hiddenButton="1"/>
    <filterColumn colId="3" hiddenButton="1"/>
  </autoFilter>
  <tableColumns count="4">
    <tableColumn id="1" xr3:uid="{E32F5E77-08C9-4FA6-94B0-51FABA0D1D18}" name="Candidate Name (Party)" totalsRowLabel="Total Votes by County" dataDxfId="771" totalsRowDxfId="770"/>
    <tableColumn id="4" xr3:uid="{98AE0F60-8A62-4DF8-8453-121DA64B04B6}" name="Part of Dutchess County Vote Results" totalsRowFunction="custom" dataDxfId="769" totalsRowDxfId="768">
      <totalsRowFormula>SUM(MemberOfAssemblyAssemblyDistrict105General[Part of Dutchess County Vote Results])</totalsRowFormula>
    </tableColumn>
    <tableColumn id="3" xr3:uid="{E935FCBF-6B86-45E0-8202-6C7F05EACD20}" name="Total Votes by Party" totalsRowFunction="custom" dataDxfId="767" totalsRowDxfId="766">
      <calculatedColumnFormula>MemberOfAssemblyAssemblyDistrict105General[[#This Row],[Part of Dutchess County Vote Results]]</calculatedColumnFormula>
      <totalsRowFormula>SUM(MemberOfAssemblyAssemblyDistrict105General[Total Votes by Party])</totalsRowFormula>
    </tableColumn>
    <tableColumn id="2" xr3:uid="{6A255117-BDCE-45A1-9A0A-023514BC073E}" name="Total Votes by Candidate" dataDxfId="765" totalsRowDxfId="764"/>
  </tableColumns>
  <tableStyleInfo name="TableStyleMedium2" showFirstColumn="0" showLastColumn="0" showRowStripes="0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BB43000C-9537-4346-A17C-BF83C4892922}" name="MemberOfAssemblyAssemblyDistrict106General" displayName="MemberOfAssemblyAssemblyDistrict106General" ref="A2:E9" totalsRowCount="1" headerRowDxfId="763" dataDxfId="761" totalsRowDxfId="759" headerRowBorderDxfId="762" tableBorderDxfId="760" totalsRowBorderDxfId="758">
  <autoFilter ref="A2:E8" xr:uid="{42CA49A3-C0EE-449B-8AEB-31CDBCCA969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73EFA63-AE90-4FD5-B4DC-6F3610E65AC2}" name="Candidate Name (Party)" totalsRowLabel="Total Votes by County" dataDxfId="757" totalsRowDxfId="756"/>
    <tableColumn id="2" xr3:uid="{39FB0E2B-57D0-4C79-8A4E-FD7B6280E587}" name="Part of Columbia County Vote Results" totalsRowFunction="custom" dataDxfId="755" totalsRowDxfId="754">
      <totalsRowFormula>SUM(MemberOfAssemblyAssemblyDistrict106General[Part of Columbia County Vote Results])</totalsRowFormula>
    </tableColumn>
    <tableColumn id="4" xr3:uid="{25D43A18-88E1-4CFE-9023-9DFCC4334169}" name="Part of Dutchess County Vote Results" totalsRowFunction="custom" dataDxfId="753" totalsRowDxfId="752">
      <totalsRowFormula>SUM(MemberOfAssemblyAssemblyDistrict106General[Part of Dutchess County Vote Results])</totalsRowFormula>
    </tableColumn>
    <tableColumn id="3" xr3:uid="{DA548FF9-8377-49A2-9DC8-2698945A02C1}" name="Total Votes by Party" totalsRowFunction="custom" dataDxfId="751" totalsRowDxfId="750">
      <calculatedColumnFormula>SUM(MemberOfAssemblyAssemblyDistrict106General[[#This Row],[Part of Columbia County Vote Results]:[Part of Dutchess County Vote Results]])</calculatedColumnFormula>
      <totalsRowFormula>SUM(MemberOfAssemblyAssemblyDistrict106General[Total Votes by Party])</totalsRowFormula>
    </tableColumn>
    <tableColumn id="5" xr3:uid="{4EE3DC70-755D-4FDD-8488-E07E49929BA8}" name="Total Votes by Candidate" dataDxfId="749" totalsRowDxfId="748"/>
  </tableColumns>
  <tableStyleInfo name="TableStyleMedium2" showFirstColumn="0" showLastColumn="0" showRowStripes="0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32872E72-3465-422D-9F33-9CC25AE41461}" name="MemberOfAssemblyAssemblyDistrict107General" displayName="MemberOfAssemblyAssemblyDistrict107General" ref="A2:G8" totalsRowCount="1" headerRowDxfId="747" dataDxfId="745" totalsRowDxfId="743" headerRowBorderDxfId="746" tableBorderDxfId="744" totalsRowBorderDxfId="742">
  <autoFilter ref="A2:G7" xr:uid="{F6E41C3A-2077-4ECA-A06A-C16955B2C3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A827B46-42E8-4F2D-9790-0D0B204728F3}" name="Candidate Name (Party)" totalsRowLabel="Total Votes by County" dataDxfId="741" totalsRowDxfId="740"/>
    <tableColumn id="2" xr3:uid="{75137BCC-D62E-4C02-B695-9930BF83AA43}" name="Part of Albany County Vote Results" totalsRowFunction="custom" dataDxfId="739" totalsRowDxfId="738">
      <totalsRowFormula>SUM(MemberOfAssemblyAssemblyDistrict107General[Part of Albany County Vote Results])</totalsRowFormula>
    </tableColumn>
    <tableColumn id="9" xr3:uid="{C80EAA1D-6603-42E8-9C9D-20BE5A819349}" name="Part of Columbia County Vote Results" totalsRowFunction="custom" dataDxfId="737" totalsRowDxfId="736">
      <totalsRowFormula>SUM(MemberOfAssemblyAssemblyDistrict107General[Part of Columbia County Vote Results])</totalsRowFormula>
    </tableColumn>
    <tableColumn id="8" xr3:uid="{9D57399A-7A3A-4D30-9E34-39F57436BCC6}" name="Part of Rensselaer County Vote Results" totalsRowFunction="custom" dataDxfId="735" totalsRowDxfId="734">
      <totalsRowFormula>SUM(MemberOfAssemblyAssemblyDistrict107General[Part of Rensselaer County Vote Results])</totalsRowFormula>
    </tableColumn>
    <tableColumn id="4" xr3:uid="{C51CE120-BF3C-44B3-AB9D-D50A947DA525}" name="Part of Washington County Vote Results" totalsRowFunction="custom" dataDxfId="733" totalsRowDxfId="732">
      <totalsRowFormula>SUM(MemberOfAssemblyAssemblyDistrict107General[Part of Washington County Vote Results])</totalsRowFormula>
    </tableColumn>
    <tableColumn id="6" xr3:uid="{604EFF32-6070-4AF6-8A03-2B2E0BF9BE75}" name="Total Votes by Party" totalsRowFunction="custom" dataDxfId="731" totalsRowDxfId="730">
      <calculatedColumnFormula>SUM(MemberOfAssemblyAssemblyDistrict107General[[#This Row],[Part of Albany County Vote Results]:[Part of Washington County Vote Results]])</calculatedColumnFormula>
      <totalsRowFormula>SUM(MemberOfAssemblyAssemblyDistrict107General[Total Votes by Party])</totalsRowFormula>
    </tableColumn>
    <tableColumn id="5" xr3:uid="{7E58FF9A-20B2-4F57-A9E7-114B6DBC61A6}" name="Total Votes by Candidate" dataDxfId="729" totalsRowDxfId="728"/>
  </tableColumns>
  <tableStyleInfo name="TableStyleMedium2" showFirstColumn="0" showLastColumn="0" showRowStripes="0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58F2240A-80F2-4DB6-9DE4-71FD0A227164}" name="MemberOfAssemblyAssemblyDistrict108General" displayName="MemberOfAssemblyAssemblyDistrict108General" ref="A2:F7" totalsRowCount="1" headerRowDxfId="727" dataDxfId="725" totalsRowDxfId="723" headerRowBorderDxfId="726" tableBorderDxfId="724" totalsRowBorderDxfId="722">
  <autoFilter ref="A2:F6" xr:uid="{C29B89ED-4808-43A2-B07D-91E4CA13D6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AF59BD2-7D97-459C-829A-370547B74AD6}" name="Candidate Name (Party)" totalsRowLabel="Total Votes by County" dataDxfId="721" totalsRowDxfId="720"/>
    <tableColumn id="2" xr3:uid="{C9F0504D-C040-4CC7-B9FE-53B122314090}" name="Part of Albany County Vote Results" totalsRowFunction="custom" dataDxfId="719" totalsRowDxfId="718">
      <totalsRowFormula>SUM(MemberOfAssemblyAssemblyDistrict108General[Part of Albany County Vote Results])</totalsRowFormula>
    </tableColumn>
    <tableColumn id="3" xr3:uid="{5062540E-4669-4AD7-925B-D9D5C4DA505A}" name="Part of Rensselaer County Vote Results" totalsRowFunction="custom" dataDxfId="717" totalsRowDxfId="716">
      <totalsRowFormula>SUM(MemberOfAssemblyAssemblyDistrict108General[Part of Rensselaer County Vote Results])</totalsRowFormula>
    </tableColumn>
    <tableColumn id="4" xr3:uid="{FF598EE0-7D02-49FC-8A0D-B301A931D792}" name="Part of Saratoga County Vote Results" totalsRowFunction="custom" dataDxfId="715" totalsRowDxfId="714">
      <totalsRowFormula>SUM(MemberOfAssemblyAssemblyDistrict108General[Part of Saratoga County Vote Results])</totalsRowFormula>
    </tableColumn>
    <tableColumn id="6" xr3:uid="{4DAC2DB9-3EAA-44D3-B6CB-F71222A64FFC}" name="Total Votes by Party" totalsRowFunction="custom" dataDxfId="713" totalsRowDxfId="712">
      <calculatedColumnFormula>SUM(MemberOfAssemblyAssemblyDistrict108General[[#This Row],[Part of Albany County Vote Results]:[Part of Saratoga County Vote Results]])</calculatedColumnFormula>
      <totalsRowFormula>SUM(MemberOfAssemblyAssemblyDistrict108General[Total Votes by Party])</totalsRowFormula>
    </tableColumn>
    <tableColumn id="5" xr3:uid="{FD81F9EC-4E73-4253-B293-C073D3287B9F}" name="Total Votes by Candidate" dataDxfId="711" totalsRowDxfId="710">
      <calculatedColumnFormula>SUM(MemberOfAssemblyAssemblyDistrict108General[[#This Row],[Total Votes by Party]])</calculatedColumnFormula>
    </tableColumn>
  </tableColumns>
  <tableStyleInfo name="TableStyleMedium2" showFirstColumn="0" showLastColumn="0" showRowStripes="0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5320839C-1F0F-48B5-B71B-14405AE87795}" name="MemberOfAssemblyAssemblyDistrict109General" displayName="MemberOfAssemblyAssemblyDistrict109General" ref="A2:D8" totalsRowCount="1" headerRowDxfId="709" dataDxfId="707" totalsRowDxfId="705" headerRowBorderDxfId="708" tableBorderDxfId="706" totalsRowBorderDxfId="704">
  <autoFilter ref="A2:D7" xr:uid="{B6103988-1753-4CD3-AC96-0B68F1B36E03}">
    <filterColumn colId="0" hiddenButton="1"/>
    <filterColumn colId="1" hiddenButton="1"/>
    <filterColumn colId="2" hiddenButton="1"/>
    <filterColumn colId="3" hiddenButton="1"/>
  </autoFilter>
  <tableColumns count="4">
    <tableColumn id="1" xr3:uid="{2F684656-4B3C-4572-BED5-70D295C824D9}" name="Candidate Name (Party)" totalsRowLabel="Total Votes by County" dataDxfId="703" totalsRowDxfId="702"/>
    <tableColumn id="4" xr3:uid="{E3C59803-FF48-4B4D-9346-E42B3914C6DF}" name="Part of Albany County Vote Results" totalsRowFunction="custom" dataDxfId="701" totalsRowDxfId="700">
      <totalsRowFormula>SUM(MemberOfAssemblyAssemblyDistrict109General[Part of Albany County Vote Results])</totalsRowFormula>
    </tableColumn>
    <tableColumn id="3" xr3:uid="{6737EB50-3E14-447F-B32C-3C7ED35CA76C}" name="Total Votes by Party" totalsRowFunction="custom" dataDxfId="699" totalsRowDxfId="698">
      <calculatedColumnFormula>MemberOfAssemblyAssemblyDistrict109General[[#This Row],[Part of Albany County Vote Results]]</calculatedColumnFormula>
      <totalsRowFormula>SUM(MemberOfAssemblyAssemblyDistrict109General[Total Votes by Party])</totalsRowFormula>
    </tableColumn>
    <tableColumn id="2" xr3:uid="{081D0342-4AE4-4C04-80A3-3F125B589D51}" name="Total Votes by Candidate" dataDxfId="697" totalsRowDxfId="696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83472125-CDFE-4DB8-BE1D-7A1B35363FD2}" name="MemberOfAssemblyAssemblyDistrict11General" displayName="MemberOfAssemblyAssemblyDistrict11General" ref="A2:E9" totalsRowCount="1" headerRowDxfId="2116" dataDxfId="2114" totalsRowDxfId="2112" headerRowBorderDxfId="2115" tableBorderDxfId="2113" totalsRowBorderDxfId="2111">
  <autoFilter ref="A2:E8" xr:uid="{212023E2-08E4-4969-BB5F-778E517EF91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C4AB324-9562-4121-A6D6-FF33A60850C1}" name="Candidate Name (Party)" totalsRowLabel="Total Votes by County" dataDxfId="2110" totalsRowDxfId="2109"/>
    <tableColumn id="4" xr3:uid="{DEB66EBD-9D9C-4285-A2D6-BEB9BEB999EB}" name="Part of Nassau County Vote Results" totalsRowFunction="custom" dataDxfId="2108" totalsRowDxfId="2107">
      <totalsRowFormula>SUM(MemberOfAssemblyAssemblyDistrict11General[Part of Nassau County Vote Results])</totalsRowFormula>
    </tableColumn>
    <tableColumn id="5" xr3:uid="{4373A186-E614-4E1F-B125-D03242B18B63}" name="Part of Suffolk County Vote Results" totalsRowFunction="custom" dataDxfId="2106" totalsRowDxfId="2105">
      <totalsRowFormula>SUM(MemberOfAssemblyAssemblyDistrict11General[Part of Suffolk County Vote Results])</totalsRowFormula>
    </tableColumn>
    <tableColumn id="3" xr3:uid="{CF853413-BDFB-4A91-8513-D2B81713A74F}" name="Total Votes by Party" totalsRowFunction="custom" dataDxfId="2104" totalsRowDxfId="2103">
      <calculatedColumnFormula>SUM(MemberOfAssemblyAssemblyDistrict11General[[#This Row],[Part of Nassau County Vote Results]:[Part of Suffolk County Vote Results]])</calculatedColumnFormula>
      <totalsRowFormula>SUM(MemberOfAssemblyAssemblyDistrict11General[Total Votes by Party])</totalsRowFormula>
    </tableColumn>
    <tableColumn id="2" xr3:uid="{B3FA0DBF-9E46-4BF4-B81A-D26617E4D441}" name="Total Votes by Candidate" dataDxfId="2102" totalsRowDxfId="2101"/>
  </tableColumns>
  <tableStyleInfo name="TableStyleMedium2" showFirstColumn="0" showLastColumn="0" showRowStripes="0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47472B9C-C956-4385-9E14-390DF7623E11}" name="MemberOfAssemblyAssemblyDistrict110General" displayName="MemberOfAssemblyAssemblyDistrict110General" ref="A2:E10" totalsRowCount="1" headerRowDxfId="695" dataDxfId="693" totalsRowDxfId="691" headerRowBorderDxfId="694" tableBorderDxfId="692" totalsRowBorderDxfId="690">
  <autoFilter ref="A2:E9" xr:uid="{4EFBE242-DA60-4DBB-AA86-D55441AC4C7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D6B51C8-68A7-481F-A56A-25A15B98A31F}" name="Candidate Name (Party)" totalsRowLabel="Total Votes by County" dataDxfId="689" totalsRowDxfId="688"/>
    <tableColumn id="2" xr3:uid="{4379AA97-7638-43C9-902D-AB2B33F0BD3E}" name="Part of Albany County Vote Results" totalsRowFunction="custom" dataDxfId="687" totalsRowDxfId="686">
      <totalsRowFormula>SUM(MemberOfAssemblyAssemblyDistrict110General[Part of Albany County Vote Results])</totalsRowFormula>
    </tableColumn>
    <tableColumn id="4" xr3:uid="{EDB186EC-2C6A-4CB2-AD9A-1E5EE07C8EF9}" name="Part of Schenectady County Vote Results" totalsRowFunction="custom" dataDxfId="685" totalsRowDxfId="684">
      <totalsRowFormula>SUM(MemberOfAssemblyAssemblyDistrict110General[Part of Schenectady County Vote Results])</totalsRowFormula>
    </tableColumn>
    <tableColumn id="3" xr3:uid="{6FD34B67-98CB-4539-9AC1-D0AB1E1AD4AD}" name="Total Votes by Party" totalsRowFunction="custom" dataDxfId="683" totalsRowDxfId="682">
      <calculatedColumnFormula>SUM(MemberOfAssemblyAssemblyDistrict110General[[#This Row],[Part of Albany County Vote Results]:[Part of Schenectady County Vote Results]])</calculatedColumnFormula>
      <totalsRowFormula>SUM(MemberOfAssemblyAssemblyDistrict110General[Total Votes by Party])</totalsRowFormula>
    </tableColumn>
    <tableColumn id="5" xr3:uid="{35DA5D5E-4E74-4CB0-9032-990577DBD8D8}" name="Total Votes by Candidate" dataDxfId="681" totalsRowDxfId="680"/>
  </tableColumns>
  <tableStyleInfo name="TableStyleMedium2" showFirstColumn="0" showLastColumn="0" showRowStripes="0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83E46F67-9A74-473D-A885-14EBB77328D1}" name="MemberOfAssemblyAssemblyDistrict111General" displayName="MemberOfAssemblyAssemblyDistrict111General" ref="A2:E11" totalsRowCount="1" headerRowDxfId="679" dataDxfId="677" totalsRowDxfId="675" headerRowBorderDxfId="678" tableBorderDxfId="676" totalsRowBorderDxfId="674">
  <autoFilter ref="A2:E10" xr:uid="{425B5A88-5999-4E2A-809A-6980609376D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425FF5-21B6-4B01-A85D-6D38DF77BA86}" name="Candidate Name (Party)" totalsRowLabel="Total Votes by County" dataDxfId="673" totalsRowDxfId="672"/>
    <tableColumn id="2" xr3:uid="{01727A82-686A-465A-8C65-50DB28F7706C}" name="Montgomery County Vote Results" totalsRowFunction="custom" dataDxfId="671" totalsRowDxfId="670">
      <totalsRowFormula>SUM(MemberOfAssemblyAssemblyDistrict111General[Montgomery County Vote Results])</totalsRowFormula>
    </tableColumn>
    <tableColumn id="4" xr3:uid="{F68E92A0-5205-4018-8BCB-0B043B4B1728}" name="Part of Schenectady County Vote Results" totalsRowFunction="custom" dataDxfId="669" totalsRowDxfId="668">
      <totalsRowFormula>SUM(MemberOfAssemblyAssemblyDistrict111General[Part of Schenectady County Vote Results])</totalsRowFormula>
    </tableColumn>
    <tableColumn id="6" xr3:uid="{53811F4C-DA8E-457B-A652-EEC530E9CC27}" name="Total Votes by Party" totalsRowFunction="custom" dataDxfId="667" totalsRowDxfId="666">
      <calculatedColumnFormula>SUM(MemberOfAssemblyAssemblyDistrict111General[[#This Row],[Montgomery County Vote Results]:[Part of Schenectady County Vote Results]])</calculatedColumnFormula>
      <totalsRowFormula>SUM(MemberOfAssemblyAssemblyDistrict111General[Total Votes by Party])</totalsRowFormula>
    </tableColumn>
    <tableColumn id="5" xr3:uid="{FDA94E2D-E4C2-4748-BBF3-41D1EB050E01}" name="Total Votes by Candidate" dataDxfId="665" totalsRowDxfId="664"/>
  </tableColumns>
  <tableStyleInfo name="TableStyleMedium2" showFirstColumn="0" showLastColumn="0" showRowStripes="0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C96511D0-4A25-43B1-BDF5-1C66BBB0AFE9}" name="MemberOfAssemblyAssemblyDistrict112General" displayName="MemberOfAssemblyAssemblyDistrict112General" ref="A2:F10" totalsRowCount="1" headerRowDxfId="663" dataDxfId="661" totalsRowDxfId="659" headerRowBorderDxfId="662" tableBorderDxfId="660" totalsRowBorderDxfId="658">
  <autoFilter ref="A2:F9" xr:uid="{AEB6AD8F-41D9-4F52-AA49-A973EC22DA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46DE3C1-F852-4743-A193-D51E46F1164F}" name="Candidate Name (Party)" totalsRowLabel="Total Votes by County" dataDxfId="657" totalsRowDxfId="656"/>
    <tableColumn id="2" xr3:uid="{F9B5B554-E874-4D55-B102-409F9A9E6C1F}" name="Part of Fulton County Vote Results" totalsRowFunction="custom" dataDxfId="655" totalsRowDxfId="654">
      <totalsRowFormula>SUM(MemberOfAssemblyAssemblyDistrict112General[Part of Fulton County Vote Results])</totalsRowFormula>
    </tableColumn>
    <tableColumn id="7" xr3:uid="{494493B6-AD71-4A77-BDB7-0CC8B70111D1}" name="Part of Saratoga County Vote Results" totalsRowFunction="custom" dataDxfId="653" totalsRowDxfId="652">
      <totalsRowFormula>SUM(MemberOfAssemblyAssemblyDistrict112General[Part of Saratoga County Vote Results])</totalsRowFormula>
    </tableColumn>
    <tableColumn id="4" xr3:uid="{A30CB2AE-9A38-413A-B300-89750C093241}" name="Part of Schenectady County Vote Results" totalsRowFunction="custom" dataDxfId="651" totalsRowDxfId="650">
      <totalsRowFormula>SUM(MemberOfAssemblyAssemblyDistrict112General[Part of Schenectady County Vote Results])</totalsRowFormula>
    </tableColumn>
    <tableColumn id="3" xr3:uid="{6A397844-A9B4-46EF-93AF-0DCA912C0895}" name="Total Votes by Party" totalsRowFunction="custom" dataDxfId="649" totalsRowDxfId="648">
      <calculatedColumnFormula>SUM(MemberOfAssemblyAssemblyDistrict112General[[#This Row],[Part of Fulton County Vote Results]:[Part of Schenectady County Vote Results]])</calculatedColumnFormula>
      <totalsRowFormula>SUM(MemberOfAssemblyAssemblyDistrict112General[Total Votes by Party])</totalsRowFormula>
    </tableColumn>
    <tableColumn id="5" xr3:uid="{FD216890-BC66-4BFA-A314-5459F874CE15}" name="Total Votes by Candidate" dataDxfId="647" totalsRowDxfId="646"/>
  </tableColumns>
  <tableStyleInfo name="TableStyleMedium2" showFirstColumn="0" showLastColumn="0" showRowStripes="0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B5A04A69-52B7-4149-8D4D-22347CF671FF}" name="MemberOfAssemblyAssemblyDistrict113General" displayName="MemberOfAssemblyAssemblyDistrict113General" ref="A2:F9" totalsRowCount="1" headerRowDxfId="645" dataDxfId="643" totalsRowDxfId="641" headerRowBorderDxfId="644" tableBorderDxfId="642" totalsRowBorderDxfId="640">
  <autoFilter ref="A2:F8" xr:uid="{C5231807-5E2F-48D0-B1ED-A433625DFD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FDFFA9B-DED5-47AE-83D9-D870C7B66ECD}" name="Candidate Name (Party)" totalsRowLabel="Total Votes by County" dataDxfId="639" totalsRowDxfId="638"/>
    <tableColumn id="2" xr3:uid="{3E9AABFB-6BD2-405C-8EFF-72F560FDF1B7}" name="Part of Saratoga County Vote Results" totalsRowFunction="custom" dataDxfId="637" totalsRowDxfId="636">
      <totalsRowFormula>SUM(MemberOfAssemblyAssemblyDistrict113General[Part of Saratoga County Vote Results])</totalsRowFormula>
    </tableColumn>
    <tableColumn id="6" xr3:uid="{001099A8-F74E-45B3-BDB6-184D65B06538}" name="Part of Warren County Vote Results " totalsRowFunction="custom" dataDxfId="635" totalsRowDxfId="634">
      <totalsRowFormula>SUM(MemberOfAssemblyAssemblyDistrict113General[[Part of Warren County Vote Results ]])</totalsRowFormula>
    </tableColumn>
    <tableColumn id="4" xr3:uid="{E568FC90-E076-4619-8F82-84DE8B7D01A8}" name="Part of Washington County Vote Results" totalsRowFunction="custom" dataDxfId="633" totalsRowDxfId="632">
      <totalsRowFormula>SUM(MemberOfAssemblyAssemblyDistrict113General[Part of Washington County Vote Results])</totalsRowFormula>
    </tableColumn>
    <tableColumn id="3" xr3:uid="{883CDBEF-D424-4B4C-A135-BE005D954568}" name="Total Votes by Party" totalsRowFunction="custom" dataDxfId="631" totalsRowDxfId="630">
      <calculatedColumnFormula>SUM(MemberOfAssemblyAssemblyDistrict113General[[#This Row],[Part of Saratoga County Vote Results]:[Part of Washington County Vote Results]])</calculatedColumnFormula>
      <totalsRowFormula>SUM(MemberOfAssemblyAssemblyDistrict113General[Total Votes by Party])</totalsRowFormula>
    </tableColumn>
    <tableColumn id="5" xr3:uid="{51D313AA-FBBA-436E-983C-76A5FA30100F}" name="Total Votes by Candidate" dataDxfId="629" totalsRowDxfId="628"/>
  </tableColumns>
  <tableStyleInfo name="TableStyleMedium2" showFirstColumn="0" showLastColumn="0" showRowStripes="0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4638BEB5-291C-47A5-BF7F-0FDE4C0D249F}" name="MemberOfAssemblyAssemblyDistrict114General" displayName="MemberOfAssemblyAssemblyDistrict114General" ref="A2:H8" totalsRowCount="1" headerRowDxfId="627" dataDxfId="625" totalsRowDxfId="623" headerRowBorderDxfId="626" tableBorderDxfId="624" totalsRowBorderDxfId="622">
  <autoFilter ref="A2:H7" xr:uid="{67BE3BD8-1F19-41B6-BFDD-A0A626FA3D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7F24110-D4AE-4141-B47A-EA39F2D89343}" name="Candidate Name (Party)" totalsRowLabel="Total Votes by County" dataDxfId="621" totalsRowDxfId="620"/>
    <tableColumn id="2" xr3:uid="{51528B0C-1945-484A-A250-CAF1D233D6D5}" name="Part of Essex County Vote Results" totalsRowFunction="custom" dataDxfId="619" totalsRowDxfId="618">
      <totalsRowFormula>SUM(MemberOfAssemblyAssemblyDistrict114General[Part of Essex County Vote Results])</totalsRowFormula>
    </tableColumn>
    <tableColumn id="6" xr3:uid="{D0A357DE-DC32-4814-B6B7-04E951CB8F80}" name="Part of Fulton County Vote Results" totalsRowFunction="custom" dataDxfId="617" totalsRowDxfId="616">
      <totalsRowFormula>SUM(MemberOfAssemblyAssemblyDistrict114General[Part of Fulton County Vote Results])</totalsRowFormula>
    </tableColumn>
    <tableColumn id="3" xr3:uid="{2A28929D-4EE4-496C-A90D-9FCD621E13E1}" name="Part of Saratoga County Vote Results" totalsRowFunction="custom" dataDxfId="615" totalsRowDxfId="614">
      <totalsRowFormula>SUM(MemberOfAssemblyAssemblyDistrict114General[Part of Saratoga County Vote Results])</totalsRowFormula>
    </tableColumn>
    <tableColumn id="8" xr3:uid="{1A5E69E2-7A39-492D-8CEB-68267B83EF5D}" name="Part of Warren County Vote Results" totalsRowFunction="custom" dataDxfId="613" totalsRowDxfId="612">
      <totalsRowFormula>SUM(MemberOfAssemblyAssemblyDistrict114General[Part of Warren County Vote Results])</totalsRowFormula>
    </tableColumn>
    <tableColumn id="4" xr3:uid="{11A8FAD5-FA0F-4237-B028-929E58143293}" name="Part of Washington County Vote Results" totalsRowFunction="custom" dataDxfId="611" totalsRowDxfId="610">
      <totalsRowFormula>SUM(MemberOfAssemblyAssemblyDistrict114General[Part of Washington County Vote Results])</totalsRowFormula>
    </tableColumn>
    <tableColumn id="7" xr3:uid="{2869CB67-AD56-496F-B1A9-6D40621C372B}" name="Total Votes by Party" totalsRowFunction="custom" dataDxfId="609" totalsRowDxfId="608">
      <calculatedColumnFormula>SUM(MemberOfAssemblyAssemblyDistrict114General[[#This Row],[Part of Essex County Vote Results]:[Part of Washington County Vote Results]])</calculatedColumnFormula>
      <totalsRowFormula>SUM(MemberOfAssemblyAssemblyDistrict114General[Total Votes by Party])</totalsRowFormula>
    </tableColumn>
    <tableColumn id="5" xr3:uid="{4577EBA5-9BF1-4F4B-A127-AFFAAEA29E6F}" name="Total Votes by Candidate" dataDxfId="607" totalsRowDxfId="606">
      <calculatedColumnFormula>SUM(MemberOfAssemblyAssemblyDistrict114General[[#This Row],[Total Votes by Party]],G4)</calculatedColumnFormula>
    </tableColumn>
  </tableColumns>
  <tableStyleInfo name="TableStyleMedium2" showFirstColumn="0" showLastColumn="0" showRowStripes="0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DA21C7-F9E9-47FC-8C26-C096FD896DCE}" name="MemberOfAssemblyAssemblyDistrict115General2" displayName="MemberOfAssemblyAssemblyDistrict115General2" ref="A2:F10" totalsRowCount="1" headerRowDxfId="605" dataDxfId="603" totalsRowDxfId="601" headerRowBorderDxfId="604" tableBorderDxfId="602" totalsRowBorderDxfId="600">
  <autoFilter ref="A2:F9" xr:uid="{2FDA21C7-F9E9-47FC-8C26-C096FD896DCE}"/>
  <tableColumns count="6">
    <tableColumn id="1" xr3:uid="{027FABE4-CD4D-481D-A8E2-4D9536879FF5}" name="Candidate Name (Party)" totalsRowLabel="Total Votes by County" dataDxfId="599" totalsRowDxfId="598"/>
    <tableColumn id="2" xr3:uid="{73C2C4A3-B55E-49C6-A03A-920A4BF71BE0}" name="Clinton County Vote Results" totalsRowFunction="custom" dataDxfId="597" totalsRowDxfId="596">
      <totalsRowFormula>SUM(MemberOfAssemblyAssemblyDistrict115General2[Clinton County Vote Results])</totalsRowFormula>
    </tableColumn>
    <tableColumn id="4" xr3:uid="{FDB80FB1-1197-425C-9D42-CC43A0F8CAF6}" name="Part of Essex County Vote Results" totalsRowFunction="custom" dataDxfId="595" totalsRowDxfId="594">
      <totalsRowFormula>SUM(MemberOfAssemblyAssemblyDistrict115General2[Part of Essex County Vote Results])</totalsRowFormula>
    </tableColumn>
    <tableColumn id="3" xr3:uid="{973E3553-E5D6-4CCF-88EA-6FF7FB7E1F5C}" name="Franklin County Vote Results" totalsRowFunction="custom" dataDxfId="593" totalsRowDxfId="592">
      <totalsRowFormula>SUM(MemberOfAssemblyAssemblyDistrict115General2[Franklin County Vote Results])</totalsRowFormula>
    </tableColumn>
    <tableColumn id="6" xr3:uid="{16E2D857-5C3D-4DBB-A5F8-2C75105E5DF3}" name="Total Votes by Party" totalsRowFunction="custom" dataDxfId="591" totalsRowDxfId="590">
      <calculatedColumnFormula>SUM(B3,C3,D3)</calculatedColumnFormula>
      <totalsRowFormula>SUM(MemberOfAssemblyAssemblyDistrict115General2[Total Votes by Party])</totalsRowFormula>
    </tableColumn>
    <tableColumn id="5" xr3:uid="{DE78511B-2E15-40E7-988E-427222A5D321}" name="Total Votes by Candidate" dataDxfId="589" totalsRowDxfId="588">
      <calculatedColumnFormula>SUM(MemberOfAssemblyAssemblyDistrict115General2[[#This Row],[Total Votes by Party]],E4,E6)</calculatedColumnFormula>
    </tableColumn>
  </tableColumns>
  <tableStyleInfo name="TableStyleMedium2" showFirstColumn="0" showLastColumn="0" showRowStripes="0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F27EEAD3-17C8-41A3-BB4D-C0F85CE95C42}" name="MemberOfAssemblyAssemblyDistrict116General" displayName="MemberOfAssemblyAssemblyDistrict116General" ref="A2:E8" totalsRowCount="1" headerRowDxfId="587" dataDxfId="585" totalsRowDxfId="583" headerRowBorderDxfId="586" tableBorderDxfId="584" totalsRowBorderDxfId="582">
  <autoFilter ref="A2:E7" xr:uid="{CE67F26A-F9F7-4951-95FC-3706B4729C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9846E9-AFC2-44DC-A832-617F5470343A}" name="Candidate Name (Party)" totalsRowLabel="Total Votes by County" dataDxfId="581" totalsRowDxfId="580"/>
    <tableColumn id="2" xr3:uid="{7C2EACA3-905B-4E10-94F5-1233BBAFD44A}" name="Part of Jefferson County Vote Results" totalsRowFunction="custom" dataDxfId="579" totalsRowDxfId="578">
      <totalsRowFormula>SUM(MemberOfAssemblyAssemblyDistrict116General[Part of Jefferson County Vote Results])</totalsRowFormula>
    </tableColumn>
    <tableColumn id="4" xr3:uid="{BC78D15B-ED77-42DF-8FEF-02EF2132DEB4}" name="Part of St. Lawrence County Vote Results" totalsRowFunction="custom" dataDxfId="577" totalsRowDxfId="576">
      <totalsRowFormula>SUM(MemberOfAssemblyAssemblyDistrict116General[Part of St. Lawrence County Vote Results])</totalsRowFormula>
    </tableColumn>
    <tableColumn id="3" xr3:uid="{36231051-200E-4EE0-8935-F4FAA4BAE943}" name="Total Votes by Party" totalsRowFunction="custom" dataDxfId="575" totalsRowDxfId="574">
      <calculatedColumnFormula>SUM(MemberOfAssemblyAssemblyDistrict116General[[#This Row],[Part of Jefferson County Vote Results]:[Part of St. Lawrence County Vote Results]])</calculatedColumnFormula>
      <totalsRowFormula>SUM(MemberOfAssemblyAssemblyDistrict116General[Total Votes by Party])</totalsRowFormula>
    </tableColumn>
    <tableColumn id="5" xr3:uid="{A4B0F1AF-1492-466D-BEF0-C267DA62D005}" name="Total Votes by Candidate" dataDxfId="573" totalsRowDxfId="572">
      <calculatedColumnFormula>SUM(MemberOfAssemblyAssemblyDistrict116General[[#This Row],[Total Votes by Party]])</calculatedColumnFormula>
    </tableColumn>
  </tableColumns>
  <tableStyleInfo name="TableStyleMedium2" showFirstColumn="0" showLastColumn="0" showRowStripes="0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C7B31912-0A01-4999-9B8D-86DA230CA803}" name="MemberOfAssemblyAssemblyDistrict117General" displayName="MemberOfAssemblyAssemblyDistrict117General" ref="A2:G8" totalsRowCount="1" headerRowDxfId="571" dataDxfId="569" totalsRowDxfId="567" headerRowBorderDxfId="570" tableBorderDxfId="568" totalsRowBorderDxfId="566">
  <autoFilter ref="A2:G7" xr:uid="{6D8F459E-AB91-41BE-AAE8-695C944495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7275788-F5DD-438F-A30A-5B437E675015}" name="Candidate Name (Party)" totalsRowLabel="Total Votes by County" dataDxfId="565" totalsRowDxfId="564"/>
    <tableColumn id="2" xr3:uid="{C2B5DC48-B9D8-4D68-9761-B66F99AD3CD1}" name="Part of Jefferson County Vote Results" totalsRowFunction="custom" dataDxfId="563" totalsRowDxfId="562">
      <totalsRowFormula>SUM(MemberOfAssemblyAssemblyDistrict117General[Part of Jefferson County Vote Results])</totalsRowFormula>
    </tableColumn>
    <tableColumn id="6" xr3:uid="{9A0F6AAC-CA4F-4965-B978-19F4582D7084}" name="Lewis County Vote Results" totalsRowFunction="custom" dataDxfId="561" totalsRowDxfId="560">
      <totalsRowFormula>SUM(MemberOfAssemblyAssemblyDistrict117General[Lewis County Vote Results])</totalsRowFormula>
    </tableColumn>
    <tableColumn id="3" xr3:uid="{9A3F0E14-4B13-4A33-ABDD-AEDA59CC89CA}" name="Part of Oneida County Vote Results" totalsRowFunction="custom" dataDxfId="559" totalsRowDxfId="558">
      <totalsRowFormula>SUM(MemberOfAssemblyAssemblyDistrict117General[Part of Oneida County Vote Results])</totalsRowFormula>
    </tableColumn>
    <tableColumn id="4" xr3:uid="{66E70F54-32EC-4D6C-AC3B-789E4DFA4B68}" name="Part of St. Lawrence County Vote Results" totalsRowFunction="custom" dataDxfId="557" totalsRowDxfId="556">
      <totalsRowFormula>SUM(MemberOfAssemblyAssemblyDistrict117General[Part of St. Lawrence County Vote Results])</totalsRowFormula>
    </tableColumn>
    <tableColumn id="7" xr3:uid="{69851B00-65E8-4F23-8A84-596EF8FF46CD}" name="Total Votes by Party" totalsRowFunction="custom" dataDxfId="555" totalsRowDxfId="554">
      <calculatedColumnFormula>SUM(MemberOfAssemblyAssemblyDistrict117General[[#This Row],[Part of Jefferson County Vote Results]:[Part of St. Lawrence County Vote Results]])</calculatedColumnFormula>
      <totalsRowFormula>SUM(MemberOfAssemblyAssemblyDistrict117General[Total Votes by Party])</totalsRowFormula>
    </tableColumn>
    <tableColumn id="5" xr3:uid="{F1B842BC-080E-41E5-A94B-3D178138C26A}" name="Total Votes by Candidate" dataDxfId="553" totalsRowDxfId="552">
      <calculatedColumnFormula>SUM(MemberOfAssemblyAssemblyDistrict117General[[#This Row],[Total Votes by Party]],F4)</calculatedColumnFormula>
    </tableColumn>
  </tableColumns>
  <tableStyleInfo name="TableStyleMedium2" showFirstColumn="0" showLastColumn="0" showRowStripes="0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377B0979-830B-414F-91E4-7B544A6ABF50}" name="MemberOfAssemblyAssemblyDistrict118General" displayName="MemberOfAssemblyAssemblyDistrict118General" ref="A2:H8" totalsRowCount="1" headerRowDxfId="551" dataDxfId="549" totalsRowDxfId="547" headerRowBorderDxfId="550" tableBorderDxfId="548" totalsRowBorderDxfId="546">
  <autoFilter ref="A2:H7" xr:uid="{7EC11E91-C20D-4D12-94FD-D9D3AAB366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25EA453-E732-4BA1-BBD1-7D1EBF2B1F75}" name="Candidate Name (Party)" totalsRowLabel="Total Votes by County" dataDxfId="545" totalsRowDxfId="544"/>
    <tableColumn id="2" xr3:uid="{7BC98801-341D-4EFC-A12E-CA89E60A6FAD}" name="Fulton County Vote Results" totalsRowFunction="custom" dataDxfId="543" totalsRowDxfId="542">
      <totalsRowFormula>SUM(MemberOfAssemblyAssemblyDistrict118General[Fulton County Vote Results])</totalsRowFormula>
    </tableColumn>
    <tableColumn id="6" xr3:uid="{D29C0D20-5307-4870-AD1D-2685C2DEF3F5}" name="Hamilton County Vote Results" totalsRowFunction="custom" dataDxfId="541" totalsRowDxfId="540">
      <totalsRowFormula>SUM(MemberOfAssemblyAssemblyDistrict118General[Hamilton County Vote Results])</totalsRowFormula>
    </tableColumn>
    <tableColumn id="7" xr3:uid="{1EA44028-F5E2-4B7F-8023-7AE150C2298E}" name="Part of Herkimer County Vote Results" totalsRowFunction="custom" dataDxfId="539" totalsRowDxfId="538">
      <totalsRowFormula>SUBTOTAL(109,D3:D7)</totalsRowFormula>
    </tableColumn>
    <tableColumn id="3" xr3:uid="{AB880B8B-46E5-45A7-ADEA-53EA610000D4}" name="Part of Montgomery County Vote Results" totalsRowFunction="custom" dataDxfId="537" totalsRowDxfId="536">
      <totalsRowFormula>SUM(MemberOfAssemblyAssemblyDistrict118General[Part of Montgomery County Vote Results])</totalsRowFormula>
    </tableColumn>
    <tableColumn id="4" xr3:uid="{19E8A982-FC82-496E-9D5D-859636E3BB71}" name="Part of Oneida County Vote Results" totalsRowFunction="custom" dataDxfId="535" totalsRowDxfId="534">
      <totalsRowFormula>SUM(MemberOfAssemblyAssemblyDistrict118General[Part of Oneida County Vote Results])</totalsRowFormula>
    </tableColumn>
    <tableColumn id="8" xr3:uid="{DCFF6263-6C36-4A13-B3E3-D4CBF26A0CB2}" name="Total Votes by Party" totalsRowFunction="custom" dataDxfId="533" totalsRowDxfId="532">
      <calculatedColumnFormula>SUM(MemberOfAssemblyAssemblyDistrict118General[[#This Row],[Fulton County Vote Results]:[Part of Oneida County Vote Results]])</calculatedColumnFormula>
      <totalsRowFormula>SUM(MemberOfAssemblyAssemblyDistrict118General[Total Votes by Party])</totalsRowFormula>
    </tableColumn>
    <tableColumn id="5" xr3:uid="{1E6390F0-9E22-43DC-8D23-C43764B419FC}" name="Total Votes by Candidate" dataDxfId="531" totalsRowDxfId="530">
      <calculatedColumnFormula>SUM(MemberOfAssemblyAssemblyDistrict118General[[#This Row],[Total Votes by Party]],G4)</calculatedColumnFormula>
    </tableColumn>
  </tableColumns>
  <tableStyleInfo name="TableStyleMedium2" showFirstColumn="0" showLastColumn="0" showRowStripes="0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A153D4CA-F8B9-4051-AE99-96864F863220}" name="MemberOfAssemblyAssemblyDistrict119General" displayName="MemberOfAssemblyAssemblyDistrict119General" ref="A2:D9" totalsRowCount="1" headerRowDxfId="529" dataDxfId="527" totalsRowDxfId="525" headerRowBorderDxfId="528" tableBorderDxfId="526" totalsRowBorderDxfId="524">
  <autoFilter ref="A2:D8" xr:uid="{A85E9E46-A4EA-4B4C-9BA9-C51E7A5B06F4}">
    <filterColumn colId="0" hiddenButton="1"/>
    <filterColumn colId="1" hiddenButton="1"/>
    <filterColumn colId="2" hiddenButton="1"/>
    <filterColumn colId="3" hiddenButton="1"/>
  </autoFilter>
  <tableColumns count="4">
    <tableColumn id="1" xr3:uid="{CD3B95D8-5B28-4B14-8744-6D38A92A7684}" name="Candidate Name (Party)" totalsRowLabel="Total Votes by County" dataDxfId="523" totalsRowDxfId="522"/>
    <tableColumn id="4" xr3:uid="{87C35B6A-2440-42AF-AC64-C412674AB176}" name="Part of Oneida County Vote Results" totalsRowFunction="custom" dataDxfId="521" totalsRowDxfId="520">
      <totalsRowFormula>SUM(MemberOfAssemblyAssemblyDistrict119General[Part of Oneida County Vote Results])</totalsRowFormula>
    </tableColumn>
    <tableColumn id="3" xr3:uid="{54BAEB62-FAA9-4597-A73A-7D6DC097857C}" name="Total Votes by Party" totalsRowFunction="custom" dataDxfId="519" totalsRowDxfId="518">
      <calculatedColumnFormula>SUM(B3)</calculatedColumnFormula>
      <totalsRowFormula>SUM(MemberOfAssemblyAssemblyDistrict119General[Total Votes by Party])</totalsRowFormula>
    </tableColumn>
    <tableColumn id="5" xr3:uid="{F1A1FF72-455F-4E24-8D05-C1B87A3A0A17}" name="Total Votes by Candidate" dataDxfId="517" totalsRowDxfId="516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BF2ECCCD-F7E9-4BAC-A0BE-077A912024AC}" name="MemberOfAssemblyAssemblyDistrict12General" displayName="MemberOfAssemblyAssemblyDistrict12General" ref="A2:D9" totalsRowCount="1" headerRowDxfId="2100" dataDxfId="2098" totalsRowDxfId="2096" headerRowBorderDxfId="2099" tableBorderDxfId="2097" totalsRowBorderDxfId="2095">
  <autoFilter ref="A2:D8" xr:uid="{D2E59698-95B0-470C-BD4B-D67BCE8889EB}">
    <filterColumn colId="0" hiddenButton="1"/>
    <filterColumn colId="1" hiddenButton="1"/>
    <filterColumn colId="2" hiddenButton="1"/>
    <filterColumn colId="3" hiddenButton="1"/>
  </autoFilter>
  <tableColumns count="4">
    <tableColumn id="1" xr3:uid="{439FDB96-C776-494D-8EA7-D00C634A6E91}" name="Candidate Name (Party)" totalsRowLabel="Total Votes by County" dataDxfId="2094" totalsRowDxfId="2093"/>
    <tableColumn id="4" xr3:uid="{0EB62BBC-31F7-4220-B41A-22D89F408E3F}" name="Part of Suffolk County Vote Results" totalsRowFunction="custom" dataDxfId="2092" totalsRowDxfId="2091">
      <totalsRowFormula>SUM(MemberOfAssemblyAssemblyDistrict12General[Part of Suffolk County Vote Results])</totalsRowFormula>
    </tableColumn>
    <tableColumn id="3" xr3:uid="{3D8D3CC7-5DB6-4869-89D9-DBD5C498A5D1}" name="Total Votes by Party" totalsRowFunction="custom" dataDxfId="2090" totalsRowDxfId="2089">
      <calculatedColumnFormula>MemberOfAssemblyAssemblyDistrict12General[[#This Row],[Part of Suffolk County Vote Results]]</calculatedColumnFormula>
      <totalsRowFormula>SUM(MemberOfAssemblyAssemblyDistrict12General[Total Votes by Party])</totalsRowFormula>
    </tableColumn>
    <tableColumn id="2" xr3:uid="{E46612E5-EFAB-4F5F-A7D7-1FCA8884DF15}" name="Total Votes by Candidate" dataDxfId="2088" totalsRowDxfId="2087"/>
  </tableColumns>
  <tableStyleInfo name="TableStyleMedium2" showFirstColumn="0" showLastColumn="0" showRowStripes="0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DACC9089-866E-43EA-8F1C-C59D96970013}" name="MemberOfAssemblyAssemblyDistrict120General" displayName="MemberOfAssemblyAssemblyDistrict120General" ref="A2:F8" totalsRowCount="1" headerRowDxfId="515" dataDxfId="513" totalsRowDxfId="511" headerRowBorderDxfId="514" tableBorderDxfId="512" totalsRowBorderDxfId="510">
  <autoFilter ref="A2:F7" xr:uid="{E7CC8E6A-635A-4976-9E9C-8AB012ADC4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046C378-04E2-4ABB-A6CB-BCB16CF58E4D}" name="Candidate Name (Party)" totalsRowLabel="Total Votes by County" dataDxfId="509" totalsRowDxfId="508"/>
    <tableColumn id="2" xr3:uid="{955BCBEF-4700-4072-A6C4-9484D5DF5FFB}" name="Part of Cayuga County Vote Results" totalsRowFunction="custom" dataDxfId="507" totalsRowDxfId="506">
      <totalsRowFormula>SUM(MemberOfAssemblyAssemblyDistrict120General[Part of Cayuga County Vote Results])</totalsRowFormula>
    </tableColumn>
    <tableColumn id="3" xr3:uid="{C8A4C29A-9FF8-4332-B5B1-982F50923117}" name="Part of Jefferson County Vote Results" totalsRowFunction="custom" dataDxfId="505" totalsRowDxfId="504">
      <totalsRowFormula>SUM(MemberOfAssemblyAssemblyDistrict120General[Part of Jefferson County Vote Results])</totalsRowFormula>
    </tableColumn>
    <tableColumn id="4" xr3:uid="{0F8B54EC-6373-466E-93B8-8EEE9C36830C}" name="Part of Oswego County Vote Results" totalsRowFunction="custom" dataDxfId="503" totalsRowDxfId="502">
      <totalsRowFormula>SUM(MemberOfAssemblyAssemblyDistrict120General[Part of Oswego County Vote Results])</totalsRowFormula>
    </tableColumn>
    <tableColumn id="6" xr3:uid="{AE32D814-41F0-4462-9F66-E2C86A0EA1BB}" name="Total Votes by Party" totalsRowFunction="custom" dataDxfId="501" totalsRowDxfId="500">
      <calculatedColumnFormula>SUM(MemberOfAssemblyAssemblyDistrict120General[[#This Row],[Part of Cayuga County Vote Results]:[Part of Oswego County Vote Results]])</calculatedColumnFormula>
      <totalsRowFormula>SUM(MemberOfAssemblyAssemblyDistrict120General[Total Votes by Party])</totalsRowFormula>
    </tableColumn>
    <tableColumn id="5" xr3:uid="{B201F95B-0F08-4CC8-8302-2511E2C033A2}" name="Total Votes by Candidate" dataDxfId="499" totalsRowDxfId="498">
      <calculatedColumnFormula>SUM(MemberOfAssemblyAssemblyDistrict120General[[#This Row],[Total Votes by Party]],E4)</calculatedColumnFormula>
    </tableColumn>
  </tableColumns>
  <tableStyleInfo name="TableStyleMedium2" showFirstColumn="0" showLastColumn="0" showRowStripes="0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E700FADF-F621-4655-8A16-E6DF3BDCE174}" name="MemberOfAssemblyAssemblyDistrict121General" displayName="MemberOfAssemblyAssemblyDistrict121General" ref="A2:I8" totalsRowCount="1" headerRowDxfId="497" dataDxfId="495" totalsRowDxfId="493" headerRowBorderDxfId="496" tableBorderDxfId="494" totalsRowBorderDxfId="492">
  <autoFilter ref="A2:I7" xr:uid="{15BA0A46-CE16-4752-926C-21524EFC4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A6044B5-FE65-447A-B38D-8513AE12C575}" name="Candidate Name (Party)" totalsRowLabel="Total Votes by County" dataDxfId="491" totalsRowDxfId="490"/>
    <tableColumn id="2" xr3:uid="{DA0E9C3E-3CB4-42BE-B9D1-4C871F93D750}" name="Part of Broome County Vote Results" totalsRowFunction="custom" dataDxfId="489" totalsRowDxfId="488">
      <totalsRowFormula>SUM(MemberOfAssemblyAssemblyDistrict121General[Part of Broome County Vote Results])</totalsRowFormula>
    </tableColumn>
    <tableColumn id="10" xr3:uid="{F9A012DC-C7AE-4C53-845E-148D0147374F}" name="Part of Chenango County Vote Results" totalsRowFunction="custom" dataDxfId="487" totalsRowDxfId="486">
      <totalsRowFormula>SUM(MemberOfAssemblyAssemblyDistrict121General[Part of Chenango County Vote Results])</totalsRowFormula>
    </tableColumn>
    <tableColumn id="9" xr3:uid="{69236D81-1C30-4287-8D87-5108FFB93491}" name="Part of Delaware County Vote Results" totalsRowFunction="custom" dataDxfId="485" totalsRowDxfId="484">
      <totalsRowFormula>SUM(MemberOfAssemblyAssemblyDistrict121General[Part of Delaware County Vote Results])</totalsRowFormula>
    </tableColumn>
    <tableColumn id="8" xr3:uid="{2E64D669-3B43-435E-809C-A9F252CC92A8}" name="Part of Madison County Vote Results" totalsRowFunction="custom" dataDxfId="483" totalsRowDxfId="482">
      <totalsRowFormula>SUM(MemberOfAssemblyAssemblyDistrict121General[Part of Madison County Vote Results])</totalsRowFormula>
    </tableColumn>
    <tableColumn id="3" xr3:uid="{ACC5CEDC-771E-4A5E-B6C8-C317528BC0A4}" name="Part of Otsego County Vote Results" totalsRowFunction="custom" dataDxfId="481" totalsRowDxfId="480">
      <totalsRowFormula>SUM(MemberOfAssemblyAssemblyDistrict121General[Part of Otsego County Vote Results])</totalsRowFormula>
    </tableColumn>
    <tableColumn id="4" xr3:uid="{231DF287-6EBC-47CC-8234-2DBF46664ABB}" name="Part of Sullivan County Vote Results" totalsRowFunction="custom" dataDxfId="479" totalsRowDxfId="478">
      <totalsRowFormula>SUM(MemberOfAssemblyAssemblyDistrict121General[Part of Sullivan County Vote Results])</totalsRowFormula>
    </tableColumn>
    <tableColumn id="6" xr3:uid="{B5D672D4-DAFC-4690-804A-B3EBB39B708C}" name="Total Votes by Party" totalsRowFunction="custom" dataDxfId="477" totalsRowDxfId="476">
      <calculatedColumnFormula>SUM(MemberOfAssemblyAssemblyDistrict121General[[#This Row],[Part of Broome County Vote Results]:[Part of Sullivan County Vote Results]])</calculatedColumnFormula>
      <totalsRowFormula>SUM(MemberOfAssemblyAssemblyDistrict121General[Total Votes by Party])</totalsRowFormula>
    </tableColumn>
    <tableColumn id="5" xr3:uid="{3E128B23-6B22-42DF-9D0D-EAEA3AEA749D}" name="Total Votes by Candidate" dataDxfId="475" totalsRowDxfId="474">
      <calculatedColumnFormula>SUM(MemberOfAssemblyAssemblyDistrict121General[[#This Row],[Total Votes by Party]],H4)</calculatedColumnFormula>
    </tableColumn>
  </tableColumns>
  <tableStyleInfo name="TableStyleMedium2" showFirstColumn="0" showLastColumn="0" showRowStripes="0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BB6212D0-ABEC-4089-AF1D-D41B59C9F210}" name="MemberOfAssemblyAssemblyDistrict122General" displayName="MemberOfAssemblyAssemblyDistrict122General" ref="A2:G10" totalsRowCount="1" headerRowDxfId="473" dataDxfId="471" totalsRowDxfId="469" headerRowBorderDxfId="472" tableBorderDxfId="470" totalsRowBorderDxfId="468">
  <autoFilter ref="A2:G9" xr:uid="{4A68D355-5EC9-416A-B4E4-2CFC6D6E7E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239DFFF-3D67-4085-B327-31B54E9BAFF2}" name="Candidate Name (Party)" totalsRowLabel="Total Votes by County" dataDxfId="467" totalsRowDxfId="466"/>
    <tableColumn id="2" xr3:uid="{65C322F2-0F9A-4EE3-A571-F31E2D00A199}" name="Part of Herkimer County Vote Results" totalsRowFunction="custom" dataDxfId="465" totalsRowDxfId="464">
      <totalsRowFormula>SUM(MemberOfAssemblyAssemblyDistrict122General[Part of Herkimer County Vote Results])</totalsRowFormula>
    </tableColumn>
    <tableColumn id="6" xr3:uid="{8F3A3E5B-A50C-4EB8-B16E-97E9B7B46EE2}" name="Part of Madison County Vote Results" totalsRowFunction="custom" dataDxfId="463" totalsRowDxfId="462">
      <totalsRowFormula>SUM(MemberOfAssemblyAssemblyDistrict122General[Part of Madison County Vote Results])</totalsRowFormula>
    </tableColumn>
    <tableColumn id="3" xr3:uid="{FC9051CB-BCC0-4DD0-8B6B-A1C68939D790}" name="Part of Oneida County Vote Results" totalsRowFunction="custom" dataDxfId="461" totalsRowDxfId="460">
      <totalsRowFormula>SUM(MemberOfAssemblyAssemblyDistrict122General[Part of Oneida County Vote Results])</totalsRowFormula>
    </tableColumn>
    <tableColumn id="4" xr3:uid="{0B3E5541-B907-4E7B-BF50-5BEDD41776D2}" name="Part of Otsego County Vote Results" totalsRowFunction="custom" dataDxfId="459" totalsRowDxfId="458">
      <totalsRowFormula>SUM(MemberOfAssemblyAssemblyDistrict122General[Part of Otsego County Vote Results])</totalsRowFormula>
    </tableColumn>
    <tableColumn id="7" xr3:uid="{2BE94674-2869-48B6-9C6D-D95C5836B477}" name="Total Votes by Party" totalsRowFunction="custom" dataDxfId="457" totalsRowDxfId="456">
      <calculatedColumnFormula>SUM(MemberOfAssemblyAssemblyDistrict122General[[#This Row],[Part of Herkimer County Vote Results]:[Part of Otsego County Vote Results]])</calculatedColumnFormula>
      <totalsRowFormula>SUM(MemberOfAssemblyAssemblyDistrict122General[Total Votes by Party])</totalsRowFormula>
    </tableColumn>
    <tableColumn id="5" xr3:uid="{CBD38E64-28D5-4101-8CAC-2D3134A2AF36}" name="Total Votes by Candidate" dataDxfId="455" totalsRowDxfId="454"/>
  </tableColumns>
  <tableStyleInfo name="TableStyleMedium2" showFirstColumn="0" showLastColumn="0" showRowStripes="0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002EF99A-C921-40AD-84DD-D8ADF9331E24}" name="MemberOfAssemblyAssemblyDistrict123General" displayName="MemberOfAssemblyAssemblyDistrict123General" ref="A2:D9" totalsRowCount="1" headerRowDxfId="453" dataDxfId="451" totalsRowDxfId="449" headerRowBorderDxfId="452" tableBorderDxfId="450" totalsRowBorderDxfId="448">
  <autoFilter ref="A2:D8" xr:uid="{EB4A7198-1C28-40BC-B31B-03D2757DA304}">
    <filterColumn colId="0" hiddenButton="1"/>
    <filterColumn colId="1" hiddenButton="1"/>
    <filterColumn colId="2" hiddenButton="1"/>
    <filterColumn colId="3" hiddenButton="1"/>
  </autoFilter>
  <tableColumns count="4">
    <tableColumn id="1" xr3:uid="{240334CB-709C-473F-A6E7-3D934B4CBD59}" name="Candidate Name (Party)" totalsRowLabel="Total Votes by County" dataDxfId="447" totalsRowDxfId="446"/>
    <tableColumn id="4" xr3:uid="{AF1A73B4-3D8F-42F4-B41B-CB114DD1B43C}" name="Part of Broome County Vote Results" totalsRowFunction="custom" dataDxfId="445" totalsRowDxfId="444">
      <totalsRowFormula>SUM(MemberOfAssemblyAssemblyDistrict123General[Part of Broome County Vote Results])</totalsRowFormula>
    </tableColumn>
    <tableColumn id="3" xr3:uid="{4F461E1E-403C-488C-9B56-8AD562964AAF}" name="Total Votes by Party" totalsRowFunction="custom" dataDxfId="443" totalsRowDxfId="442">
      <calculatedColumnFormula>MemberOfAssemblyAssemblyDistrict123General[[#This Row],[Part of Broome County Vote Results]]</calculatedColumnFormula>
      <totalsRowFormula>SUM(MemberOfAssemblyAssemblyDistrict123General[Total Votes by Party])</totalsRowFormula>
    </tableColumn>
    <tableColumn id="2" xr3:uid="{C084D141-EFE4-4792-AB00-470A4327CADE}" name="Total Votes by Candidate" dataDxfId="441" totalsRowDxfId="440">
      <calculatedColumnFormula>SUM(MemberOfAssemblyAssemblyDistrict123General[[#This Row],[Total Votes by Party]])</calculatedColumnFormula>
    </tableColumn>
  </tableColumns>
  <tableStyleInfo name="TableStyleMedium2" showFirstColumn="0" showLastColumn="0" showRowStripes="0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318A6239-628A-49B7-8E76-59DDC1B2BBBC}" name="MemberOfAssemblyAssemblyDistrict124General" displayName="MemberOfAssemblyAssemblyDistrict124General" ref="A2:F8" totalsRowCount="1" headerRowDxfId="439" dataDxfId="437" totalsRowDxfId="435" headerRowBorderDxfId="438" tableBorderDxfId="436" totalsRowBorderDxfId="434">
  <autoFilter ref="A2:F7" xr:uid="{8C54C1E6-AB85-47E6-8139-FF5FE2947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551CA16-5E6A-4F06-981A-21424D42FD85}" name="Candidate Name (Party)" totalsRowLabel="Total Votes by County" dataDxfId="433" totalsRowDxfId="432"/>
    <tableColumn id="2" xr3:uid="{AF371C7C-2E3F-490E-97B2-2FA7C2452739}" name="Part of Broome County Vote Results" totalsRowFunction="custom" dataDxfId="431" totalsRowDxfId="430">
      <totalsRowFormula>SUM(MemberOfAssemblyAssemblyDistrict124General[Part of Broome County Vote Results])</totalsRowFormula>
    </tableColumn>
    <tableColumn id="3" xr3:uid="{D7D1A846-CB02-40F2-B00D-3A1CF78EECA5}" name="Part of Chemung County Vote Results" totalsRowFunction="custom" dataDxfId="429" totalsRowDxfId="428">
      <totalsRowFormula>SUM(MemberOfAssemblyAssemblyDistrict124General[Part of Chemung County Vote Results])</totalsRowFormula>
    </tableColumn>
    <tableColumn id="4" xr3:uid="{60320E3D-BD8B-407E-8D1A-4F0076F3C227}" name="Tioga County Vote Results" totalsRowFunction="custom" dataDxfId="427" totalsRowDxfId="426">
      <totalsRowFormula>SUM(MemberOfAssemblyAssemblyDistrict124General[Tioga County Vote Results])</totalsRowFormula>
    </tableColumn>
    <tableColumn id="6" xr3:uid="{047D42A4-8DE8-4A75-844C-79609AFB3F7E}" name="Total Votes by Party" totalsRowFunction="custom" dataDxfId="425" totalsRowDxfId="424">
      <calculatedColumnFormula>SUM(MemberOfAssemblyAssemblyDistrict124General[[#This Row],[Part of Broome County Vote Results]:[Tioga County Vote Results]])</calculatedColumnFormula>
      <totalsRowFormula>SUM(MemberOfAssemblyAssemblyDistrict124General[Total Votes by Party])</totalsRowFormula>
    </tableColumn>
    <tableColumn id="5" xr3:uid="{328BB90E-87E9-4D1E-A454-D08A1543F20C}" name="Total Votes by Candidate" dataDxfId="423" totalsRowDxfId="422">
      <calculatedColumnFormula>SUM(MemberOfAssemblyAssemblyDistrict124General[[#This Row],[Total Votes by Party]],E4)</calculatedColumnFormula>
    </tableColumn>
  </tableColumns>
  <tableStyleInfo name="TableStyleMedium2" showFirstColumn="0" showLastColumn="0" showRowStripes="0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99BA16AF-8CC7-43F9-9BC5-F7467A55B7E5}" name="MemberOfAssemblyAssemblyDistrict125General" displayName="MemberOfAssemblyAssemblyDistrict125General" ref="A2:E8" totalsRowCount="1" headerRowDxfId="421" dataDxfId="419" totalsRowDxfId="417" headerRowBorderDxfId="420" tableBorderDxfId="418" totalsRowBorderDxfId="416">
  <autoFilter ref="A2:E7" xr:uid="{BBC3EFDF-DCF5-468E-9562-0DC7F15A623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A142544-5882-4CD9-891D-7B6B9413E98D}" name="Candidate Name (Party)" totalsRowLabel="Total Votes by County" dataDxfId="415" totalsRowDxfId="414"/>
    <tableColumn id="2" xr3:uid="{98B28081-3A80-4EE4-B4BB-0A9411A6928E}" name="Part of Cortland County Vote Results" totalsRowFunction="custom" dataDxfId="413" totalsRowDxfId="412">
      <totalsRowFormula>SUM(MemberOfAssemblyAssemblyDistrict125General[Part of Cortland County Vote Results])</totalsRowFormula>
    </tableColumn>
    <tableColumn id="4" xr3:uid="{EE965856-7FD4-46AF-A7F3-96758A4AE93C}" name="Tompkins County Vote Results" totalsRowFunction="custom" dataDxfId="411" totalsRowDxfId="410">
      <totalsRowFormula>SUM(MemberOfAssemblyAssemblyDistrict125General[Tompkins County Vote Results])</totalsRowFormula>
    </tableColumn>
    <tableColumn id="3" xr3:uid="{770CED5F-2A90-4E64-A51A-849116FD4C96}" name="Total Votes by Party" totalsRowFunction="custom" dataDxfId="409" totalsRowDxfId="408">
      <calculatedColumnFormula>SUM(MemberOfAssemblyAssemblyDistrict125General[[#This Row],[Part of Cortland County Vote Results]:[Tompkins County Vote Results]])</calculatedColumnFormula>
      <totalsRowFormula>SUM(MemberOfAssemblyAssemblyDistrict125General[Total Votes by Party])</totalsRowFormula>
    </tableColumn>
    <tableColumn id="5" xr3:uid="{790CD6C6-1459-4CF8-9CE9-7FF0561EF8FA}" name="Total Votes by Candidate" dataDxfId="407" totalsRowDxfId="406">
      <calculatedColumnFormula>SUM(D3:D4)</calculatedColumnFormula>
    </tableColumn>
  </tableColumns>
  <tableStyleInfo name="TableStyleMedium2" showFirstColumn="0" showLastColumn="0" showRowStripes="0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229FEAF8-B08E-4BAC-A111-5052224FE45D}" name="MemberOfAssemblyAssemblyDistrict126General" displayName="MemberOfAssemblyAssemblyDistrict126General" ref="A2:E9" totalsRowCount="1" headerRowDxfId="405" dataDxfId="403" totalsRowDxfId="401" headerRowBorderDxfId="404" tableBorderDxfId="402" totalsRowBorderDxfId="400">
  <autoFilter ref="A2:E8" xr:uid="{26FD3B1E-1D69-48E0-AA59-44E37FEF643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0275B8B-C92C-4E2A-BD1A-C4E172CD6C79}" name="Candidate Name (Party)" totalsRowLabel="Total Votes by County" dataDxfId="399" totalsRowDxfId="398"/>
    <tableColumn id="2" xr3:uid="{AD941592-68A2-4985-866C-E398178C892E}" name="Part of Cayuga County Vote Results" totalsRowFunction="custom" dataDxfId="397" totalsRowDxfId="396">
      <totalsRowFormula>SUM(MemberOfAssemblyAssemblyDistrict126General[Part of Cayuga County Vote Results])</totalsRowFormula>
    </tableColumn>
    <tableColumn id="4" xr3:uid="{12A3B7F4-E529-47E7-90AB-2A70EA94400E}" name="Part of Onondaga County Vote Results" totalsRowFunction="custom" dataDxfId="395" totalsRowDxfId="394">
      <totalsRowFormula>SUM(MemberOfAssemblyAssemblyDistrict126General[Part of Onondaga County Vote Results])</totalsRowFormula>
    </tableColumn>
    <tableColumn id="7" xr3:uid="{CD105524-64F1-425C-93C4-24402A398FB8}" name="Total Votes by Party" totalsRowFunction="custom" dataDxfId="393" totalsRowDxfId="392">
      <calculatedColumnFormula>SUM(MemberOfAssemblyAssemblyDistrict126General[[#This Row],[Part of Cayuga County Vote Results]:[Part of Onondaga County Vote Results]])</calculatedColumnFormula>
      <totalsRowFormula>SUM(MemberOfAssemblyAssemblyDistrict126General[Total Votes by Party])</totalsRowFormula>
    </tableColumn>
    <tableColumn id="5" xr3:uid="{DAE4F82B-699F-4D74-B734-27327B1DC430}" name="Total Votes by Candidate" dataDxfId="391" totalsRowDxfId="390"/>
  </tableColumns>
  <tableStyleInfo name="TableStyleMedium2" showFirstColumn="0" showLastColumn="0" showRowStripes="0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3896535B-19BA-4146-9C65-E80B94C48283}" name="MemberOfAssemblyAssemblyDistrict127General" displayName="MemberOfAssemblyAssemblyDistrict127General" ref="A2:E10" totalsRowCount="1" headerRowDxfId="389" dataDxfId="387" totalsRowDxfId="385" headerRowBorderDxfId="388" tableBorderDxfId="386" totalsRowBorderDxfId="384">
  <autoFilter ref="A2:E9" xr:uid="{C0962221-65DA-4ACE-BE29-C1598EB7E66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A9DB9A4-26E9-499D-B75A-151961A90EE5}" name="Candidate Name (Party)" totalsRowLabel="Total Votes by County" dataDxfId="383" totalsRowDxfId="382"/>
    <tableColumn id="9" xr3:uid="{AF6B0A73-E6E0-4237-A02D-D43B7B7BB18A}" name="Part of Madison County Vote Results" totalsRowFunction="custom" dataDxfId="381" totalsRowDxfId="380">
      <totalsRowFormula>SUM(MemberOfAssemblyAssemblyDistrict127General[Part of Madison County Vote Results])</totalsRowFormula>
    </tableColumn>
    <tableColumn id="4" xr3:uid="{DF35D43B-B9EB-4EBF-B18F-72E353E98B95}" name="Part of Onondaga County Vote Results" totalsRowFunction="custom" dataDxfId="379" totalsRowDxfId="378">
      <totalsRowFormula>SUM(MemberOfAssemblyAssemblyDistrict127General[Part of Onondaga County Vote Results])</totalsRowFormula>
    </tableColumn>
    <tableColumn id="3" xr3:uid="{7248F472-E5B9-4D34-8D35-100CDB02890F}" name="Total Votes by Party" totalsRowFunction="custom" dataDxfId="377" totalsRowDxfId="376">
      <calculatedColumnFormula>SUM(MemberOfAssemblyAssemblyDistrict127General[[#This Row],[Part of Madison County Vote Results]:[Part of Onondaga County Vote Results]])</calculatedColumnFormula>
      <totalsRowFormula>SUM(MemberOfAssemblyAssemblyDistrict127General[Total Votes by Party])</totalsRowFormula>
    </tableColumn>
    <tableColumn id="2" xr3:uid="{78B11C4D-DFDF-4223-94A8-1DD1A3AE3FEB}" name="Total Votes by Candidate" dataDxfId="375" totalsRowDxfId="374"/>
  </tableColumns>
  <tableStyleInfo name="TableStyleMedium2" showFirstColumn="0" showLastColumn="0" showRowStripes="0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06F71E72-F8B5-43EA-814E-439BB6364F58}" name="MemberOfAssemblyAssemblyDistrict128General" displayName="MemberOfAssemblyAssemblyDistrict128General" ref="A2:D10" totalsRowCount="1" headerRowDxfId="373" dataDxfId="371" totalsRowDxfId="369" headerRowBorderDxfId="372" tableBorderDxfId="370" totalsRowBorderDxfId="368">
  <autoFilter ref="A2:D9" xr:uid="{EAD0463A-6BC6-4ECB-A340-F9546BA92F00}">
    <filterColumn colId="0" hiddenButton="1"/>
    <filterColumn colId="1" hiddenButton="1"/>
    <filterColumn colId="2" hiddenButton="1"/>
    <filterColumn colId="3" hiddenButton="1"/>
  </autoFilter>
  <tableColumns count="4">
    <tableColumn id="1" xr3:uid="{527F38A3-96DB-4B0A-86B4-1DDD02A567FC}" name="Candidate Name (Party)" totalsRowLabel="Total Votes by County" dataDxfId="367" totalsRowDxfId="366"/>
    <tableColumn id="4" xr3:uid="{8EA84E8F-A381-4BA3-B271-B7635927EFFA}" name="Part of Onondaga County Vote Results" totalsRowFunction="custom" dataDxfId="365" totalsRowDxfId="364">
      <totalsRowFormula>SUM(MemberOfAssemblyAssemblyDistrict128General[Part of Onondaga County Vote Results])</totalsRowFormula>
    </tableColumn>
    <tableColumn id="3" xr3:uid="{ABBDCC3F-B171-4048-B8AE-91F388150233}" name="Total Votes by Party" totalsRowFunction="custom" dataDxfId="363" totalsRowDxfId="362">
      <calculatedColumnFormula>MemberOfAssemblyAssemblyDistrict128General[[#This Row],[Part of Onondaga County Vote Results]]</calculatedColumnFormula>
      <totalsRowFormula>SUM(MemberOfAssemblyAssemblyDistrict128General[Total Votes by Party])</totalsRowFormula>
    </tableColumn>
    <tableColumn id="2" xr3:uid="{F4629083-CDF2-4312-8B01-2169C32104C2}" name="Total Votes by Candidate" dataDxfId="361" totalsRowDxfId="360"/>
  </tableColumns>
  <tableStyleInfo name="TableStyleMedium2" showFirstColumn="0" showLastColumn="0" showRowStripes="0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98E33FAC-6915-4B67-9418-9655FB530825}" name="MemberOfAssemblyAssemblyDistrict129General" displayName="MemberOfAssemblyAssemblyDistrict129General" ref="A2:D7" totalsRowCount="1" headerRowDxfId="359" dataDxfId="357" totalsRowDxfId="355" headerRowBorderDxfId="358" tableBorderDxfId="356" totalsRowBorderDxfId="354">
  <autoFilter ref="A2:D6" xr:uid="{F17DF096-FB6A-4785-B4E0-C29538779450}">
    <filterColumn colId="0" hiddenButton="1"/>
    <filterColumn colId="1" hiddenButton="1"/>
    <filterColumn colId="2" hiddenButton="1"/>
    <filterColumn colId="3" hiddenButton="1"/>
  </autoFilter>
  <tableColumns count="4">
    <tableColumn id="1" xr3:uid="{50101A2D-38B9-4F7E-87C1-D0B26A6D7047}" name="Candidate Name (Party)" totalsRowLabel="Total Votes by County" dataDxfId="353" totalsRowDxfId="352"/>
    <tableColumn id="4" xr3:uid="{6EA91A13-BDB4-4BFC-969F-A3B9C3349E55}" name="Part of Onondaga County Vote Results" totalsRowFunction="custom" dataDxfId="351" totalsRowDxfId="350">
      <totalsRowFormula>SUM(MemberOfAssemblyAssemblyDistrict129General[Part of Onondaga County Vote Results])</totalsRowFormula>
    </tableColumn>
    <tableColumn id="3" xr3:uid="{3D6AAD17-5BFC-4A34-BBE9-55C7D58AAC8D}" name="Total Votes by Party" totalsRowFunction="custom" dataDxfId="349" totalsRowDxfId="348">
      <calculatedColumnFormula>MemberOfAssemblyAssemblyDistrict129General[[#This Row],[Part of Onondaga County Vote Results]]</calculatedColumnFormula>
      <totalsRowFormula>SUM(MemberOfAssemblyAssemblyDistrict129General[Total Votes by Party])</totalsRowFormula>
    </tableColumn>
    <tableColumn id="2" xr3:uid="{83A4EB47-8AE0-4B0E-B734-F58EEEF76961}" name="Total Votes by Candidate" dataDxfId="347" totalsRowDxfId="346">
      <calculatedColumnFormula>SUM(MemberOfAssemblyAssemblyDistrict129General[[#This Row],[Total Votes by Party]])</calculatedColumnFormula>
    </tableColumn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E6FA2573-DF49-480D-9CF8-39FD39252713}" name="MemberOfAssemblyAssemblyDistrict13General" displayName="MemberOfAssemblyAssemblyDistrict13General" ref="A2:D10" totalsRowCount="1" headerRowDxfId="2086" dataDxfId="2084" totalsRowDxfId="2082" headerRowBorderDxfId="2085" tableBorderDxfId="2083" totalsRowBorderDxfId="2081">
  <autoFilter ref="A2:D9" xr:uid="{5EE8D162-0DA7-4872-A70E-4B2B44EC26B9}">
    <filterColumn colId="0" hiddenButton="1"/>
    <filterColumn colId="1" hiddenButton="1"/>
    <filterColumn colId="2" hiddenButton="1"/>
    <filterColumn colId="3" hiddenButton="1"/>
  </autoFilter>
  <tableColumns count="4">
    <tableColumn id="1" xr3:uid="{9A191D1E-F76F-4C85-87D8-9ED0E254030A}" name="Candidate Name (Party)" totalsRowLabel="Total Votes by County" dataDxfId="2080" totalsRowDxfId="2079"/>
    <tableColumn id="4" xr3:uid="{C4139793-E789-40B9-B509-C342AEB159D1}" name="Part of Nassau County Vote Results" totalsRowFunction="custom" dataDxfId="2078" totalsRowDxfId="2077">
      <totalsRowFormula>SUM(MemberOfAssemblyAssemblyDistrict13General[Part of Nassau County Vote Results])</totalsRowFormula>
    </tableColumn>
    <tableColumn id="3" xr3:uid="{EC81001B-1B2D-4F88-A33B-3D86151AC439}" name="Total Votes by Party" totalsRowFunction="custom" dataDxfId="2076" totalsRowDxfId="2075">
      <calculatedColumnFormula>MemberOfAssemblyAssemblyDistrict13General[[#This Row],[Part of Nassau County Vote Results]]</calculatedColumnFormula>
      <totalsRowFormula>SUM(MemberOfAssemblyAssemblyDistrict13General[Total Votes by Party])</totalsRowFormula>
    </tableColumn>
    <tableColumn id="2" xr3:uid="{6864C8FD-2F16-49DA-87E2-9660D8298E23}" name="Total Votes by Candidate" dataDxfId="2074" totalsRowDxfId="2073"/>
  </tableColumns>
  <tableStyleInfo name="TableStyleMedium2" showFirstColumn="0" showLastColumn="0" showRowStripes="0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BF471441-0019-42C4-9040-234ABB1F87AE}" name="MemberOfAssemblyAssemblyDistrict130General" displayName="MemberOfAssemblyAssemblyDistrict130General" ref="A2:E10" totalsRowCount="1" headerRowDxfId="345" dataDxfId="343" totalsRowDxfId="341" headerRowBorderDxfId="344" tableBorderDxfId="342" totalsRowBorderDxfId="340">
  <autoFilter ref="A2:E9" xr:uid="{366EF961-28AF-40FC-86B2-952659696D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2E882C9-791A-4F6E-BA11-F2D27D1EE38E}" name="Candidate Name (Party)" totalsRowLabel="Total Votes by County" dataDxfId="339" totalsRowDxfId="338"/>
    <tableColumn id="2" xr3:uid="{2264887A-0FAC-49BD-9E9B-9724E2F62A1F}" name="Part of Monroe County Vote Results" totalsRowFunction="custom" dataDxfId="337" totalsRowDxfId="336">
      <totalsRowFormula>SUM(MemberOfAssemblyAssemblyDistrict130General[Part of Monroe County Vote Results])</totalsRowFormula>
    </tableColumn>
    <tableColumn id="3" xr3:uid="{B287D7BB-57A9-4860-B1D7-F533F6C5CDE1}" name="Wayne County Vote Results" totalsRowFunction="custom" dataDxfId="335" totalsRowDxfId="334">
      <totalsRowFormula>SUM(MemberOfAssemblyAssemblyDistrict130General[Wayne County Vote Results])</totalsRowFormula>
    </tableColumn>
    <tableColumn id="6" xr3:uid="{ABB8170E-C074-43CF-925B-795B2BC1673A}" name="Total Votes by Party" totalsRowFunction="custom" dataDxfId="333" totalsRowDxfId="332">
      <calculatedColumnFormula>SUM(MemberOfAssemblyAssemblyDistrict130General[[#This Row],[Part of Monroe County Vote Results]:[Wayne County Vote Results]])</calculatedColumnFormula>
      <totalsRowFormula>SUM(MemberOfAssemblyAssemblyDistrict130General[Total Votes by Party])</totalsRowFormula>
    </tableColumn>
    <tableColumn id="5" xr3:uid="{52B1F5AA-B799-49DC-ABF2-DEAF215F5069}" name="Total Votes by Candidate" dataDxfId="331" totalsRowDxfId="330"/>
  </tableColumns>
  <tableStyleInfo name="TableStyleMedium2" showFirstColumn="0" showLastColumn="0" showRowStripes="0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0BADCA5E-9CC7-4EEF-BADC-BA7794F59FFB}" name="MemberOfAssemblyAssemblyDistrict131General" displayName="MemberOfAssemblyAssemblyDistrict131General" ref="A2:J8" totalsRowCount="1" headerRowDxfId="329" dataDxfId="327" totalsRowDxfId="325" headerRowBorderDxfId="328" tableBorderDxfId="326" totalsRowBorderDxfId="324">
  <autoFilter ref="A2:J7" xr:uid="{9B998EDB-6C22-4338-A352-4F99B6C518A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3CF9E47-9BD7-4D40-865E-11DCED669DC9}" name="Candidate Name (Party)" totalsRowLabel="Total Votes by County" dataDxfId="323" totalsRowDxfId="322"/>
    <tableColumn id="2" xr3:uid="{DB063E37-DFC0-432F-A8C7-32C4D3C2DF59}" name="Part of Broome County Vote Results" totalsRowFunction="custom" dataDxfId="321" totalsRowDxfId="320">
      <totalsRowFormula>SUM(MemberOfAssemblyAssemblyDistrict131General[Part of Broome County Vote Results])</totalsRowFormula>
    </tableColumn>
    <tableColumn id="11" xr3:uid="{D2FE907E-1615-4B65-8E0B-3B674A766BA8}" name="Part of Cayuga County Vote Results" totalsRowFunction="custom" dataDxfId="319" totalsRowDxfId="318">
      <totalsRowFormula>SUM(MemberOfAssemblyAssemblyDistrict131General[Part of Cayuga County Vote Results])</totalsRowFormula>
    </tableColumn>
    <tableColumn id="10" xr3:uid="{630C0725-11B9-4EDF-BF1A-235D9BCEEE69}" name="Part of Chenango County Vote Results" totalsRowFunction="custom" dataDxfId="317" totalsRowDxfId="316">
      <totalsRowFormula>SUM(MemberOfAssemblyAssemblyDistrict131General[Part of Chenango County Vote Results])</totalsRowFormula>
    </tableColumn>
    <tableColumn id="12" xr3:uid="{00013C9E-36B0-441A-8E09-2B3A8BDC948F}" name="Part of Cortland County Vote Results" totalsRowFunction="custom" dataDxfId="315" totalsRowDxfId="314">
      <totalsRowFormula>SUM(MemberOfAssemblyAssemblyDistrict131General[Part of Cortland County Vote Results])</totalsRowFormula>
    </tableColumn>
    <tableColumn id="14" xr3:uid="{0810C4C6-A164-45B8-9528-CD2356726962}" name="Part of Madison County Vote Results" totalsRowFunction="custom" dataDxfId="313" totalsRowDxfId="312">
      <totalsRowFormula>SUM(MemberOfAssemblyAssemblyDistrict131General[Part of Madison County Vote Results])</totalsRowFormula>
    </tableColumn>
    <tableColumn id="13" xr3:uid="{E12633F6-78AE-4C51-927D-B8559CB88F32}" name="Part of Ontario County Vote Results" totalsRowFunction="custom" dataDxfId="311" totalsRowDxfId="310">
      <totalsRowFormula>SUM(MemberOfAssemblyAssemblyDistrict131General[Part of Ontario County Vote Results])</totalsRowFormula>
    </tableColumn>
    <tableColumn id="4" xr3:uid="{A444B650-1E34-4A0C-B5CB-F83DECE239D7}" name="Part of Seneca County Vote Results" totalsRowFunction="custom" dataDxfId="309" totalsRowDxfId="308">
      <totalsRowFormula>SUM(MemberOfAssemblyAssemblyDistrict131General[Part of Seneca County Vote Results])</totalsRowFormula>
    </tableColumn>
    <tableColumn id="3" xr3:uid="{EFA83790-7E79-4949-9744-4BCCCB39EAAD}" name="Total Votes by Party" totalsRowFunction="custom" dataDxfId="307" totalsRowDxfId="306">
      <calculatedColumnFormula>SUM(MemberOfAssemblyAssemblyDistrict131General[[#This Row],[Part of Broome County Vote Results]:[Part of Seneca County Vote Results]])</calculatedColumnFormula>
      <totalsRowFormula>SUBTOTAL(109,I3:I7)</totalsRowFormula>
    </tableColumn>
    <tableColumn id="5" xr3:uid="{ED05D685-2383-4711-997F-5CAD3E3055A1}" name="Total Votes by Candidate" dataDxfId="305" totalsRowDxfId="304">
      <calculatedColumnFormula>SUM(MemberOfAssemblyAssemblyDistrict131General[[#This Row],[Total Votes by Party]],I4)</calculatedColumnFormula>
    </tableColumn>
  </tableColumns>
  <tableStyleInfo name="TableStyleMedium2" showFirstColumn="0" showLastColumn="0" showRowStripes="0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8A739141-83D9-4920-BDA7-9865E8CBA6F4}" name="MemberOfAssemblyAssemblyDistrict132General" displayName="MemberOfAssemblyAssemblyDistrict132General" ref="A2:H8" totalsRowCount="1" headerRowDxfId="303" dataDxfId="301" totalsRowDxfId="299" headerRowBorderDxfId="302" tableBorderDxfId="300" totalsRowBorderDxfId="298">
  <autoFilter ref="A2:H7" xr:uid="{D9E396D6-E3F2-4009-AD56-98ED1C79FD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3A3DE9D-CF62-4CA8-9FAD-7A2C2F953CD2}" name="Candidate Name (Party)" totalsRowLabel="Total Votes by County" dataDxfId="297" totalsRowDxfId="296"/>
    <tableColumn id="2" xr3:uid="{F41FFC52-1F23-4740-BA11-0B31A842BAEC}" name="Part of Chemung County Vote Results" totalsRowFunction="custom" dataDxfId="295" totalsRowDxfId="294">
      <totalsRowFormula>SUM(MemberOfAssemblyAssemblyDistrict132General[Part of Chemung County Vote Results])</totalsRowFormula>
    </tableColumn>
    <tableColumn id="6" xr3:uid="{97D7C51B-0A29-40A3-8BC4-E1B84BAEFC6E}" name="Schuyler County Vote Results" totalsRowFunction="custom" dataDxfId="293" totalsRowDxfId="292">
      <totalsRowFormula>SUM(MemberOfAssemblyAssemblyDistrict132General[Schuyler County Vote Results])</totalsRowFormula>
    </tableColumn>
    <tableColumn id="7" xr3:uid="{99186820-00F7-4368-962B-A91105F6D61D}" name="Part of Seneca County Vote Results" totalsRowFunction="custom" dataDxfId="291" totalsRowDxfId="290">
      <totalsRowFormula>SUM(MemberOfAssemblyAssemblyDistrict132General[Part of Seneca County Vote Results])</totalsRowFormula>
    </tableColumn>
    <tableColumn id="3" xr3:uid="{A74D8E68-AD0B-4224-B968-CF28D66E5115}" name="Part of Steuben County Vote Results" totalsRowFunction="custom" dataDxfId="289" totalsRowDxfId="288">
      <totalsRowFormula>SUM(MemberOfAssemblyAssemblyDistrict132General[Part of Steuben County Vote Results])</totalsRowFormula>
    </tableColumn>
    <tableColumn id="4" xr3:uid="{20150DCB-9974-42FB-B152-28553FAF5826}" name="Yates County Vote Results" totalsRowFunction="custom" dataDxfId="287" totalsRowDxfId="286">
      <totalsRowFormula>SUM(MemberOfAssemblyAssemblyDistrict132General[Yates County Vote Results])</totalsRowFormula>
    </tableColumn>
    <tableColumn id="8" xr3:uid="{E6E5E7D3-5B6A-4F6E-9781-422AED1306A0}" name="Total Votes by Party" totalsRowFunction="custom" dataDxfId="285" totalsRowDxfId="284">
      <calculatedColumnFormula>SUM(MemberOfAssemblyAssemblyDistrict132General[[#This Row],[Part of Chemung County Vote Results]:[Yates County Vote Results]])</calculatedColumnFormula>
      <totalsRowFormula>SUM(MemberOfAssemblyAssemblyDistrict132General[Total Votes by Party])</totalsRowFormula>
    </tableColumn>
    <tableColumn id="5" xr3:uid="{FEDCD0BE-7CAA-43AE-BBBC-D64A54E09A26}" name="Total Votes by Candidate" dataDxfId="283" totalsRowDxfId="282">
      <calculatedColumnFormula>SUM(MemberOfAssemblyAssemblyDistrict132General[[#This Row],[Total Votes by Party]],G4)</calculatedColumnFormula>
    </tableColumn>
  </tableColumns>
  <tableStyleInfo name="TableStyleMedium2" showFirstColumn="0" showLastColumn="0" showRowStripes="0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61FADB20-B158-43A3-A367-6111DDD47A98}" name="MemberOfAssemblyAssemblyDistrict133General" displayName="MemberOfAssemblyAssemblyDistrict133General" ref="A2:H9" totalsRowCount="1" headerRowDxfId="281" dataDxfId="279" totalsRowDxfId="277" headerRowBorderDxfId="280" tableBorderDxfId="278" totalsRowBorderDxfId="276">
  <autoFilter ref="A2:H8" xr:uid="{860B7522-4AC4-40E4-882A-07CFC38C76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60BCC18-10D3-47CC-8152-7B6C60C1F068}" name="Candidate Name (Party)" totalsRowLabel="Total Votes by County" dataDxfId="275" totalsRowDxfId="274"/>
    <tableColumn id="2" xr3:uid="{DEE599DA-4629-42AA-9867-E5850076D831}" name="Livingston County Vote Results" totalsRowFunction="custom" dataDxfId="273" totalsRowDxfId="272">
      <totalsRowFormula>SUM(MemberOfAssemblyAssemblyDistrict133General[Livingston County Vote Results])</totalsRowFormula>
    </tableColumn>
    <tableColumn id="3" xr3:uid="{EDCA31C7-78F9-4942-BC40-D78EE09FF206}" name="Part of Monroe County Vote Results" totalsRowFunction="custom" dataDxfId="271" totalsRowDxfId="270">
      <totalsRowFormula>SUM(MemberOfAssemblyAssemblyDistrict133General[Part of Monroe County Vote Results])</totalsRowFormula>
    </tableColumn>
    <tableColumn id="7" xr3:uid="{30C1A5E8-311B-4BA1-B2BB-5E9417DEB9BF}" name="Part of Ontario County Vote Results" totalsRowFunction="custom" dataDxfId="269" totalsRowDxfId="268">
      <totalsRowFormula>SUM(MemberOfAssemblyAssemblyDistrict133General[Part of Ontario County Vote Results])</totalsRowFormula>
    </tableColumn>
    <tableColumn id="8" xr3:uid="{635FF4E2-385B-4FD0-8CCB-35ACB54F8193}" name="Part of Steuben County Vote Results" totalsRowFunction="custom" dataDxfId="267" totalsRowDxfId="266">
      <totalsRowFormula>SUM(MemberOfAssemblyAssemblyDistrict133General[Part of Steuben County Vote Results])</totalsRowFormula>
    </tableColumn>
    <tableColumn id="4" xr3:uid="{9FEC04FB-6D1B-4EA8-BEDA-5A71D145D192}" name="Part of Wyoming County Vote Results" totalsRowFunction="custom" dataDxfId="265" totalsRowDxfId="264">
      <totalsRowFormula>SUM(MemberOfAssemblyAssemblyDistrict133General[Part of Wyoming County Vote Results])</totalsRowFormula>
    </tableColumn>
    <tableColumn id="6" xr3:uid="{01AC9308-CB39-48C3-B8D9-6AFFD46ECAF9}" name="Total Votes by Party" totalsRowFunction="custom" dataDxfId="263" totalsRowDxfId="262">
      <calculatedColumnFormula>SUM(MemberOfAssemblyAssemblyDistrict133General[[#This Row],[Livingston County Vote Results]:[Part of Wyoming County Vote Results]])</calculatedColumnFormula>
      <totalsRowFormula>SUM(MemberOfAssemblyAssemblyDistrict133General[Total Votes by Party])</totalsRowFormula>
    </tableColumn>
    <tableColumn id="5" xr3:uid="{28B22CBA-6940-4F2E-AF76-11C05E3F53D1}" name="Total Votes by Candidate" dataDxfId="261" totalsRowDxfId="260"/>
  </tableColumns>
  <tableStyleInfo name="TableStyleMedium2" showFirstColumn="0" showLastColumn="0" showRowStripes="0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5CC41382-A18A-4F42-AD52-FB106609982E}" name="MemberOfAssemblyAssemblyDistrict134General" displayName="MemberOfAssemblyAssemblyDistrict134General" ref="A2:D8" totalsRowCount="1" headerRowDxfId="259" dataDxfId="257" totalsRowDxfId="255" headerRowBorderDxfId="258" tableBorderDxfId="256" totalsRowBorderDxfId="254">
  <autoFilter ref="A2:D7" xr:uid="{52EEF178-30B9-49E7-AC64-7CB8626191A7}">
    <filterColumn colId="0" hiddenButton="1"/>
    <filterColumn colId="1" hiddenButton="1"/>
    <filterColumn colId="2" hiddenButton="1"/>
    <filterColumn colId="3" hiddenButton="1"/>
  </autoFilter>
  <tableColumns count="4">
    <tableColumn id="1" xr3:uid="{47B18943-2875-4409-9AC8-1DF8250042DE}" name="Candidate Name (Party)" totalsRowLabel="Total Votes by County" dataDxfId="253" totalsRowDxfId="252"/>
    <tableColumn id="4" xr3:uid="{5ECFA244-FC4C-4FAF-B007-BD11C8B8F3C2}" name="Part of Monroe County Vote Results" totalsRowFunction="custom" dataDxfId="251" totalsRowDxfId="250">
      <totalsRowFormula>SUM(MemberOfAssemblyAssemblyDistrict134General[Part of Monroe County Vote Results])</totalsRowFormula>
    </tableColumn>
    <tableColumn id="3" xr3:uid="{D06871F2-B76B-4640-84A0-958D01B75EAD}" name="Total Votes by Party" totalsRowFunction="custom" dataDxfId="249" totalsRowDxfId="248">
      <calculatedColumnFormula>MemberOfAssemblyAssemblyDistrict134General[[#This Row],[Part of Monroe County Vote Results]]</calculatedColumnFormula>
      <totalsRowFormula>SUM(MemberOfAssemblyAssemblyDistrict134General[Total Votes by Party])</totalsRowFormula>
    </tableColumn>
    <tableColumn id="2" xr3:uid="{BA666B66-F77C-4929-B7A5-F21473195E81}" name="Total Votes by Candidate" dataDxfId="247" totalsRowDxfId="246">
      <calculatedColumnFormula>SUM(MemberOfAssemblyAssemblyDistrict134General[[#This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8B196C70-1000-4850-8E36-D6ADFFBB0E38}" name="MemberOfAssemblyAssemblyDistrict135General" displayName="MemberOfAssemblyAssemblyDistrict135General" ref="A2:D10" totalsRowCount="1" headerRowDxfId="245" dataDxfId="243" totalsRowDxfId="241" headerRowBorderDxfId="244" tableBorderDxfId="242" totalsRowBorderDxfId="240">
  <autoFilter ref="A2:D9" xr:uid="{D08F31AE-6FD4-4301-9647-C827304B8EB0}">
    <filterColumn colId="0" hiddenButton="1"/>
    <filterColumn colId="1" hiddenButton="1"/>
    <filterColumn colId="2" hiddenButton="1"/>
    <filterColumn colId="3" hiddenButton="1"/>
  </autoFilter>
  <tableColumns count="4">
    <tableColumn id="1" xr3:uid="{ACF1219C-D0D0-4BB9-A6BF-EF04BCC305ED}" name="Candidate Name (Party)" totalsRowLabel="Total Votes by County" dataDxfId="239" totalsRowDxfId="238"/>
    <tableColumn id="4" xr3:uid="{2D8E81D6-7366-4DBF-8B3F-A43E054701CF}" name="Part of Monroe County Vote Results" totalsRowFunction="custom" dataDxfId="237" totalsRowDxfId="236">
      <totalsRowFormula>SUM(MemberOfAssemblyAssemblyDistrict135General[Part of Monroe County Vote Results])</totalsRowFormula>
    </tableColumn>
    <tableColumn id="3" xr3:uid="{69089848-0425-434A-BAB0-A6131641FE79}" name="Total Votes by Party" totalsRowFunction="custom" dataDxfId="235" totalsRowDxfId="234">
      <calculatedColumnFormula>SUM(MemberOfAssemblyAssemblyDistrict135General[[#This Row],[Part of Monroe County Vote Results]])</calculatedColumnFormula>
      <totalsRowFormula>SUM(MemberOfAssemblyAssemblyDistrict135General[Total Votes by Party])</totalsRowFormula>
    </tableColumn>
    <tableColumn id="2" xr3:uid="{AC85BA6D-291E-48A4-85A7-42FF128D4A4C}" name="Total Votes by Candidate" dataDxfId="233" totalsRowDxfId="232"/>
  </tableColumns>
  <tableStyleInfo name="TableStyleMedium2" showFirstColumn="0" showLastColumn="0" showRowStripes="0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1EDCBB79-BFE8-4D69-B88A-DB5555B772E4}" name="MemberOfAssemblyAssemblyDistrict136General" displayName="MemberOfAssemblyAssemblyDistrict136General" ref="A2:D10" totalsRowCount="1" headerRowDxfId="231" dataDxfId="229" totalsRowDxfId="227" headerRowBorderDxfId="230" tableBorderDxfId="228" totalsRowBorderDxfId="226">
  <autoFilter ref="A2:D9" xr:uid="{A8AF5231-8278-49CA-9700-D9204A02A849}">
    <filterColumn colId="0" hiddenButton="1"/>
    <filterColumn colId="1" hiddenButton="1"/>
    <filterColumn colId="2" hiddenButton="1"/>
    <filterColumn colId="3" hiddenButton="1"/>
  </autoFilter>
  <tableColumns count="4">
    <tableColumn id="1" xr3:uid="{693CEDFB-4210-445D-864B-F1FFCC00267F}" name="Candidate Name (Party)" totalsRowLabel="Total Votes by County" dataDxfId="225" totalsRowDxfId="224"/>
    <tableColumn id="4" xr3:uid="{EEC3850B-1EF9-4558-B3DF-75F20C3D1182}" name="Part of Monroe County Vote Results" totalsRowFunction="custom" dataDxfId="223" totalsRowDxfId="222">
      <totalsRowFormula>SUM(MemberOfAssemblyAssemblyDistrict136General[Part of Monroe County Vote Results])</totalsRowFormula>
    </tableColumn>
    <tableColumn id="3" xr3:uid="{A8395BA2-D757-447C-8365-5835C94BCB0D}" name="Total Votes by Party" totalsRowFunction="custom" dataDxfId="221" totalsRowDxfId="220">
      <calculatedColumnFormula>B3</calculatedColumnFormula>
      <totalsRowFormula>SUM(MemberOfAssemblyAssemblyDistrict136General[Total Votes by Party])</totalsRowFormula>
    </tableColumn>
    <tableColumn id="2" xr3:uid="{A090BD7F-3A1A-4CB0-BD88-536E37607250}" name="Total Votes by Candidate" dataDxfId="219" totalsRowDxfId="218">
      <calculatedColumnFormula>SUM(MemberOfAssemblyAssemblyDistrict136General[[#This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BD7ECB03-AAF7-4D6D-84A4-E9A32F0CA6EE}" name="MemberOfAssemblyAssemblyDistrict137General" displayName="MemberOfAssemblyAssemblyDistrict137General" ref="A2:D10" totalsRowCount="1" headerRowDxfId="217" dataDxfId="215" totalsRowDxfId="213" headerRowBorderDxfId="216" tableBorderDxfId="214" totalsRowBorderDxfId="212">
  <autoFilter ref="A2:D9" xr:uid="{131EAACA-BE16-410F-9DCB-436E3BF36992}">
    <filterColumn colId="0" hiddenButton="1"/>
    <filterColumn colId="1" hiddenButton="1"/>
    <filterColumn colId="2" hiddenButton="1"/>
    <filterColumn colId="3" hiddenButton="1"/>
  </autoFilter>
  <tableColumns count="4">
    <tableColumn id="1" xr3:uid="{A60D22AF-A819-4BF9-970C-216D0C7F654E}" name="Candidate Name (Party)" totalsRowLabel="Total Votes by County" dataDxfId="211" totalsRowDxfId="210"/>
    <tableColumn id="4" xr3:uid="{A12A9395-46D1-4C31-9402-804F491B3CDF}" name="Part of Monroe County Vote Results" totalsRowFunction="custom" dataDxfId="209" totalsRowDxfId="208">
      <totalsRowFormula>SUM(MemberOfAssemblyAssemblyDistrict137General[Part of Monroe County Vote Results])</totalsRowFormula>
    </tableColumn>
    <tableColumn id="3" xr3:uid="{78680DDB-D9BE-4294-87EB-BC377444D461}" name="Total Votes by Party" totalsRowFunction="custom" dataDxfId="207" totalsRowDxfId="206">
      <calculatedColumnFormula>MemberOfAssemblyAssemblyDistrict137General[[#This Row],[Part of Monroe County Vote Results]]</calculatedColumnFormula>
      <totalsRowFormula>SUM(MemberOfAssemblyAssemblyDistrict137General[Total Votes by Party])</totalsRowFormula>
    </tableColumn>
    <tableColumn id="2" xr3:uid="{9F6788E0-CB1A-47E1-9909-E4CD76BEFD7B}" name="Total Votes by Candidate" dataDxfId="205" totalsRowDxfId="204">
      <calculatedColumnFormula>SUM(MemberOfAssemblyAssemblyDistrict137General[[#This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1D8C6C14-B493-4BB7-9275-900667640D2C}" name="MemberOfAssemblyAssemblyDistrict138General" displayName="MemberOfAssemblyAssemblyDistrict138General" ref="A2:D10" totalsRowCount="1" headerRowDxfId="203" dataDxfId="201" totalsRowDxfId="199" headerRowBorderDxfId="202" tableBorderDxfId="200" totalsRowBorderDxfId="198">
  <autoFilter ref="A2:D9" xr:uid="{454EBD1B-7770-41A5-B8A8-0820457DFCD8}">
    <filterColumn colId="0" hiddenButton="1"/>
    <filterColumn colId="1" hiddenButton="1"/>
    <filterColumn colId="2" hiddenButton="1"/>
    <filterColumn colId="3" hiddenButton="1"/>
  </autoFilter>
  <tableColumns count="4">
    <tableColumn id="1" xr3:uid="{7A502E75-EAD4-498A-A99B-8E42A2806FD1}" name="Candidate Name (Party)" totalsRowLabel="Total Votes by County" dataDxfId="197" totalsRowDxfId="196"/>
    <tableColumn id="4" xr3:uid="{E14C7478-BC4D-4581-835A-55D737C3BA3A}" name="Part of Monroe County Vote Results" totalsRowFunction="custom" dataDxfId="195" totalsRowDxfId="194">
      <totalsRowFormula>SUM(MemberOfAssemblyAssemblyDistrict138General[Part of Monroe County Vote Results])</totalsRowFormula>
    </tableColumn>
    <tableColumn id="3" xr3:uid="{20EB2B7C-367C-4596-86AD-BC1C6029A0CD}" name="Total Votes by Party" totalsRowFunction="custom" dataDxfId="193" totalsRowDxfId="192">
      <calculatedColumnFormula>MemberOfAssemblyAssemblyDistrict138General[[#This Row],[Part of Monroe County Vote Results]]</calculatedColumnFormula>
      <totalsRowFormula>SUM(MemberOfAssemblyAssemblyDistrict138General[Total Votes by Party])</totalsRowFormula>
    </tableColumn>
    <tableColumn id="2" xr3:uid="{3A308507-68DA-40B7-9AE8-432C9BABCFF6}" name="Total Votes by Candidate" dataDxfId="191" totalsRowDxfId="190"/>
  </tableColumns>
  <tableStyleInfo name="TableStyleMedium2" showFirstColumn="0" showLastColumn="0" showRowStripes="0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442D70FC-89AD-42C8-8527-A76C960E9826}" name="MemberOfAssemblyAssemblyDistrict139General" displayName="MemberOfAssemblyAssemblyDistrict139General" ref="A2:G9" totalsRowCount="1" headerRowDxfId="189" dataDxfId="187" totalsRowDxfId="185" headerRowBorderDxfId="188" tableBorderDxfId="186" totalsRowBorderDxfId="184">
  <autoFilter ref="A2:G8" xr:uid="{CB957A37-C1A3-4F36-A4B3-278A92870F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966E5F7-6AA9-4D66-A886-1A380DF5C90E}" name="Candidate Name (Party)" totalsRowLabel="Total Votes by County" dataDxfId="183" totalsRowDxfId="182"/>
    <tableColumn id="2" xr3:uid="{E0FD7D90-5DC1-40E0-A849-37175A3692DF}" name="Part of Erie County Vote Results" totalsRowFunction="custom" dataDxfId="181" totalsRowDxfId="180">
      <totalsRowFormula>SUM(MemberOfAssemblyAssemblyDistrict139General[Part of Erie County Vote Results])</totalsRowFormula>
    </tableColumn>
    <tableColumn id="7" xr3:uid="{983F0D31-666E-4989-A077-73366E1D4BBE}" name="Genesee County Vote Results" totalsRowFunction="custom" dataDxfId="179" totalsRowDxfId="178">
      <totalsRowFormula>SUM(MemberOfAssemblyAssemblyDistrict139General[Genesee County Vote Results])</totalsRowFormula>
    </tableColumn>
    <tableColumn id="8" xr3:uid="{65A9C46D-23AE-4D0C-B33F-B02FDBF811D3}" name="Part of Monroe County Vote Results" totalsRowFunction="custom" dataDxfId="177" totalsRowDxfId="176">
      <totalsRowFormula>SUM(MemberOfAssemblyAssemblyDistrict139General[Part of Monroe County Vote Results])</totalsRowFormula>
    </tableColumn>
    <tableColumn id="4" xr3:uid="{B7212608-2110-4C6C-9B5E-03A40AA8C233}" name="Orleans County Vote Results" totalsRowFunction="custom" dataDxfId="175" totalsRowDxfId="174">
      <totalsRowFormula>SUM(MemberOfAssemblyAssemblyDistrict139General[Orleans County Vote Results])</totalsRowFormula>
    </tableColumn>
    <tableColumn id="6" xr3:uid="{65229B2B-F4C5-4E20-8CB7-597D050F4332}" name="Total Votes by Party" totalsRowFunction="custom" dataDxfId="173" totalsRowDxfId="172">
      <calculatedColumnFormula>SUM(MemberOfAssemblyAssemblyDistrict139General[[#This Row],[Part of Erie County Vote Results]:[Orleans County Vote Results]])</calculatedColumnFormula>
      <totalsRowFormula>SUM(MemberOfAssemblyAssemblyDistrict139General[Total Votes by Party])</totalsRowFormula>
    </tableColumn>
    <tableColumn id="5" xr3:uid="{CC10EC08-471C-4EDA-BF04-EAE7D9E4D536}" name="Total Votes by Candidate" dataDxfId="171" totalsRowDxfId="170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D446F0BE-F656-457E-B5F6-B34373087219}" name="MemberOfAssemblyAssemblyDistrict14General" displayName="MemberOfAssemblyAssemblyDistrict14General" ref="A2:D9" totalsRowCount="1" headerRowDxfId="2072" dataDxfId="2070" totalsRowDxfId="2068" headerRowBorderDxfId="2071" tableBorderDxfId="2069" totalsRowBorderDxfId="2067">
  <autoFilter ref="A2:D8" xr:uid="{F438094B-05A3-4A80-B6D4-572EB6EA794B}">
    <filterColumn colId="0" hiddenButton="1"/>
    <filterColumn colId="1" hiddenButton="1"/>
    <filterColumn colId="2" hiddenButton="1"/>
    <filterColumn colId="3" hiddenButton="1"/>
  </autoFilter>
  <tableColumns count="4">
    <tableColumn id="1" xr3:uid="{ED52E400-E270-4948-A2E1-62467E3B5E47}" name="Candidate Name (Party)" totalsRowLabel="Total Votes by County" dataDxfId="2066" totalsRowDxfId="2065"/>
    <tableColumn id="4" xr3:uid="{0DD436AB-FFD5-486A-A447-58F73381EC84}" name="Part of Nassau County Vote Results" totalsRowFunction="custom" dataDxfId="2064" totalsRowDxfId="2063">
      <totalsRowFormula>SUM(MemberOfAssemblyAssemblyDistrict14General[Part of Nassau County Vote Results])</totalsRowFormula>
    </tableColumn>
    <tableColumn id="3" xr3:uid="{577BE9EB-A1EE-43BC-9E03-D779EF7C97C3}" name="Total Votes by Party" totalsRowFunction="custom" dataDxfId="2062" totalsRowDxfId="2061">
      <calculatedColumnFormula>MemberOfAssemblyAssemblyDistrict14General[[#This Row],[Part of Nassau County Vote Results]]</calculatedColumnFormula>
      <totalsRowFormula>SUM(MemberOfAssemblyAssemblyDistrict14General[Total Votes by Party])</totalsRowFormula>
    </tableColumn>
    <tableColumn id="2" xr3:uid="{61CA9B74-9925-4CD3-9996-EBDCBA0673D6}" name="Total Votes by Candidate" dataDxfId="2060" totalsRowDxfId="2059"/>
  </tableColumns>
  <tableStyleInfo name="TableStyleMedium2" showFirstColumn="0" showLastColumn="0" showRowStripes="0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4A14B1CC-79D5-4D68-AE00-0CD06259517A}" name="MemberOfAssemblyAssemblyDistrict140General" displayName="MemberOfAssemblyAssemblyDistrict140General" ref="A2:E10" totalsRowCount="1" headerRowDxfId="169" dataDxfId="167" totalsRowDxfId="165" headerRowBorderDxfId="168" tableBorderDxfId="166" totalsRowBorderDxfId="164">
  <autoFilter ref="A2:E9" xr:uid="{9105780F-69CF-40D1-B2C6-3E7BA5C3B0F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3EB6B3-009D-4123-A951-3848C39933FA}" name="Candidate Name (Party)" totalsRowLabel="Total Votes by County" dataDxfId="163" totalsRowDxfId="162"/>
    <tableColumn id="2" xr3:uid="{A3DD0444-C349-41C3-9016-71E94D371E6B}" name="Part of Erie County Vote Results" totalsRowFunction="custom" dataDxfId="161" totalsRowDxfId="160">
      <totalsRowFormula>SUM(MemberOfAssemblyAssemblyDistrict140General[Part of Erie County Vote Results])</totalsRowFormula>
    </tableColumn>
    <tableColumn id="4" xr3:uid="{882EDD74-190C-474E-B96A-3403AD20FA6E}" name="Part of Niagara County Vote Results" totalsRowFunction="custom" dataDxfId="159" totalsRowDxfId="158">
      <totalsRowFormula>SUM(MemberOfAssemblyAssemblyDistrict140General[Part of Niagara County Vote Results])</totalsRowFormula>
    </tableColumn>
    <tableColumn id="3" xr3:uid="{53AC8BAC-F0CC-4CB2-8E29-CEEDA24FB3CC}" name="Total Votes by Party" totalsRowFunction="custom" dataDxfId="157" totalsRowDxfId="156">
      <calculatedColumnFormula>SUM(MemberOfAssemblyAssemblyDistrict140General[[#This Row],[Part of Erie County Vote Results]:[Part of Niagara County Vote Results]])</calculatedColumnFormula>
      <totalsRowFormula>SUM(MemberOfAssemblyAssemblyDistrict140General[Total Votes by Party])</totalsRowFormula>
    </tableColumn>
    <tableColumn id="5" xr3:uid="{EB409B90-4E19-4EC9-8296-7C49179A85CF}" name="Total Votes by Candidate" dataDxfId="155" totalsRowDxfId="154"/>
  </tableColumns>
  <tableStyleInfo name="TableStyleMedium2" showFirstColumn="0" showLastColumn="0" showRowStripes="0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E7666892-C89C-450E-BA7C-B69E09881E11}" name="MemberOfAssemblyAssemblyDistrict141General" displayName="MemberOfAssemblyAssemblyDistrict141General" ref="A2:D7" totalsRowCount="1" headerRowDxfId="153" dataDxfId="151" totalsRowDxfId="149" headerRowBorderDxfId="152" tableBorderDxfId="150" totalsRowBorderDxfId="148">
  <autoFilter ref="A2:D6" xr:uid="{02EAEC1C-02FF-491A-B364-A84E58635711}">
    <filterColumn colId="0" hiddenButton="1"/>
    <filterColumn colId="1" hiddenButton="1"/>
    <filterColumn colId="2" hiddenButton="1"/>
    <filterColumn colId="3" hiddenButton="1"/>
  </autoFilter>
  <tableColumns count="4">
    <tableColumn id="1" xr3:uid="{72743A65-B029-4EF2-92F1-DBF9F30AE4F4}" name="Candidate Name (Party)" totalsRowLabel="Total Votes by County" dataDxfId="147" totalsRowDxfId="146"/>
    <tableColumn id="4" xr3:uid="{4BD8B046-6A23-44F5-A98B-94496FF62AFC}" name="Part of Erie County Vote Results" totalsRowFunction="custom" dataDxfId="145" totalsRowDxfId="144">
      <totalsRowFormula>SUM(MemberOfAssemblyAssemblyDistrict141General[Part of Erie County Vote Results])</totalsRowFormula>
    </tableColumn>
    <tableColumn id="3" xr3:uid="{2E41E330-02E5-4934-BF30-48C7B4DD367F}" name="Total Votes by Party" totalsRowFunction="custom" dataDxfId="143" totalsRowDxfId="142">
      <calculatedColumnFormula>MemberOfAssemblyAssemblyDistrict141General[[#This Row],[Part of Erie County Vote Results]]</calculatedColumnFormula>
      <totalsRowFormula>SUM(MemberOfAssemblyAssemblyDistrict141General[Total Votes by Party])</totalsRowFormula>
    </tableColumn>
    <tableColumn id="2" xr3:uid="{9A77FCDA-69CF-48FE-8812-B23BD82D5695}" name="Total Votes by Candidate" dataDxfId="141" totalsRowDxfId="140"/>
  </tableColumns>
  <tableStyleInfo name="TableStyleMedium2" showFirstColumn="0" showLastColumn="0" showRowStripes="0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A7A5A6A3-C19B-4EDB-AB0F-ED7836FD2D89}" name="MemberOfAssemblyAssemblyDistrict142General" displayName="MemberOfAssemblyAssemblyDistrict142General" ref="A2:D9" totalsRowCount="1" headerRowDxfId="139" dataDxfId="137" totalsRowDxfId="135" headerRowBorderDxfId="138" tableBorderDxfId="136" totalsRowBorderDxfId="134">
  <autoFilter ref="A2:D8" xr:uid="{3FB75B32-0FF2-4A7A-9C5A-8149A0434CE3}">
    <filterColumn colId="0" hiddenButton="1"/>
    <filterColumn colId="1" hiddenButton="1"/>
    <filterColumn colId="2" hiddenButton="1"/>
    <filterColumn colId="3" hiddenButton="1"/>
  </autoFilter>
  <tableColumns count="4">
    <tableColumn id="1" xr3:uid="{9BBC2E3A-FE2A-427A-8540-11E225B3E411}" name="Candidate Name (Party)" totalsRowLabel="Total Votes by County" dataDxfId="133" totalsRowDxfId="132"/>
    <tableColumn id="4" xr3:uid="{6A8259C3-364C-4F74-A7A8-FF67BD4DD802}" name="Part of Erie County Vote Results" totalsRowFunction="custom" dataDxfId="131" totalsRowDxfId="130">
      <totalsRowFormula>SUM(MemberOfAssemblyAssemblyDistrict142General[Part of Erie County Vote Results])</totalsRowFormula>
    </tableColumn>
    <tableColumn id="3" xr3:uid="{48A20FE2-973C-41A0-8A56-065BCA6E5D4E}" name="Total Votes by Party" totalsRowFunction="custom" dataDxfId="129" totalsRowDxfId="128">
      <calculatedColumnFormula>MemberOfAssemblyAssemblyDistrict142General[[#This Row],[Part of Erie County Vote Results]]</calculatedColumnFormula>
      <totalsRowFormula>SUM(MemberOfAssemblyAssemblyDistrict142General[Total Votes by Party])</totalsRowFormula>
    </tableColumn>
    <tableColumn id="2" xr3:uid="{E4D1E383-597F-4B2F-9439-1E90E7F8ED09}" name="Total Votes by Candidate" dataDxfId="127" totalsRowDxfId="126"/>
  </tableColumns>
  <tableStyleInfo name="TableStyleMedium2" showFirstColumn="0" showLastColumn="0" showRowStripes="0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63FA7E2C-A846-4C78-BE4A-5564D6072C55}" name="MemberOfAssemblyAssemblyDistrict143General" displayName="MemberOfAssemblyAssemblyDistrict143General" ref="A2:D10" totalsRowCount="1" headerRowDxfId="125" dataDxfId="123" totalsRowDxfId="121" headerRowBorderDxfId="124" tableBorderDxfId="122" totalsRowBorderDxfId="120">
  <autoFilter ref="A2:D9" xr:uid="{C03B26A6-95F3-4A96-8313-C562B18655CB}">
    <filterColumn colId="0" hiddenButton="1"/>
    <filterColumn colId="1" hiddenButton="1"/>
    <filterColumn colId="2" hiddenButton="1"/>
    <filterColumn colId="3" hiddenButton="1"/>
  </autoFilter>
  <tableColumns count="4">
    <tableColumn id="1" xr3:uid="{A898BC0C-95F7-4F50-9496-5452CA1A79A3}" name="Candidate Name (Party)" totalsRowLabel="Total Votes by County" dataDxfId="119" totalsRowDxfId="118"/>
    <tableColumn id="4" xr3:uid="{9FBA2DAF-9298-485D-8AB3-23D566984E22}" name="Part of Erie County Vote Results" totalsRowFunction="custom" dataDxfId="117" totalsRowDxfId="116">
      <totalsRowFormula>SUM(MemberOfAssemblyAssemblyDistrict143General[Part of Erie County Vote Results])</totalsRowFormula>
    </tableColumn>
    <tableColumn id="3" xr3:uid="{15039F51-6E68-4886-A13D-2564DDDE63A7}" name="Total Votes by Party" totalsRowFunction="custom" dataDxfId="115" totalsRowDxfId="114">
      <calculatedColumnFormula>MemberOfAssemblyAssemblyDistrict143General[[#This Row],[Part of Erie County Vote Results]]</calculatedColumnFormula>
      <totalsRowFormula>SUM(MemberOfAssemblyAssemblyDistrict143General[Total Votes by Party])</totalsRowFormula>
    </tableColumn>
    <tableColumn id="2" xr3:uid="{46167E82-E8FA-4899-A553-334AD792B1A2}" name="Total Votes by Candidate" dataDxfId="113" totalsRowDxfId="112"/>
  </tableColumns>
  <tableStyleInfo name="TableStyleMedium2" showFirstColumn="0" showLastColumn="0" showRowStripes="0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7ADB0D4D-6B16-451E-9FF8-935D6ED6C2B4}" name="MemberOfAssemblyAssemblyDistrict144General" displayName="MemberOfAssemblyAssemblyDistrict144General" ref="A2:E8" totalsRowCount="1" headerRowDxfId="111" dataDxfId="109" totalsRowDxfId="107" headerRowBorderDxfId="110" tableBorderDxfId="108" totalsRowBorderDxfId="106">
  <autoFilter ref="A2:E7" xr:uid="{BCD8B821-45C5-46DC-96B8-D39A5BBBA94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5CBA59B-AD4D-414A-B898-D715D39CC19D}" name="Candidate Name (Party)" totalsRowLabel="Total Votes by County" dataDxfId="105" totalsRowDxfId="104"/>
    <tableColumn id="2" xr3:uid="{D42BC2EA-FBE5-4DD6-9A8E-39D9061549E9}" name="Part of Erie County Vote Results" totalsRowFunction="custom" dataDxfId="103" totalsRowDxfId="102">
      <totalsRowFormula>SUM(MemberOfAssemblyAssemblyDistrict144General[Part of Erie County Vote Results])</totalsRowFormula>
    </tableColumn>
    <tableColumn id="3" xr3:uid="{767C506F-66A0-4E8C-B364-0A684F0DFD3E}" name="Part of Niagara County Vote Results" totalsRowFunction="custom" dataDxfId="101" totalsRowDxfId="100">
      <totalsRowFormula>SUM(MemberOfAssemblyAssemblyDistrict144General[Part of Niagara County Vote Results])</totalsRowFormula>
    </tableColumn>
    <tableColumn id="6" xr3:uid="{29944C8A-FFDD-44C4-8812-F334EA8C338D}" name="Total Votes by Party" totalsRowFunction="custom" dataDxfId="99" totalsRowDxfId="98">
      <calculatedColumnFormula>SUM(MemberOfAssemblyAssemblyDistrict144General[[#This Row],[Part of Erie County Vote Results]:[Part of Niagara County Vote Results]])</calculatedColumnFormula>
      <totalsRowFormula>SUM(MemberOfAssemblyAssemblyDistrict144General[Total Votes by Party])</totalsRowFormula>
    </tableColumn>
    <tableColumn id="5" xr3:uid="{8E5BF253-B4A8-4661-BBDE-93C04FA5C340}" name="Total Votes by Candidate" dataDxfId="97" totalsRowDxfId="96">
      <calculatedColumnFormula>SUM(MemberOfAssemblyAssemblyDistrict144General[[#This Row],[Total Votes by Party]],D4)</calculatedColumnFormula>
    </tableColumn>
  </tableColumns>
  <tableStyleInfo name="TableStyleMedium2" showFirstColumn="0" showLastColumn="0" showRowStripes="0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4A92D773-02A5-4A3C-91EF-5E421A77E5DF}" name="MemberOfAssemblyAssemblyDistrict145General" displayName="MemberOfAssemblyAssemblyDistrict145General" ref="A2:E9" totalsRowCount="1" headerRowDxfId="95" dataDxfId="93" totalsRowDxfId="91" headerRowBorderDxfId="94" tableBorderDxfId="92" totalsRowBorderDxfId="90">
  <autoFilter ref="A2:E8" xr:uid="{A66EE74F-5E54-46A9-8547-18F86CDD6A1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172C093-EFCA-4F60-BEBD-379F4D00FF51}" name="Candidate Name (Party)" totalsRowLabel="Total Votes by County" dataDxfId="89" totalsRowDxfId="88"/>
    <tableColumn id="2" xr3:uid="{F53F7B8D-2D2E-4111-876E-F7A50361B5FD}" name="Part of Erie County Vote Results" totalsRowFunction="custom" dataDxfId="87" totalsRowDxfId="86">
      <totalsRowFormula>SUM(MemberOfAssemblyAssemblyDistrict145General[Part of Erie County Vote Results])</totalsRowFormula>
    </tableColumn>
    <tableColumn id="4" xr3:uid="{9D93154A-DC0E-4595-960F-94AEDC4B200B}" name="Part of Niagara County Vote Results" totalsRowFunction="custom" dataDxfId="85" totalsRowDxfId="84">
      <totalsRowFormula>SUM(MemberOfAssemblyAssemblyDistrict145General[Part of Niagara County Vote Results])</totalsRowFormula>
    </tableColumn>
    <tableColumn id="3" xr3:uid="{24FD737A-FF0D-4855-BF62-4B5EFBC0B791}" name="Total Votes by Party" totalsRowFunction="custom" dataDxfId="83" totalsRowDxfId="82">
      <calculatedColumnFormula>SUM(MemberOfAssemblyAssemblyDistrict145General[[#This Row],[Part of Erie County Vote Results]:[Part of Niagara County Vote Results]])</calculatedColumnFormula>
      <totalsRowFormula>SUM(MemberOfAssemblyAssemblyDistrict145General[Total Votes by Party])</totalsRowFormula>
    </tableColumn>
    <tableColumn id="5" xr3:uid="{682C7539-F18C-42FD-8EAB-FE497F9F2EA1}" name="Total Votes by Candidate" dataDxfId="81" totalsRowDxfId="80">
      <calculatedColumnFormula>SUM(MemberOfAssemblyAssemblyDistrict145General[[#This Row],[Total Votes by Party]],D3,D4)</calculatedColumnFormula>
    </tableColumn>
  </tableColumns>
  <tableStyleInfo name="TableStyleMedium2" showFirstColumn="0" showLastColumn="0" showRowStripes="0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C5029FE7-810E-4D47-BA30-1418A41BD6BE}" name="MemberOfAssemblyAssemblyDistrict146General" displayName="MemberOfAssemblyAssemblyDistrict146General" ref="A2:D10" totalsRowCount="1" headerRowDxfId="79" dataDxfId="77" totalsRowDxfId="75" headerRowBorderDxfId="78" tableBorderDxfId="76" totalsRowBorderDxfId="74">
  <autoFilter ref="A2:D9" xr:uid="{C8D61D84-BFA2-4A24-BC49-F3AE593B2A78}">
    <filterColumn colId="0" hiddenButton="1"/>
    <filterColumn colId="1" hiddenButton="1"/>
    <filterColumn colId="2" hiddenButton="1"/>
    <filterColumn colId="3" hiddenButton="1"/>
  </autoFilter>
  <tableColumns count="4">
    <tableColumn id="1" xr3:uid="{4B1801AB-DA44-4968-B2BC-4E224CD37176}" name="Candidate Name (Party)" totalsRowLabel="Total Votes by County" dataDxfId="73" totalsRowDxfId="72"/>
    <tableColumn id="2" xr3:uid="{7EA06E1F-851B-4FBC-8D58-381F4B47D283}" name="Part of Erie County Vote Results" totalsRowFunction="custom" dataDxfId="71" totalsRowDxfId="70">
      <totalsRowFormula>SUM(MemberOfAssemblyAssemblyDistrict146General[Part of Erie County Vote Results])</totalsRowFormula>
    </tableColumn>
    <tableColumn id="3" xr3:uid="{9BDE3EF8-1087-418F-B3EC-B6834A162B55}" name="Total Votes by Party" totalsRowFunction="custom" dataDxfId="69" totalsRowDxfId="68">
      <calculatedColumnFormula>MemberOfAssemblyAssemblyDistrict146General[[#This Row],[Part of Erie County Vote Results]]</calculatedColumnFormula>
      <totalsRowFormula>SUM(MemberOfAssemblyAssemblyDistrict146General[Total Votes by Party])</totalsRowFormula>
    </tableColumn>
    <tableColumn id="5" xr3:uid="{5D766AEB-54DF-4F02-9275-A7FE0B6D7C2E}" name="Total Votes by Candidate" dataDxfId="67" totalsRowDxfId="66"/>
  </tableColumns>
  <tableStyleInfo name="TableStyleMedium2" showFirstColumn="0" showLastColumn="0" showRowStripes="0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EBA32F86-4778-404B-A26C-9EBC97A1EC20}" name="MemberOfAssemblyAssemblyDistrict147General" displayName="MemberOfAssemblyAssemblyDistrict147General" ref="A2:E8" totalsRowCount="1" headerRowDxfId="65" dataDxfId="63" totalsRowDxfId="61" headerRowBorderDxfId="64" tableBorderDxfId="62" totalsRowBorderDxfId="60">
  <autoFilter ref="A2:E7" xr:uid="{700F459E-B1F3-4D93-87B6-499BD5366D3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1D96CBF-3A9B-4A23-A9D4-236C20869EEA}" name="Candidate Name (Party)" totalsRowLabel="Total Votes by County" dataDxfId="59" totalsRowDxfId="58"/>
    <tableColumn id="4" xr3:uid="{7023B196-A3CB-42CE-91E4-74F24C2DDCCD}" name="Part of Erie County Vote Results" totalsRowFunction="custom" dataDxfId="57" totalsRowDxfId="56">
      <totalsRowFormula>SUM(MemberOfAssemblyAssemblyDistrict147General[Part of Erie County Vote Results])</totalsRowFormula>
    </tableColumn>
    <tableColumn id="2" xr3:uid="{E57BB172-5CB8-4A52-8595-BBC824577A64}" name="Wyoming County Vote Results" totalsRowFunction="custom" dataDxfId="55" totalsRowDxfId="54">
      <totalsRowFormula>SUM(MemberOfAssemblyAssemblyDistrict147General[Wyoming County Vote Results])</totalsRowFormula>
    </tableColumn>
    <tableColumn id="3" xr3:uid="{F224C32D-BD3C-4884-A54D-58DCCB79D4D9}" name="Total Votes by Party" totalsRowFunction="custom" dataDxfId="53" totalsRowDxfId="52">
      <calculatedColumnFormula>SUM(MemberOfAssemblyAssemblyDistrict147General[[#This Row],[Wyoming County Vote Results]:[Part of Erie County Vote Results]])</calculatedColumnFormula>
      <totalsRowFormula>SUM(MemberOfAssemblyAssemblyDistrict147General[Total Votes by Party])</totalsRowFormula>
    </tableColumn>
    <tableColumn id="5" xr3:uid="{F772F64C-F4B0-41A3-95A5-F06D4915463D}" name="Total Votes by Candidate" dataDxfId="51" totalsRowDxfId="50">
      <calculatedColumnFormula>SUM(MemberOfAssemblyAssemblyDistrict147General[[#This Row],[Total Votes by Party]],D4)</calculatedColumnFormula>
    </tableColumn>
  </tableColumns>
  <tableStyleInfo name="TableStyleMedium2" showFirstColumn="0" showLastColumn="0" showRowStripes="0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50D47D17-7567-47FE-8A58-40408649090B}" name="MemberOfAssemblyAssemblyDistrict148General" displayName="MemberOfAssemblyAssemblyDistrict148General" ref="A2:G8" totalsRowCount="1" headerRowDxfId="49" dataDxfId="47" totalsRowDxfId="45" headerRowBorderDxfId="48" tableBorderDxfId="46" totalsRowBorderDxfId="44">
  <autoFilter ref="A2:G7" xr:uid="{109EE673-C7E3-4410-8873-249BAC310E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59E463E-3EB0-4B5A-895E-EA5932174343}" name="Candidate Name (Party)" totalsRowLabel="Total Votes by County" dataDxfId="43" totalsRowDxfId="42"/>
    <tableColumn id="2" xr3:uid="{1F462CB7-5EFD-41A8-8286-E818D792F4C1}" name="Allegany County Vote Results" totalsRowFunction="custom" dataDxfId="41" totalsRowDxfId="40">
      <totalsRowFormula>SUM(MemberOfAssemblyAssemblyDistrict148General[Allegany County Vote Results])</totalsRowFormula>
    </tableColumn>
    <tableColumn id="3" xr3:uid="{CFEAF08C-3CB6-4498-952F-B06A0448A2C0}" name="Cattaraugus County Vote Results" totalsRowFunction="custom" dataDxfId="39" totalsRowDxfId="38">
      <totalsRowFormula>SUM(MemberOfAssemblyAssemblyDistrict148General[Cattaraugus County Vote Results])</totalsRowFormula>
    </tableColumn>
    <tableColumn id="7" xr3:uid="{4ACEC030-6845-47BA-B173-8B3F173AEA1D}" name="Part of Erie County Vote Results" totalsRowFunction="custom" dataDxfId="37" totalsRowDxfId="36">
      <totalsRowFormula>SUM(MemberOfAssemblyAssemblyDistrict148General[Part of Erie County Vote Results])</totalsRowFormula>
    </tableColumn>
    <tableColumn id="4" xr3:uid="{766BF0B2-2781-46DC-89C5-B4EF7605DDD6}" name="Part of Steuben County Vote Results" totalsRowFunction="custom" dataDxfId="35" totalsRowDxfId="34">
      <totalsRowFormula>SUM(MemberOfAssemblyAssemblyDistrict148General[Part of Steuben County Vote Results])</totalsRowFormula>
    </tableColumn>
    <tableColumn id="6" xr3:uid="{FA4525E6-A8CB-4E80-BA3B-9FCEB4C89775}" name="Total Votes by Party" totalsRowFunction="custom" dataDxfId="33" totalsRowDxfId="32">
      <calculatedColumnFormula>SUM(MemberOfAssemblyAssemblyDistrict148General[[#This Row],[Allegany County Vote Results]:[Part of Steuben County Vote Results]])</calculatedColumnFormula>
      <totalsRowFormula>SUM(MemberOfAssemblyAssemblyDistrict148General[Total Votes by Party])</totalsRowFormula>
    </tableColumn>
    <tableColumn id="5" xr3:uid="{E9754E11-27BA-4D16-AD1E-3BD8F034103A}" name="Total Votes by Candidate" dataDxfId="31" totalsRowDxfId="30">
      <calculatedColumnFormula>SUM(MemberOfAssemblyAssemblyDistrict148General[[#This Row],[Total Votes by Party]],F4)</calculatedColumnFormula>
    </tableColumn>
  </tableColumns>
  <tableStyleInfo name="TableStyleMedium2" showFirstColumn="0" showLastColumn="0" showRowStripes="0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0D44D9F9-397F-4A43-83CC-525CFEFEA3BA}" name="MemberOfAssemblyAssemblyDistrict149General" displayName="MemberOfAssemblyAssemblyDistrict149General" ref="A2:D10" totalsRowCount="1" headerRowDxfId="29" dataDxfId="27" totalsRowDxfId="25" headerRowBorderDxfId="28" tableBorderDxfId="26" totalsRowBorderDxfId="24">
  <autoFilter ref="A2:D9" xr:uid="{71A37BCA-A655-47C9-A6F3-9AB9E1E6762B}">
    <filterColumn colId="0" hiddenButton="1"/>
    <filterColumn colId="1" hiddenButton="1"/>
    <filterColumn colId="2" hiddenButton="1"/>
    <filterColumn colId="3" hiddenButton="1"/>
  </autoFilter>
  <tableColumns count="4">
    <tableColumn id="1" xr3:uid="{D7F852BF-BF00-4833-8921-A46EA3815500}" name="Candidate Name (Party)" totalsRowLabel="Total Votes by County" dataDxfId="23" totalsRowDxfId="22"/>
    <tableColumn id="4" xr3:uid="{8B7E9334-70A9-4DEC-A1EA-8D57394744B9}" name="Part of Erie County Vote Results" totalsRowFunction="custom" dataDxfId="21" totalsRowDxfId="20">
      <totalsRowFormula>SUM(MemberOfAssemblyAssemblyDistrict149General[Part of Erie County Vote Results])</totalsRowFormula>
    </tableColumn>
    <tableColumn id="3" xr3:uid="{D9E67530-6BAE-4766-9E70-F912C4D6B44D}" name="Total Votes by Party" totalsRowFunction="custom" dataDxfId="19" totalsRowDxfId="18">
      <calculatedColumnFormula>MemberOfAssemblyAssemblyDistrict149General[[#This Row],[Part of Erie County Vote Results]]</calculatedColumnFormula>
      <totalsRowFormula>SUM(MemberOfAssemblyAssemblyDistrict149General[Total Votes by Party])</totalsRowFormula>
    </tableColumn>
    <tableColumn id="2" xr3:uid="{CB6880F9-8994-4850-A8C9-3C1F1DE3E1DC}" name="Total Votes by Candidate" dataDxfId="17" totalsRowDxfId="16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D2F51A96-9185-4A5E-8855-B08395868220}" name="MemberOfAssemblyAssemblyDistrict15General" displayName="MemberOfAssemblyAssemblyDistrict15General" ref="A2:D9" totalsRowCount="1" headerRowDxfId="2058" dataDxfId="2056" totalsRowDxfId="2054" headerRowBorderDxfId="2057" tableBorderDxfId="2055" totalsRowBorderDxfId="2053">
  <autoFilter ref="A2:D8" xr:uid="{A06901D1-7C83-4F71-944B-794F9C28D23B}">
    <filterColumn colId="0" hiddenButton="1"/>
    <filterColumn colId="1" hiddenButton="1"/>
    <filterColumn colId="2" hiddenButton="1"/>
    <filterColumn colId="3" hiddenButton="1"/>
  </autoFilter>
  <tableColumns count="4">
    <tableColumn id="1" xr3:uid="{E31EE61C-69DF-4165-A6EE-014F425F0454}" name="Candidate Name (Party)" totalsRowLabel="Total Votes by County" dataDxfId="2052" totalsRowDxfId="2051"/>
    <tableColumn id="4" xr3:uid="{A354BF5A-7E29-4CD3-A5C5-227B5461CD5C}" name="Part of Nassau County Vote Results" totalsRowFunction="custom" dataDxfId="2050" totalsRowDxfId="2049">
      <totalsRowFormula>SUM(MemberOfAssemblyAssemblyDistrict15General[Part of Nassau County Vote Results])</totalsRowFormula>
    </tableColumn>
    <tableColumn id="3" xr3:uid="{94BBD389-CA3B-4958-91A0-AEE8870740FB}" name="Total Votes by Party" totalsRowFunction="custom" dataDxfId="2048" totalsRowDxfId="2047">
      <calculatedColumnFormula>MemberOfAssemblyAssemblyDistrict15General[[#This Row],[Part of Nassau County Vote Results]]</calculatedColumnFormula>
      <totalsRowFormula>SUM(MemberOfAssemblyAssemblyDistrict15General[Total Votes by Party])</totalsRowFormula>
    </tableColumn>
    <tableColumn id="2" xr3:uid="{5B794F3E-467C-47CE-9E22-49EBE17FCE1C}" name="Total Votes by Candidate" dataDxfId="2046" totalsRowDxfId="2045"/>
  </tableColumns>
  <tableStyleInfo name="TableStyleMedium2" showFirstColumn="0" showLastColumn="0" showRowStripes="0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4EB82F76-CA2E-4F8A-ABF1-C4F377BA4714}" name="MemberOfAssemblyAssemblyDistrict150General" displayName="MemberOfAssemblyAssemblyDistrict150General" ref="A2:E9" totalsRowCount="1" headerRowDxfId="15" dataDxfId="13" totalsRowDxfId="11" headerRowBorderDxfId="14" tableBorderDxfId="12" totalsRowBorderDxfId="10">
  <autoFilter ref="A2:E8" xr:uid="{698FF0D6-BCBF-46BF-9E31-61A5248EE9A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5EF7908-D968-4C96-B8CF-577D75B99435}" name="Candidate Name (Party)" totalsRowLabel="Total Votes by County" dataDxfId="9" totalsRowDxfId="8"/>
    <tableColumn id="5" xr3:uid="{B4792617-D2D6-4F3A-AC9C-64D1FAE0CAE3}" name="Part of Chautauqua County Vote Results" totalsRowFunction="custom" dataDxfId="7" totalsRowDxfId="6">
      <totalsRowFormula>SUM(MemberOfAssemblyAssemblyDistrict150General[Part of Chautauqua County Vote Results])</totalsRowFormula>
    </tableColumn>
    <tableColumn id="4" xr3:uid="{38A7B479-020B-485C-95FB-1AADB8F27DBF}" name="Part of Erie County Vote Results" totalsRowFunction="custom" dataDxfId="5" totalsRowDxfId="4">
      <totalsRowFormula>SUM(MemberOfAssemblyAssemblyDistrict150General[Part of Erie County Vote Results])</totalsRowFormula>
    </tableColumn>
    <tableColumn id="3" xr3:uid="{F7BD2259-198E-4395-B1AC-6248FB7E751E}" name="Total Votes by Party" totalsRowFunction="custom" dataDxfId="3" totalsRowDxfId="2">
      <calculatedColumnFormula>SUM(MemberOfAssemblyAssemblyDistrict150General[[#This Row],[Part of Chautauqua County Vote Results]:[Part of Erie County Vote Results]])</calculatedColumnFormula>
      <totalsRowFormula>SUM(MemberOfAssemblyAssemblyDistrict150General[Total Votes by Party])</totalsRowFormula>
    </tableColumn>
    <tableColumn id="2" xr3:uid="{80C89B38-F767-46F1-8EDC-3943DB10EACF}" name="Total Votes by Candidate" dataDxfId="1" totalsRowDxfId="0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4AB9E4B5-B3C5-42DA-9209-DCCA4C08374D}" name="MemberOfAssemblyAssemblyDistrict16General" displayName="MemberOfAssemblyAssemblyDistrict16General" ref="A2:D10" totalsRowCount="1" headerRowDxfId="2044" dataDxfId="2042" totalsRowDxfId="2040" headerRowBorderDxfId="2043" tableBorderDxfId="2041" totalsRowBorderDxfId="2039">
  <autoFilter ref="A2:D9" xr:uid="{A1BDE8E9-32DC-4AB6-897F-9046979414CB}">
    <filterColumn colId="0" hiddenButton="1"/>
    <filterColumn colId="1" hiddenButton="1"/>
    <filterColumn colId="2" hiddenButton="1"/>
    <filterColumn colId="3" hiddenButton="1"/>
  </autoFilter>
  <tableColumns count="4">
    <tableColumn id="1" xr3:uid="{0B878DE8-5962-4117-84E9-20891B3C057B}" name="Candidate Name (Party)" totalsRowLabel="Total Votes by County" dataDxfId="2038" totalsRowDxfId="2037"/>
    <tableColumn id="4" xr3:uid="{E33DAEE7-3D86-41F0-AD3E-55A997C31C5B}" name="Part of Nassau County Vote Results" totalsRowFunction="custom" dataDxfId="2036" totalsRowDxfId="2035">
      <totalsRowFormula>SUM(MemberOfAssemblyAssemblyDistrict16General[Part of Nassau County Vote Results])</totalsRowFormula>
    </tableColumn>
    <tableColumn id="3" xr3:uid="{2F1F41D6-924C-4A2A-AA46-83F6D7DAA6D8}" name="Total Votes by Party" totalsRowFunction="custom" dataDxfId="2034" totalsRowDxfId="2033">
      <calculatedColumnFormula>MemberOfAssemblyAssemblyDistrict16General[[#This Row],[Part of Nassau County Vote Results]]</calculatedColumnFormula>
      <totalsRowFormula>SUM(MemberOfAssemblyAssemblyDistrict16General[Total Votes by Party])</totalsRowFormula>
    </tableColumn>
    <tableColumn id="2" xr3:uid="{066A5C5D-41E1-4081-A2CE-0974393CC033}" name="Total Votes by Candidate" dataDxfId="2032" totalsRowDxfId="2031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11C77B6-F7FC-4A67-B9A0-F2D5534621B0}" name="MemberOfAssemblyAssemblyDistrict17General" displayName="MemberOfAssemblyAssemblyDistrict17General" ref="A2:D9" totalsRowCount="1" headerRowDxfId="2030" dataDxfId="2028" totalsRowDxfId="2026" headerRowBorderDxfId="2029" tableBorderDxfId="2027" totalsRowBorderDxfId="2025">
  <autoFilter ref="A2:D8" xr:uid="{B9463230-8AA1-4C9F-90C7-CC677E7A2CDF}">
    <filterColumn colId="0" hiddenButton="1"/>
    <filterColumn colId="1" hiddenButton="1"/>
    <filterColumn colId="2" hiddenButton="1"/>
    <filterColumn colId="3" hiddenButton="1"/>
  </autoFilter>
  <tableColumns count="4">
    <tableColumn id="1" xr3:uid="{62DE36C4-7C69-4D9B-8E52-9F31B96D5476}" name="Candidate Name (Party)" totalsRowLabel="Total Votes by County" dataDxfId="2024" totalsRowDxfId="2023"/>
    <tableColumn id="4" xr3:uid="{64F519D5-9EFA-4B46-8C51-F409D2D9DE44}" name="Part of Nassau County Vote Results" totalsRowFunction="custom" dataDxfId="2022" totalsRowDxfId="2021">
      <totalsRowFormula>SUM(MemberOfAssemblyAssemblyDistrict17General[Part of Nassau County Vote Results])</totalsRowFormula>
    </tableColumn>
    <tableColumn id="3" xr3:uid="{7FFB356F-F807-4126-88F0-B02CB2015714}" name="Total Votes by Party" totalsRowFunction="custom" dataDxfId="2020" totalsRowDxfId="2019">
      <calculatedColumnFormula>MemberOfAssemblyAssemblyDistrict17General[[#This Row],[Part of Nassau County Vote Results]]</calculatedColumnFormula>
      <totalsRowFormula>SUM(MemberOfAssemblyAssemblyDistrict17General[Total Votes by Party])</totalsRowFormula>
    </tableColumn>
    <tableColumn id="2" xr3:uid="{65C67CC2-7448-46F2-A855-FF78ABD31A3A}" name="Total Votes by Candidate" dataDxfId="2018" totalsRowDxfId="2017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759BC6AF-B6D9-4760-A86B-6EDE6CC87BEC}" name="MemberOfAssemblyAssemblyDistrict18General" displayName="MemberOfAssemblyAssemblyDistrict18General" ref="A2:D10" totalsRowCount="1" headerRowDxfId="2016" dataDxfId="2014" totalsRowDxfId="2012" headerRowBorderDxfId="2015" tableBorderDxfId="2013" totalsRowBorderDxfId="2011">
  <autoFilter ref="A2:D9" xr:uid="{18BCF7A2-404D-4805-B098-E81F30740016}">
    <filterColumn colId="0" hiddenButton="1"/>
    <filterColumn colId="1" hiddenButton="1"/>
    <filterColumn colId="2" hiddenButton="1"/>
    <filterColumn colId="3" hiddenButton="1"/>
  </autoFilter>
  <tableColumns count="4">
    <tableColumn id="1" xr3:uid="{1E9C6518-2249-497C-A21D-315723C9C750}" name="Candidate Name (Party)" totalsRowLabel="Total Votes by County" dataDxfId="2010" totalsRowDxfId="2009"/>
    <tableColumn id="4" xr3:uid="{38B9239F-84F0-4DB8-9715-BD8071904A0A}" name="Part of Nassau County Vote Results" totalsRowFunction="custom" dataDxfId="2008" totalsRowDxfId="2007">
      <totalsRowFormula>SUM(MemberOfAssemblyAssemblyDistrict18General[Part of Nassau County Vote Results])</totalsRowFormula>
    </tableColumn>
    <tableColumn id="3" xr3:uid="{97470B95-03DE-4156-B3BE-99657509A898}" name="Total Votes by Party" totalsRowFunction="custom" dataDxfId="2006" totalsRowDxfId="2005">
      <calculatedColumnFormula>MemberOfAssemblyAssemblyDistrict18General[[#This Row],[Part of Nassau County Vote Results]]</calculatedColumnFormula>
      <totalsRowFormula>SUM(MemberOfAssemblyAssemblyDistrict18General[Total Votes by Party])</totalsRowFormula>
    </tableColumn>
    <tableColumn id="2" xr3:uid="{13B35B59-04F7-42A4-A449-DAFEE7F00436}" name="Total Votes by Candidate" dataDxfId="2004" totalsRowDxfId="2003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8CBA76E6-8635-4A53-901C-C9370EDDE625}" name="MemberOfAssemblyAssemblyDistrict19General" displayName="MemberOfAssemblyAssemblyDistrict19General" ref="A2:D9" totalsRowCount="1" headerRowDxfId="2002" dataDxfId="2000" totalsRowDxfId="1998" headerRowBorderDxfId="2001" tableBorderDxfId="1999" totalsRowBorderDxfId="1997">
  <autoFilter ref="A2:D8" xr:uid="{BF048453-C74C-4C32-858A-EAAFB448E338}">
    <filterColumn colId="0" hiddenButton="1"/>
    <filterColumn colId="1" hiddenButton="1"/>
    <filterColumn colId="2" hiddenButton="1"/>
    <filterColumn colId="3" hiddenButton="1"/>
  </autoFilter>
  <tableColumns count="4">
    <tableColumn id="1" xr3:uid="{C7BC4D14-B847-43BA-9DE0-22033CA28EA0}" name="Candidate Name (Party)" totalsRowLabel="Total Votes by County" dataDxfId="1996" totalsRowDxfId="1995"/>
    <tableColumn id="4" xr3:uid="{829C3D21-2D8C-484B-94A7-9115049164E6}" name="Part of Nassau County Vote Results" totalsRowFunction="custom" dataDxfId="1994" totalsRowDxfId="1993">
      <totalsRowFormula>SUM(MemberOfAssemblyAssemblyDistrict19General[Part of Nassau County Vote Results])</totalsRowFormula>
    </tableColumn>
    <tableColumn id="3" xr3:uid="{0E3F3C14-30DD-406C-831E-E1F9972FEA4B}" name="Total Votes by Party" totalsRowFunction="custom" dataDxfId="1992" totalsRowDxfId="1991">
      <calculatedColumnFormula>MemberOfAssemblyAssemblyDistrict19General[[#This Row],[Part of Nassau County Vote Results]]</calculatedColumnFormula>
      <totalsRowFormula>SUM(MemberOfAssemblyAssemblyDistrict19General[Total Votes by Party])</totalsRowFormula>
    </tableColumn>
    <tableColumn id="2" xr3:uid="{A0B59844-06B0-41B4-90D3-2614429A4613}" name="Total Votes by Candidate" dataDxfId="1990" totalsRowDxfId="198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DF7DD0C-20F1-4EBB-B98D-F0D230EB8893}" name="MemberOfAssemblyAssemblyDistrict2General" displayName="MemberOfAssemblyAssemblyDistrict2General" ref="A2:D9" totalsRowCount="1" headerRowDxfId="2246" dataDxfId="2244" totalsRowDxfId="2242" headerRowBorderDxfId="2245" tableBorderDxfId="2243" totalsRowBorderDxfId="2241">
  <autoFilter ref="A2:D8" xr:uid="{696B2B78-2511-4454-AD1C-99DC5E7F3A65}">
    <filterColumn colId="0" hiddenButton="1"/>
    <filterColumn colId="1" hiddenButton="1"/>
    <filterColumn colId="2" hiddenButton="1"/>
    <filterColumn colId="3" hiddenButton="1"/>
  </autoFilter>
  <tableColumns count="4">
    <tableColumn id="1" xr3:uid="{334E0B5C-9230-4192-AB5A-9FAED6A48991}" name="Candidate Name (Party)" totalsRowLabel="Total Votes by County" dataDxfId="2240" totalsRowDxfId="2239"/>
    <tableColumn id="4" xr3:uid="{82417E4F-02D0-470D-BA66-CBAF79C09AFA}" name="Part of Suffolk County Vote Results" totalsRowFunction="custom" dataDxfId="2238" totalsRowDxfId="2237">
      <totalsRowFormula>SUM(MemberOfAssemblyAssemblyDistrict2General[Part of Suffolk County Vote Results])</totalsRowFormula>
    </tableColumn>
    <tableColumn id="3" xr3:uid="{160F3609-1B83-4E6E-9F25-72EB1B752B80}" name="Total Votes by Party" totalsRowFunction="custom" dataDxfId="2236" totalsRowDxfId="2235">
      <calculatedColumnFormula>MemberOfAssemblyAssemblyDistrict2General[[#This Row],[Part of Suffolk County Vote Results]]</calculatedColumnFormula>
      <totalsRowFormula>SUM(MemberOfAssemblyAssemblyDistrict2General[Total Votes by Party])</totalsRowFormula>
    </tableColumn>
    <tableColumn id="2" xr3:uid="{529010D8-6447-4B52-9AA6-108F49B48584}" name="Total Votes by Candidate" dataDxfId="2234" totalsRowDxfId="2233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5E14D9E3-B310-41A4-B50E-93C8CB0400CE}" name="MemberOfAssemblyAssemblyDistrict20General" displayName="MemberOfAssemblyAssemblyDistrict20General" ref="A2:D9" totalsRowCount="1" headerRowDxfId="1988" dataDxfId="1986" totalsRowDxfId="1984" headerRowBorderDxfId="1987" tableBorderDxfId="1985" totalsRowBorderDxfId="1983">
  <autoFilter ref="A2:D8" xr:uid="{25DDD440-A88F-479B-BD3F-C74273BAF0E3}">
    <filterColumn colId="0" hiddenButton="1"/>
    <filterColumn colId="1" hiddenButton="1"/>
    <filterColumn colId="2" hiddenButton="1"/>
    <filterColumn colId="3" hiddenButton="1"/>
  </autoFilter>
  <tableColumns count="4">
    <tableColumn id="1" xr3:uid="{888F2E3E-7B6B-433B-A828-FBFCA379F373}" name="Candidate Name (Party)" totalsRowLabel="Total Votes by County" dataDxfId="1982" totalsRowDxfId="1981"/>
    <tableColumn id="4" xr3:uid="{54CB3553-FBC6-4D2C-87A3-2F643FAC5099}" name="Part of Nassau County Vote Results" totalsRowFunction="custom" dataDxfId="1980" totalsRowDxfId="1979">
      <totalsRowFormula>SUM(MemberOfAssemblyAssemblyDistrict20General[Part of Nassau County Vote Results])</totalsRowFormula>
    </tableColumn>
    <tableColumn id="3" xr3:uid="{BC9FFF4E-B75E-4F61-A70D-7DE829D6271F}" name="Total Votes by Party" totalsRowFunction="custom" dataDxfId="1978" totalsRowDxfId="1977">
      <calculatedColumnFormula>MemberOfAssemblyAssemblyDistrict20General[[#This Row],[Part of Nassau County Vote Results]]</calculatedColumnFormula>
      <totalsRowFormula>SUM(MemberOfAssemblyAssemblyDistrict20General[Total Votes by Party])</totalsRowFormula>
    </tableColumn>
    <tableColumn id="2" xr3:uid="{5129E1C4-F0B0-4C00-AB1C-0DBFF91AAF56}" name="Total Votes by Candidate" dataDxfId="1976" totalsRowDxfId="1975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2B85E32-F6E7-4275-B499-5A2955DD64BC}" name="MemberOfAssemblyAssemblyDistrict21General" displayName="MemberOfAssemblyAssemblyDistrict21General" ref="A2:D9" totalsRowCount="1" headerRowDxfId="1974" dataDxfId="1972" totalsRowDxfId="1970" headerRowBorderDxfId="1973" tableBorderDxfId="1971" totalsRowBorderDxfId="1969">
  <autoFilter ref="A2:D8" xr:uid="{3A7AD638-8A51-404C-84D4-F61B36DA1329}">
    <filterColumn colId="0" hiddenButton="1"/>
    <filterColumn colId="1" hiddenButton="1"/>
    <filterColumn colId="2" hiddenButton="1"/>
    <filterColumn colId="3" hiddenButton="1"/>
  </autoFilter>
  <tableColumns count="4">
    <tableColumn id="1" xr3:uid="{7E02023B-94DD-4E5A-9123-FFD064167D67}" name="Candidate Name (Party)" totalsRowLabel="Total Votes by County" dataDxfId="1968" totalsRowDxfId="1967"/>
    <tableColumn id="4" xr3:uid="{5A0D87E6-2076-471D-89F0-A8930920489A}" name="Part of Nassau County Vote Results" totalsRowFunction="custom" dataDxfId="1966" totalsRowDxfId="1965">
      <totalsRowFormula>SUM(MemberOfAssemblyAssemblyDistrict21General[Part of Nassau County Vote Results])</totalsRowFormula>
    </tableColumn>
    <tableColumn id="3" xr3:uid="{23CCD1DD-A240-4A82-9E2E-3A89F9302E50}" name="Total Votes by Party" totalsRowFunction="custom" dataDxfId="1964" totalsRowDxfId="1963">
      <calculatedColumnFormula>MemberOfAssemblyAssemblyDistrict21General[[#This Row],[Part of Nassau County Vote Results]]</calculatedColumnFormula>
      <totalsRowFormula>SUM(MemberOfAssemblyAssemblyDistrict21General[Total Votes by Party])</totalsRowFormula>
    </tableColumn>
    <tableColumn id="2" xr3:uid="{441AD0C9-B92F-4BB4-877C-D5DCE4FCA438}" name="Total Votes by Candidate" dataDxfId="1962" totalsRowDxfId="1961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8A989EB3-23DA-46F4-AA2B-962357F85521}" name="MemberOfAssemblyAssemblyDistrict22General" displayName="MemberOfAssemblyAssemblyDistrict22General" ref="A2:D10" totalsRowCount="1" headerRowDxfId="1960" dataDxfId="1958" totalsRowDxfId="1956" headerRowBorderDxfId="1959" tableBorderDxfId="1957" totalsRowBorderDxfId="1955">
  <autoFilter ref="A2:D9" xr:uid="{7C034EBD-E807-4663-97C7-8205AE4A509B}">
    <filterColumn colId="0" hiddenButton="1"/>
    <filterColumn colId="1" hiddenButton="1"/>
    <filterColumn colId="2" hiddenButton="1"/>
    <filterColumn colId="3" hiddenButton="1"/>
  </autoFilter>
  <tableColumns count="4">
    <tableColumn id="1" xr3:uid="{B4F31333-A6ED-4476-A695-088C5EC00B56}" name="Candidate Name (Party)" totalsRowLabel="Total Votes by County" dataDxfId="1954" totalsRowDxfId="1953"/>
    <tableColumn id="4" xr3:uid="{BE52F4D6-CD57-458F-8430-C7D04B218C2A}" name="Part of Nassau County Vote Results" totalsRowFunction="custom" dataDxfId="1952" totalsRowDxfId="1951">
      <totalsRowFormula>SUM(MemberOfAssemblyAssemblyDistrict22General[Part of Nassau County Vote Results])</totalsRowFormula>
    </tableColumn>
    <tableColumn id="3" xr3:uid="{B154457C-03F8-4266-AEDD-E6DBD52235F4}" name="Total Votes by Party" totalsRowFunction="custom" dataDxfId="1950" totalsRowDxfId="1949">
      <calculatedColumnFormula>MemberOfAssemblyAssemblyDistrict22General[[#This Row],[Part of Nassau County Vote Results]]</calculatedColumnFormula>
      <totalsRowFormula>SUM(MemberOfAssemblyAssemblyDistrict22General[Total Votes by Party])</totalsRowFormula>
    </tableColumn>
    <tableColumn id="2" xr3:uid="{17BB118F-31A5-4783-B274-5376A570F3CD}" name="Total Votes by Candidate" dataDxfId="1948" totalsRowDxfId="1947">
      <calculatedColumnFormula>SUM(C3,C4)</calculatedColumnFormula>
    </tableColumn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32323D-C7C7-4A15-BF90-8DEDCC49E116}" name="MemberOfAssemblyAssemblyDistrict23General3" displayName="MemberOfAssemblyAssemblyDistrict23General3" ref="A2:D10" totalsRowCount="1" headerRowDxfId="1946" dataDxfId="1944" totalsRowDxfId="1942" headerRowBorderDxfId="1945" tableBorderDxfId="1943" totalsRowBorderDxfId="1941">
  <autoFilter ref="A2:D9" xr:uid="{A932323D-C7C7-4A15-BF90-8DEDCC49E116}"/>
  <tableColumns count="4">
    <tableColumn id="1" xr3:uid="{6F7290B7-9AD8-4871-8382-C4D951BC1E0D}" name="Candidate Name (Party)" totalsRowLabel="Total Votes by County" dataDxfId="1940" totalsRowDxfId="1939"/>
    <tableColumn id="4" xr3:uid="{1FDAA247-8E63-4C24-BEA0-A7AE5148A50C}" name="Part of Queens County Vote Results" totalsRowFunction="custom" dataDxfId="1938" totalsRowDxfId="1937">
      <totalsRowFormula>SUM(MemberOfAssemblyAssemblyDistrict23General3[Part of Queens County Vote Results])</totalsRowFormula>
    </tableColumn>
    <tableColumn id="3" xr3:uid="{9033F50A-54AB-4F33-8FB8-3FFC447AE7B6}" name="Total Votes by Party" totalsRowFunction="custom" dataDxfId="1936" totalsRowDxfId="1935">
      <calculatedColumnFormula>MemberOfAssemblyAssemblyDistrict23General3[[#This Row],[Part of Queens County Vote Results]]</calculatedColumnFormula>
      <totalsRowFormula>SUM(MemberOfAssemblyAssemblyDistrict23General3[Total Votes by Party])</totalsRowFormula>
    </tableColumn>
    <tableColumn id="2" xr3:uid="{62C95B82-1FBA-4DAA-8231-4F2B16F1D067}" name="Total Votes by Candidate" dataDxfId="1934" totalsRowDxfId="1933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62EFAD6B-FD5B-4933-B4B1-475ED00FBC95}" name="MemberOfAssemblyAssemblyDistrict24General" displayName="MemberOfAssemblyAssemblyDistrict24General" ref="A2:D7" totalsRowCount="1" headerRowDxfId="1932" dataDxfId="1930" totalsRowDxfId="1928" headerRowBorderDxfId="1931" tableBorderDxfId="1929" totalsRowBorderDxfId="1927">
  <autoFilter ref="A2:D6" xr:uid="{E5428B72-0FEF-4A9C-B5B3-DCA320CD638B}">
    <filterColumn colId="0" hiddenButton="1"/>
    <filterColumn colId="1" hiddenButton="1"/>
    <filterColumn colId="2" hiddenButton="1"/>
    <filterColumn colId="3" hiddenButton="1"/>
  </autoFilter>
  <tableColumns count="4">
    <tableColumn id="1" xr3:uid="{7559C222-E260-4A57-A4D5-EA51981F0201}" name="Candidate Name (Party)" totalsRowLabel="Total Votes by County" dataDxfId="1926" totalsRowDxfId="1925"/>
    <tableColumn id="4" xr3:uid="{41B87276-B046-482F-BE72-EEBACEDA7470}" name="Part of Queens County Vote Results" totalsRowFunction="custom" dataDxfId="1924" totalsRowDxfId="1923">
      <totalsRowFormula>SUM(MemberOfAssemblyAssemblyDistrict24General[Part of Queens County Vote Results])</totalsRowFormula>
    </tableColumn>
    <tableColumn id="3" xr3:uid="{40A48B83-D637-4D87-A39D-B0929B23E9FD}" name="Total Votes by Party" totalsRowFunction="custom" dataDxfId="1922" totalsRowDxfId="1921">
      <calculatedColumnFormula>MemberOfAssemblyAssemblyDistrict24General[[#This Row],[Part of Queens County Vote Results]]</calculatedColumnFormula>
      <totalsRowFormula>SUM(MemberOfAssemblyAssemblyDistrict24General[Total Votes by Party])</totalsRowFormula>
    </tableColumn>
    <tableColumn id="2" xr3:uid="{450B9C50-8F7B-4AC1-9344-C875DF4AEEFA}" name="Total Votes by Candidate" dataDxfId="1920" totalsRowDxfId="1919">
      <calculatedColumnFormula>C3</calculatedColumnFormula>
    </tableColumn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C9C291ED-2023-4F0E-94EC-589255160542}" name="MemberOfAssemblyAssemblyDistrict25General" displayName="MemberOfAssemblyAssemblyDistrict25General" ref="A2:D9" totalsRowCount="1" headerRowDxfId="1918" dataDxfId="1916" totalsRowDxfId="1914" headerRowBorderDxfId="1917" tableBorderDxfId="1915" totalsRowBorderDxfId="1913">
  <autoFilter ref="A2:D8" xr:uid="{85D3B8C6-1152-498E-B5B7-A6648B0AEC07}">
    <filterColumn colId="0" hiddenButton="1"/>
    <filterColumn colId="1" hiddenButton="1"/>
    <filterColumn colId="2" hiddenButton="1"/>
    <filterColumn colId="3" hiddenButton="1"/>
  </autoFilter>
  <tableColumns count="4">
    <tableColumn id="1" xr3:uid="{B16D1ADB-903A-4E03-A743-4C198CB1AFBC}" name="Candidate Name (Party)" totalsRowLabel="Total Votes by County" dataDxfId="1912" totalsRowDxfId="1911"/>
    <tableColumn id="4" xr3:uid="{20C31316-088A-456F-9739-6AEA97886ED6}" name="Part of Queens County Vote Results" totalsRowFunction="custom" dataDxfId="1910" totalsRowDxfId="1909">
      <totalsRowFormula>SUM(MemberOfAssemblyAssemblyDistrict25General[Part of Queens County Vote Results])</totalsRowFormula>
    </tableColumn>
    <tableColumn id="3" xr3:uid="{C0A748FC-7D95-4DFC-AF7B-EBDAE5252127}" name="Total Votes by Party" totalsRowFunction="custom" dataDxfId="1908" totalsRowDxfId="1907">
      <calculatedColumnFormula>MemberOfAssemblyAssemblyDistrict25General[[#This Row],[Part of Queens County Vote Results]]</calculatedColumnFormula>
      <totalsRowFormula>SUM(MemberOfAssemblyAssemblyDistrict25General[Total Votes by Party])</totalsRowFormula>
    </tableColumn>
    <tableColumn id="2" xr3:uid="{7B389132-4197-444D-9B07-7D112F4D78D2}" name="Total Votes by Candidate" dataDxfId="1906" totalsRowDxfId="1905">
      <calculatedColumnFormula>SUM(MemberOfAssemblyAssemblyDistrict25General[[#This Row],[Total Votes by Party]],C5)</calculatedColumnFormula>
    </tableColumn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C528C1AE-502F-414C-9646-D694B067441A}" name="MemberOfAssemblyAssemblyDistrict26General" displayName="MemberOfAssemblyAssemblyDistrict26General" ref="A2:D9" totalsRowCount="1" headerRowDxfId="1904" dataDxfId="1902" totalsRowDxfId="1900" headerRowBorderDxfId="1903" tableBorderDxfId="1901" totalsRowBorderDxfId="1899">
  <autoFilter ref="A2:D8" xr:uid="{8114F151-BBFC-49B5-85E4-D0EA6C816C75}">
    <filterColumn colId="0" hiddenButton="1"/>
    <filterColumn colId="1" hiddenButton="1"/>
    <filterColumn colId="2" hiddenButton="1"/>
    <filterColumn colId="3" hiddenButton="1"/>
  </autoFilter>
  <tableColumns count="4">
    <tableColumn id="1" xr3:uid="{2F6D82B0-B91D-4B60-B320-35FA8E8A1D83}" name="Candidate Name (Party)" totalsRowLabel="Total Votes by County" dataDxfId="1898" totalsRowDxfId="1897"/>
    <tableColumn id="4" xr3:uid="{F678D9C8-0DE5-44F4-B365-3D8611B7A94A}" name="Part of Queens County Vote Results" totalsRowFunction="custom" dataDxfId="1896" totalsRowDxfId="1895">
      <totalsRowFormula>SUM(MemberOfAssemblyAssemblyDistrict26General[Part of Queens County Vote Results])</totalsRowFormula>
    </tableColumn>
    <tableColumn id="3" xr3:uid="{23BF9C2C-856E-4FAE-B08A-81E671A58464}" name="Total Votes by Party" totalsRowFunction="custom" dataDxfId="1894" totalsRowDxfId="1893">
      <calculatedColumnFormula>MemberOfAssemblyAssemblyDistrict26General[[#This Row],[Part of Queens County Vote Results]]</calculatedColumnFormula>
      <totalsRowFormula>SUM(MemberOfAssemblyAssemblyDistrict26General[Total Votes by Party])</totalsRowFormula>
    </tableColumn>
    <tableColumn id="2" xr3:uid="{9451F2D4-492C-46E8-BF85-078E78359310}" name="Total Votes by Candidate" dataDxfId="1892" totalsRowDxfId="1891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B4E479B1-9BAA-42D7-88A9-3190D7E20318}" name="MemberOfAssemblyAssemblyDistrict27General" displayName="MemberOfAssemblyAssemblyDistrict27General" ref="A2:D9" totalsRowCount="1" headerRowDxfId="1890" dataDxfId="1888" totalsRowDxfId="1886" headerRowBorderDxfId="1889" tableBorderDxfId="1887" totalsRowBorderDxfId="1885">
  <autoFilter ref="A2:D8" xr:uid="{315C5E36-9C8F-4DAF-86E8-385D78480754}">
    <filterColumn colId="0" hiddenButton="1"/>
    <filterColumn colId="1" hiddenButton="1"/>
    <filterColumn colId="2" hiddenButton="1"/>
    <filterColumn colId="3" hiddenButton="1"/>
  </autoFilter>
  <tableColumns count="4">
    <tableColumn id="1" xr3:uid="{E095A2E0-A53F-4056-80F2-7E6030284AD7}" name="Candidate Name (Party)" totalsRowLabel="Total Votes by County" dataDxfId="1884" totalsRowDxfId="1883"/>
    <tableColumn id="4" xr3:uid="{607CC697-0DB9-4702-A527-A8F3CB73C7EE}" name="Part of Queens County Vote Results" totalsRowFunction="custom" dataDxfId="1882" totalsRowDxfId="1881">
      <totalsRowFormula>SUM(MemberOfAssemblyAssemblyDistrict27General[Part of Queens County Vote Results])</totalsRowFormula>
    </tableColumn>
    <tableColumn id="3" xr3:uid="{7794F110-6816-4F08-AF69-8B268CA3D667}" name="Total Votes by Party" totalsRowFunction="custom" dataDxfId="1880" totalsRowDxfId="1879">
      <calculatedColumnFormula>MemberOfAssemblyAssemblyDistrict27General[[#This Row],[Part of Queens County Vote Results]]</calculatedColumnFormula>
      <totalsRowFormula>SUM(MemberOfAssemblyAssemblyDistrict27General[Total Votes by Party])</totalsRowFormula>
    </tableColumn>
    <tableColumn id="2" xr3:uid="{6CD8B2BB-9206-4240-B7A1-54B3271C1EE2}" name="Total Votes by Candidate" dataDxfId="1878" totalsRowDxfId="1877">
      <calculatedColumnFormula>SUM(MemberOfAssemblyAssemblyDistrict27General[[#This Row],[Total Votes by Party]])</calculatedColumnFormula>
    </tableColumn>
  </tableColumns>
  <tableStyleInfo name="TableStyleMedium2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4A9D009B-E2BB-4270-990D-6ED226664B6E}" name="MemberOfAssemblyAssemblyDistrict28General" displayName="MemberOfAssemblyAssemblyDistrict28General" ref="A2:D10" totalsRowCount="1" headerRowDxfId="1876" dataDxfId="1874" totalsRowDxfId="1872" headerRowBorderDxfId="1875" tableBorderDxfId="1873" totalsRowBorderDxfId="1871">
  <autoFilter ref="A2:D9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658AC5C4-BC24-4C24-A4B3-772C4232A3B6}" name="Candidate Name (Party)" totalsRowLabel="Total Votes by County" dataDxfId="1870" totalsRowDxfId="1869"/>
    <tableColumn id="4" xr3:uid="{CC6CBBB8-E79F-491A-BA6D-70C08A615E41}" name="Part of Queens County Vote Results" totalsRowFunction="custom" dataDxfId="1868" totalsRowDxfId="1867">
      <totalsRowFormula>SUM(MemberOfAssemblyAssemblyDistrict28General[Part of Queens County Vote Results])</totalsRowFormula>
    </tableColumn>
    <tableColumn id="3" xr3:uid="{CCA88644-0C22-4647-9986-1AC7A6519FBD}" name="Total Votes by Party" totalsRowFunction="custom" dataDxfId="1866" totalsRowDxfId="1865">
      <calculatedColumnFormula>MemberOfAssemblyAssemblyDistrict28General[[#This Row],[Part of Queens County Vote Results]]</calculatedColumnFormula>
      <totalsRowFormula>SUM(MemberOfAssemblyAssemblyDistrict28General[Total Votes by Party])</totalsRowFormula>
    </tableColumn>
    <tableColumn id="2" xr3:uid="{1413631F-6E1D-45EE-8265-B86852DFA54C}" name="Total Votes by Candidate" dataDxfId="1864" totalsRowDxfId="1863"/>
  </tableColumns>
  <tableStyleInfo name="TableStyleMedium2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A5CB884F-22E3-4384-819E-2F6355DF1748}" name="MemberOfAssemblyAssemblyDistrict29General" displayName="MemberOfAssemblyAssemblyDistrict29General" ref="A2:D8" totalsRowCount="1" headerRowDxfId="1862" dataDxfId="1860" totalsRowDxfId="1858" headerRowBorderDxfId="1861" tableBorderDxfId="1859" totalsRowBorderDxfId="1857">
  <autoFilter ref="A2:D7" xr:uid="{D7F287CE-B697-428E-8699-CC6846F2CCE4}">
    <filterColumn colId="0" hiddenButton="1"/>
    <filterColumn colId="1" hiddenButton="1"/>
    <filterColumn colId="2" hiddenButton="1"/>
    <filterColumn colId="3" hiddenButton="1"/>
  </autoFilter>
  <tableColumns count="4">
    <tableColumn id="1" xr3:uid="{A0816062-4434-4D41-A7DB-24E2E7EEB044}" name="Candidate Name (Party)" totalsRowLabel="Total Votes by County" dataDxfId="1856" totalsRowDxfId="1855"/>
    <tableColumn id="4" xr3:uid="{B3C96D29-57E5-4AE2-9C86-AA8522810185}" name="Part of Queens County Vote Results" totalsRowFunction="custom" dataDxfId="1854" totalsRowDxfId="1853">
      <totalsRowFormula>SUM(MemberOfAssemblyAssemblyDistrict29General[Part of Queens County Vote Results])</totalsRowFormula>
    </tableColumn>
    <tableColumn id="3" xr3:uid="{0C5FB926-BCF4-4CA6-BD05-533B9992600D}" name="Total Votes by Party" totalsRowFunction="custom" dataDxfId="1852" totalsRowDxfId="1851">
      <calculatedColumnFormula>MemberOfAssemblyAssemblyDistrict29General[[#This Row],[Part of Queens County Vote Results]]</calculatedColumnFormula>
      <totalsRowFormula>SUM(MemberOfAssemblyAssemblyDistrict29General[Total Votes by Party])</totalsRowFormula>
    </tableColumn>
    <tableColumn id="2" xr3:uid="{2F64F4CC-6C07-4EBE-BAB5-28AF046D2FAE}" name="Total Votes by Candidate" dataDxfId="1850" totalsRowDxfId="1849">
      <calculatedColumnFormula>SUM(MemberOfAssemblyAssemblyDistrict29General[[#This Row],[Total Votes by Party]])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577FB261-2495-415F-9EF6-148A7BE31539}" name="MemberOfAssemblyAssemblyDistrict3General" displayName="MemberOfAssemblyAssemblyDistrict3General" ref="A2:D9" totalsRowCount="1" headerRowDxfId="2232" dataDxfId="2230" totalsRowDxfId="2228" headerRowBorderDxfId="2231" tableBorderDxfId="2229" totalsRowBorderDxfId="2227">
  <autoFilter ref="A2:D8" xr:uid="{17193FA3-73E2-4E8E-A735-DC6FDE74813C}">
    <filterColumn colId="0" hiddenButton="1"/>
    <filterColumn colId="1" hiddenButton="1"/>
    <filterColumn colId="2" hiddenButton="1"/>
    <filterColumn colId="3" hiddenButton="1"/>
  </autoFilter>
  <tableColumns count="4">
    <tableColumn id="1" xr3:uid="{B3381315-40BF-4E2B-B30B-F8E88C7792E5}" name="Candidate Name (Party)" totalsRowLabel="Total Votes by County" dataDxfId="2226" totalsRowDxfId="2225"/>
    <tableColumn id="4" xr3:uid="{6CF7A6FE-A331-4312-873F-3AAB2A1DD928}" name="Part of Suffolk County Vote Results" totalsRowFunction="custom" dataDxfId="2224" totalsRowDxfId="2223">
      <totalsRowFormula>SUM(MemberOfAssemblyAssemblyDistrict3General[Part of Suffolk County Vote Results])</totalsRowFormula>
    </tableColumn>
    <tableColumn id="3" xr3:uid="{5A1451B3-9BC8-41CA-A295-91FF3439F1D7}" name="Total Votes by Party" totalsRowFunction="custom" dataDxfId="2222" totalsRowDxfId="2221">
      <calculatedColumnFormula>MemberOfAssemblyAssemblyDistrict3General[[#This Row],[Part of Suffolk County Vote Results]]</calculatedColumnFormula>
      <totalsRowFormula>SUM(MemberOfAssemblyAssemblyDistrict3General[Total Votes by Party])</totalsRowFormula>
    </tableColumn>
    <tableColumn id="2" xr3:uid="{AC6E9BAF-A919-46BF-AD7F-2539193CD93A}" name="Total Votes by Candidate" dataDxfId="2220" totalsRowDxfId="2219"/>
  </tableColumns>
  <tableStyleInfo name="TableStyleMedium2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78D6E6E9-CAAC-4591-ACA2-6788DB3E280D}" name="MemberOfAssemblyAssemblyDistrict30General" displayName="MemberOfAssemblyAssemblyDistrict30General" ref="A2:D9" totalsRowCount="1" headerRowDxfId="1848" dataDxfId="1846" totalsRowDxfId="1844" headerRowBorderDxfId="1847" tableBorderDxfId="1845" totalsRowBorderDxfId="1843">
  <autoFilter ref="A2:D8" xr:uid="{B5059E8C-6AED-43A3-88F6-785E94166D39}">
    <filterColumn colId="0" hiddenButton="1"/>
    <filterColumn colId="1" hiddenButton="1"/>
    <filterColumn colId="2" hiddenButton="1"/>
    <filterColumn colId="3" hiddenButton="1"/>
  </autoFilter>
  <tableColumns count="4">
    <tableColumn id="1" xr3:uid="{71A4A2C9-2633-49FE-9EC2-795102E6EB2C}" name="Candidate Name (Party)" totalsRowLabel="Total Votes by County" dataDxfId="1842" totalsRowDxfId="1841"/>
    <tableColumn id="4" xr3:uid="{838161AB-61FD-4A4F-8AE2-16F876798F63}" name="Part of Queens County Vote Results" totalsRowFunction="custom" dataDxfId="1840" totalsRowDxfId="1839">
      <totalsRowFormula>SUM(MemberOfAssemblyAssemblyDistrict30General[Part of Queens County Vote Results])</totalsRowFormula>
    </tableColumn>
    <tableColumn id="3" xr3:uid="{264A472F-A855-4261-A7BA-9635B3C501D0}" name="Total Votes by Party" totalsRowFunction="custom" dataDxfId="1838" totalsRowDxfId="1837">
      <calculatedColumnFormula>MemberOfAssemblyAssemblyDistrict30General[[#This Row],[Part of Queens County Vote Results]]</calculatedColumnFormula>
      <totalsRowFormula>SUM(MemberOfAssemblyAssemblyDistrict30General[Total Votes by Party])</totalsRowFormula>
    </tableColumn>
    <tableColumn id="2" xr3:uid="{38D9A3B3-A97B-4152-9654-83AFB0C1B788}" name="Total Votes by Candidate" dataDxfId="1836" totalsRowDxfId="1835">
      <calculatedColumnFormula>SUM(MemberOfAssemblyAssemblyDistrict30General[[#This Row],[Total Votes by Party]])</calculatedColumnFormula>
    </tableColumn>
  </tableColumns>
  <tableStyleInfo name="TableStyleMedium2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75EDD4E7-0B3F-410F-83FF-D24467B8E89F}" name="MemberOfAssemblyAssemblyDistrict31General" displayName="MemberOfAssemblyAssemblyDistrict31General" ref="A2:D8" totalsRowCount="1" headerRowDxfId="1834" dataDxfId="1832" totalsRowDxfId="1830" headerRowBorderDxfId="1833" tableBorderDxfId="1831" totalsRowBorderDxfId="1829">
  <autoFilter ref="A2:D7" xr:uid="{ED204ABA-78AA-47E6-9362-4C0F24E39B3E}">
    <filterColumn colId="0" hiddenButton="1"/>
    <filterColumn colId="1" hiddenButton="1"/>
    <filterColumn colId="2" hiddenButton="1"/>
    <filterColumn colId="3" hiddenButton="1"/>
  </autoFilter>
  <tableColumns count="4">
    <tableColumn id="1" xr3:uid="{0FD9F51A-CC15-4163-9BE4-E89ACC351CA8}" name="Candidate Name (Party)" totalsRowLabel="Total Votes by County" dataDxfId="1828" totalsRowDxfId="1827"/>
    <tableColumn id="4" xr3:uid="{2E5C48FA-34CB-4464-974A-27EB641617F2}" name="Part of Queens County Vote Results" totalsRowFunction="custom" dataDxfId="1826" totalsRowDxfId="1825">
      <totalsRowFormula>SUM(MemberOfAssemblyAssemblyDistrict31General[Part of Queens County Vote Results])</totalsRowFormula>
    </tableColumn>
    <tableColumn id="3" xr3:uid="{44920F8D-25F9-41DB-B1B8-B32E9608597F}" name="Total Votes by Party" totalsRowFunction="custom" dataDxfId="1824" totalsRowDxfId="1823">
      <calculatedColumnFormula>MemberOfAssemblyAssemblyDistrict31General[[#This Row],[Part of Queens County Vote Results]]</calculatedColumnFormula>
      <totalsRowFormula>SUM(MemberOfAssemblyAssemblyDistrict31General[Total Votes by Party])</totalsRowFormula>
    </tableColumn>
    <tableColumn id="2" xr3:uid="{7C72BC9B-0AFD-4A5F-8995-CE60AA3BD214}" name="Total Votes by Candidate" dataDxfId="1822" totalsRowDxfId="1821">
      <calculatedColumnFormula>SUM(C3:C4)</calculatedColumnFormula>
    </tableColumn>
  </tableColumns>
  <tableStyleInfo name="TableStyleMedium2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82060B24-8434-4F34-9382-A0FC53A79922}" name="MemberOfAssemblyAssemblyDistrict32General" displayName="MemberOfAssemblyAssemblyDistrict32General" ref="A2:D9" totalsRowCount="1" headerRowDxfId="1820" dataDxfId="1818" totalsRowDxfId="1816" headerRowBorderDxfId="1819" tableBorderDxfId="1817" totalsRowBorderDxfId="1815">
  <autoFilter ref="A2:D8" xr:uid="{4DAC385A-82AE-4B93-BECC-64FD7EEA86D9}">
    <filterColumn colId="0" hiddenButton="1"/>
    <filterColumn colId="1" hiddenButton="1"/>
    <filterColumn colId="2" hiddenButton="1"/>
    <filterColumn colId="3" hiddenButton="1"/>
  </autoFilter>
  <tableColumns count="4">
    <tableColumn id="1" xr3:uid="{8C6E8C38-F385-4CCB-9D40-BC47BA7C92CC}" name="Candidate Name (Party)" totalsRowLabel="Total Votes by County" dataDxfId="1814" totalsRowDxfId="1813"/>
    <tableColumn id="4" xr3:uid="{72841FDC-7707-4E48-A57A-C870AAD15F27}" name="Part of Queens County Vote Results" totalsRowFunction="custom" dataDxfId="1812" totalsRowDxfId="1811">
      <totalsRowFormula>SUM(MemberOfAssemblyAssemblyDistrict32General[Part of Queens County Vote Results])</totalsRowFormula>
    </tableColumn>
    <tableColumn id="3" xr3:uid="{CB622DA1-7B49-4305-810C-C4A0A7353873}" name="Total Votes by Party" totalsRowFunction="custom" dataDxfId="1810" totalsRowDxfId="1809">
      <calculatedColumnFormula>MemberOfAssemblyAssemblyDistrict32General[[#This Row],[Part of Queens County Vote Results]]</calculatedColumnFormula>
      <totalsRowFormula>SUM(MemberOfAssemblyAssemblyDistrict32General[Total Votes by Party])</totalsRowFormula>
    </tableColumn>
    <tableColumn id="2" xr3:uid="{9159DEF0-5CFA-40A6-A53C-50B3AA001E76}" name="Total Votes by Candidate" dataDxfId="1808" totalsRowDxfId="1807">
      <calculatedColumnFormula>C3</calculatedColumnFormula>
    </tableColumn>
  </tableColumns>
  <tableStyleInfo name="TableStyleMedium2" showFirstColumn="0" showLastColumn="0" showRowStripes="0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4643763B-3015-47B4-AD15-206223EA3919}" name="MemberOfAssemblyAssemblyDistrict33General" displayName="MemberOfAssemblyAssemblyDistrict33General" ref="A2:D7" totalsRowCount="1" headerRowDxfId="1806" dataDxfId="1804" totalsRowDxfId="1802" headerRowBorderDxfId="1805" tableBorderDxfId="1803" totalsRowBorderDxfId="1801">
  <autoFilter ref="A2:D6" xr:uid="{B4ECF71C-0BF6-4688-8134-CA1EDCBF44BC}">
    <filterColumn colId="0" hiddenButton="1"/>
    <filterColumn colId="1" hiddenButton="1"/>
    <filterColumn colId="2" hiddenButton="1"/>
    <filterColumn colId="3" hiddenButton="1"/>
  </autoFilter>
  <tableColumns count="4">
    <tableColumn id="1" xr3:uid="{500BB82F-EF69-4D19-8DB2-A4F7AF069143}" name="Candidate Name (Party)" totalsRowLabel="Total Votes by County" dataDxfId="1800" totalsRowDxfId="1799"/>
    <tableColumn id="4" xr3:uid="{ED73E812-1020-4AB1-B0C8-FB255E934578}" name="Part of Queens County Vote Results" totalsRowFunction="custom" dataDxfId="1798" totalsRowDxfId="1797">
      <totalsRowFormula>SUM(MemberOfAssemblyAssemblyDistrict33General[Part of Queens County Vote Results])</totalsRowFormula>
    </tableColumn>
    <tableColumn id="3" xr3:uid="{BCA4C7EA-A7C1-40E7-A7E0-1BFBCDC91D0E}" name="Total Votes by Party" totalsRowFunction="custom" dataDxfId="1796" totalsRowDxfId="1795">
      <calculatedColumnFormula>MemberOfAssemblyAssemblyDistrict33General[[#This Row],[Part of Queens County Vote Results]]</calculatedColumnFormula>
      <totalsRowFormula>SUM(MemberOfAssemblyAssemblyDistrict33General[Total Votes by Party])</totalsRowFormula>
    </tableColumn>
    <tableColumn id="2" xr3:uid="{8DCA75AD-AD7C-4540-8374-FC7A0B6F4930}" name="Total Votes by Candidate" dataDxfId="1794" totalsRowDxfId="1793">
      <calculatedColumnFormula>C3</calculatedColumnFormula>
    </tableColumn>
  </tableColumns>
  <tableStyleInfo name="TableStyleMedium2" showFirstColumn="0" showLastColumn="0" showRowStripes="0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25EE3077-F01D-4145-BB21-EB6B527574FB}" name="MemberOfAssemblyAssemblyDistrict34General" displayName="MemberOfAssemblyAssemblyDistrict34General" ref="A2:D8" totalsRowCount="1" headerRowDxfId="1792" dataDxfId="1790" totalsRowDxfId="1788" headerRowBorderDxfId="1791" tableBorderDxfId="1789" totalsRowBorderDxfId="1787">
  <autoFilter ref="A2:D7" xr:uid="{17A2092C-D04F-49FE-A19A-7D1A5B52CBAE}">
    <filterColumn colId="0" hiddenButton="1"/>
    <filterColumn colId="1" hiddenButton="1"/>
    <filterColumn colId="2" hiddenButton="1"/>
    <filterColumn colId="3" hiddenButton="1"/>
  </autoFilter>
  <tableColumns count="4">
    <tableColumn id="1" xr3:uid="{A17B8629-B6BF-4BF3-B5D6-3CD7906F09D6}" name="Candidate Name (Party)" totalsRowLabel="Total Votes by County" dataDxfId="1786" totalsRowDxfId="1785"/>
    <tableColumn id="4" xr3:uid="{A8796775-D3B5-4570-94BD-4C70D149B8F2}" name="Part of Queens County Vote Results" totalsRowFunction="custom" dataDxfId="1784" totalsRowDxfId="1783">
      <totalsRowFormula>SUM(MemberOfAssemblyAssemblyDistrict34General[Part of Queens County Vote Results])</totalsRowFormula>
    </tableColumn>
    <tableColumn id="3" xr3:uid="{AC248EBF-4754-4E59-9822-F234E74D71E9}" name="Total Votes by Party" totalsRowFunction="custom" dataDxfId="1782" totalsRowDxfId="1781">
      <calculatedColumnFormula>MemberOfAssemblyAssemblyDistrict34General[[#This Row],[Part of Queens County Vote Results]]</calculatedColumnFormula>
      <totalsRowFormula>SUM(MemberOfAssemblyAssemblyDistrict34General[Total Votes by Party])</totalsRowFormula>
    </tableColumn>
    <tableColumn id="2" xr3:uid="{8229AAAA-5A36-4CDF-B46A-1EEDF58B060F}" name="Total Votes by Candidate" dataDxfId="1780" totalsRowDxfId="1779">
      <calculatedColumnFormula>SUM(MemberOfAssemblyAssemblyDistrict34General[[#This Row],[Total Votes by Party]],#REF!)</calculatedColumnFormula>
    </tableColumn>
  </tableColumns>
  <tableStyleInfo name="TableStyleMedium2" showFirstColumn="0" showLastColumn="0" showRowStripes="0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D29D6E38-20FD-496E-9E85-6405AB7F8C12}" name="MemberOfAssemblyAssemblyDistrict35General" displayName="MemberOfAssemblyAssemblyDistrict35General" ref="A2:D7" totalsRowCount="1" headerRowDxfId="1778" dataDxfId="1776" totalsRowDxfId="1774" headerRowBorderDxfId="1777" tableBorderDxfId="1775" totalsRowBorderDxfId="1773">
  <autoFilter ref="A2:D6" xr:uid="{1EB8363C-646C-4620-B421-B6C3565C17E2}">
    <filterColumn colId="0" hiddenButton="1"/>
    <filterColumn colId="1" hiddenButton="1"/>
    <filterColumn colId="2" hiddenButton="1"/>
    <filterColumn colId="3" hiddenButton="1"/>
  </autoFilter>
  <tableColumns count="4">
    <tableColumn id="1" xr3:uid="{BB334474-C4E4-4F3F-B262-62160B4FA30F}" name="Candidate Name (Party)" totalsRowLabel="Total Votes by County" dataDxfId="1772" totalsRowDxfId="1771"/>
    <tableColumn id="4" xr3:uid="{A8E1878D-3ABE-481E-B563-CECCC3967A27}" name="Part of Queens County Vote Results" totalsRowFunction="custom" dataDxfId="1770" totalsRowDxfId="1769">
      <totalsRowFormula>SUM(MemberOfAssemblyAssemblyDistrict35General[Part of Queens County Vote Results])</totalsRowFormula>
    </tableColumn>
    <tableColumn id="3" xr3:uid="{5CBACD6A-8883-4F1D-8DBE-FCE1D023C000}" name="Total Votes by Party" totalsRowFunction="custom" dataDxfId="1768" totalsRowDxfId="1767">
      <calculatedColumnFormula>MemberOfAssemblyAssemblyDistrict35General[[#This Row],[Part of Queens County Vote Results]]</calculatedColumnFormula>
      <totalsRowFormula>SUM(MemberOfAssemblyAssemblyDistrict35General[Total Votes by Party])</totalsRowFormula>
    </tableColumn>
    <tableColumn id="2" xr3:uid="{E1E520CD-F140-4BFA-A614-3ABE5A43E3F0}" name="Total Votes by Candidate" dataDxfId="1766" totalsRowDxfId="1765">
      <calculatedColumnFormula>C3</calculatedColumnFormula>
    </tableColumn>
  </tableColumns>
  <tableStyleInfo name="TableStyleMedium2" showFirstColumn="0" showLastColumn="0" showRowStripes="0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935D448A-B2F8-4E92-8517-444E949E4C10}" name="MemberOfAssemblyAssemblyDistrict36General" displayName="MemberOfAssemblyAssemblyDistrict36General" ref="A2:D8" totalsRowCount="1" headerRowDxfId="1764" dataDxfId="1762" totalsRowDxfId="1760" headerRowBorderDxfId="1763" tableBorderDxfId="1761" totalsRowBorderDxfId="1759">
  <autoFilter ref="A2:D7" xr:uid="{31DCC498-482B-4F33-BE43-0400294C2D8A}">
    <filterColumn colId="0" hiddenButton="1"/>
    <filterColumn colId="1" hiddenButton="1"/>
    <filterColumn colId="2" hiddenButton="1"/>
    <filterColumn colId="3" hiddenButton="1"/>
  </autoFilter>
  <tableColumns count="4">
    <tableColumn id="1" xr3:uid="{8E994109-189D-47A5-A775-D32ECE9CB1C9}" name="Candidate Name (Party)" totalsRowLabel="Total Votes by County" dataDxfId="1758" totalsRowDxfId="1757"/>
    <tableColumn id="4" xr3:uid="{D4F5810C-F1AB-4509-8D20-235FF96CC18E}" name="Part of Queens County Vote Results" totalsRowFunction="custom" dataDxfId="1756" totalsRowDxfId="1755">
      <totalsRowFormula>SUM(MemberOfAssemblyAssemblyDistrict36General[Part of Queens County Vote Results])</totalsRowFormula>
    </tableColumn>
    <tableColumn id="3" xr3:uid="{D998F40A-6E71-488B-A077-CA3AADADC8B9}" name="Total Votes by Party" totalsRowFunction="custom" dataDxfId="1754" totalsRowDxfId="1753">
      <calculatedColumnFormula>MemberOfAssemblyAssemblyDistrict36General[[#This Row],[Part of Queens County Vote Results]]</calculatedColumnFormula>
      <totalsRowFormula>SUM(MemberOfAssemblyAssemblyDistrict36General[Total Votes by Party])</totalsRowFormula>
    </tableColumn>
    <tableColumn id="2" xr3:uid="{03198273-14D5-4294-9E65-8A3F1A4B3F07}" name="Total Votes by Candidate" dataDxfId="1752" totalsRowDxfId="1751">
      <calculatedColumnFormula>SUM(MemberOfAssemblyAssemblyDistrict36General[[#This Row],[Total Votes by Party]])</calculatedColumnFormula>
    </tableColumn>
  </tableColumns>
  <tableStyleInfo name="TableStyleMedium2" showFirstColumn="0" showLastColumn="0" showRowStripes="0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2213678D-60BE-4147-86A4-7D2D74C9C05E}" name="MemberOfAssemblyAssemblyDistrict37General" displayName="MemberOfAssemblyAssemblyDistrict37General" ref="A2:D8" totalsRowCount="1" headerRowDxfId="1750" dataDxfId="1748" totalsRowDxfId="1746" headerRowBorderDxfId="1749" tableBorderDxfId="1747" totalsRowBorderDxfId="1745">
  <autoFilter ref="A2:D7" xr:uid="{6234759C-B62B-4523-B671-315DE9E93999}">
    <filterColumn colId="0" hiddenButton="1"/>
    <filterColumn colId="1" hiddenButton="1"/>
    <filterColumn colId="2" hiddenButton="1"/>
    <filterColumn colId="3" hiddenButton="1"/>
  </autoFilter>
  <tableColumns count="4">
    <tableColumn id="1" xr3:uid="{D754A393-EECD-4E48-9878-CCAA22D1C114}" name="Candidate Name (Party)" totalsRowLabel="Total Votes by County" dataDxfId="1744" totalsRowDxfId="1743"/>
    <tableColumn id="4" xr3:uid="{4EAAD1C0-DF6B-4111-AB14-B31EB1A22B21}" name="Part of Queens County Vote Results" totalsRowFunction="custom" dataDxfId="1742" totalsRowDxfId="1741">
      <totalsRowFormula>SUM(MemberOfAssemblyAssemblyDistrict37General[Part of Queens County Vote Results])</totalsRowFormula>
    </tableColumn>
    <tableColumn id="3" xr3:uid="{6F54F134-2B43-43BD-8144-3E8990B540B3}" name="Total Votes by Party" totalsRowFunction="custom" dataDxfId="1740" totalsRowDxfId="1739">
      <calculatedColumnFormula>MemberOfAssemblyAssemblyDistrict37General[[#This Row],[Part of Queens County Vote Results]]</calculatedColumnFormula>
      <totalsRowFormula>SUM(MemberOfAssemblyAssemblyDistrict37General[Total Votes by Party])</totalsRowFormula>
    </tableColumn>
    <tableColumn id="2" xr3:uid="{165D39B9-2BB2-4E8E-A6EB-E753CD21D6D4}" name="Total Votes by Candidate" dataDxfId="1738" totalsRowDxfId="1737">
      <calculatedColumnFormula>SUM(MemberOfAssemblyAssemblyDistrict37General[[#This Row],[Total Votes by Party]])</calculatedColumnFormula>
    </tableColumn>
  </tableColumns>
  <tableStyleInfo name="TableStyleMedium2" showFirstColumn="0" showLastColumn="0" showRowStripes="0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8A8E726-5620-4C55-83E6-CBDC32E90636}" name="MemberOfAssemblyAssemblyDistrict38General" displayName="MemberOfAssemblyAssemblyDistrict38General" ref="A2:D7" totalsRowCount="1" headerRowDxfId="1736" dataDxfId="1734" totalsRowDxfId="1732" headerRowBorderDxfId="1735" tableBorderDxfId="1733" totalsRowBorderDxfId="1731">
  <autoFilter ref="A2:D6" xr:uid="{9B4D3939-FAFD-41E4-BE4A-89D8C63A9B13}">
    <filterColumn colId="0" hiddenButton="1"/>
    <filterColumn colId="1" hiddenButton="1"/>
    <filterColumn colId="2" hiddenButton="1"/>
    <filterColumn colId="3" hiddenButton="1"/>
  </autoFilter>
  <tableColumns count="4">
    <tableColumn id="1" xr3:uid="{99FDE2E1-E3C4-4F43-861F-E033B16617B2}" name="Candidate Name (Party)" totalsRowLabel="Total Votes by County" dataDxfId="1730" totalsRowDxfId="1729"/>
    <tableColumn id="4" xr3:uid="{9370143D-E3D7-4E93-B379-9B206FDBE2D2}" name="Part of Queens County Vote Results" totalsRowFunction="custom" dataDxfId="1728" totalsRowDxfId="1727">
      <totalsRowFormula>SUM(MemberOfAssemblyAssemblyDistrict38General[Part of Queens County Vote Results])</totalsRowFormula>
    </tableColumn>
    <tableColumn id="3" xr3:uid="{8E737A43-182F-493B-8EA4-9A62CDB7082B}" name="Total Votes by Party" totalsRowFunction="custom" dataDxfId="1726" totalsRowDxfId="1725">
      <calculatedColumnFormula>MemberOfAssemblyAssemblyDistrict38General[[#This Row],[Part of Queens County Vote Results]]</calculatedColumnFormula>
      <totalsRowFormula>SUM(MemberOfAssemblyAssemblyDistrict38General[Total Votes by Party])</totalsRowFormula>
    </tableColumn>
    <tableColumn id="2" xr3:uid="{10ABF9B4-0659-41D3-B3D9-9EA773E30CEB}" name="Total Votes by Candidate" dataDxfId="1724" totalsRowDxfId="1723">
      <calculatedColumnFormula>C3</calculatedColumnFormula>
    </tableColumn>
  </tableColumns>
  <tableStyleInfo name="TableStyleMedium2" showFirstColumn="0" showLastColumn="0" showRowStripes="0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55F130B2-7EFD-4AAB-BA40-C9E74CD32315}" name="MemberOfAssemblyAssemblyDistrict39General" displayName="MemberOfAssemblyAssemblyDistrict39General" ref="A2:D8" totalsRowCount="1" headerRowDxfId="1722" dataDxfId="1720" totalsRowDxfId="1718" headerRowBorderDxfId="1721" tableBorderDxfId="1719" totalsRowBorderDxfId="1717">
  <autoFilter ref="A2:D7" xr:uid="{BEC8AD1F-1472-4FA5-863E-8D544C0F76D7}">
    <filterColumn colId="0" hiddenButton="1"/>
    <filterColumn colId="1" hiddenButton="1"/>
    <filterColumn colId="2" hiddenButton="1"/>
    <filterColumn colId="3" hiddenButton="1"/>
  </autoFilter>
  <tableColumns count="4">
    <tableColumn id="1" xr3:uid="{1279409E-C017-4C95-B6B3-BBDB4DECCED5}" name="Candidate Name (Party)" totalsRowLabel="Total Votes by County" dataDxfId="1716" totalsRowDxfId="1715"/>
    <tableColumn id="4" xr3:uid="{F91A584C-6B90-4D0E-B074-880BEE3141A2}" name="Part of Queens County Vote Results" totalsRowFunction="custom" dataDxfId="1714" totalsRowDxfId="1713">
      <totalsRowFormula>SUM(MemberOfAssemblyAssemblyDistrict39General[Part of Queens County Vote Results])</totalsRowFormula>
    </tableColumn>
    <tableColumn id="3" xr3:uid="{2B73AB47-3FB4-4568-8714-B27B4C7902DF}" name="Total Votes by Party" totalsRowFunction="custom" dataDxfId="1712" totalsRowDxfId="1711">
      <calculatedColumnFormula>MemberOfAssemblyAssemblyDistrict39General[[#This Row],[Part of Queens County Vote Results]]</calculatedColumnFormula>
      <totalsRowFormula>SUM(MemberOfAssemblyAssemblyDistrict39General[Total Votes by Party])</totalsRowFormula>
    </tableColumn>
    <tableColumn id="2" xr3:uid="{65ED47A8-7165-4F97-A56C-7CEA49089606}" name="Total Votes by Candidate" dataDxfId="1710" totalsRowDxfId="1709">
      <calculatedColumnFormula>SUM(MemberOfAssemblyAssemblyDistrict39General[[#This Row],[Total Votes by Party]])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4C01BF5F-7DC2-4DED-B2C1-3F981792FA03}" name="MemberOfAssemblyAssemblyDistrict4General" displayName="MemberOfAssemblyAssemblyDistrict4General" ref="A2:D10" totalsRowCount="1" headerRowDxfId="2218" dataDxfId="2216" totalsRowDxfId="2214" headerRowBorderDxfId="2217" tableBorderDxfId="2215" totalsRowBorderDxfId="2213">
  <autoFilter ref="A2:D9" xr:uid="{C1DA58BB-00F7-421C-9DB1-B620D56EBEEE}">
    <filterColumn colId="0" hiddenButton="1"/>
    <filterColumn colId="1" hiddenButton="1"/>
    <filterColumn colId="2" hiddenButton="1"/>
    <filterColumn colId="3" hiddenButton="1"/>
  </autoFilter>
  <tableColumns count="4">
    <tableColumn id="1" xr3:uid="{F3B63C79-F394-4D11-8604-D708C6BBCF81}" name="Candidate Name (Party)" totalsRowLabel="Total Votes by County" dataDxfId="2212" totalsRowDxfId="2211"/>
    <tableColumn id="4" xr3:uid="{31F71C12-068A-4279-9318-B4965CD74815}" name="Part of Suffolk County Vote Results" totalsRowFunction="custom" dataDxfId="2210" totalsRowDxfId="2209">
      <totalsRowFormula>SUM(MemberOfAssemblyAssemblyDistrict4General[Part of Suffolk County Vote Results])</totalsRowFormula>
    </tableColumn>
    <tableColumn id="3" xr3:uid="{22241707-6B9E-434A-8D18-3596C8AF2CEC}" name="Total Votes by Party" totalsRowFunction="custom" dataDxfId="2208" totalsRowDxfId="2207">
      <calculatedColumnFormula>MemberOfAssemblyAssemblyDistrict4General[[#This Row],[Part of Suffolk County Vote Results]]</calculatedColumnFormula>
      <totalsRowFormula>SUM(MemberOfAssemblyAssemblyDistrict4General[Total Votes by Party])</totalsRowFormula>
    </tableColumn>
    <tableColumn id="2" xr3:uid="{414AA91F-1515-425F-96C7-13E416E40F1A}" name="Total Votes by Candidate" dataDxfId="2206" totalsRowDxfId="2205"/>
  </tableColumns>
  <tableStyleInfo name="TableStyleMedium2" showFirstColumn="0" showLastColumn="0" showRowStripes="0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A0789A53-85B1-4543-B74B-3A284990AE80}" name="MemberOfAssemblyAssemblyDistrict40General" displayName="MemberOfAssemblyAssemblyDistrict40General" ref="A2:D10" totalsRowCount="1" headerRowDxfId="1708" dataDxfId="1706" totalsRowDxfId="1704" headerRowBorderDxfId="1707" tableBorderDxfId="1705" totalsRowBorderDxfId="1703">
  <autoFilter ref="A2:D9" xr:uid="{B9EEE381-163E-435C-B9FB-96CE851BCFFC}">
    <filterColumn colId="0" hiddenButton="1"/>
    <filterColumn colId="1" hiddenButton="1"/>
    <filterColumn colId="2" hiddenButton="1"/>
    <filterColumn colId="3" hiddenButton="1"/>
  </autoFilter>
  <tableColumns count="4">
    <tableColumn id="1" xr3:uid="{2FAD3A94-4CBE-4EE9-AB8B-BC101C44FE74}" name="Candidate Name (Party)" totalsRowLabel="Total Votes by County" dataDxfId="1702" totalsRowDxfId="1701"/>
    <tableColumn id="4" xr3:uid="{0E6A84EB-8958-4ABB-91F2-C7CD85A1CE49}" name="Part of Queens County Vote Results" totalsRowFunction="custom" dataDxfId="1700" totalsRowDxfId="1699">
      <totalsRowFormula>SUM(MemberOfAssemblyAssemblyDistrict40General[Part of Queens County Vote Results])</totalsRowFormula>
    </tableColumn>
    <tableColumn id="3" xr3:uid="{88F96E9E-CF72-4D6C-8901-A9255C01158D}" name="Total Votes by Party" totalsRowFunction="custom" dataDxfId="1698" totalsRowDxfId="1697">
      <calculatedColumnFormula>MemberOfAssemblyAssemblyDistrict40General[[#This Row],[Part of Queens County Vote Results]]</calculatedColumnFormula>
      <totalsRowFormula>SUM(MemberOfAssemblyAssemblyDistrict40General[Total Votes by Party])</totalsRowFormula>
    </tableColumn>
    <tableColumn id="2" xr3:uid="{2D3270D1-BD26-4804-869B-7F76939941D8}" name="Total Votes by Candidate" dataDxfId="1696" totalsRowDxfId="1695"/>
  </tableColumns>
  <tableStyleInfo name="TableStyleMedium2" showFirstColumn="0" showLastColumn="0" showRowStripes="0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530477F9-1753-406F-A455-A91AE68CAA4C}" name="MemberOfAssemblyAssemblyDistrict41General" displayName="MemberOfAssemblyAssemblyDistrict41General" ref="A2:D9" totalsRowCount="1" headerRowDxfId="1694" dataDxfId="1692" totalsRowDxfId="1690" headerRowBorderDxfId="1693" tableBorderDxfId="1691" totalsRowBorderDxfId="1689">
  <autoFilter ref="A2:D8" xr:uid="{E913C536-E0A8-4B7A-8CEB-34AD3DFB923F}">
    <filterColumn colId="0" hiddenButton="1"/>
    <filterColumn colId="1" hiddenButton="1"/>
    <filterColumn colId="2" hiddenButton="1"/>
    <filterColumn colId="3" hiddenButton="1"/>
  </autoFilter>
  <tableColumns count="4">
    <tableColumn id="1" xr3:uid="{B920930D-6BFB-48C6-A230-4589532A380A}" name="Candidate Name (Party)" totalsRowLabel="Total Votes by County" dataDxfId="1688" totalsRowDxfId="1687"/>
    <tableColumn id="4" xr3:uid="{A2F199E3-1C89-434D-966C-9ACCCB837372}" name="Part of Kings County Vote Results" totalsRowFunction="custom" totalsRowDxfId="1686">
      <totalsRowFormula>SUM(MemberOfAssemblyAssemblyDistrict41General[Part of Kings County Vote Results])</totalsRowFormula>
    </tableColumn>
    <tableColumn id="3" xr3:uid="{DD0A95C4-3166-49F5-BAC2-E54403E9A513}" name="Total Votes by Party" totalsRowFunction="custom" dataDxfId="1685" totalsRowDxfId="1684">
      <calculatedColumnFormula>MemberOfAssemblyAssemblyDistrict41General[[#This Row],[Part of Kings County Vote Results]]</calculatedColumnFormula>
      <totalsRowFormula>SUM(MemberOfAssemblyAssemblyDistrict41General[Total Votes by Party])</totalsRowFormula>
    </tableColumn>
    <tableColumn id="2" xr3:uid="{09166DD7-CB73-4315-B1B7-6CCEE67E5E47}" name="Total Votes by Candidate" dataDxfId="1683" totalsRowDxfId="1682"/>
  </tableColumns>
  <tableStyleInfo name="TableStyleMedium2" showFirstColumn="0" showLastColumn="0" showRowStripes="0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DF7D8B03-A306-4D94-A6E7-0108BD027873}" name="MemberOfAssemblyAssemblyDistrict42General" displayName="MemberOfAssemblyAssemblyDistrict42General" ref="A2:D7" totalsRowCount="1" headerRowDxfId="1681" dataDxfId="1679" totalsRowDxfId="1677" headerRowBorderDxfId="1680" tableBorderDxfId="1678" totalsRowBorderDxfId="1676">
  <autoFilter ref="A2:D6" xr:uid="{02027DAB-EEA2-4592-AAA2-F47BF2CD7479}">
    <filterColumn colId="0" hiddenButton="1"/>
    <filterColumn colId="1" hiddenButton="1"/>
    <filterColumn colId="2" hiddenButton="1"/>
    <filterColumn colId="3" hiddenButton="1"/>
  </autoFilter>
  <tableColumns count="4">
    <tableColumn id="1" xr3:uid="{6487C790-DE79-4B65-B5F3-13A4686F4EF1}" name="Candidate Name (Party)" totalsRowLabel="Total Votes by County" dataDxfId="1675" totalsRowDxfId="1674"/>
    <tableColumn id="4" xr3:uid="{69C80960-F6E6-4365-B383-68B990DAA10A}" name="Part of Kings County Vote Results" totalsRowFunction="custom" totalsRowDxfId="1673">
      <totalsRowFormula>SUM(MemberOfAssemblyAssemblyDistrict42General[Part of Kings County Vote Results])</totalsRowFormula>
    </tableColumn>
    <tableColumn id="3" xr3:uid="{08AA0614-3300-4B17-BAD6-4752ACA9159C}" name="Total Votes by Party" totalsRowFunction="custom" dataDxfId="1672" totalsRowDxfId="1671">
      <calculatedColumnFormula>MemberOfAssemblyAssemblyDistrict42General[[#This Row],[Part of Kings County Vote Results]]</calculatedColumnFormula>
      <totalsRowFormula>SUM(MemberOfAssemblyAssemblyDistrict42General[Total Votes by Party])</totalsRowFormula>
    </tableColumn>
    <tableColumn id="2" xr3:uid="{06E15EE5-1A41-4877-A8A0-EE0079AC8A4C}" name="Total Votes by Candidate" dataDxfId="1670" totalsRowDxfId="1669">
      <calculatedColumnFormula>C3</calculatedColumnFormula>
    </tableColumn>
  </tableColumns>
  <tableStyleInfo name="TableStyleMedium2" showFirstColumn="0" showLastColumn="0" showRowStripes="0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1411F151-4235-45B0-AFD7-4A9574B1B21C}" name="MemberOfAssemblyAssemblyDistrict43General" displayName="MemberOfAssemblyAssemblyDistrict43General" ref="A2:D8" totalsRowCount="1" headerRowDxfId="1668" dataDxfId="1666" totalsRowDxfId="1664" headerRowBorderDxfId="1667" tableBorderDxfId="1665" totalsRowBorderDxfId="1663">
  <autoFilter ref="A2:D7" xr:uid="{9AE16682-B515-45EE-912B-69FCDE72BB7E}">
    <filterColumn colId="0" hiddenButton="1"/>
    <filterColumn colId="1" hiddenButton="1"/>
    <filterColumn colId="2" hiddenButton="1"/>
    <filterColumn colId="3" hiddenButton="1"/>
  </autoFilter>
  <tableColumns count="4">
    <tableColumn id="1" xr3:uid="{CEB26F5D-8F96-4200-891D-969CF7DF2182}" name="Candidate Name (Party)" totalsRowLabel="Total Votes by County" dataDxfId="1662" totalsRowDxfId="1661"/>
    <tableColumn id="4" xr3:uid="{7637F4CA-0F4A-4407-8C74-4A80428C6B08}" name="Part of Kings County Vote Results" totalsRowFunction="custom" totalsRowDxfId="1660">
      <totalsRowFormula>SUM(MemberOfAssemblyAssemblyDistrict43General[Part of Kings County Vote Results])</totalsRowFormula>
    </tableColumn>
    <tableColumn id="3" xr3:uid="{C6364F75-006A-4D1C-8984-08495E2AB726}" name="Total Votes by Party" totalsRowFunction="custom" dataDxfId="1659" totalsRowDxfId="1658">
      <calculatedColumnFormula>MemberOfAssemblyAssemblyDistrict43General[[#This Row],[Part of Kings County Vote Results]]</calculatedColumnFormula>
      <totalsRowFormula>SUM(MemberOfAssemblyAssemblyDistrict43General[Total Votes by Party])</totalsRowFormula>
    </tableColumn>
    <tableColumn id="2" xr3:uid="{8E107B18-8F78-443D-B9BD-A75DDD728B30}" name="Total Votes by Candidate" dataDxfId="1657" totalsRowDxfId="1656"/>
  </tableColumns>
  <tableStyleInfo name="TableStyleMedium2" showFirstColumn="0" showLastColumn="0" showRowStripes="0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8407B20-CB99-454F-A2BA-7B9457DE3502}" name="MemberOfAssemblyAssemblyDistrict44General" displayName="MemberOfAssemblyAssemblyDistrict44General" ref="A2:D11" totalsRowCount="1" headerRowDxfId="1655" dataDxfId="1653" totalsRowDxfId="1651" headerRowBorderDxfId="1654" tableBorderDxfId="1652" totalsRowBorderDxfId="1650">
  <autoFilter ref="A2:D10" xr:uid="{BF443498-A9FC-4D58-8AD9-9DD17D2D8AD3}">
    <filterColumn colId="0" hiddenButton="1"/>
    <filterColumn colId="1" hiddenButton="1"/>
    <filterColumn colId="2" hiddenButton="1"/>
    <filterColumn colId="3" hiddenButton="1"/>
  </autoFilter>
  <tableColumns count="4">
    <tableColumn id="1" xr3:uid="{4311CA32-8394-4519-8EA6-80733B28F8A0}" name="Candidate Name (Party)" totalsRowLabel="Total Votes by County" dataDxfId="1649" totalsRowDxfId="1648"/>
    <tableColumn id="4" xr3:uid="{C51E2FF1-0705-4693-A182-5FA467FCC373}" name="Part of Kings County Vote Results" totalsRowFunction="custom" totalsRowDxfId="1647">
      <totalsRowFormula>SUM(MemberOfAssemblyAssemblyDistrict44General[Part of Kings County Vote Results])</totalsRowFormula>
    </tableColumn>
    <tableColumn id="3" xr3:uid="{002F6BEB-877D-4DE2-AC9B-F78101A65DF4}" name="Total Votes by Party" totalsRowFunction="custom" dataDxfId="1646" totalsRowDxfId="1645">
      <calculatedColumnFormula>MemberOfAssemblyAssemblyDistrict44General[[#This Row],[Part of Kings County Vote Results]]</calculatedColumnFormula>
      <totalsRowFormula>SUM(MemberOfAssemblyAssemblyDistrict44General[Total Votes by Party])</totalsRowFormula>
    </tableColumn>
    <tableColumn id="2" xr3:uid="{ED55DB0C-3FA5-469C-958F-813AC26EF10C}" name="Total Votes by Candidate" dataDxfId="1644" totalsRowDxfId="1643"/>
  </tableColumns>
  <tableStyleInfo name="TableStyleMedium2" showFirstColumn="0" showLastColumn="0" showRowStripes="0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E449B75B-D50C-4FEA-A3D0-E24AD989E77E}" name="MemberOfAssemblyAssemblyDistrict45General" displayName="MemberOfAssemblyAssemblyDistrict45General" ref="A2:D10" totalsRowCount="1" headerRowDxfId="1642" dataDxfId="1640" totalsRowDxfId="1638" headerRowBorderDxfId="1641" tableBorderDxfId="1639" totalsRowBorderDxfId="1637">
  <autoFilter ref="A2:D9" xr:uid="{9E2524FB-8412-449B-91CD-51AF3E3C3668}">
    <filterColumn colId="0" hiddenButton="1"/>
    <filterColumn colId="1" hiddenButton="1"/>
    <filterColumn colId="2" hiddenButton="1"/>
    <filterColumn colId="3" hiddenButton="1"/>
  </autoFilter>
  <tableColumns count="4">
    <tableColumn id="1" xr3:uid="{C7AE0F66-1B86-4F4F-AC4C-5342B08A6012}" name="Candidate Name (Party)" totalsRowLabel="Total Votes by County" dataDxfId="1636" totalsRowDxfId="1635"/>
    <tableColumn id="4" xr3:uid="{E87F5CA0-5AEF-4492-BDBA-A05C0B750EEC}" name="Part of Kings County Vote Results" totalsRowFunction="custom" totalsRowDxfId="1634">
      <totalsRowFormula>SUM(MemberOfAssemblyAssemblyDistrict45General[Part of Kings County Vote Results])</totalsRowFormula>
    </tableColumn>
    <tableColumn id="3" xr3:uid="{8283497B-7D73-4A92-A48F-F9933D1D5F8D}" name="Total Votes by Party" totalsRowFunction="custom" dataDxfId="1633" totalsRowDxfId="1632">
      <calculatedColumnFormula>MemberOfAssemblyAssemblyDistrict45General[[#This Row],[Part of Kings County Vote Results]]</calculatedColumnFormula>
      <totalsRowFormula>SUM(MemberOfAssemblyAssemblyDistrict45General[Total Votes by Party])</totalsRowFormula>
    </tableColumn>
    <tableColumn id="2" xr3:uid="{6BDBA3AD-F288-42BB-84E0-778AAAD26D56}" name="Total Votes by Candidate" dataDxfId="1631" totalsRowDxfId="1630">
      <calculatedColumnFormula>SUM(MemberOfAssemblyAssemblyDistrict45General[[#This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4077E4F3-A2A4-45F9-98A0-B3189C4E18A8}" name="MemberOfAssemblyAssemblyDistrict46General" displayName="MemberOfAssemblyAssemblyDistrict46General" ref="A2:D10" totalsRowCount="1" headerRowDxfId="1629" dataDxfId="1627" totalsRowDxfId="1625" headerRowBorderDxfId="1628" tableBorderDxfId="1626" totalsRowBorderDxfId="1624">
  <autoFilter ref="A2:D9" xr:uid="{19AF2228-AB79-4BFC-9FF2-B9E556269E0B}">
    <filterColumn colId="0" hiddenButton="1"/>
    <filterColumn colId="1" hiddenButton="1"/>
    <filterColumn colId="2" hiddenButton="1"/>
    <filterColumn colId="3" hiddenButton="1"/>
  </autoFilter>
  <tableColumns count="4">
    <tableColumn id="1" xr3:uid="{0D3FE7A3-A258-4A59-98A0-4759FD923447}" name="Candidate Name (Party)" totalsRowLabel="Total Votes by County" dataDxfId="1623" totalsRowDxfId="1622"/>
    <tableColumn id="4" xr3:uid="{21A8EDC4-25F3-4EA0-83BB-4303376689E0}" name="Part of Kings County Vote Results" totalsRowFunction="custom" totalsRowDxfId="1621">
      <totalsRowFormula>SUM(MemberOfAssemblyAssemblyDistrict46General[Part of Kings County Vote Results])</totalsRowFormula>
    </tableColumn>
    <tableColumn id="3" xr3:uid="{AD004FAC-1531-482A-B3CB-64978C417BC6}" name="Total Votes by Party" totalsRowFunction="custom" dataDxfId="1620" totalsRowDxfId="1619">
      <calculatedColumnFormula>MemberOfAssemblyAssemblyDistrict46General[[#This Row],[Part of Kings County Vote Results]]</calculatedColumnFormula>
      <totalsRowFormula>SUM(MemberOfAssemblyAssemblyDistrict46General[Total Votes by Party])</totalsRowFormula>
    </tableColumn>
    <tableColumn id="2" xr3:uid="{9C58D36A-3C0B-49EB-A46A-0871DC1673FA}" name="Total Votes by Candidate" dataDxfId="1618" totalsRowDxfId="1617"/>
  </tableColumns>
  <tableStyleInfo name="TableStyleMedium2" showFirstColumn="0" showLastColumn="0" showRowStripes="0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32971147-7740-472D-8601-A1C0E0496839}" name="MemberOfAssemblyAssemblyDistrict47General" displayName="MemberOfAssemblyAssemblyDistrict47General" ref="A2:D9" totalsRowCount="1" headerRowDxfId="1616" dataDxfId="1614" totalsRowDxfId="1612" headerRowBorderDxfId="1615" tableBorderDxfId="1613" totalsRowBorderDxfId="1611">
  <autoFilter ref="A2:D8" xr:uid="{0FB500D4-5CF3-4FDD-8B03-C8032820ABE3}">
    <filterColumn colId="0" hiddenButton="1"/>
    <filterColumn colId="1" hiddenButton="1"/>
    <filterColumn colId="2" hiddenButton="1"/>
    <filterColumn colId="3" hiddenButton="1"/>
  </autoFilter>
  <tableColumns count="4">
    <tableColumn id="1" xr3:uid="{5AD953CF-20BF-4393-8731-093B5A36596C}" name="Candidate Name (Party)" totalsRowLabel="Total Votes by County" dataDxfId="1610" totalsRowDxfId="1609"/>
    <tableColumn id="4" xr3:uid="{6649D7BB-1018-4E72-97FE-4B522DD1C713}" name="Part of Kings County Vote Results" totalsRowFunction="custom" totalsRowDxfId="1608">
      <totalsRowFormula>SUM(MemberOfAssemblyAssemblyDistrict47General[Part of Kings County Vote Results])</totalsRowFormula>
    </tableColumn>
    <tableColumn id="3" xr3:uid="{6695FF29-79A9-4AE5-BC5F-842DC97517BC}" name="Total Votes by Party" totalsRowFunction="custom" dataDxfId="1607" totalsRowDxfId="1606">
      <calculatedColumnFormula>MemberOfAssemblyAssemblyDistrict47General[[#This Row],[Part of Kings County Vote Results]]</calculatedColumnFormula>
      <totalsRowFormula>SUM(MemberOfAssemblyAssemblyDistrict47General[Total Votes by Party])</totalsRowFormula>
    </tableColumn>
    <tableColumn id="2" xr3:uid="{27D1B75A-64D0-427E-AB79-7B821F0B1146}" name="Total Votes by Candidate" dataDxfId="1605" totalsRowDxfId="1604"/>
  </tableColumns>
  <tableStyleInfo name="TableStyleMedium2" showFirstColumn="0" showLastColumn="0" showRowStripes="0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B57F5CB9-D499-41C5-B76B-63AD30CF92B4}" name="MemberOfAssemblyAssemblyDistrict48General" displayName="MemberOfAssemblyAssemblyDistrict48General" ref="A2:D9" totalsRowCount="1" headerRowDxfId="1603" dataDxfId="1601" totalsRowDxfId="1599" headerRowBorderDxfId="1602" tableBorderDxfId="1600" totalsRowBorderDxfId="1598">
  <autoFilter ref="A2:D8" xr:uid="{53D9526B-6E5F-4B46-9406-5E6519827817}">
    <filterColumn colId="0" hiddenButton="1"/>
    <filterColumn colId="1" hiddenButton="1"/>
    <filterColumn colId="2" hiddenButton="1"/>
    <filterColumn colId="3" hiddenButton="1"/>
  </autoFilter>
  <tableColumns count="4">
    <tableColumn id="1" xr3:uid="{B991030B-496C-47CA-86F7-AA776E6FD2F1}" name="Candidate Name (Party)" totalsRowLabel="Total Votes by County" dataDxfId="1597" totalsRowDxfId="1596"/>
    <tableColumn id="4" xr3:uid="{9AC4FEE2-3E8F-4D76-A9B3-8DCC2C9D497A}" name="Part of Kings County Vote Results" totalsRowFunction="custom" totalsRowDxfId="1595">
      <totalsRowFormula>SUM(MemberOfAssemblyAssemblyDistrict48General[Part of Kings County Vote Results])</totalsRowFormula>
    </tableColumn>
    <tableColumn id="3" xr3:uid="{D6D7F3D7-F792-411C-A819-4AC128ADE44B}" name="Total Votes by Party" totalsRowFunction="custom" dataDxfId="1594" totalsRowDxfId="1593">
      <calculatedColumnFormula>MemberOfAssemblyAssemblyDistrict48General[[#This Row],[Part of Kings County Vote Results]]</calculatedColumnFormula>
      <totalsRowFormula>SUM(MemberOfAssemblyAssemblyDistrict48General[Total Votes by Party])</totalsRowFormula>
    </tableColumn>
    <tableColumn id="2" xr3:uid="{12F897FE-B67A-48A2-BC8A-87988BB1EE3B}" name="Total Votes by Candidate" dataDxfId="1592" totalsRowDxfId="1591">
      <calculatedColumnFormula>SUM(MemberOfAssemblyAssemblyDistrict48General[[#This Row],[Total Votes by Party]],C5)</calculatedColumnFormula>
    </tableColumn>
  </tableColumns>
  <tableStyleInfo name="TableStyleMedium2" showFirstColumn="0" showLastColumn="0" showRowStripes="0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752F1D-8B97-416D-9EC0-FAFE870D3458}" name="MemberOfAssemblyAssemblyDistrict49General" displayName="MemberOfAssemblyAssemblyDistrict49General" ref="A2:D9" totalsRowCount="1" headerRowDxfId="1590" dataDxfId="1588" totalsRowDxfId="1586" headerRowBorderDxfId="1589" tableBorderDxfId="1587" totalsRowBorderDxfId="1585">
  <autoFilter ref="A2:D8" xr:uid="{C8C88C05-06A4-4214-ADD0-4029FF45B686}">
    <filterColumn colId="0" hiddenButton="1"/>
    <filterColumn colId="1" hiddenButton="1"/>
    <filterColumn colId="2" hiddenButton="1"/>
    <filterColumn colId="3" hiddenButton="1"/>
  </autoFilter>
  <tableColumns count="4">
    <tableColumn id="1" xr3:uid="{FDA3EBE4-4DD6-46DC-AAC0-FFFEF66D63FB}" name="Candidate Name (Party)" totalsRowLabel="Total Votes by County" dataDxfId="1584" totalsRowDxfId="1583"/>
    <tableColumn id="4" xr3:uid="{336E906B-3348-4541-A814-857AF6028DFB}" name="Part of Kings County Vote Results" totalsRowFunction="custom" totalsRowDxfId="1582">
      <totalsRowFormula>SUM(MemberOfAssemblyAssemblyDistrict49General[Part of Kings County Vote Results])</totalsRowFormula>
    </tableColumn>
    <tableColumn id="3" xr3:uid="{8713D921-FF8B-4531-B4CB-EA291505D512}" name="Total Votes by Party" totalsRowFunction="custom" dataDxfId="1581" totalsRowDxfId="1580">
      <calculatedColumnFormula>MemberOfAssemblyAssemblyDistrict49General[[#This Row],[Part of Kings County Vote Results]]</calculatedColumnFormula>
      <totalsRowFormula>SUM(MemberOfAssemblyAssemblyDistrict49General[Total Votes by Party])</totalsRowFormula>
    </tableColumn>
    <tableColumn id="2" xr3:uid="{F0AC78E0-DF49-4E47-B6CD-CEF17CFDBDA7}" name="Total Votes by Candidate" dataDxfId="1579" totalsRowDxfId="1578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2B7E8C60-3790-4867-90F4-67D1C8244648}" name="MemberOfAssemblyAssemblyDistrict5General" displayName="MemberOfAssemblyAssemblyDistrict5General" ref="A2:D9" totalsRowCount="1" headerRowDxfId="2204" dataDxfId="2202" totalsRowDxfId="2200" headerRowBorderDxfId="2203" tableBorderDxfId="2201" totalsRowBorderDxfId="2199">
  <autoFilter ref="A2:D8" xr:uid="{191796F6-EF24-43FD-BFBB-FAD42DF22204}">
    <filterColumn colId="0" hiddenButton="1"/>
    <filterColumn colId="1" hiddenButton="1"/>
    <filterColumn colId="2" hiddenButton="1"/>
    <filterColumn colId="3" hiddenButton="1"/>
  </autoFilter>
  <tableColumns count="4">
    <tableColumn id="1" xr3:uid="{82EBAAB0-8A91-4D69-84D9-A1850A08E529}" name="Candidate Name (Party)" totalsRowLabel="Total Votes by County" dataDxfId="2198" totalsRowDxfId="2197"/>
    <tableColumn id="4" xr3:uid="{AAD47DBD-15C4-4E0D-9993-039E7997C30F}" name="Part of Suffolk County Vote Results" totalsRowFunction="custom" dataDxfId="2196" totalsRowDxfId="2195">
      <totalsRowFormula>SUM(MemberOfAssemblyAssemblyDistrict5General[Part of Suffolk County Vote Results])</totalsRowFormula>
    </tableColumn>
    <tableColumn id="3" xr3:uid="{BEA1C430-D393-4622-AA08-4A5577EE536B}" name="Total Votes by Party" totalsRowFunction="custom" dataDxfId="2194" totalsRowDxfId="2193">
      <calculatedColumnFormula>MemberOfAssemblyAssemblyDistrict5General[[#This Row],[Part of Suffolk County Vote Results]]</calculatedColumnFormula>
      <totalsRowFormula>SUM(MemberOfAssemblyAssemblyDistrict5General[Total Votes by Party])</totalsRowFormula>
    </tableColumn>
    <tableColumn id="2" xr3:uid="{2E937B37-42D1-4E2C-9A51-4C589A511B90}" name="Total Votes by Candidate" dataDxfId="2192" totalsRowDxfId="2191"/>
  </tableColumns>
  <tableStyleInfo name="TableStyleMedium2" showFirstColumn="0" showLastColumn="0" showRowStripes="0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3BB200BD-1597-4AF2-9169-846E9BD11B67}" name="MemberOfAssemblyAssemblyDistrict50General" displayName="MemberOfAssemblyAssemblyDistrict50General" ref="A2:D8" totalsRowCount="1" headerRowDxfId="1577" dataDxfId="1575" totalsRowDxfId="1573" headerRowBorderDxfId="1576" tableBorderDxfId="1574" totalsRowBorderDxfId="1572">
  <autoFilter ref="A2:D7" xr:uid="{EB6FA8A7-AE60-48F2-AE64-A3CE1B8F5364}">
    <filterColumn colId="0" hiddenButton="1"/>
    <filterColumn colId="1" hiddenButton="1"/>
    <filterColumn colId="2" hiddenButton="1"/>
    <filterColumn colId="3" hiddenButton="1"/>
  </autoFilter>
  <tableColumns count="4">
    <tableColumn id="1" xr3:uid="{81D11D0D-E87F-48A4-9D6F-CC61AADD8D8B}" name="Candidate Name (Party)" totalsRowLabel="Total Votes by County" dataDxfId="1571" totalsRowDxfId="1570"/>
    <tableColumn id="4" xr3:uid="{61831228-91E5-4907-9649-1389FF43BFC6}" name="Part of Kings County Vote Results" totalsRowFunction="custom" totalsRowDxfId="1569">
      <totalsRowFormula>SUM(MemberOfAssemblyAssemblyDistrict50General[Part of Kings County Vote Results])</totalsRowFormula>
    </tableColumn>
    <tableColumn id="3" xr3:uid="{C5AC150E-771C-46DA-B291-9F63746D4825}" name="Total Votes by Party" totalsRowFunction="custom" dataDxfId="1568" totalsRowDxfId="1567">
      <calculatedColumnFormula>MemberOfAssemblyAssemblyDistrict50General[[#This Row],[Part of Kings County Vote Results]]</calculatedColumnFormula>
      <totalsRowFormula>SUM(MemberOfAssemblyAssemblyDistrict50General[Total Votes by Party])</totalsRowFormula>
    </tableColumn>
    <tableColumn id="2" xr3:uid="{063EB327-5A6E-43C9-93DD-1B8F29FBBB0F}" name="Total Votes by Candidate" dataDxfId="1566" totalsRowDxfId="1565">
      <calculatedColumnFormula>SUM(MemberOfAssemblyAssemblyDistrict50General[[#This Row],[Total Votes by Party]])</calculatedColumnFormula>
    </tableColumn>
  </tableColumns>
  <tableStyleInfo name="TableStyleMedium2" showFirstColumn="0" showLastColumn="0" showRowStripes="0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9A0058CD-5B4A-4669-9F99-44F1D5A63F4A}" name="MemberOfAssemblyAssemblyDistrict52General" displayName="MemberOfAssemblyAssemblyDistrict52General" ref="A2:D10" totalsRowCount="1" headerRowDxfId="1564" dataDxfId="1562" totalsRowDxfId="1560" headerRowBorderDxfId="1563" tableBorderDxfId="1561" totalsRowBorderDxfId="1559">
  <autoFilter ref="A2:D9" xr:uid="{43466E36-55A7-49C8-A7BF-50584D28DAF0}">
    <filterColumn colId="0" hiddenButton="1"/>
    <filterColumn colId="1" hiddenButton="1"/>
    <filterColumn colId="2" hiddenButton="1"/>
    <filterColumn colId="3" hiddenButton="1"/>
  </autoFilter>
  <tableColumns count="4">
    <tableColumn id="1" xr3:uid="{B57F2A61-73D1-4546-9536-50C442C569AB}" name="Candidate Name (Party)" totalsRowLabel="Total Votes by County" dataDxfId="1558" totalsRowDxfId="1557"/>
    <tableColumn id="4" xr3:uid="{844058B7-AC32-4A6D-99D7-A82DC0A5B092}" name="Part of Kings County Vote Results" totalsRowFunction="custom" totalsRowDxfId="1556">
      <totalsRowFormula>SUM(MemberOfAssemblyAssemblyDistrict52General[Part of Kings County Vote Results])</totalsRowFormula>
    </tableColumn>
    <tableColumn id="3" xr3:uid="{7FAEEA22-1572-4711-B156-B0373C0A8A0E}" name="Total Votes by Party" totalsRowFunction="custom" dataDxfId="1555" totalsRowDxfId="1554">
      <calculatedColumnFormula>MemberOfAssemblyAssemblyDistrict52General[[#This Row],[Part of Kings County Vote Results]]</calculatedColumnFormula>
      <totalsRowFormula>SUM(MemberOfAssemblyAssemblyDistrict52General[Total Votes by Party])</totalsRowFormula>
    </tableColumn>
    <tableColumn id="2" xr3:uid="{92C907A0-CED6-4A3F-8252-77212AE97CDA}" name="Total Votes by Candidate" dataDxfId="1553" totalsRowDxfId="1552">
      <calculatedColumnFormula>SUM(MemberOfAssemblyAssemblyDistrict52General[[#This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4174B65C-7BFE-444B-9D0C-29ABDF473AD6}" name="MemberOfAssemblyAssemblyDistrict51General" displayName="MemberOfAssemblyAssemblyDistrict51General" ref="A2:D10" totalsRowCount="1" headerRowDxfId="1551" dataDxfId="1549" totalsRowDxfId="1547" headerRowBorderDxfId="1550" tableBorderDxfId="1548" totalsRowBorderDxfId="1546">
  <autoFilter ref="A2:D9" xr:uid="{BC690E10-EB3A-4CC2-91D0-994F8CCA005D}">
    <filterColumn colId="0" hiddenButton="1"/>
    <filterColumn colId="1" hiddenButton="1"/>
    <filterColumn colId="2" hiddenButton="1"/>
    <filterColumn colId="3" hiddenButton="1"/>
  </autoFilter>
  <tableColumns count="4">
    <tableColumn id="1" xr3:uid="{2868A6F5-5B77-41B7-BCB3-7B8913D88B44}" name="Candidate Name (Party)" totalsRowLabel="Total Votes by County" dataDxfId="1545" totalsRowDxfId="1544"/>
    <tableColumn id="4" xr3:uid="{C5E0E991-CCAB-42CB-A524-FC03DE8D9F35}" name="Part of Kings County Vote Results" totalsRowFunction="custom" totalsRowDxfId="1543">
      <totalsRowFormula>SUM(MemberOfAssemblyAssemblyDistrict51General[Part of Kings County Vote Results])</totalsRowFormula>
    </tableColumn>
    <tableColumn id="3" xr3:uid="{543EC8DD-F152-4492-B9EE-EA8F893A7675}" name="Total Votes by Party" totalsRowFunction="custom" dataDxfId="1542" totalsRowDxfId="1541">
      <calculatedColumnFormula>MemberOfAssemblyAssemblyDistrict51General[[#This Row],[Part of Kings County Vote Results]]</calculatedColumnFormula>
      <totalsRowFormula>SUM(MemberOfAssemblyAssemblyDistrict51General[Total Votes by Party])</totalsRowFormula>
    </tableColumn>
    <tableColumn id="2" xr3:uid="{34E7B60F-A091-4A16-8243-E336FE830F39}" name="Total Votes by Candidate" dataDxfId="1540" totalsRowDxfId="1539">
      <calculatedColumnFormula>SUM(MemberOfAssemblyAssemblyDistrict51General[[#This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9C73DA40-8A39-4422-9AEC-B12584E45EDB}" name="MemberOfAssemblyAssemblyDistrict53General" displayName="MemberOfAssemblyAssemblyDistrict53General" ref="A2:D7" totalsRowCount="1" headerRowDxfId="1538" dataDxfId="1536" totalsRowDxfId="1534" headerRowBorderDxfId="1537" tableBorderDxfId="1535" totalsRowBorderDxfId="1533">
  <autoFilter ref="A2:D6" xr:uid="{8D067293-3DBB-4DA1-A7C5-D1CEAD629054}">
    <filterColumn colId="0" hiddenButton="1"/>
    <filterColumn colId="1" hiddenButton="1"/>
    <filterColumn colId="2" hiddenButton="1"/>
    <filterColumn colId="3" hiddenButton="1"/>
  </autoFilter>
  <tableColumns count="4">
    <tableColumn id="1" xr3:uid="{145FA9A9-CD0F-4F9D-808E-FB88619EDA75}" name="Candidate Name (Party)" totalsRowLabel="Total Votes by County" dataDxfId="1532" totalsRowDxfId="1531"/>
    <tableColumn id="4" xr3:uid="{B1DB57A5-1EB9-482F-9228-3CE2D4774640}" name="Part of Kings County Vote Results" totalsRowFunction="custom" totalsRowDxfId="1530">
      <totalsRowFormula>SUM(MemberOfAssemblyAssemblyDistrict53General[Part of Kings County Vote Results])</totalsRowFormula>
    </tableColumn>
    <tableColumn id="3" xr3:uid="{B7CC2EC8-A052-49E6-B2D8-F87390A4C585}" name="Total Votes by Party" totalsRowFunction="custom" dataDxfId="1529" totalsRowDxfId="1528">
      <calculatedColumnFormula>MemberOfAssemblyAssemblyDistrict53General[[#This Row],[Part of Kings County Vote Results]]</calculatedColumnFormula>
      <totalsRowFormula>SUM(MemberOfAssemblyAssemblyDistrict53General[Total Votes by Party])</totalsRowFormula>
    </tableColumn>
    <tableColumn id="2" xr3:uid="{85EDEFE5-A1E1-4BA6-91DE-F5F329D3BBC2}" name="Total Votes by Candidate" dataDxfId="1527" totalsRowDxfId="1526">
      <calculatedColumnFormula>C3</calculatedColumnFormula>
    </tableColumn>
  </tableColumns>
  <tableStyleInfo name="TableStyleMedium2" showFirstColumn="0" showLastColumn="0" showRowStripes="0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4975DE43-88B9-4421-8D45-70C2D79B6C80}" name="MemberOfAssemblyAssemblyDistrict54General" displayName="MemberOfAssemblyAssemblyDistrict54General" ref="A2:D8" totalsRowCount="1" headerRowDxfId="1525" dataDxfId="1523" totalsRowDxfId="1521" headerRowBorderDxfId="1524" tableBorderDxfId="1522" totalsRowBorderDxfId="1520">
  <autoFilter ref="A2:D7" xr:uid="{1CF8D885-C45F-4D89-A766-3A66B39900A8}">
    <filterColumn colId="0" hiddenButton="1"/>
    <filterColumn colId="1" hiddenButton="1"/>
    <filterColumn colId="2" hiddenButton="1"/>
    <filterColumn colId="3" hiddenButton="1"/>
  </autoFilter>
  <tableColumns count="4">
    <tableColumn id="1" xr3:uid="{5B1DBE75-0C0C-4A16-AEF1-5A6C28192E8F}" name="Candidate Name (Party)" totalsRowLabel="Total Votes by County" dataDxfId="1519" totalsRowDxfId="1518"/>
    <tableColumn id="4" xr3:uid="{2CDB8431-1374-445A-BC34-1B3411A67127}" name="Part of Kings County Vote Results" totalsRowFunction="custom" totalsRowDxfId="1517">
      <totalsRowFormula>SUM(MemberOfAssemblyAssemblyDistrict54General[Part of Kings County Vote Results])</totalsRowFormula>
    </tableColumn>
    <tableColumn id="3" xr3:uid="{D38ABC37-BE3B-4BE4-8D55-81CA393A53AF}" name="Total Votes by Party" totalsRowFunction="custom" dataDxfId="1516" totalsRowDxfId="1515">
      <calculatedColumnFormula>MemberOfAssemblyAssemblyDistrict54General[[#This Row],[Part of Kings County Vote Results]]</calculatedColumnFormula>
      <totalsRowFormula>SUM(MemberOfAssemblyAssemblyDistrict54General[Total Votes by Party])</totalsRowFormula>
    </tableColumn>
    <tableColumn id="2" xr3:uid="{C0689A2C-88EE-4136-B4AA-0C6EE30C8FC4}" name="Total Votes by Candidate" dataDxfId="1514" totalsRowDxfId="1513"/>
  </tableColumns>
  <tableStyleInfo name="TableStyleMedium2" showFirstColumn="0" showLastColumn="0" showRowStripes="0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4ADB2B7-4930-4034-AFC6-938A9FCFFD91}" name="MemberOfAssemblyAssemblyDistrict55General" displayName="MemberOfAssemblyAssemblyDistrict55General" ref="A2:D10" totalsRowCount="1" headerRowDxfId="1512" dataDxfId="1510" totalsRowDxfId="1508" headerRowBorderDxfId="1511" tableBorderDxfId="1509" totalsRowBorderDxfId="1507">
  <autoFilter ref="A2:D9" xr:uid="{F456B5FE-B223-4E84-BC39-EED62A2AF260}">
    <filterColumn colId="0" hiddenButton="1"/>
    <filterColumn colId="1" hiddenButton="1"/>
    <filterColumn colId="2" hiddenButton="1"/>
    <filterColumn colId="3" hiddenButton="1"/>
  </autoFilter>
  <tableColumns count="4">
    <tableColumn id="1" xr3:uid="{F6C238C7-2610-4A8C-80F6-66C4F0BFED5E}" name="Candidate Name (Party)" totalsRowLabel="Total Votes by County" dataDxfId="1506" totalsRowDxfId="1505"/>
    <tableColumn id="4" xr3:uid="{FD8D476E-C616-4F14-A3F7-2B4BFF99CD8B}" name="Part of Kings County Vote Results" totalsRowFunction="custom" totalsRowDxfId="1504">
      <totalsRowFormula>SUM(MemberOfAssemblyAssemblyDistrict55General[Part of Kings County Vote Results])</totalsRowFormula>
    </tableColumn>
    <tableColumn id="3" xr3:uid="{C13D525F-CBCE-4010-AC0D-29F07368DA91}" name="Total Votes by Party" totalsRowFunction="custom" dataDxfId="1503" totalsRowDxfId="1502">
      <calculatedColumnFormula>MemberOfAssemblyAssemblyDistrict55General[[#This Row],[Part of Kings County Vote Results]]</calculatedColumnFormula>
      <totalsRowFormula>SUM(MemberOfAssemblyAssemblyDistrict55General[Total Votes by Party])</totalsRowFormula>
    </tableColumn>
    <tableColumn id="2" xr3:uid="{4AA979D3-B463-458C-8D07-B67CC2243D9B}" name="Total Votes by Candidate" dataDxfId="1501" totalsRowDxfId="1500"/>
  </tableColumns>
  <tableStyleInfo name="TableStyleMedium2" showFirstColumn="0" showLastColumn="0" showRowStripes="0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511586BA-AACB-4503-BA2A-C74470BAB5BE}" name="MemberOfAssemblyAssemblyDistrict56General" displayName="MemberOfAssemblyAssemblyDistrict56General" ref="A2:D7" totalsRowCount="1" headerRowDxfId="1499" dataDxfId="1497" totalsRowDxfId="1495" headerRowBorderDxfId="1498" tableBorderDxfId="1496" totalsRowBorderDxfId="1494">
  <autoFilter ref="A2:D6" xr:uid="{B43538B1-6F61-46C2-AEC0-8740BACEBF7F}">
    <filterColumn colId="0" hiddenButton="1"/>
    <filterColumn colId="1" hiddenButton="1"/>
    <filterColumn colId="2" hiddenButton="1"/>
    <filterColumn colId="3" hiddenButton="1"/>
  </autoFilter>
  <tableColumns count="4">
    <tableColumn id="1" xr3:uid="{FEB77753-26E5-4366-B3F8-8E7F05367A56}" name="Candidate Name (Party)" totalsRowLabel="Total Votes by County" dataDxfId="1493" totalsRowDxfId="1492"/>
    <tableColumn id="4" xr3:uid="{9DAA5F20-10B7-4BF6-B8C1-97CBF554D541}" name="Part of Kings County Vote Results" totalsRowFunction="custom" totalsRowDxfId="1491">
      <totalsRowFormula>SUM(MemberOfAssemblyAssemblyDistrict56General[Part of Kings County Vote Results])</totalsRowFormula>
    </tableColumn>
    <tableColumn id="3" xr3:uid="{1527A0F4-9BE5-4242-85AC-2E9636DFF8FF}" name="Total Votes by Party" totalsRowFunction="custom" dataDxfId="1490" totalsRowDxfId="1489">
      <calculatedColumnFormula>MemberOfAssemblyAssemblyDistrict56General[[#This Row],[Part of Kings County Vote Results]]</calculatedColumnFormula>
      <totalsRowFormula>SUM(MemberOfAssemblyAssemblyDistrict56General[Total Votes by Party])</totalsRowFormula>
    </tableColumn>
    <tableColumn id="2" xr3:uid="{F44A2F83-7DC2-40E9-82E1-821366493449}" name="Total Votes by Candidate" dataDxfId="1488" totalsRowDxfId="1487">
      <calculatedColumnFormula>SUM(MemberOfAssemblyAssemblyDistrict56General[[#This Row],[Total Votes by Party]])</calculatedColumnFormula>
    </tableColumn>
  </tableColumns>
  <tableStyleInfo name="TableStyleMedium2" showFirstColumn="0" showLastColumn="0" showRowStripes="0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D9DC553C-B38B-4C46-8AF9-FEFD660EDCF7}" name="MemberOfAssemblyAssemblyDistrict57General" displayName="MemberOfAssemblyAssemblyDistrict57General" ref="A2:D8" totalsRowCount="1" headerRowDxfId="1486" dataDxfId="1484" totalsRowDxfId="1482" headerRowBorderDxfId="1485" tableBorderDxfId="1483" totalsRowBorderDxfId="1481">
  <autoFilter ref="A2:D7" xr:uid="{06885FD3-6BA0-4A8B-A771-AA4B6AD34E9B}">
    <filterColumn colId="0" hiddenButton="1"/>
    <filterColumn colId="1" hiddenButton="1"/>
    <filterColumn colId="2" hiddenButton="1"/>
    <filterColumn colId="3" hiddenButton="1"/>
  </autoFilter>
  <tableColumns count="4">
    <tableColumn id="1" xr3:uid="{53BEB0D8-1A4C-48AB-B8C6-8CCD6639B188}" name="Candidate Name (Party)" totalsRowLabel="Total Votes by County" dataDxfId="1480" totalsRowDxfId="1479"/>
    <tableColumn id="4" xr3:uid="{D7439D0E-40A3-4A25-9218-C1DA48C5CC0F}" name="Part of Kings County Vote Results" totalsRowFunction="custom" totalsRowDxfId="1478">
      <totalsRowFormula>SUM(MemberOfAssemblyAssemblyDistrict57General[Part of Kings County Vote Results])</totalsRowFormula>
    </tableColumn>
    <tableColumn id="3" xr3:uid="{8DEE12A4-A0C7-41A5-BC6D-418B325A45D2}" name="Total Votes by Party" totalsRowFunction="custom" dataDxfId="1477" totalsRowDxfId="1476">
      <calculatedColumnFormula>MemberOfAssemblyAssemblyDistrict57General[[#This Row],[Part of Kings County Vote Results]]</calculatedColumnFormula>
      <totalsRowFormula>SUM(MemberOfAssemblyAssemblyDistrict57General[Total Votes by Party])</totalsRowFormula>
    </tableColumn>
    <tableColumn id="2" xr3:uid="{CE4236D9-D91A-476C-AB33-8AF41C181EC7}" name="Total Votes by Candidate" dataDxfId="1475" totalsRowDxfId="1474"/>
  </tableColumns>
  <tableStyleInfo name="TableStyleMedium2" showFirstColumn="0" showLastColumn="0" showRowStripes="0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85E1BAD-92EA-40CE-B28A-8037884F6F73}" name="MemberOfAssemblyAssemblyDistrict58General" displayName="MemberOfAssemblyAssemblyDistrict58General" ref="A2:D10" totalsRowCount="1" headerRowDxfId="1473" dataDxfId="1471" totalsRowDxfId="1469" headerRowBorderDxfId="1472" tableBorderDxfId="1470" totalsRowBorderDxfId="1468">
  <autoFilter ref="A2:D9" xr:uid="{62F76209-C641-4D99-AF0C-3E463FCF6991}">
    <filterColumn colId="0" hiddenButton="1"/>
    <filterColumn colId="1" hiddenButton="1"/>
    <filterColumn colId="2" hiddenButton="1"/>
    <filterColumn colId="3" hiddenButton="1"/>
  </autoFilter>
  <tableColumns count="4">
    <tableColumn id="1" xr3:uid="{75DA4CFB-5FF6-4C52-B4E5-C9272C78206B}" name="Candidate Name (Party)" totalsRowLabel="Total Votes by County" dataDxfId="1467" totalsRowDxfId="1466"/>
    <tableColumn id="4" xr3:uid="{4D272330-99CC-4363-8F30-1957875DEDF4}" name="Part of Kings County Vote Results" totalsRowFunction="custom" totalsRowDxfId="1465">
      <totalsRowFormula>SUM(MemberOfAssemblyAssemblyDistrict58General[Part of Kings County Vote Results])</totalsRowFormula>
    </tableColumn>
    <tableColumn id="3" xr3:uid="{CA723194-848D-4E17-B2E9-328E8A9B8094}" name="Total Votes by Party" totalsRowFunction="custom" dataDxfId="1464" totalsRowDxfId="1463">
      <calculatedColumnFormula>MemberOfAssemblyAssemblyDistrict58General[[#This Row],[Part of Kings County Vote Results]]</calculatedColumnFormula>
      <totalsRowFormula>SUM(MemberOfAssemblyAssemblyDistrict58General[Total Votes by Party])</totalsRowFormula>
    </tableColumn>
    <tableColumn id="2" xr3:uid="{722FBB87-2A04-4697-9612-EE273302DAF7}" name="Total Votes by Candidate" dataDxfId="1462" totalsRowDxfId="1461">
      <calculatedColumnFormula>SUM(MemberOfAssemblyAssemblyDistrict58General[[#This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AFFC41DB-2799-455A-A3E5-B883F9DF319F}" name="MemberOfAssemblyAssemblyDistrict59General" displayName="MemberOfAssemblyAssemblyDistrict59General" ref="A2:D8" totalsRowCount="1" headerRowDxfId="1460" dataDxfId="1458" totalsRowDxfId="1456" headerRowBorderDxfId="1459" tableBorderDxfId="1457" totalsRowBorderDxfId="1455">
  <autoFilter ref="A2:D7" xr:uid="{B879D523-A7B9-4628-BDB2-94E50B233A7C}">
    <filterColumn colId="0" hiddenButton="1"/>
    <filterColumn colId="1" hiddenButton="1"/>
    <filterColumn colId="2" hiddenButton="1"/>
    <filterColumn colId="3" hiddenButton="1"/>
  </autoFilter>
  <tableColumns count="4">
    <tableColumn id="1" xr3:uid="{B3C4336B-1E3F-49CE-8839-F760FFB076CE}" name="Candidate Name (Party)" totalsRowLabel="Total Votes by County" dataDxfId="1454" totalsRowDxfId="1453"/>
    <tableColumn id="4" xr3:uid="{875BBA36-736C-4487-896E-F4949447D6E6}" name="Part of Kings County Vote Results" totalsRowFunction="custom" totalsRowDxfId="1452">
      <totalsRowFormula>SUM(MemberOfAssemblyAssemblyDistrict59General[Part of Kings County Vote Results])</totalsRowFormula>
    </tableColumn>
    <tableColumn id="3" xr3:uid="{7EE84E00-814C-4D4F-9758-BF1DF15B1887}" name="Total Votes by Party" totalsRowFunction="custom" dataDxfId="1451" totalsRowDxfId="1450">
      <calculatedColumnFormula>MemberOfAssemblyAssemblyDistrict59General[[#This Row],[Part of Kings County Vote Results]]</calculatedColumnFormula>
      <totalsRowFormula>SUM(MemberOfAssemblyAssemblyDistrict59General[Total Votes by Party])</totalsRowFormula>
    </tableColumn>
    <tableColumn id="2" xr3:uid="{074BB155-6E6A-4663-AF4F-8736B3D4B253}" name="Total Votes by Candidate" dataDxfId="1449" totalsRowDxfId="1448">
      <calculatedColumnFormula>SUM(MemberOfAssemblyAssemblyDistrict59General[[#This Row],[Total Votes by Party]])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CB731BD-1C8D-4FC5-A88C-C284370D563C}" name="MemberOfAssemblyAssemblyDistrict6General" displayName="MemberOfAssemblyAssemblyDistrict6General" ref="A2:D9" totalsRowCount="1" headerRowDxfId="2190" dataDxfId="2188" totalsRowDxfId="2186" headerRowBorderDxfId="2189" tableBorderDxfId="2187" totalsRowBorderDxfId="2185">
  <autoFilter ref="A2:D8" xr:uid="{E7499BEB-4B2F-4A09-B862-9DDE62E733A6}">
    <filterColumn colId="0" hiddenButton="1"/>
    <filterColumn colId="1" hiddenButton="1"/>
    <filterColumn colId="2" hiddenButton="1"/>
    <filterColumn colId="3" hiddenButton="1"/>
  </autoFilter>
  <tableColumns count="4">
    <tableColumn id="1" xr3:uid="{408E63AA-0663-4755-85D3-DCED3670E111}" name="Candidate Name (Party)" totalsRowLabel="Total Votes by County" dataDxfId="2184" totalsRowDxfId="2183"/>
    <tableColumn id="4" xr3:uid="{66EB1E13-A431-47AB-AAC4-1C8E55AB9DC3}" name="Part of Suffolk County Vote Results" totalsRowFunction="custom" dataDxfId="2182" totalsRowDxfId="2181">
      <totalsRowFormula>SUM(MemberOfAssemblyAssemblyDistrict6General[Part of Suffolk County Vote Results])</totalsRowFormula>
    </tableColumn>
    <tableColumn id="3" xr3:uid="{8674885B-737A-48BA-BBDB-194A0276F8CD}" name="Total Votes by Party" totalsRowFunction="custom" dataDxfId="2180" totalsRowDxfId="2179">
      <calculatedColumnFormula>MemberOfAssemblyAssemblyDistrict6General[[#This Row],[Part of Suffolk County Vote Results]]</calculatedColumnFormula>
      <totalsRowFormula>SUM(MemberOfAssemblyAssemblyDistrict6General[Total Votes by Party])</totalsRowFormula>
    </tableColumn>
    <tableColumn id="2" xr3:uid="{B166F123-79F6-43C5-AE1B-FE4536CD7E6B}" name="Total Votes by Candidate" dataDxfId="2178" totalsRowDxfId="2177">
      <calculatedColumnFormula>SUM(MemberOfAssemblyAssemblyDistrict6General[[#This Row],[Total Votes by Party]],#REF!,#REF!)</calculatedColumnFormula>
    </tableColumn>
  </tableColumns>
  <tableStyleInfo name="TableStyleMedium2" showFirstColumn="0" showLastColumn="0" showRowStripes="0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29E43C6C-2F70-4BAD-91ED-7E1D78FDABDC}" name="MemberOfAssemblyAssemblyDistrict60General" displayName="MemberOfAssemblyAssemblyDistrict60General" ref="A2:D8" totalsRowCount="1" headerRowDxfId="1447" dataDxfId="1445" totalsRowDxfId="1443" headerRowBorderDxfId="1446" tableBorderDxfId="1444" totalsRowBorderDxfId="1442">
  <autoFilter ref="A2:D7" xr:uid="{2271CA26-1FB7-4662-AE25-2C1CA44CB5E7}">
    <filterColumn colId="0" hiddenButton="1"/>
    <filterColumn colId="1" hiddenButton="1"/>
    <filterColumn colId="2" hiddenButton="1"/>
    <filterColumn colId="3" hiddenButton="1"/>
  </autoFilter>
  <tableColumns count="4">
    <tableColumn id="1" xr3:uid="{E26892AC-F8BB-427C-A85D-AB25A8EAA6D4}" name="Candidate Name (Party)" totalsRowLabel="Total Votes by County" dataDxfId="1441" totalsRowDxfId="1440"/>
    <tableColumn id="4" xr3:uid="{5674069F-6B26-4651-ABDF-57BCE08AA566}" name="Part of Kings County Vote Results" totalsRowFunction="custom" totalsRowDxfId="1439">
      <totalsRowFormula>SUM(MemberOfAssemblyAssemblyDistrict60General[Part of Kings County Vote Results])</totalsRowFormula>
    </tableColumn>
    <tableColumn id="3" xr3:uid="{47E19BA9-BE41-4718-9FA6-3885EACE43FA}" name="Total Votes by Party" totalsRowFunction="custom" dataDxfId="1438" totalsRowDxfId="1437">
      <calculatedColumnFormula>MemberOfAssemblyAssemblyDistrict60General[[#This Row],[Part of Kings County Vote Results]]</calculatedColumnFormula>
      <totalsRowFormula>SUM(MemberOfAssemblyAssemblyDistrict60General[Total Votes by Party])</totalsRowFormula>
    </tableColumn>
    <tableColumn id="2" xr3:uid="{4693BF7D-48A3-4A59-AB5A-E3616337974A}" name="Total Votes by Candidate" dataDxfId="1436" totalsRowDxfId="1435">
      <calculatedColumnFormula>SUM(MemberOfAssemblyAssemblyDistrict60General[[#This Row],[Total Votes by Party]])</calculatedColumnFormula>
    </tableColumn>
  </tableColumns>
  <tableStyleInfo name="TableStyleMedium2" showFirstColumn="0" showLastColumn="0" showRowStripes="0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125651FE-1525-4EE8-8ED2-6B28B80A3BE7}" name="MemberOfAssemblyAssemblyDistrict61General" displayName="MemberOfAssemblyAssemblyDistrict61General" ref="A2:F7" totalsRowCount="1" headerRowDxfId="1434" dataDxfId="1432" totalsRowDxfId="1430" headerRowBorderDxfId="1433" tableBorderDxfId="1431" totalsRowBorderDxfId="1429">
  <autoFilter ref="A2:F6" xr:uid="{E0863EA8-6184-4D0D-A38A-2078EB59A8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29E62C7-C01A-43E0-9985-259C0E324A05}" name="Candidate Name (Party)" totalsRowLabel="Total Votes by County" dataDxfId="1428" totalsRowDxfId="1427"/>
    <tableColumn id="4" xr3:uid="{B8155AFA-6098-45F9-A397-B906E7E91EA6}" name="Part of Kings County  Vote Results" totalsRowFunction="custom" dataDxfId="1426" totalsRowDxfId="1425">
      <totalsRowFormula>SUM(MemberOfAssemblyAssemblyDistrict61General[Part of Kings County  Vote Results])</totalsRowFormula>
    </tableColumn>
    <tableColumn id="6" xr3:uid="{B5D468F3-F849-43FE-AC04-DEB1B99750BD}" name="Part of New York County Vote Results" totalsRowFunction="custom" dataDxfId="1424" totalsRowDxfId="1423">
      <totalsRowFormula>SUM(MemberOfAssemblyAssemblyDistrict61General[Part of New York County Vote Results])</totalsRowFormula>
    </tableColumn>
    <tableColumn id="5" xr3:uid="{37464514-6DCE-4A3F-923F-DF3BE6D8C69F}" name="Part of Richmond County Vote Results" totalsRowFunction="custom" dataDxfId="1422" totalsRowDxfId="1421">
      <totalsRowFormula>SUM(MemberOfAssemblyAssemblyDistrict61General[Part of Richmond County Vote Results])</totalsRowFormula>
    </tableColumn>
    <tableColumn id="3" xr3:uid="{ABF5B2A5-303B-469D-853A-454F6C437F1F}" name="Total Votes by Party" totalsRowFunction="custom" dataDxfId="1420" totalsRowDxfId="1419">
      <calculatedColumnFormula>SUM(B3,C3,D3)</calculatedColumnFormula>
      <totalsRowFormula>SUM(MemberOfAssemblyAssemblyDistrict61General[Total Votes by Party])</totalsRowFormula>
    </tableColumn>
    <tableColumn id="2" xr3:uid="{E0536B70-BF96-46B0-A926-BDF2200FD9F5}" name="Total Votes by Candidate" dataDxfId="1418" totalsRowDxfId="1417">
      <calculatedColumnFormula>MemberOfAssemblyAssemblyDistrict61General[[#This Row],[Total Votes by Party]]</calculatedColumnFormula>
    </tableColumn>
  </tableColumns>
  <tableStyleInfo name="TableStyleMedium2" showFirstColumn="0" showLastColumn="0" showRowStripes="0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F79176D7-18AA-4DC9-BEC2-687603113F75}" name="MemberOfAssemblyAssemblyDistrict62General" displayName="MemberOfAssemblyAssemblyDistrict62General" ref="A2:D8" totalsRowCount="1" headerRowDxfId="1416" dataDxfId="1414" totalsRowDxfId="1412" headerRowBorderDxfId="1415" tableBorderDxfId="1413" totalsRowBorderDxfId="1411">
  <autoFilter ref="A2:D7" xr:uid="{2008F531-EE74-4162-AF6E-B18BD452C710}">
    <filterColumn colId="0" hiddenButton="1"/>
    <filterColumn colId="1" hiddenButton="1"/>
    <filterColumn colId="2" hiddenButton="1"/>
    <filterColumn colId="3" hiddenButton="1"/>
  </autoFilter>
  <tableColumns count="4">
    <tableColumn id="1" xr3:uid="{8E3FF248-BCE4-448B-8105-C07F65E329F1}" name="Candidate Name (Party)" totalsRowLabel="Total Votes by County" dataDxfId="1410" totalsRowDxfId="1409"/>
    <tableColumn id="4" xr3:uid="{3934527C-04E2-49D9-975A-0FD4553BA256}" name="Part of Richmond County Vote Results" totalsRowFunction="custom" dataDxfId="1408" totalsRowDxfId="1407">
      <totalsRowFormula>SUM(MemberOfAssemblyAssemblyDistrict62General[Part of Richmond County Vote Results])</totalsRowFormula>
    </tableColumn>
    <tableColumn id="3" xr3:uid="{639D6D70-673A-431B-89EA-1037D12BA931}" name="Total Votes by Party" totalsRowFunction="custom" dataDxfId="1406" totalsRowDxfId="1405">
      <calculatedColumnFormula>MemberOfAssemblyAssemblyDistrict62General[[#This Row],[Part of Richmond County Vote Results]]</calculatedColumnFormula>
      <totalsRowFormula>SUM(MemberOfAssemblyAssemblyDistrict62General[Total Votes by Party])</totalsRowFormula>
    </tableColumn>
    <tableColumn id="2" xr3:uid="{5562C0F3-F5D5-46A7-AB7D-75C772BA5E88}" name="Total Votes by Candidate" dataDxfId="1404" totalsRowDxfId="1403">
      <calculatedColumnFormula>SUM(C3:C4)</calculatedColumnFormula>
    </tableColumn>
  </tableColumns>
  <tableStyleInfo name="TableStyleMedium2" showFirstColumn="0" showLastColumn="0" showRowStripes="0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6C3F884B-7330-4940-BB7A-E86CFC286AD5}" name="MemberOfAssemblyAssemblyDistrict63General" displayName="MemberOfAssemblyAssemblyDistrict63General" ref="A2:D10" totalsRowCount="1" headerRowDxfId="1402" dataDxfId="1400" totalsRowDxfId="1398" headerRowBorderDxfId="1401" tableBorderDxfId="1399" totalsRowBorderDxfId="1397">
  <autoFilter ref="A2:D9" xr:uid="{CD12E5BF-E9AF-4AB7-96CD-801D41AE948E}">
    <filterColumn colId="0" hiddenButton="1"/>
    <filterColumn colId="1" hiddenButton="1"/>
    <filterColumn colId="2" hiddenButton="1"/>
    <filterColumn colId="3" hiddenButton="1"/>
  </autoFilter>
  <tableColumns count="4">
    <tableColumn id="1" xr3:uid="{F9F8063C-D5A1-417D-8086-A56E0E52E61A}" name="Candidate Name (Party)" totalsRowLabel="Total Votes by County" dataDxfId="1396" totalsRowDxfId="1395"/>
    <tableColumn id="4" xr3:uid="{7BAFD56B-1DEB-45A8-BE2D-4F2BF9584B3B}" name="Part of Richmond County Vote Results" totalsRowFunction="custom" dataDxfId="1394" totalsRowDxfId="1393">
      <totalsRowFormula>SUM(MemberOfAssemblyAssemblyDistrict63General[Part of Richmond County Vote Results])</totalsRowFormula>
    </tableColumn>
    <tableColumn id="3" xr3:uid="{FCAFA0BE-7F28-4893-9261-BB0640C6A8C3}" name="Total Votes by Party" totalsRowFunction="custom" dataDxfId="1392" totalsRowDxfId="1391">
      <calculatedColumnFormula>MemberOfAssemblyAssemblyDistrict63General[[#This Row],[Part of Richmond County Vote Results]]</calculatedColumnFormula>
      <totalsRowFormula>SUM(MemberOfAssemblyAssemblyDistrict63General[Total Votes by Party])</totalsRowFormula>
    </tableColumn>
    <tableColumn id="2" xr3:uid="{5AEF5468-7D01-4E2D-8869-15A6EE26FE2B}" name="Total Votes by Candidate" dataDxfId="1390" totalsRowDxfId="1389"/>
  </tableColumns>
  <tableStyleInfo name="TableStyleMedium2" showFirstColumn="0" showLastColumn="0" showRowStripes="0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1796D4B2-E78E-4808-A73E-487CC9B4F414}" name="MemberOfAssemblyAssemblyDistrict64General" displayName="MemberOfAssemblyAssemblyDistrict64General" ref="A2:E8" totalsRowCount="1" headerRowDxfId="1388" dataDxfId="1386" totalsRowDxfId="1384" headerRowBorderDxfId="1387" tableBorderDxfId="1385" totalsRowBorderDxfId="1383">
  <autoFilter ref="A2:E7" xr:uid="{6E679F01-FEC9-4F10-BEC2-66FBB32BDB3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0265F52-04D8-4C5C-9178-E3453B4D3D95}" name="Candidate Name (Party)" totalsRowLabel="Total Votes by County" dataDxfId="1382" totalsRowDxfId="1381"/>
    <tableColumn id="2" xr3:uid="{587D9480-AA36-4463-AA1D-EF5C41A1C0FC}" name="Part of Kings County Vote Results" totalsRowFunction="custom" totalsRowDxfId="1380">
      <totalsRowFormula>SUM(MemberOfAssemblyAssemblyDistrict64General[Part of Kings County Vote Results])</totalsRowFormula>
    </tableColumn>
    <tableColumn id="4" xr3:uid="{4BA03700-FD69-4188-B6E3-A60541FCDFE8}" name="Part of Richmond County Vote Results" totalsRowFunction="custom" dataDxfId="1379" totalsRowDxfId="1378">
      <totalsRowFormula>SUM(MemberOfAssemblyAssemblyDistrict64General[Part of Richmond County Vote Results])</totalsRowFormula>
    </tableColumn>
    <tableColumn id="3" xr3:uid="{9F12B4F2-6D1E-49D2-85B1-FE24CD6EF839}" name="Total Votes by Party" totalsRowFunction="custom" dataDxfId="1377" totalsRowDxfId="1376">
      <calculatedColumnFormula>SUM(MemberOfAssemblyAssemblyDistrict64General[[#This Row],[Part of Kings County Vote Results]:[Part of Richmond County Vote Results]])</calculatedColumnFormula>
      <totalsRowFormula>SUM(D3:D7)</totalsRowFormula>
    </tableColumn>
    <tableColumn id="5" xr3:uid="{4A0B0F11-2946-44F0-A036-19ABAEE3EF85}" name="Total Votes by Candidate" dataDxfId="1375" totalsRowDxfId="1374"/>
  </tableColumns>
  <tableStyleInfo name="TableStyleMedium2" showFirstColumn="0" showLastColumn="0" showRowStripes="0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DE279001-4458-4CCF-8108-1BEE004730C9}" name="MemberOfAssemblyAssemblyDistrict65General" displayName="MemberOfAssemblyAssemblyDistrict65General" ref="A2:D8" totalsRowCount="1" headerRowDxfId="1373" dataDxfId="1371" totalsRowDxfId="1369" headerRowBorderDxfId="1372" tableBorderDxfId="1370" totalsRowBorderDxfId="1368">
  <autoFilter ref="A2:D7" xr:uid="{7E494556-0D9D-4D28-95F5-DF8B28663B44}">
    <filterColumn colId="0" hiddenButton="1"/>
    <filterColumn colId="1" hiddenButton="1"/>
    <filterColumn colId="2" hiddenButton="1"/>
    <filterColumn colId="3" hiddenButton="1"/>
  </autoFilter>
  <tableColumns count="4">
    <tableColumn id="1" xr3:uid="{712BC3EC-98E2-40A0-B058-93DA9698815A}" name="Candidate Name (Party)" totalsRowLabel="Total Votes by County" dataDxfId="1367" totalsRowDxfId="1366"/>
    <tableColumn id="4" xr3:uid="{8966054B-F1B4-4F42-AEA2-C91330AF13D2}" name="Part of New York County Vote Results" totalsRowFunction="custom" dataDxfId="1365" totalsRowDxfId="1364">
      <totalsRowFormula>SUM(MemberOfAssemblyAssemblyDistrict65General[Part of New York County Vote Results])</totalsRowFormula>
    </tableColumn>
    <tableColumn id="3" xr3:uid="{08238F08-F81B-44EC-AFB6-1A9988E6CDDF}" name="Total Votes by Party" totalsRowFunction="custom" dataDxfId="1363" totalsRowDxfId="1362">
      <calculatedColumnFormula>MemberOfAssemblyAssemblyDistrict65General[[#This Row],[Part of New York County Vote Results]]</calculatedColumnFormula>
      <totalsRowFormula>SUM(MemberOfAssemblyAssemblyDistrict65General[Total Votes by Party])</totalsRowFormula>
    </tableColumn>
    <tableColumn id="2" xr3:uid="{59D9DF28-1886-48F6-94CA-9A70CBF56E24}" name="Total Votes by Candidate" dataDxfId="1361" totalsRowDxfId="1360">
      <calculatedColumnFormula>SUM(MemberOfAssemblyAssemblyDistrict65General[[#This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F42C4A36-7FEA-45E0-AEF8-8FAFB9867192}" name="MemberOfAssemblyAssemblyDistrict66General2" displayName="MemberOfAssemblyAssemblyDistrict66General2" ref="A2:D8" totalsRowCount="1" headerRowDxfId="1359" dataDxfId="1357" totalsRowDxfId="1355" headerRowBorderDxfId="1358" tableBorderDxfId="1356" totalsRowBorderDxfId="1354">
  <autoFilter ref="A2:D7" xr:uid="{DB588E57-B3EA-45ED-B396-65AD89BE7DBB}">
    <filterColumn colId="0" hiddenButton="1"/>
    <filterColumn colId="1" hiddenButton="1"/>
    <filterColumn colId="2" hiddenButton="1"/>
    <filterColumn colId="3" hiddenButton="1"/>
  </autoFilter>
  <tableColumns count="4">
    <tableColumn id="1" xr3:uid="{BE5A3425-D93C-40A2-80E9-35D9BF55E5C3}" name="Candidate Name (Party)" totalsRowLabel="Total Votes by County" dataDxfId="1353" totalsRowDxfId="1352"/>
    <tableColumn id="4" xr3:uid="{A8A28323-50B8-4739-B88D-A32D6479D5E3}" name="Part of New York County Vote Results" totalsRowFunction="custom" dataDxfId="1351" totalsRowDxfId="1350">
      <totalsRowFormula>SUM(MemberOfAssemblyAssemblyDistrict66General2[Part of New York County Vote Results])</totalsRowFormula>
    </tableColumn>
    <tableColumn id="3" xr3:uid="{A8E15AC6-81A7-410D-9067-BCA764F83754}" name="Total Votes by Party" totalsRowFunction="custom" dataDxfId="1349" totalsRowDxfId="1348">
      <calculatedColumnFormula>MemberOfAssemblyAssemblyDistrict66General2[[#This Row],[Part of New York County Vote Results]]</calculatedColumnFormula>
      <totalsRowFormula>SUM(MemberOfAssemblyAssemblyDistrict66General2[Total Votes by Party])</totalsRowFormula>
    </tableColumn>
    <tableColumn id="2" xr3:uid="{9B604533-17DD-4878-85D3-CE3E4A0DAF34}" name="Total Votes by Candidate" dataDxfId="1347" totalsRowDxfId="1346"/>
  </tableColumns>
  <tableStyleInfo name="TableStyleMedium2" showFirstColumn="0" showLastColumn="0" showRowStripes="0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A370AA84-4E51-4FD5-B410-0A33D65DBE59}" name="MemberOfAssemblyAssemblyDistrict67General" displayName="MemberOfAssemblyAssemblyDistrict67General" ref="A2:D8" totalsRowCount="1" headerRowDxfId="1345" dataDxfId="1343" totalsRowDxfId="1341" headerRowBorderDxfId="1344" tableBorderDxfId="1342" totalsRowBorderDxfId="1340">
  <autoFilter ref="A2:D7" xr:uid="{0E084527-67C2-40AC-B2D5-2A8904DBFF70}">
    <filterColumn colId="0" hiddenButton="1"/>
    <filterColumn colId="1" hiddenButton="1"/>
    <filterColumn colId="2" hiddenButton="1"/>
    <filterColumn colId="3" hiddenButton="1"/>
  </autoFilter>
  <tableColumns count="4">
    <tableColumn id="1" xr3:uid="{ECE432EA-2D6C-47AA-B142-8626E31D57E6}" name="Candidate Name (Party)" totalsRowLabel="Total Votes by County" dataDxfId="1339" totalsRowDxfId="1338"/>
    <tableColumn id="5" xr3:uid="{E4A1D952-315F-42B7-ADE3-FBD437754377}" name="Part of New York County Vote Results" totalsRowFunction="custom" dataDxfId="1337" totalsRowDxfId="1336">
      <totalsRowFormula>SUM(MemberOfAssemblyAssemblyDistrict67General[Part of New York County Vote Results])</totalsRowFormula>
    </tableColumn>
    <tableColumn id="3" xr3:uid="{CEACEEAC-28CA-430D-B198-ED235022B512}" name="Total Votes by Party" totalsRowFunction="custom" dataDxfId="1335" totalsRowDxfId="1334">
      <calculatedColumnFormula>MemberOfAssemblyAssemblyDistrict67General[[#This Row],[Part of New York County Vote Results]]</calculatedColumnFormula>
      <totalsRowFormula>SUM(MemberOfAssemblyAssemblyDistrict67General[Total Votes by Party])</totalsRowFormula>
    </tableColumn>
    <tableColumn id="2" xr3:uid="{274C42BB-637F-4226-BDB3-0C212F956B36}" name="Total Votes by Candidate" dataDxfId="1333" totalsRowDxfId="1332">
      <calculatedColumnFormula>SUM(MemberOfAssemblyAssemblyDistrict67General[[#This Row],[Total Votes by Party]],C4)</calculatedColumnFormula>
    </tableColumn>
  </tableColumns>
  <tableStyleInfo name="TableStyleMedium2" showFirstColumn="0" showLastColumn="0" showRowStripes="0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7C1AC858-0479-451D-B4EB-D270DBD67865}" name="MemberOfAssemblyAssemblyDistrict68General" displayName="MemberOfAssemblyAssemblyDistrict68General" ref="A2:D9" totalsRowCount="1" headerRowDxfId="1331" dataDxfId="1329" totalsRowDxfId="1327" headerRowBorderDxfId="1330" tableBorderDxfId="1328" totalsRowBorderDxfId="1326">
  <autoFilter ref="A2:D8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4D8469E4-8D3A-45E9-AA2D-AD47AE92912B}" name="Candidate Name (Party)" totalsRowLabel="Total Votes by County" dataDxfId="1325" totalsRowDxfId="1324"/>
    <tableColumn id="4" xr3:uid="{E61D738A-0922-4991-9E86-D4D7E29F4AF4}" name="Part of New York County Vote Results" totalsRowFunction="custom" dataDxfId="1323" totalsRowDxfId="1322">
      <totalsRowFormula>SUM(MemberOfAssemblyAssemblyDistrict68General[Part of New York County Vote Results])</totalsRowFormula>
    </tableColumn>
    <tableColumn id="3" xr3:uid="{F93C9BB4-98AC-48E2-8ADD-F85CA477DE6F}" name="Total Votes by Party" totalsRowFunction="custom" dataDxfId="1321" totalsRowDxfId="1320">
      <calculatedColumnFormula>MemberOfAssemblyAssemblyDistrict68General[[#This Row],[Part of New York County Vote Results]]</calculatedColumnFormula>
      <totalsRowFormula>SUM(MemberOfAssemblyAssemblyDistrict68General[Total Votes by Party])</totalsRowFormula>
    </tableColumn>
    <tableColumn id="2" xr3:uid="{3AF22343-CD8E-45FB-9C66-5BD25A0FEC4B}" name="Total Votes by Candidate" dataDxfId="1319" totalsRowDxfId="1318"/>
  </tableColumns>
  <tableStyleInfo name="TableStyleMedium2" showFirstColumn="0" showLastColumn="0" showRowStripes="0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164EAE19-BFF9-4C22-BA76-29B95DFF3014}" name="MemberOfAssemblyAssemblyDistrict69General" displayName="MemberOfAssemblyAssemblyDistrict69General" ref="A2:D8" totalsRowCount="1" headerRowDxfId="1317" dataDxfId="1315" totalsRowDxfId="1313" headerRowBorderDxfId="1316" tableBorderDxfId="1314" totalsRowBorderDxfId="1312">
  <autoFilter ref="A2:D7" xr:uid="{49F6F76A-2CF7-46A3-9E61-C944DC0AA3FE}">
    <filterColumn colId="0" hiddenButton="1"/>
    <filterColumn colId="1" hiddenButton="1"/>
    <filterColumn colId="2" hiddenButton="1"/>
    <filterColumn colId="3" hiddenButton="1"/>
  </autoFilter>
  <tableColumns count="4">
    <tableColumn id="1" xr3:uid="{F78B24B6-7CCC-4685-99C5-3CB5F38C55AE}" name="Candidate Name (Party)" totalsRowLabel="Total Votes by County" dataDxfId="1311" totalsRowDxfId="1310"/>
    <tableColumn id="4" xr3:uid="{0EB94B6C-A30D-41BF-99EC-2BACFC09703B}" name="Part of New York County Vote Results" totalsRowFunction="custom" dataDxfId="1309" totalsRowDxfId="1308">
      <totalsRowFormula>SUM(MemberOfAssemblyAssemblyDistrict69General[Part of New York County Vote Results])</totalsRowFormula>
    </tableColumn>
    <tableColumn id="3" xr3:uid="{82106AD7-EFE5-4457-A11B-69F7EE09EC9C}" name="Total Votes by Party" totalsRowFunction="custom" dataDxfId="1307" totalsRowDxfId="1306">
      <calculatedColumnFormula>MemberOfAssemblyAssemblyDistrict69General[[#This Row],[Part of New York County Vote Results]]</calculatedColumnFormula>
      <totalsRowFormula>SUM(MemberOfAssemblyAssemblyDistrict69General[Total Votes by Party])</totalsRowFormula>
    </tableColumn>
    <tableColumn id="2" xr3:uid="{A182F7FC-A9A8-4F0F-910E-C684C83FF3C2}" name="Total Votes by Candidate" dataDxfId="1305" totalsRowDxfId="1304">
      <calculatedColumnFormula>SUM(MemberOfAssemblyAssemblyDistrict69General[[#This Row],[Total Votes by Party]])</calculatedColumnFormula>
    </tableColumn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E1BC7F0C-E03D-44A9-B868-D3175BC25351}" name="MemberOfAssemblyAssemblyDistrict7General" displayName="MemberOfAssemblyAssemblyDistrict7General" ref="A2:D9" totalsRowCount="1" headerRowDxfId="2176" dataDxfId="2174" totalsRowDxfId="2172" headerRowBorderDxfId="2175" tableBorderDxfId="2173" totalsRowBorderDxfId="2171">
  <autoFilter ref="A2:D8" xr:uid="{E19D91E1-7459-4196-84D7-F3AAF741A265}">
    <filterColumn colId="0" hiddenButton="1"/>
    <filterColumn colId="1" hiddenButton="1"/>
    <filterColumn colId="2" hiddenButton="1"/>
    <filterColumn colId="3" hiddenButton="1"/>
  </autoFilter>
  <tableColumns count="4">
    <tableColumn id="1" xr3:uid="{37D426C2-94F6-4EF0-B2B6-E4685D7F7AF3}" name="Candidate Name (Party)" totalsRowLabel="Total Votes by County" dataDxfId="2170" totalsRowDxfId="2169"/>
    <tableColumn id="4" xr3:uid="{8756587C-48D2-448D-A2E0-73004272500A}" name="Part of Suffolk County Vote Results" totalsRowFunction="custom" dataDxfId="2168" totalsRowDxfId="2167">
      <totalsRowFormula>SUM(MemberOfAssemblyAssemblyDistrict7General[Part of Suffolk County Vote Results])</totalsRowFormula>
    </tableColumn>
    <tableColumn id="3" xr3:uid="{FF143E45-AFE5-43C1-9D40-8BB568A557BC}" name="Total Votes by Party" totalsRowFunction="custom" dataDxfId="2166" totalsRowDxfId="2165">
      <calculatedColumnFormula>MemberOfAssemblyAssemblyDistrict7General[[#This Row],[Part of Suffolk County Vote Results]]</calculatedColumnFormula>
      <totalsRowFormula>SUM(MemberOfAssemblyAssemblyDistrict7General[Total Votes by Party])</totalsRowFormula>
    </tableColumn>
    <tableColumn id="2" xr3:uid="{E7C3DD7E-AF80-4876-B221-4A9A6DE37ADF}" name="Total Votes by Candidate" dataDxfId="2164" totalsRowDxfId="2163"/>
  </tableColumns>
  <tableStyleInfo name="TableStyleMedium2" showFirstColumn="0" showLastColumn="0" showRowStripes="0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48D53379-26C5-4EEE-A2BD-8939F3DDC89E}" name="MemberOfAssemblyAssemblyDistrict70General" displayName="MemberOfAssemblyAssemblyDistrict70General" ref="A2:D8" totalsRowCount="1" headerRowDxfId="1303" dataDxfId="1301" totalsRowDxfId="1299" headerRowBorderDxfId="1302" tableBorderDxfId="1300" totalsRowBorderDxfId="1298">
  <autoFilter ref="A2:D7" xr:uid="{7C41311A-532C-46E5-9E8C-EAC4A30F20BE}">
    <filterColumn colId="0" hiddenButton="1"/>
    <filterColumn colId="1" hiddenButton="1"/>
    <filterColumn colId="2" hiddenButton="1"/>
    <filterColumn colId="3" hiddenButton="1"/>
  </autoFilter>
  <tableColumns count="4">
    <tableColumn id="1" xr3:uid="{B72D5632-D4BE-4A33-9919-50F491895E2C}" name="Candidate Name (Party)" totalsRowLabel="Total Votes by County" dataDxfId="1297" totalsRowDxfId="1296"/>
    <tableColumn id="4" xr3:uid="{FB9C0F37-0299-4473-911F-A3BED5838D78}" name="Part of New York County Vote Results" totalsRowFunction="custom" dataDxfId="1295" totalsRowDxfId="1294">
      <totalsRowFormula>SUM(MemberOfAssemblyAssemblyDistrict70General[Part of New York County Vote Results])</totalsRowFormula>
    </tableColumn>
    <tableColumn id="3" xr3:uid="{17E604E2-B984-4D71-8DFB-2EEBE0CB4DFA}" name="Total Votes by Party" totalsRowFunction="custom" dataDxfId="1293" totalsRowDxfId="1292">
      <calculatedColumnFormula>MemberOfAssemblyAssemblyDistrict70General[[#This Row],[Part of New York County Vote Results]]</calculatedColumnFormula>
      <totalsRowFormula>SUM(MemberOfAssemblyAssemblyDistrict70General[Total Votes by Party])</totalsRowFormula>
    </tableColumn>
    <tableColumn id="2" xr3:uid="{F80D4746-8E3E-4D3B-9DA3-0C6ED2DABF71}" name="Total Votes by Candidate" dataDxfId="1291" totalsRowDxfId="1290"/>
  </tableColumns>
  <tableStyleInfo name="TableStyleMedium2" showFirstColumn="0" showLastColumn="0" showRowStripes="0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BBF49780-3695-45F2-83DA-5E08B1CFB27D}" name="MemberOfAssemblyAssemblyDistrict71General" displayName="MemberOfAssemblyAssemblyDistrict71General" ref="A2:D7" totalsRowCount="1" headerRowDxfId="1289" dataDxfId="1287" totalsRowDxfId="1285" headerRowBorderDxfId="1288" tableBorderDxfId="1286" totalsRowBorderDxfId="1284">
  <autoFilter ref="A2:D6" xr:uid="{77E001F6-E3E2-4F4D-98EF-A36C4F19460C}">
    <filterColumn colId="0" hiddenButton="1"/>
    <filterColumn colId="1" hiddenButton="1"/>
    <filterColumn colId="2" hiddenButton="1"/>
    <filterColumn colId="3" hiddenButton="1"/>
  </autoFilter>
  <tableColumns count="4">
    <tableColumn id="1" xr3:uid="{DE55A712-169D-4AB5-983D-D0D38018ABF9}" name="Candidate Name (Party)" totalsRowLabel="Total Votes by County" dataDxfId="1283" totalsRowDxfId="1282"/>
    <tableColumn id="4" xr3:uid="{C2332B83-6D95-4D4F-AAED-787F12AFCD52}" name="Part of New York County Vote Results" totalsRowFunction="custom" dataDxfId="1281" totalsRowDxfId="1280">
      <totalsRowFormula>SUM(MemberOfAssemblyAssemblyDistrict71General[Part of New York County Vote Results])</totalsRowFormula>
    </tableColumn>
    <tableColumn id="3" xr3:uid="{870ADC55-291D-4A20-8808-898D9D248DA8}" name="Total Votes by Party" totalsRowFunction="custom" dataDxfId="1279" totalsRowDxfId="1278">
      <calculatedColumnFormula>MemberOfAssemblyAssemblyDistrict71General[[#This Row],[Part of New York County Vote Results]]</calculatedColumnFormula>
      <totalsRowFormula>SUM(MemberOfAssemblyAssemblyDistrict71General[Total Votes by Party])</totalsRowFormula>
    </tableColumn>
    <tableColumn id="2" xr3:uid="{E9B65A61-0D27-47B2-AB8A-39CA8B516D28}" name="Total Votes by Candidate" dataDxfId="1277" totalsRowDxfId="1276">
      <calculatedColumnFormula>C3</calculatedColumnFormula>
    </tableColumn>
  </tableColumns>
  <tableStyleInfo name="TableStyleMedium2" showFirstColumn="0" showLastColumn="0" showRowStripes="0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9BB135B7-9C97-4C01-ADFE-D4A3051F539E}" name="MemberOfAssemblyAssemblyDistrict72General" displayName="MemberOfAssemblyAssemblyDistrict72General" ref="A2:D7" totalsRowCount="1" headerRowDxfId="1275" dataDxfId="1273" totalsRowDxfId="1271" headerRowBorderDxfId="1274" tableBorderDxfId="1272" totalsRowBorderDxfId="1270">
  <autoFilter ref="A2:D6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FCFE4E08-F9FA-4308-B535-95495A0DB40A}" name="Candidate Name (Party)" totalsRowLabel="Total Votes by County" dataDxfId="1269" totalsRowDxfId="1268"/>
    <tableColumn id="4" xr3:uid="{12936EF2-CDB8-4A9F-A6F6-5046CEDBBA08}" name="Part of New York County Vote Results" totalsRowFunction="custom" dataDxfId="1267" totalsRowDxfId="1266">
      <totalsRowFormula>SUM(MemberOfAssemblyAssemblyDistrict72General[Part of New York County Vote Results])</totalsRowFormula>
    </tableColumn>
    <tableColumn id="3" xr3:uid="{E73DABD6-4DC7-4925-9C71-A07A7D121620}" name="Total Votes by Party" totalsRowFunction="custom" dataDxfId="1265" totalsRowDxfId="1264">
      <calculatedColumnFormula>MemberOfAssemblyAssemblyDistrict72General[[#This Row],[Part of New York County Vote Results]]</calculatedColumnFormula>
      <totalsRowFormula>SUM(MemberOfAssemblyAssemblyDistrict72General[Total Votes by Party])</totalsRowFormula>
    </tableColumn>
    <tableColumn id="2" xr3:uid="{2F8B2997-7DE0-4837-8AD8-1097CFADC94E}" name="Total Votes by Candidate" dataDxfId="1263" totalsRowDxfId="1262">
      <calculatedColumnFormula>SUM(MemberOfAssemblyAssemblyDistrict72General[[#This Row],[Total Votes by Party]])</calculatedColumnFormula>
    </tableColumn>
  </tableColumns>
  <tableStyleInfo name="TableStyleMedium2" showFirstColumn="0" showLastColumn="0" showRowStripes="0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2769F3-D293-4F97-9D83-812C2CDD08ED}" name="MemberOfAssemblyAssemblyDistrict73General" displayName="MemberOfAssemblyAssemblyDistrict73General" ref="A2:D9" totalsRowCount="1" headerRowDxfId="1261" dataDxfId="1259" totalsRowDxfId="1257" headerRowBorderDxfId="1260" tableBorderDxfId="1258" totalsRowBorderDxfId="1256">
  <autoFilter ref="A2:D8" xr:uid="{F8344306-FA5C-4A2A-866C-4B4891817A6F}">
    <filterColumn colId="0" hiddenButton="1"/>
    <filterColumn colId="1" hiddenButton="1"/>
    <filterColumn colId="2" hiddenButton="1"/>
    <filterColumn colId="3" hiddenButton="1"/>
  </autoFilter>
  <tableColumns count="4">
    <tableColumn id="1" xr3:uid="{91017461-549A-484F-8FCB-E1924CF780F6}" name="Candidate Name (Party)" totalsRowLabel="Total Votes by County" dataDxfId="1255" totalsRowDxfId="1254"/>
    <tableColumn id="4" xr3:uid="{33AD9FF9-6404-4107-9BE6-50AFE24A9C91}" name="Part of New York County Vote Results" totalsRowFunction="custom" dataDxfId="1253" totalsRowDxfId="1252">
      <totalsRowFormula>SUM(MemberOfAssemblyAssemblyDistrict73General[Part of New York County Vote Results])</totalsRowFormula>
    </tableColumn>
    <tableColumn id="3" xr3:uid="{B9199826-AA3D-4809-9FAF-F3C6E49DD5B8}" name="Total Votes by Party" totalsRowFunction="custom" dataDxfId="1251" totalsRowDxfId="1250">
      <calculatedColumnFormula>MemberOfAssemblyAssemblyDistrict73General[[#This Row],[Part of New York County Vote Results]]</calculatedColumnFormula>
      <totalsRowFormula>SUM(MemberOfAssemblyAssemblyDistrict73General[Total Votes by Party])</totalsRowFormula>
    </tableColumn>
    <tableColumn id="2" xr3:uid="{853CF1D9-D7A3-436A-82A6-359F13AA73A5}" name="Total Votes by Candidate" dataDxfId="1249" totalsRowDxfId="1248"/>
  </tableColumns>
  <tableStyleInfo name="TableStyleMedium2" showFirstColumn="0" showLastColumn="0" showRowStripes="0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5504178C-06AA-44F7-9D53-74B6D3967A25}" name="MemberOfAssemblyAssemblyDistrict74General" displayName="MemberOfAssemblyAssemblyDistrict74General" ref="A2:D9" totalsRowCount="1" headerRowDxfId="1247" dataDxfId="1245" totalsRowDxfId="1243" headerRowBorderDxfId="1246" tableBorderDxfId="1244" totalsRowBorderDxfId="1242">
  <autoFilter ref="A2:D8" xr:uid="{6AAEA862-096D-426F-818F-6A9BEB4EB583}">
    <filterColumn colId="0" hiddenButton="1"/>
    <filterColumn colId="1" hiddenButton="1"/>
    <filterColumn colId="2" hiddenButton="1"/>
    <filterColumn colId="3" hiddenButton="1"/>
  </autoFilter>
  <tableColumns count="4">
    <tableColumn id="1" xr3:uid="{7D73367B-5C1C-41EE-9F7F-5B670427278B}" name="Candidate Name (Party)" totalsRowLabel="Total Votes by County" dataDxfId="1241" totalsRowDxfId="1240"/>
    <tableColumn id="4" xr3:uid="{04FB87CD-6E3B-4F44-933E-3D7E1AC03699}" name="Part of New York County Vote Results" totalsRowFunction="custom" dataDxfId="1239" totalsRowDxfId="1238">
      <totalsRowFormula>SUM(MemberOfAssemblyAssemblyDistrict74General[Part of New York County Vote Results])</totalsRowFormula>
    </tableColumn>
    <tableColumn id="3" xr3:uid="{82886A62-8CE8-46EA-9142-31355A20C8F1}" name="Total Votes by Party" totalsRowFunction="custom" dataDxfId="1237" totalsRowDxfId="1236">
      <calculatedColumnFormula>MemberOfAssemblyAssemblyDistrict74General[[#This Row],[Part of New York County Vote Results]]</calculatedColumnFormula>
      <totalsRowFormula>SUM(MemberOfAssemblyAssemblyDistrict74General[Total Votes by Party])</totalsRowFormula>
    </tableColumn>
    <tableColumn id="2" xr3:uid="{5E4249D2-6A69-4BCA-9895-7D1A88439D59}" name="Total Votes by Candidate" dataDxfId="1235" totalsRowDxfId="1234">
      <calculatedColumnFormula>SUM(MemberOfAssemblyAssemblyDistrict74General[[#This Row],[Total Votes by Party]],C5)</calculatedColumnFormula>
    </tableColumn>
  </tableColumns>
  <tableStyleInfo name="TableStyleMedium2" showFirstColumn="0" showLastColumn="0" showRowStripes="0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0B263150-591E-4BDA-8FF0-F46C2FDA7657}" name="MemberOfAssemblyAssemblyDistrict75General" displayName="MemberOfAssemblyAssemblyDistrict75General" ref="A2:D9" totalsRowCount="1" headerRowDxfId="1233" dataDxfId="1231" totalsRowDxfId="1229" headerRowBorderDxfId="1232" tableBorderDxfId="1230" totalsRowBorderDxfId="1228">
  <autoFilter ref="A2:D8" xr:uid="{26E716A0-5533-40E4-B82D-C8105E11FC7B}">
    <filterColumn colId="0" hiddenButton="1"/>
    <filterColumn colId="1" hiddenButton="1"/>
    <filterColumn colId="2" hiddenButton="1"/>
    <filterColumn colId="3" hiddenButton="1"/>
  </autoFilter>
  <tableColumns count="4">
    <tableColumn id="1" xr3:uid="{37FD1BA9-2CCE-45C3-89E2-35D8978DFAEE}" name="Candidate Name (Party)" totalsRowLabel="Total Votes by County" dataDxfId="1227" totalsRowDxfId="1226"/>
    <tableColumn id="4" xr3:uid="{E8896A5B-CA86-448B-B186-A3F7FBA69E5A}" name="Part of New York County Vote Results" totalsRowFunction="custom" dataDxfId="1225" totalsRowDxfId="1224">
      <totalsRowFormula>SUM(MemberOfAssemblyAssemblyDistrict75General[Part of New York County Vote Results])</totalsRowFormula>
    </tableColumn>
    <tableColumn id="3" xr3:uid="{D6B00045-2E2E-4595-B40A-C7CF192E7144}" name="Total Votes by Party" totalsRowFunction="custom" dataDxfId="1223" totalsRowDxfId="1222">
      <calculatedColumnFormula>MemberOfAssemblyAssemblyDistrict75General[[#This Row],[Part of New York County Vote Results]]</calculatedColumnFormula>
      <totalsRowFormula>SUM(MemberOfAssemblyAssemblyDistrict75General[Total Votes by Party])</totalsRowFormula>
    </tableColumn>
    <tableColumn id="2" xr3:uid="{1D1B8B1F-869D-48B4-80B2-C9ADFEC284A0}" name="Total Votes by Candidate" dataDxfId="1221" totalsRowDxfId="1220">
      <calculatedColumnFormula>SUM(C3,C4)</calculatedColumnFormula>
    </tableColumn>
  </tableColumns>
  <tableStyleInfo name="TableStyleMedium2" showFirstColumn="0" showLastColumn="0" showRowStripes="0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84AF6A9B-AC82-454A-91A9-F6A3240FD176}" name="MemberOfAssemblyAssemblyDistrict76General" displayName="MemberOfAssemblyAssemblyDistrict76General" ref="A2:D8" totalsRowCount="1" headerRowDxfId="1219" dataDxfId="1217" totalsRowDxfId="1215" headerRowBorderDxfId="1218" tableBorderDxfId="1216" totalsRowBorderDxfId="1214">
  <autoFilter ref="A2:D7" xr:uid="{E4C5F385-3618-4C3A-AA69-7444438E6F16}">
    <filterColumn colId="0" hiddenButton="1"/>
    <filterColumn colId="1" hiddenButton="1"/>
    <filterColumn colId="2" hiddenButton="1"/>
    <filterColumn colId="3" hiddenButton="1"/>
  </autoFilter>
  <tableColumns count="4">
    <tableColumn id="1" xr3:uid="{E6A63257-3AE8-49E6-A9E5-593DD4CB8A24}" name="Candidate Name (Party)" totalsRowLabel="Total Votes by County" dataDxfId="1213" totalsRowDxfId="1212"/>
    <tableColumn id="4" xr3:uid="{DF7CDBAF-D6F0-445E-9793-82A76F6D2D5C}" name="Part of New York County Vote Results" totalsRowFunction="custom" dataDxfId="1211" totalsRowDxfId="1210">
      <totalsRowFormula>SUM(MemberOfAssemblyAssemblyDistrict76General[Part of New York County Vote Results])</totalsRowFormula>
    </tableColumn>
    <tableColumn id="3" xr3:uid="{2663E715-94D1-4AA3-A886-B19273BAD386}" name="Total Votes by Party" totalsRowFunction="custom" dataDxfId="1209" totalsRowDxfId="1208">
      <calculatedColumnFormula>MemberOfAssemblyAssemblyDistrict76General[[#This Row],[Part of New York County Vote Results]]</calculatedColumnFormula>
      <totalsRowFormula>SUM(MemberOfAssemblyAssemblyDistrict76General[Total Votes by Party])</totalsRowFormula>
    </tableColumn>
    <tableColumn id="2" xr3:uid="{ACCC3A90-611B-44E7-A79D-662B82509863}" name="Total Votes by Candidate" dataDxfId="1207" totalsRowDxfId="1206"/>
  </tableColumns>
  <tableStyleInfo name="TableStyleMedium2" showFirstColumn="0" showLastColumn="0" showRowStripes="0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4FC5B56D-F894-49D8-8069-BC1097FDEDD0}" name="MemberOfAssemblyAssemblyDistrict77General" displayName="MemberOfAssemblyAssemblyDistrict77General" ref="A2:D8" totalsRowCount="1" headerRowDxfId="1205" dataDxfId="1203" totalsRowDxfId="1201" headerRowBorderDxfId="1204" tableBorderDxfId="1202" totalsRowBorderDxfId="1200">
  <autoFilter ref="A2:D7" xr:uid="{D5902526-686A-44DC-97B7-8F01FD67572F}">
    <filterColumn colId="0" hiddenButton="1"/>
    <filterColumn colId="1" hiddenButton="1"/>
    <filterColumn colId="2" hiddenButton="1"/>
    <filterColumn colId="3" hiddenButton="1"/>
  </autoFilter>
  <tableColumns count="4">
    <tableColumn id="1" xr3:uid="{B74A0BFE-7CA9-4D52-8FBD-612E7E042B23}" name="Candidate Name (Party)" totalsRowLabel="Total Votes by County" dataDxfId="1199" totalsRowDxfId="1198"/>
    <tableColumn id="4" xr3:uid="{E8DD162D-8C32-4040-8BD3-5E989C0D3E54}" name="Part of Bronx County Vote Results" totalsRowFunction="custom" dataDxfId="1197" totalsRowDxfId="1196">
      <totalsRowFormula>SUM(MemberOfAssemblyAssemblyDistrict77General[Part of Bronx County Vote Results])</totalsRowFormula>
    </tableColumn>
    <tableColumn id="3" xr3:uid="{0B471A51-E0C0-48BB-90CC-1098F67F3890}" name="Total Votes by Party" totalsRowFunction="custom" dataDxfId="1195" totalsRowDxfId="1194">
      <calculatedColumnFormula>MemberOfAssemblyAssemblyDistrict77General[[#This Row],[Part of Bronx County Vote Results]]</calculatedColumnFormula>
      <totalsRowFormula>SUM(MemberOfAssemblyAssemblyDistrict77General[Total Votes by Party])</totalsRowFormula>
    </tableColumn>
    <tableColumn id="2" xr3:uid="{DC2BD842-54B7-4DB2-A721-4A10F0547464}" name="Total Votes by Candidate" dataDxfId="1193" totalsRowDxfId="1192"/>
  </tableColumns>
  <tableStyleInfo name="TableStyleMedium2" showFirstColumn="0" showLastColumn="0" showRowStripes="0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1EE69308-8DCA-4394-93EA-871B593561FA}" name="MemberOfAssemblyAssemblyDistrict78General" displayName="MemberOfAssemblyAssemblyDistrict78General" ref="A2:D8" totalsRowCount="1" headerRowDxfId="1191" dataDxfId="1189" totalsRowDxfId="1187" headerRowBorderDxfId="1190" tableBorderDxfId="1188" totalsRowBorderDxfId="1186">
  <autoFilter ref="A2:D7" xr:uid="{1C186A63-5704-4871-B9D8-63A1F2032F8D}">
    <filterColumn colId="0" hiddenButton="1"/>
    <filterColumn colId="1" hiddenButton="1"/>
    <filterColumn colId="2" hiddenButton="1"/>
    <filterColumn colId="3" hiddenButton="1"/>
  </autoFilter>
  <tableColumns count="4">
    <tableColumn id="1" xr3:uid="{75B118DB-D98F-4CC1-9192-0B72BFADC667}" name="Candidate Name (Party)" totalsRowLabel="Total Votes by County" dataDxfId="1185" totalsRowDxfId="1184"/>
    <tableColumn id="4" xr3:uid="{9D8A1AA2-6D3B-4BF1-9DC3-249E4F651721}" name="Part of Bronx County Vote Results" totalsRowFunction="custom" dataDxfId="1183" totalsRowDxfId="1182">
      <totalsRowFormula>SUM(MemberOfAssemblyAssemblyDistrict78General[Part of Bronx County Vote Results])</totalsRowFormula>
    </tableColumn>
    <tableColumn id="3" xr3:uid="{9AA4F867-D88F-4C65-834B-0578B2209BD2}" name="Total Votes by Party" totalsRowFunction="custom" dataDxfId="1181" totalsRowDxfId="1180">
      <calculatedColumnFormula>MemberOfAssemblyAssemblyDistrict78General[[#This Row],[Part of Bronx County Vote Results]]</calculatedColumnFormula>
      <totalsRowFormula>SUM(MemberOfAssemblyAssemblyDistrict78General[Total Votes by Party])</totalsRowFormula>
    </tableColumn>
    <tableColumn id="2" xr3:uid="{D54FB104-EDDB-4B67-B71E-A7602CF6D8F2}" name="Total Votes by Candidate" dataDxfId="1179" totalsRowDxfId="1178"/>
  </tableColumns>
  <tableStyleInfo name="TableStyleMedium2" showFirstColumn="0" showLastColumn="0" showRowStripes="0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4885A671-9D98-4321-BAEC-0CA0537949E9}" name="MemberOfAssemblyAssemblyDistrict79General" displayName="MemberOfAssemblyAssemblyDistrict79General" ref="A2:D8" totalsRowCount="1" headerRowDxfId="1177" dataDxfId="1175" totalsRowDxfId="1173" headerRowBorderDxfId="1176" tableBorderDxfId="1174" totalsRowBorderDxfId="1172">
  <autoFilter ref="A2:D7" xr:uid="{81BBD529-E491-4025-BCA0-C38B200E086B}">
    <filterColumn colId="0" hiddenButton="1"/>
    <filterColumn colId="1" hiddenButton="1"/>
    <filterColumn colId="2" hiddenButton="1"/>
    <filterColumn colId="3" hiddenButton="1"/>
  </autoFilter>
  <tableColumns count="4">
    <tableColumn id="1" xr3:uid="{75ABA7CB-84F8-4DB3-B10E-00822D238297}" name="Candidate Name (Party)" totalsRowLabel="Total Votes by County" dataDxfId="1171" totalsRowDxfId="1170"/>
    <tableColumn id="4" xr3:uid="{013FDD26-5602-47E7-A453-912B8771D696}" name="Part of Bronx County Vote Results" totalsRowFunction="custom" dataDxfId="1169" totalsRowDxfId="1168">
      <totalsRowFormula>SUM(MemberOfAssemblyAssemblyDistrict79General[Part of Bronx County Vote Results])</totalsRowFormula>
    </tableColumn>
    <tableColumn id="3" xr3:uid="{4905C458-DFD1-4E76-B6C0-9A750358104E}" name="Total Votes by Party" totalsRowFunction="custom" dataDxfId="1167" totalsRowDxfId="1166">
      <calculatedColumnFormula>MemberOfAssemblyAssemblyDistrict79General[[#This Row],[Part of Bronx County Vote Results]]</calculatedColumnFormula>
      <totalsRowFormula>SUM(MemberOfAssemblyAssemblyDistrict79General[Total Votes by Party])</totalsRowFormula>
    </tableColumn>
    <tableColumn id="2" xr3:uid="{839A2981-B641-4A86-AF9F-519FA8E44B2A}" name="Total Votes by Candidate" dataDxfId="1165" totalsRowDxfId="1164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D2FBC01F-161B-416F-A7AC-955E61279B8B}" name="MemberOfAssemblyAssemblyDistrict8General" displayName="MemberOfAssemblyAssemblyDistrict8General" ref="A2:D9" totalsRowCount="1" headerRowDxfId="2162" dataDxfId="2160" totalsRowDxfId="2158" headerRowBorderDxfId="2161" tableBorderDxfId="2159" totalsRowBorderDxfId="2157">
  <autoFilter ref="A2:D8" xr:uid="{2EB45D3F-D06A-4F7A-81D8-067FDDEBE90C}">
    <filterColumn colId="0" hiddenButton="1"/>
    <filterColumn colId="1" hiddenButton="1"/>
    <filterColumn colId="2" hiddenButton="1"/>
    <filterColumn colId="3" hiddenButton="1"/>
  </autoFilter>
  <tableColumns count="4">
    <tableColumn id="1" xr3:uid="{27D4A675-76FF-49BA-9684-3D0411EFC352}" name="Candidate Name (Party)" totalsRowLabel="Total Votes by County" dataDxfId="2156" totalsRowDxfId="2155"/>
    <tableColumn id="4" xr3:uid="{63579679-268A-409A-B465-C450B45B3CFF}" name="Part of Suffolk County Vote Results" totalsRowFunction="custom" dataDxfId="2154" totalsRowDxfId="2153">
      <totalsRowFormula>SUM(MemberOfAssemblyAssemblyDistrict8General[Part of Suffolk County Vote Results])</totalsRowFormula>
    </tableColumn>
    <tableColumn id="3" xr3:uid="{A8CF0D0D-EA72-4FB5-B0BB-2F301DFC5DF9}" name="Total Votes by Party" totalsRowFunction="custom" dataDxfId="2152" totalsRowDxfId="2151">
      <calculatedColumnFormula>MemberOfAssemblyAssemblyDistrict8General[[#This Row],[Part of Suffolk County Vote Results]]</calculatedColumnFormula>
      <totalsRowFormula>SUM(MemberOfAssemblyAssemblyDistrict8General[Total Votes by Party])</totalsRowFormula>
    </tableColumn>
    <tableColumn id="2" xr3:uid="{42362A10-24AF-40D7-AF9F-DA81E94B93AC}" name="Total Votes by Candidate" dataDxfId="2150" totalsRowDxfId="2149"/>
  </tableColumns>
  <tableStyleInfo name="TableStyleMedium2" showFirstColumn="0" showLastColumn="0" showRowStripes="0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65DF1A4B-02BA-43BA-89D5-2BCB4BBCC8B1}" name="MemberOfAssemblyAssemblyDistrict80General" displayName="MemberOfAssemblyAssemblyDistrict80General" ref="A2:D9" totalsRowCount="1" headerRowDxfId="1163" dataDxfId="1161" totalsRowDxfId="1159" headerRowBorderDxfId="1162" tableBorderDxfId="1160" totalsRowBorderDxfId="1158">
  <autoFilter ref="A2:D8" xr:uid="{34869E17-FACC-4DEE-BEBD-AF2020546F5C}">
    <filterColumn colId="0" hiddenButton="1"/>
    <filterColumn colId="1" hiddenButton="1"/>
    <filterColumn colId="2" hiddenButton="1"/>
    <filterColumn colId="3" hiddenButton="1"/>
  </autoFilter>
  <tableColumns count="4">
    <tableColumn id="1" xr3:uid="{594A3CDC-629F-4BA2-A103-AF51CE52E055}" name="Candidate Name (Party)" totalsRowLabel="Total Votes by County" dataDxfId="1157" totalsRowDxfId="1156"/>
    <tableColumn id="4" xr3:uid="{5908CC7E-739D-4E06-9422-3042ABBE13D2}" name="Part of Bronx County Vote Results" totalsRowFunction="custom" dataDxfId="1155" totalsRowDxfId="1154">
      <totalsRowFormula>SUM(MemberOfAssemblyAssemblyDistrict80General[Part of Bronx County Vote Results])</totalsRowFormula>
    </tableColumn>
    <tableColumn id="3" xr3:uid="{F7BDA326-9F7A-47EE-B0CE-3AD28096B089}" name="Total Votes by Party" totalsRowFunction="custom" dataDxfId="1153" totalsRowDxfId="1152">
      <calculatedColumnFormula>MemberOfAssemblyAssemblyDistrict80General[[#This Row],[Part of Bronx County Vote Results]]</calculatedColumnFormula>
      <totalsRowFormula>SUM(MemberOfAssemblyAssemblyDistrict80General[Total Votes by Party])</totalsRowFormula>
    </tableColumn>
    <tableColumn id="2" xr3:uid="{1E945435-4097-448B-8579-7BFAC824A089}" name="Total Votes by Candidate" dataDxfId="1151" totalsRowDxfId="1150"/>
  </tableColumns>
  <tableStyleInfo name="TableStyleMedium2" showFirstColumn="0" showLastColumn="0" showRowStripes="0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F540C990-3EFC-47FE-AC67-03767DD468B3}" name="MemberOfAssemblyAssemblyDistrict81General" displayName="MemberOfAssemblyAssemblyDistrict81General" ref="A2:D9" totalsRowCount="1" headerRowDxfId="1149" dataDxfId="1147" totalsRowDxfId="1145" headerRowBorderDxfId="1148" tableBorderDxfId="1146" totalsRowBorderDxfId="1144">
  <autoFilter ref="A2:D8" xr:uid="{F688E563-A249-421F-8710-78C49E88BC06}">
    <filterColumn colId="0" hiddenButton="1"/>
    <filterColumn colId="1" hiddenButton="1"/>
    <filterColumn colId="2" hiddenButton="1"/>
    <filterColumn colId="3" hiddenButton="1"/>
  </autoFilter>
  <tableColumns count="4">
    <tableColumn id="1" xr3:uid="{BF3820C7-F25A-466F-8FDC-AC902179430E}" name="Candidate Name (Party)" totalsRowLabel="Total Votes by County" dataDxfId="1143" totalsRowDxfId="1142"/>
    <tableColumn id="4" xr3:uid="{EC45BB6C-F6A8-499B-9EB1-3EC87F6314CD}" name="Part of Bronx County Vote Results" totalsRowFunction="custom" dataDxfId="1141" totalsRowDxfId="1140">
      <totalsRowFormula>SUM(MemberOfAssemblyAssemblyDistrict81General[Part of Bronx County Vote Results])</totalsRowFormula>
    </tableColumn>
    <tableColumn id="3" xr3:uid="{ABE97A7A-137B-450F-9389-234F093C09BF}" name="Total Votes by Party" totalsRowFunction="custom" dataDxfId="1139" totalsRowDxfId="1138">
      <calculatedColumnFormula>MemberOfAssemblyAssemblyDistrict81General[[#This Row],[Part of Bronx County Vote Results]]</calculatedColumnFormula>
      <totalsRowFormula>SUM(MemberOfAssemblyAssemblyDistrict81General[Total Votes by Party])</totalsRowFormula>
    </tableColumn>
    <tableColumn id="2" xr3:uid="{EC0AB2F2-5CFA-4D7A-954F-1A015917743A}" name="Total Votes by Candidate" dataDxfId="1137" totalsRowDxfId="1136"/>
  </tableColumns>
  <tableStyleInfo name="TableStyleMedium2" showFirstColumn="0" showLastColumn="0" showRowStripes="0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59535E5D-380C-4937-B9C2-13DED411239A}" name="MemberOfAssemblyAssemblyDistrict82General" displayName="MemberOfAssemblyAssemblyDistrict82General" ref="A2:D9" totalsRowCount="1" headerRowDxfId="1135" dataDxfId="1133" totalsRowDxfId="1131" headerRowBorderDxfId="1134" tableBorderDxfId="1132" totalsRowBorderDxfId="1130">
  <autoFilter ref="A2:D8" xr:uid="{B76A93E2-1975-4BD7-8DD6-7CEB7D707669}">
    <filterColumn colId="0" hiddenButton="1"/>
    <filterColumn colId="1" hiddenButton="1"/>
    <filterColumn colId="2" hiddenButton="1"/>
    <filterColumn colId="3" hiddenButton="1"/>
  </autoFilter>
  <tableColumns count="4">
    <tableColumn id="1" xr3:uid="{0179E837-6427-4937-A651-AA14A9316651}" name="Candidate Name (Party)" totalsRowLabel="Total Votes by County" dataDxfId="1129" totalsRowDxfId="1128"/>
    <tableColumn id="4" xr3:uid="{78D69EF2-4129-4AF5-8266-7817A52E8583}" name="Part of Bronx County Vote Results" totalsRowFunction="custom" dataDxfId="1127" totalsRowDxfId="1126">
      <totalsRowFormula>SUM(MemberOfAssemblyAssemblyDistrict82General[Part of Bronx County Vote Results])</totalsRowFormula>
    </tableColumn>
    <tableColumn id="3" xr3:uid="{5C5E15B6-E771-4AB9-B7D1-F2887835C22B}" name="Total Votes by Party" totalsRowFunction="custom" dataDxfId="1125" totalsRowDxfId="1124">
      <calculatedColumnFormula>MemberOfAssemblyAssemblyDistrict82General[[#This Row],[Part of Bronx County Vote Results]]</calculatedColumnFormula>
      <totalsRowFormula>SUM(MemberOfAssemblyAssemblyDistrict82General[Total Votes by Party])</totalsRowFormula>
    </tableColumn>
    <tableColumn id="2" xr3:uid="{D9700640-9D78-4505-8FB2-BACE8D8166D6}" name="Total Votes by Candidate" dataDxfId="1123" totalsRowDxfId="1122"/>
  </tableColumns>
  <tableStyleInfo name="TableStyleMedium2" showFirstColumn="0" showLastColumn="0" showRowStripes="0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C4509CA8-B57F-4EEE-9F1E-29BCF7F21548}" name="MemberOfAssemblyAssemblyDistrict83General" displayName="MemberOfAssemblyAssemblyDistrict83General" ref="A2:D8" totalsRowCount="1" headerRowDxfId="1121" dataDxfId="1119" totalsRowDxfId="1117" headerRowBorderDxfId="1120" tableBorderDxfId="1118" totalsRowBorderDxfId="1116">
  <autoFilter ref="A2:D7" xr:uid="{3E26DF29-ABA1-4EAF-8B47-B7644EBFBFA0}">
    <filterColumn colId="0" hiddenButton="1"/>
    <filterColumn colId="1" hiddenButton="1"/>
    <filterColumn colId="2" hiddenButton="1"/>
    <filterColumn colId="3" hiddenButton="1"/>
  </autoFilter>
  <tableColumns count="4">
    <tableColumn id="1" xr3:uid="{8518B1BD-E9F6-4951-B568-F0854E8FC4F1}" name="Candidate Name (Party)" totalsRowLabel="Total Votes by County" dataDxfId="1115" totalsRowDxfId="1114"/>
    <tableColumn id="4" xr3:uid="{290E58F7-0D0F-48DA-AAD3-6576B374A9DB}" name="Part of Bronx County Vote Results" totalsRowFunction="custom" dataDxfId="1113" totalsRowDxfId="1112">
      <totalsRowFormula>SUM(MemberOfAssemblyAssemblyDistrict83General[Part of Bronx County Vote Results])</totalsRowFormula>
    </tableColumn>
    <tableColumn id="3" xr3:uid="{68259163-25D5-44FD-8CEE-EF7F2383CCB2}" name="Total Votes by Party" totalsRowFunction="custom" dataDxfId="1111" totalsRowDxfId="1110">
      <calculatedColumnFormula>MemberOfAssemblyAssemblyDistrict83General[[#This Row],[Part of Bronx County Vote Results]]</calculatedColumnFormula>
      <totalsRowFormula>SUM(MemberOfAssemblyAssemblyDistrict83General[Total Votes by Party])</totalsRowFormula>
    </tableColumn>
    <tableColumn id="2" xr3:uid="{7C726F44-6F2B-4833-8F17-938DA667A130}" name="Total Votes by Candidate" dataDxfId="1109" totalsRowDxfId="1108"/>
  </tableColumns>
  <tableStyleInfo name="TableStyleMedium2" showFirstColumn="0" showLastColumn="0" showRowStripes="0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4C5BC31C-FCDE-4105-B982-BE73FEF5AF77}" name="MemberOfAssemblyAssemblyDistrict84General" displayName="MemberOfAssemblyAssemblyDistrict84General" ref="A2:D9" totalsRowCount="1" headerRowDxfId="1107" dataDxfId="1105" totalsRowDxfId="1103" headerRowBorderDxfId="1106" tableBorderDxfId="1104" totalsRowBorderDxfId="1102">
  <autoFilter ref="A2:D8" xr:uid="{047F2C91-73B1-462F-AD15-DB76F9BDD6BC}">
    <filterColumn colId="0" hiddenButton="1"/>
    <filterColumn colId="1" hiddenButton="1"/>
    <filterColumn colId="2" hiddenButton="1"/>
    <filterColumn colId="3" hiddenButton="1"/>
  </autoFilter>
  <tableColumns count="4">
    <tableColumn id="1" xr3:uid="{577FC3A7-86AF-4C9A-9A4B-309AAF44DB2B}" name="Candidate Name (Party)" totalsRowLabel="Total Votes by County" dataDxfId="1101" totalsRowDxfId="1100"/>
    <tableColumn id="4" xr3:uid="{9AF0C113-DCD8-4F4F-B078-AE5802086005}" name="Part of Bronx County Vote Results" totalsRowFunction="custom" dataDxfId="1099" totalsRowDxfId="1098">
      <totalsRowFormula>SUM(MemberOfAssemblyAssemblyDistrict84General[Part of Bronx County Vote Results])</totalsRowFormula>
    </tableColumn>
    <tableColumn id="3" xr3:uid="{A373CF48-E75C-4A4A-AFF2-516AE342503A}" name="Total Votes by Party" totalsRowFunction="custom" dataDxfId="1097" totalsRowDxfId="1096">
      <calculatedColumnFormula>MemberOfAssemblyAssemblyDistrict84General[[#This Row],[Part of Bronx County Vote Results]]</calculatedColumnFormula>
      <totalsRowFormula>SUM(MemberOfAssemblyAssemblyDistrict84General[Total Votes by Party])</totalsRowFormula>
    </tableColumn>
    <tableColumn id="2" xr3:uid="{E133F852-5468-47C0-89ED-A2073A8FC637}" name="Total Votes by Candidate" dataDxfId="1095" totalsRowDxfId="1094"/>
  </tableColumns>
  <tableStyleInfo name="TableStyleMedium2" showFirstColumn="0" showLastColumn="0" showRowStripes="0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BA25D7E3-CC73-4496-8DDA-530B06812D41}" name="MemberOfAssemblyAssemblyDistrict85General" displayName="MemberOfAssemblyAssemblyDistrict85General" ref="A2:D9" totalsRowCount="1" headerRowDxfId="1093" dataDxfId="1091" totalsRowDxfId="1089" headerRowBorderDxfId="1092" tableBorderDxfId="1090" totalsRowBorderDxfId="1088">
  <autoFilter ref="A2:D8" xr:uid="{CEB3E35A-3F54-4D50-A9AF-773FC7AF02B5}">
    <filterColumn colId="0" hiddenButton="1"/>
    <filterColumn colId="1" hiddenButton="1"/>
    <filterColumn colId="2" hiddenButton="1"/>
    <filterColumn colId="3" hiddenButton="1"/>
  </autoFilter>
  <tableColumns count="4">
    <tableColumn id="1" xr3:uid="{0671DCA2-E4F7-4F54-963A-1B9E1B04CF40}" name="Candidate Name (Party)" totalsRowLabel="Total Votes by County" dataDxfId="1087" totalsRowDxfId="1086"/>
    <tableColumn id="4" xr3:uid="{C8CF7DAD-E5F4-42B4-A722-0033C904E4E1}" name="Part of Bronx County Vote Results" totalsRowFunction="custom" dataDxfId="1085" totalsRowDxfId="1084">
      <totalsRowFormula>SUM(MemberOfAssemblyAssemblyDistrict85General[Part of Bronx County Vote Results])</totalsRowFormula>
    </tableColumn>
    <tableColumn id="3" xr3:uid="{7F1E2407-FBFA-4D66-BEF1-EC6C7DABF1B3}" name="Total Votes by Party" totalsRowFunction="custom" dataDxfId="1083" totalsRowDxfId="1082">
      <calculatedColumnFormula>MemberOfAssemblyAssemblyDistrict85General[[#This Row],[Part of Bronx County Vote Results]]</calculatedColumnFormula>
      <totalsRowFormula>SUM(MemberOfAssemblyAssemblyDistrict85General[Total Votes by Party])</totalsRowFormula>
    </tableColumn>
    <tableColumn id="2" xr3:uid="{A9628D7D-14D6-499C-A103-63B490236E1F}" name="Total Votes by Candidate" dataDxfId="1081" totalsRowDxfId="1080"/>
  </tableColumns>
  <tableStyleInfo name="TableStyleMedium2" showFirstColumn="0" showLastColumn="0" showRowStripes="0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6C92552E-6524-4C0B-BC07-032AC7EE9AC3}" name="MemberOfAssemblyAssemblyDistrict86General" displayName="MemberOfAssemblyAssemblyDistrict86General" ref="A2:D9" totalsRowCount="1" headerRowDxfId="1079" dataDxfId="1077" totalsRowDxfId="1075" headerRowBorderDxfId="1078" tableBorderDxfId="1076" totalsRowBorderDxfId="1074">
  <autoFilter ref="A2:D8" xr:uid="{2B5704FE-706F-47C3-959B-9BA0632CF0E7}">
    <filterColumn colId="0" hiddenButton="1"/>
    <filterColumn colId="1" hiddenButton="1"/>
    <filterColumn colId="2" hiddenButton="1"/>
    <filterColumn colId="3" hiddenButton="1"/>
  </autoFilter>
  <tableColumns count="4">
    <tableColumn id="1" xr3:uid="{804327D9-25E5-423D-978F-43DA94F80EE5}" name="Candidate Name (Party)" totalsRowLabel="Total Votes by County" dataDxfId="1073" totalsRowDxfId="1072"/>
    <tableColumn id="4" xr3:uid="{E4B5903D-05BE-4A98-A21A-17B2F63537D9}" name="Part of Bronx County Vote Results" totalsRowFunction="custom" dataDxfId="1071" totalsRowDxfId="1070">
      <totalsRowFormula>SUM(MemberOfAssemblyAssemblyDistrict86General[Part of Bronx County Vote Results])</totalsRowFormula>
    </tableColumn>
    <tableColumn id="3" xr3:uid="{1C40EEC7-FCFE-4A72-AA3A-4FBADE11BA3F}" name="Total Votes by Party" totalsRowFunction="custom" dataDxfId="1069" totalsRowDxfId="1068">
      <calculatedColumnFormula>MemberOfAssemblyAssemblyDistrict86General[[#This Row],[Part of Bronx County Vote Results]]</calculatedColumnFormula>
      <totalsRowFormula>SUM(MemberOfAssemblyAssemblyDistrict86General[Total Votes by Party])</totalsRowFormula>
    </tableColumn>
    <tableColumn id="2" xr3:uid="{FF73A46A-A2B7-4106-931A-E343FFE4E72D}" name="Total Votes by Candidate" dataDxfId="1067" totalsRowDxfId="1066"/>
  </tableColumns>
  <tableStyleInfo name="TableStyleMedium2" showFirstColumn="0" showLastColumn="0" showRowStripes="0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CDA33236-D154-4719-A536-6EADE9625C8A}" name="MemberOfAssemblyAssemblyDistrict87General" displayName="MemberOfAssemblyAssemblyDistrict87General" ref="A2:D9" totalsRowCount="1" headerRowDxfId="1065" dataDxfId="1063" totalsRowDxfId="1061" headerRowBorderDxfId="1064" tableBorderDxfId="1062" totalsRowBorderDxfId="1060">
  <autoFilter ref="A2:D8" xr:uid="{517D48A4-44D2-4D42-9D5F-B6FA55B3BDFE}">
    <filterColumn colId="0" hiddenButton="1"/>
    <filterColumn colId="1" hiddenButton="1"/>
    <filterColumn colId="2" hiddenButton="1"/>
    <filterColumn colId="3" hiddenButton="1"/>
  </autoFilter>
  <tableColumns count="4">
    <tableColumn id="1" xr3:uid="{5CEC1209-2FD0-4341-995D-EC6E952123F7}" name="Candidate Name (Party)" totalsRowLabel="Total Votes by County" dataDxfId="1059" totalsRowDxfId="1058"/>
    <tableColumn id="4" xr3:uid="{5ADF62C6-F005-4898-AB04-C0273B2D9620}" name="Part of Bronx County Vote Results" totalsRowFunction="custom" dataDxfId="1057" totalsRowDxfId="1056">
      <totalsRowFormula>SUM(MemberOfAssemblyAssemblyDistrict87General[Part of Bronx County Vote Results])</totalsRowFormula>
    </tableColumn>
    <tableColumn id="3" xr3:uid="{CE546932-CD04-4B3F-B45E-3DD491DAE237}" name="Total Votes by Party" totalsRowFunction="custom" dataDxfId="1055" totalsRowDxfId="1054">
      <calculatedColumnFormula>MemberOfAssemblyAssemblyDistrict87General[[#This Row],[Part of Bronx County Vote Results]]</calculatedColumnFormula>
      <totalsRowFormula>SUM(MemberOfAssemblyAssemblyDistrict87General[Total Votes by Party])</totalsRowFormula>
    </tableColumn>
    <tableColumn id="2" xr3:uid="{D5FB8B64-9ABD-4768-A8D5-B56FAFF95343}" name="Total Votes by Candidate" dataDxfId="1053" totalsRowDxfId="1052"/>
  </tableColumns>
  <tableStyleInfo name="TableStyleMedium2" showFirstColumn="0" showLastColumn="0" showRowStripes="0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48D97BD6-DE54-439C-8593-2385AC99BC13}" name="MemberOfAssemblyAssemblyDistrict88General" displayName="MemberOfAssemblyAssemblyDistrict88General" ref="A2:D10" totalsRowCount="1" headerRowDxfId="1051" dataDxfId="1049" totalsRowDxfId="1047" headerRowBorderDxfId="1050" tableBorderDxfId="1048" totalsRowBorderDxfId="1046">
  <autoFilter ref="A2:D9" xr:uid="{5222BB5E-8B89-464E-89E2-E688BB379254}">
    <filterColumn colId="0" hiddenButton="1"/>
    <filterColumn colId="1" hiddenButton="1"/>
    <filterColumn colId="2" hiddenButton="1"/>
    <filterColumn colId="3" hiddenButton="1"/>
  </autoFilter>
  <tableColumns count="4">
    <tableColumn id="1" xr3:uid="{92405377-9E0C-4E78-BDA9-530091D06186}" name="Candidate Name (Party)" totalsRowLabel="Total Votes by County" dataDxfId="1045" totalsRowDxfId="1044"/>
    <tableColumn id="4" xr3:uid="{36FC9A74-126C-47A2-AE2C-593C728F5482}" name="Part of Westchester County Vote Results" totalsRowFunction="custom" dataDxfId="1043" totalsRowDxfId="1042">
      <totalsRowFormula>SUM(MemberOfAssemblyAssemblyDistrict88General[Part of Westchester County Vote Results])</totalsRowFormula>
    </tableColumn>
    <tableColumn id="3" xr3:uid="{BFEC5971-65E9-4E8D-9020-5DF2967DD072}" name="Total Votes by Party" totalsRowFunction="custom" dataDxfId="1041" totalsRowDxfId="1040">
      <calculatedColumnFormula>MemberOfAssemblyAssemblyDistrict88General[[#This Row],[Part of Westchester County Vote Results]]</calculatedColumnFormula>
      <totalsRowFormula>SUM(MemberOfAssemblyAssemblyDistrict88General[Total Votes by Party])</totalsRowFormula>
    </tableColumn>
    <tableColumn id="2" xr3:uid="{0EAEA532-332B-464A-B786-8D0C74AC2250}" name="Total Votes by Candidate" dataDxfId="1039" totalsRowDxfId="1038">
      <calculatedColumnFormula>SUM(MemberOfAssemblyAssemblyDistrict88General[[#This Row],[Total Votes by Party]],C4,C5)</calculatedColumnFormula>
    </tableColumn>
  </tableColumns>
  <tableStyleInfo name="TableStyleMedium2" showFirstColumn="0" showLastColumn="0" showRowStripes="0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66BE851F-A712-4C34-B9F1-732B7BBB8888}" name="MemberOfAssemblyAssemblyDistrict89General" displayName="MemberOfAssemblyAssemblyDistrict89General" ref="A2:D8" totalsRowCount="1" headerRowDxfId="1037" dataDxfId="1035" totalsRowDxfId="1033" headerRowBorderDxfId="1036" tableBorderDxfId="1034" totalsRowBorderDxfId="1032">
  <autoFilter ref="A2:D7" xr:uid="{A9FD1674-D6E7-45DA-9FDE-95E5B1ED6D2B}">
    <filterColumn colId="0" hiddenButton="1"/>
    <filterColumn colId="1" hiddenButton="1"/>
    <filterColumn colId="2" hiddenButton="1"/>
    <filterColumn colId="3" hiddenButton="1"/>
  </autoFilter>
  <tableColumns count="4">
    <tableColumn id="1" xr3:uid="{A0D8C4FF-3057-4C60-A269-B97BD6B83F73}" name="Candidate Name (Party)" totalsRowLabel="Total Votes by County" dataDxfId="1031" totalsRowDxfId="1030"/>
    <tableColumn id="4" xr3:uid="{9AA0C870-E701-4820-AA8A-2AE8AF629102}" name="Part of Westchester County Vote Results" totalsRowFunction="custom" dataDxfId="1029" totalsRowDxfId="1028">
      <totalsRowFormula>SUM(MemberOfAssemblyAssemblyDistrict89General[Part of Westchester County Vote Results])</totalsRowFormula>
    </tableColumn>
    <tableColumn id="3" xr3:uid="{3E588B28-0FE7-4440-A5A1-1F9AB8EEEB6B}" name="Total Votes by Party" totalsRowFunction="custom" dataDxfId="1027" totalsRowDxfId="1026">
      <calculatedColumnFormula>MemberOfAssemblyAssemblyDistrict89General[[#This Row],[Part of Westchester County Vote Results]]</calculatedColumnFormula>
      <totalsRowFormula>SUM(MemberOfAssemblyAssemblyDistrict89General[Total Votes by Party])</totalsRowFormula>
    </tableColumn>
    <tableColumn id="2" xr3:uid="{2E0D4AAC-30D1-47C1-AB4B-EA0CE35AD4DB}" name="Total Votes by Candidate" dataDxfId="1025" totalsRowDxfId="1024">
      <calculatedColumnFormula>C3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568B9891-4032-4D7F-96E9-0ABA99A27743}" name="MemberOfAssemblyAssemblyDistrict9General" displayName="MemberOfAssemblyAssemblyDistrict9General" ref="A2:E9" totalsRowCount="1" headerRowDxfId="2148" dataDxfId="2146" totalsRowDxfId="2144" headerRowBorderDxfId="2147" tableBorderDxfId="2145" totalsRowBorderDxfId="2143">
  <autoFilter ref="A2:E8" xr:uid="{497AA758-8862-490B-A582-CE044EB3C62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C039DB1-1DCD-4A46-82A6-0C4322287469}" name="Candidate Name (Party)" totalsRowLabel="Total Votes by County" dataDxfId="2142" totalsRowDxfId="2141"/>
    <tableColumn id="2" xr3:uid="{730E3936-2855-46F8-B06A-7D9AF7F47E3A}" name="Part of Nassau County Vote Results" totalsRowFunction="custom" dataDxfId="2140" totalsRowDxfId="2139">
      <totalsRowFormula>SUM(MemberOfAssemblyAssemblyDistrict9General[Part of Nassau County Vote Results])</totalsRowFormula>
    </tableColumn>
    <tableColumn id="4" xr3:uid="{780EC229-FF16-4CBA-A536-15E97119F1E7}" name="Part of Suffolk County Vote Results" totalsRowFunction="custom" dataDxfId="2138" totalsRowDxfId="2137">
      <totalsRowFormula>SUM(MemberOfAssemblyAssemblyDistrict9General[Part of Suffolk County Vote Results])</totalsRowFormula>
    </tableColumn>
    <tableColumn id="3" xr3:uid="{4D8365BA-2593-45A5-AEE1-831C58848668}" name="Total Votes by Party" totalsRowFunction="custom" dataDxfId="2136" totalsRowDxfId="2135">
      <calculatedColumnFormula>SUM(MemberOfAssemblyAssemblyDistrict9General[[#This Row],[Part of Nassau County Vote Results]:[Part of Suffolk County Vote Results]])</calculatedColumnFormula>
      <totalsRowFormula>SUM(MemberOfAssemblyAssemblyDistrict9General[Total Votes by Party])</totalsRowFormula>
    </tableColumn>
    <tableColumn id="5" xr3:uid="{C1DD23AE-7C43-473C-AB4B-44A985AB40C3}" name="Total Votes by Candidate" dataDxfId="2134" totalsRowDxfId="2133">
      <calculatedColumnFormula>SUM(MemberOfAssemblyAssemblyDistrict9General[[#This Row],[Total Votes by Party]],#REF!)</calculatedColumnFormula>
    </tableColumn>
  </tableColumns>
  <tableStyleInfo name="TableStyleMedium2" showFirstColumn="0" showLastColumn="0" showRowStripes="0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71AF5F85-8F8B-444A-A7EC-20BC5A9860DA}" name="MemberOfAssemblyAssemblyDistrict90General" displayName="MemberOfAssemblyAssemblyDistrict90General" ref="A2:D10" totalsRowCount="1" headerRowDxfId="1023" dataDxfId="1021" totalsRowDxfId="1019" headerRowBorderDxfId="1022" tableBorderDxfId="1020" totalsRowBorderDxfId="1018">
  <autoFilter ref="A2:D9" xr:uid="{0AD0D9E1-FBC6-45BE-AB9F-3850A5A8348A}">
    <filterColumn colId="0" hiddenButton="1"/>
    <filterColumn colId="1" hiddenButton="1"/>
    <filterColumn colId="2" hiddenButton="1"/>
    <filterColumn colId="3" hiddenButton="1"/>
  </autoFilter>
  <tableColumns count="4">
    <tableColumn id="1" xr3:uid="{70731CFB-ADBD-40F4-8358-9BAFC3A507F3}" name="Candidate Name (Party)" totalsRowLabel="Total Votes by County" dataDxfId="1017" totalsRowDxfId="1016"/>
    <tableColumn id="4" xr3:uid="{07D612BD-EA37-40E7-9414-BEAC462D7D97}" name="Part of Westchester County Vote Results" totalsRowFunction="custom" dataDxfId="1015" totalsRowDxfId="1014">
      <totalsRowFormula>SUM(MemberOfAssemblyAssemblyDistrict90General[Part of Westchester County Vote Results])</totalsRowFormula>
    </tableColumn>
    <tableColumn id="3" xr3:uid="{FB1A23CB-2EB4-4D63-8E4E-384A3865BE7D}" name="Total Votes by Party" totalsRowFunction="custom" dataDxfId="1013" totalsRowDxfId="1012">
      <calculatedColumnFormula>MemberOfAssemblyAssemblyDistrict90General[[#This Row],[Part of Westchester County Vote Results]]</calculatedColumnFormula>
      <totalsRowFormula>SUM(MemberOfAssemblyAssemblyDistrict90General[Total Votes by Party])</totalsRowFormula>
    </tableColumn>
    <tableColumn id="2" xr3:uid="{26451166-9C47-4C5B-BB4D-79152DD50641}" name="Total Votes by Candidate" dataDxfId="1011" totalsRowDxfId="1010"/>
  </tableColumns>
  <tableStyleInfo name="TableStyleMedium2" showFirstColumn="0" showLastColumn="0" showRowStripes="0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D371E190-205C-4E12-B3FD-C80E20AD3E67}" name="MemberOfAssemblyAssemblyDistrict91General" displayName="MemberOfAssemblyAssemblyDistrict91General" ref="A2:D8" totalsRowCount="1" headerRowDxfId="1009" dataDxfId="1007" totalsRowDxfId="1005" headerRowBorderDxfId="1008" tableBorderDxfId="1006" totalsRowBorderDxfId="1004">
  <autoFilter ref="A2:D7" xr:uid="{839267D8-4641-4BF3-971C-2C7A8148B1D5}">
    <filterColumn colId="0" hiddenButton="1"/>
    <filterColumn colId="1" hiddenButton="1"/>
    <filterColumn colId="2" hiddenButton="1"/>
    <filterColumn colId="3" hiddenButton="1"/>
  </autoFilter>
  <tableColumns count="4">
    <tableColumn id="1" xr3:uid="{B639F6F2-E292-4CEE-9385-CBD6B1C52AB0}" name="Candidate Name (Party)" totalsRowLabel="Total Votes by County" dataDxfId="1003" totalsRowDxfId="1002"/>
    <tableColumn id="4" xr3:uid="{BB6FE5DC-F968-4D65-A0F6-67A34BDA8C4E}" name="Part of Westchester County Vote Results" totalsRowFunction="custom" dataDxfId="1001" totalsRowDxfId="1000">
      <totalsRowFormula>SUM(MemberOfAssemblyAssemblyDistrict91General[Part of Westchester County Vote Results])</totalsRowFormula>
    </tableColumn>
    <tableColumn id="3" xr3:uid="{03CD5ECB-E50C-4E54-8B0E-A2D49D6A0DFA}" name="Total Votes by Party" totalsRowFunction="custom" dataDxfId="999" totalsRowDxfId="998">
      <calculatedColumnFormula>MemberOfAssemblyAssemblyDistrict91General[[#This Row],[Part of Westchester County Vote Results]]</calculatedColumnFormula>
      <totalsRowFormula>SUM(MemberOfAssemblyAssemblyDistrict91General[Total Votes by Party])</totalsRowFormula>
    </tableColumn>
    <tableColumn id="2" xr3:uid="{1C4AC6CF-845A-4FE0-986A-7E15EE61A92D}" name="Total Votes by Candidate" dataDxfId="997" totalsRowDxfId="996">
      <calculatedColumnFormula>SUM(MemberOfAssemblyAssemblyDistrict91General[[#This Row],[Total Votes by Party]])</calculatedColumnFormula>
    </tableColumn>
  </tableColumns>
  <tableStyleInfo name="TableStyleMedium2" showFirstColumn="0" showLastColumn="0" showRowStripes="0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34B735AD-F1C2-4502-AAE9-563257A91F6D}" name="MemberOfAssemblyAssemblyDistrict92General" displayName="MemberOfAssemblyAssemblyDistrict92General" ref="A2:D10" totalsRowCount="1" headerRowDxfId="995" dataDxfId="993" totalsRowDxfId="991" headerRowBorderDxfId="994" tableBorderDxfId="992" totalsRowBorderDxfId="990">
  <autoFilter ref="A2:D9" xr:uid="{10FE8981-0724-4C55-9706-64F4E23666C5}">
    <filterColumn colId="0" hiddenButton="1"/>
    <filterColumn colId="1" hiddenButton="1"/>
    <filterColumn colId="2" hiddenButton="1"/>
    <filterColumn colId="3" hiddenButton="1"/>
  </autoFilter>
  <tableColumns count="4">
    <tableColumn id="1" xr3:uid="{91198543-414A-4A61-BF6A-73644A564CF1}" name="Candidate Name (Party)" totalsRowLabel="Total Votes by County" dataDxfId="989" totalsRowDxfId="988"/>
    <tableColumn id="4" xr3:uid="{EBB6127A-5166-4DBE-A11C-D3CF5B931769}" name="Part of Westchester County Vote Results" totalsRowFunction="custom" dataDxfId="987" totalsRowDxfId="986">
      <totalsRowFormula>SUM(MemberOfAssemblyAssemblyDistrict92General[Part of Westchester County Vote Results])</totalsRowFormula>
    </tableColumn>
    <tableColumn id="3" xr3:uid="{0B2B7868-F740-4B2E-AB94-48EB06630BDA}" name="Total Votes by Party" totalsRowFunction="custom" dataDxfId="985" totalsRowDxfId="984">
      <calculatedColumnFormula>MemberOfAssemblyAssemblyDistrict92General[[#This Row],[Part of Westchester County Vote Results]]</calculatedColumnFormula>
      <totalsRowFormula>SUM(MemberOfAssemblyAssemblyDistrict92General[Total Votes by Party])</totalsRowFormula>
    </tableColumn>
    <tableColumn id="2" xr3:uid="{7A5D68CB-580E-4C60-9E64-921C3D0C5B4D}" name="Total Votes by Candidate" dataDxfId="983" totalsRowDxfId="982">
      <calculatedColumnFormula>SUM(MemberOfAssemblyAssemblyDistrict92General[[#This Row],[Total Votes by Party]],C6)</calculatedColumnFormula>
    </tableColumn>
  </tableColumns>
  <tableStyleInfo name="TableStyleMedium2" showFirstColumn="0" showLastColumn="0" showRowStripes="0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2FA0E234-198C-4419-98AC-E7651D703D0A}" name="MemberOfAssemblyAssemblyDistrict93General" displayName="MemberOfAssemblyAssemblyDistrict93General" ref="A2:D10" totalsRowCount="1" headerRowDxfId="981" dataDxfId="979" totalsRowDxfId="977" headerRowBorderDxfId="980" tableBorderDxfId="978" totalsRowBorderDxfId="976">
  <autoFilter ref="A2:D9" xr:uid="{D55BDE7E-2331-4939-833D-ACA4034F7547}">
    <filterColumn colId="0" hiddenButton="1"/>
    <filterColumn colId="1" hiddenButton="1"/>
    <filterColumn colId="2" hiddenButton="1"/>
    <filterColumn colId="3" hiddenButton="1"/>
  </autoFilter>
  <tableColumns count="4">
    <tableColumn id="1" xr3:uid="{51304B78-5BD7-4066-A8D9-A81C9E7C110C}" name="Candidate Name (Party)" totalsRowLabel="Total Votes by County" dataDxfId="975" totalsRowDxfId="974"/>
    <tableColumn id="4" xr3:uid="{9DB6FD3F-B674-413C-AEA4-B63EA5207B33}" name="Part of Westchester County Vote Results" totalsRowFunction="custom" dataDxfId="973" totalsRowDxfId="972">
      <totalsRowFormula>SUM(MemberOfAssemblyAssemblyDistrict93General[Part of Westchester County Vote Results])</totalsRowFormula>
    </tableColumn>
    <tableColumn id="3" xr3:uid="{EF1117D7-8980-420C-850F-E20B7C77C321}" name="Total Votes by Party" totalsRowFunction="custom" dataDxfId="971" totalsRowDxfId="970">
      <calculatedColumnFormula>MemberOfAssemblyAssemblyDistrict93General[[#This Row],[Part of Westchester County Vote Results]]</calculatedColumnFormula>
      <totalsRowFormula>SUM(MemberOfAssemblyAssemblyDistrict93General[Total Votes by Party])</totalsRowFormula>
    </tableColumn>
    <tableColumn id="2" xr3:uid="{C5BDE755-B52C-47C0-8877-C5A1C07FF816}" name="Total Votes by Candidate" dataDxfId="969" totalsRowDxfId="968"/>
  </tableColumns>
  <tableStyleInfo name="TableStyleMedium2" showFirstColumn="0" showLastColumn="0" showRowStripes="0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5579D5E0-09A1-4970-AF7A-E5E9197BE8AC}" name="MemberOfAssemblyAssemblyDistrict94General" displayName="MemberOfAssemblyAssemblyDistrict94General" ref="A2:E9" totalsRowCount="1" headerRowDxfId="967" dataDxfId="965" totalsRowDxfId="963" headerRowBorderDxfId="966" tableBorderDxfId="964" totalsRowBorderDxfId="962">
  <autoFilter ref="A2:E8" xr:uid="{DED7A81C-DF94-495E-BD4D-90CA609028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61A76C6-BE57-4061-AB70-77AC389D547C}" name="Candidate Name (Party)" totalsRowLabel="Total Votes by County" dataDxfId="961" totalsRowDxfId="960"/>
    <tableColumn id="2" xr3:uid="{C015B1BE-C077-421A-864D-7D8DF461BFD2}" name="Part of Putnam County Vote Results" totalsRowFunction="custom" dataDxfId="959" totalsRowDxfId="958">
      <totalsRowFormula>SUM(MemberOfAssemblyAssemblyDistrict94General[Part of Putnam County Vote Results])</totalsRowFormula>
    </tableColumn>
    <tableColumn id="4" xr3:uid="{5AD9B8E5-914B-4110-ACF0-1040C8E326E2}" name="Part of Westchester County Vote Results" totalsRowFunction="custom" dataDxfId="957" totalsRowDxfId="956">
      <totalsRowFormula>SUM(MemberOfAssemblyAssemblyDistrict94General[Part of Westchester County Vote Results])</totalsRowFormula>
    </tableColumn>
    <tableColumn id="3" xr3:uid="{2B9C0DB7-2F2D-4715-9A32-730A1E492888}" name="Total Votes by Party" totalsRowFunction="custom" dataDxfId="955" totalsRowDxfId="954">
      <calculatedColumnFormula>SUM(MemberOfAssemblyAssemblyDistrict94General[[#This Row],[Part of Putnam County Vote Results]:[Part of Westchester County Vote Results]])</calculatedColumnFormula>
      <totalsRowFormula>SUM(MemberOfAssemblyAssemblyDistrict94General[Total Votes by Party])</totalsRowFormula>
    </tableColumn>
    <tableColumn id="5" xr3:uid="{2EF70F7A-6209-4653-B1E8-5EE903ED0E02}" name="Total Votes by Candidate" dataDxfId="953" totalsRowDxfId="952"/>
  </tableColumns>
  <tableStyleInfo name="TableStyleMedium2" showFirstColumn="0" showLastColumn="0" showRowStripes="0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985B4977-5458-410E-B5C8-3DD09A1A8F40}" name="MemberOfAssemblyAssemblyDistrict95General" displayName="MemberOfAssemblyAssemblyDistrict95General" ref="A2:E10" totalsRowCount="1" headerRowDxfId="951" dataDxfId="949" totalsRowDxfId="947" headerRowBorderDxfId="950" tableBorderDxfId="948" totalsRowBorderDxfId="946">
  <autoFilter ref="A2:E9" xr:uid="{6D7F6935-EB82-47B3-81C1-C37CF71DBB0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D96563D-8653-4DC6-8887-51192179016B}" name="Candidate Name (Party)" totalsRowLabel="Total Votes by County" dataDxfId="945" totalsRowDxfId="944"/>
    <tableColumn id="2" xr3:uid="{9BF40CD4-C2DC-47E2-A966-036B95DCCEC6}" name="Part of Putnam County Vote Results" totalsRowFunction="custom" dataDxfId="943" totalsRowDxfId="942">
      <totalsRowFormula>SUM(MemberOfAssemblyAssemblyDistrict95General[Part of Putnam County Vote Results])</totalsRowFormula>
    </tableColumn>
    <tableColumn id="4" xr3:uid="{690150D7-8977-4AA2-B643-6B7A9FF66C5B}" name="Part of Westchester County Vote Results" totalsRowFunction="custom" dataDxfId="941" totalsRowDxfId="940">
      <totalsRowFormula>SUM(MemberOfAssemblyAssemblyDistrict95General[Part of Westchester County Vote Results])</totalsRowFormula>
    </tableColumn>
    <tableColumn id="3" xr3:uid="{03114B0F-2FD7-4C3D-B2BC-EA7C6AF1D352}" name="Total Votes by Party" totalsRowFunction="custom" dataDxfId="939" totalsRowDxfId="938">
      <calculatedColumnFormula>SUM(MemberOfAssemblyAssemblyDistrict95General[[#This Row],[Part of Putnam County Vote Results]:[Part of Westchester County Vote Results]])</calculatedColumnFormula>
      <totalsRowFormula>SUM(MemberOfAssemblyAssemblyDistrict95General[Total Votes by Party])</totalsRowFormula>
    </tableColumn>
    <tableColumn id="5" xr3:uid="{5908EB49-7FA7-44D2-9983-BCF19B94052D}" name="Total Votes by Candidate" dataDxfId="937" totalsRowDxfId="936"/>
  </tableColumns>
  <tableStyleInfo name="TableStyleMedium2" showFirstColumn="0" showLastColumn="0" showRowStripes="0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B12104BA-9201-45B9-868E-F39F43202782}" name="MemberOfAssemblyAssemblyDistrict96General" displayName="MemberOfAssemblyAssemblyDistrict96General" ref="A2:D8" totalsRowCount="1" headerRowDxfId="935" dataDxfId="933" totalsRowDxfId="931" headerRowBorderDxfId="934" tableBorderDxfId="932" totalsRowBorderDxfId="930">
  <autoFilter ref="A2:D7" xr:uid="{371FD33B-E0F1-4828-9D45-F6A7C6042C07}">
    <filterColumn colId="0" hiddenButton="1"/>
    <filterColumn colId="1" hiddenButton="1"/>
    <filterColumn colId="2" hiddenButton="1"/>
    <filterColumn colId="3" hiddenButton="1"/>
  </autoFilter>
  <tableColumns count="4">
    <tableColumn id="1" xr3:uid="{CB2D977A-FD00-43BA-8201-89AF6144277F}" name="Candidate Name (Party)" totalsRowLabel="Total Votes by County" dataDxfId="929" totalsRowDxfId="928"/>
    <tableColumn id="4" xr3:uid="{9E8476BB-C26C-485C-A1BA-E2FFF25C4176}" name="Part of Rockland County Vote Results" totalsRowFunction="custom" dataDxfId="927" totalsRowDxfId="926">
      <totalsRowFormula>SUM(MemberOfAssemblyAssemblyDistrict96General[Part of Rockland County Vote Results])</totalsRowFormula>
    </tableColumn>
    <tableColumn id="3" xr3:uid="{0A8ECCD3-FA7C-4410-8CED-7220757E4B3D}" name="Total Votes by Party" totalsRowFunction="custom" dataDxfId="925" totalsRowDxfId="924">
      <calculatedColumnFormula>MemberOfAssemblyAssemblyDistrict96General[[#This Row],[Part of Rockland County Vote Results]]</calculatedColumnFormula>
      <totalsRowFormula>SUM(MemberOfAssemblyAssemblyDistrict96General[Total Votes by Party])</totalsRowFormula>
    </tableColumn>
    <tableColumn id="2" xr3:uid="{0B02CA45-FC27-405E-AE9F-620B2C581D1A}" name="Total Votes by Candidate" dataDxfId="923" totalsRowDxfId="922">
      <calculatedColumnFormula>SUM(MemberOfAssemblyAssemblyDistrict96General[[#This Row],[Total Votes by Party]])</calculatedColumnFormula>
    </tableColumn>
  </tableColumns>
  <tableStyleInfo name="TableStyleMedium2" showFirstColumn="0" showLastColumn="0" showRowStripes="0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FB866CF5-A37D-4DD0-A651-0EB8E29BB572}" name="MemberOfAssemblyAssemblyDistrict97General" displayName="MemberOfAssemblyAssemblyDistrict97General" ref="A2:D9" totalsRowCount="1" headerRowDxfId="921" dataDxfId="919" totalsRowDxfId="917" headerRowBorderDxfId="920" tableBorderDxfId="918" totalsRowBorderDxfId="916">
  <autoFilter ref="A2:D8" xr:uid="{97B32511-51F3-4A1E-A166-F3369638BE7F}">
    <filterColumn colId="0" hiddenButton="1"/>
    <filterColumn colId="1" hiddenButton="1"/>
    <filterColumn colId="2" hiddenButton="1"/>
    <filterColumn colId="3" hiddenButton="1"/>
  </autoFilter>
  <tableColumns count="4">
    <tableColumn id="1" xr3:uid="{8A8C88DA-81C3-4423-A4A1-5101AFFBCF6A}" name="Candidate Name (Party)" totalsRowLabel="Total Votes by County" dataDxfId="915" totalsRowDxfId="914"/>
    <tableColumn id="4" xr3:uid="{17202AFB-2430-496B-A04B-29C6A342CF61}" name="Part of Rockland County Vote Results" totalsRowFunction="custom" dataDxfId="913" totalsRowDxfId="912">
      <totalsRowFormula>SUM(MemberOfAssemblyAssemblyDistrict97General[Part of Rockland County Vote Results])</totalsRowFormula>
    </tableColumn>
    <tableColumn id="3" xr3:uid="{4D244671-3A78-4652-850F-F3F2EE71CA65}" name="Total Votes by Party" totalsRowFunction="custom" dataDxfId="911" totalsRowDxfId="910">
      <calculatedColumnFormula>MemberOfAssemblyAssemblyDistrict97General[[#This Row],[Part of Rockland County Vote Results]]</calculatedColumnFormula>
      <totalsRowFormula>SUM(MemberOfAssemblyAssemblyDistrict97General[Total Votes by Party])</totalsRowFormula>
    </tableColumn>
    <tableColumn id="2" xr3:uid="{91BAF986-A24C-4FF8-97DE-A84A63C51F56}" name="Total Votes by Candidate" dataDxfId="909" totalsRowDxfId="908"/>
  </tableColumns>
  <tableStyleInfo name="TableStyleMedium2" showFirstColumn="0" showLastColumn="0" showRowStripes="0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F081C919-35DC-4FEE-9753-DE12F697D2CE}" name="MemberOfAssemblyAssemblyDistrict98General" displayName="MemberOfAssemblyAssemblyDistrict98General" ref="A2:E9" totalsRowCount="1" headerRowDxfId="907" dataDxfId="905" totalsRowDxfId="903" headerRowBorderDxfId="906" tableBorderDxfId="904" totalsRowBorderDxfId="902">
  <autoFilter ref="A2:E8" xr:uid="{50755AB1-F623-4EC1-9E7E-CC0ED57A25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E7D5B61-6DBE-4719-AEC9-CAC280811D52}" name="Candidate Name (Party)" totalsRowLabel="Total Votes by County" dataDxfId="901" totalsRowDxfId="900"/>
    <tableColumn id="2" xr3:uid="{8DCE4F82-902C-4DAF-A50E-939A4D51C23C}" name="Part of Orange County Vote Results" totalsRowFunction="custom" dataDxfId="899" totalsRowDxfId="898">
      <totalsRowFormula>SUM(MemberOfAssemblyAssemblyDistrict98General[Part of Orange County Vote Results])</totalsRowFormula>
    </tableColumn>
    <tableColumn id="4" xr3:uid="{211A07DE-5E03-4A13-8963-7233C0D08553}" name="Part of Rockland County Vote Results" totalsRowFunction="custom" dataDxfId="897" totalsRowDxfId="896">
      <totalsRowFormula>SUM(MemberOfAssemblyAssemblyDistrict98General[Part of Rockland County Vote Results])</totalsRowFormula>
    </tableColumn>
    <tableColumn id="3" xr3:uid="{7DC04A6D-7AB1-4C51-A913-6688C6B8682D}" name="Total Votes by Party" totalsRowFunction="custom" dataDxfId="895" totalsRowDxfId="894">
      <calculatedColumnFormula>SUM(MemberOfAssemblyAssemblyDistrict98General[[#This Row],[Part of Orange County Vote Results]:[Part of Rockland County Vote Results]])</calculatedColumnFormula>
      <totalsRowFormula>SUM(MemberOfAssemblyAssemblyDistrict98General[Total Votes by Party])</totalsRowFormula>
    </tableColumn>
    <tableColumn id="5" xr3:uid="{440B8255-D250-4947-8F14-39C47FBA6003}" name="Total Votes by Candidate" dataDxfId="893" totalsRowDxfId="892">
      <calculatedColumnFormula>SUM(D3,#REF!,#REF!)</calculatedColumnFormula>
    </tableColumn>
  </tableColumns>
  <tableStyleInfo name="TableStyleMedium2" showFirstColumn="0" showLastColumn="0" showRowStripes="0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52C5CA72-7665-4734-82E2-79D5C284B0F7}" name="MemberOfAssemblyAssemblyDistrict99General" displayName="MemberOfAssemblyAssemblyDistrict99General" ref="A2:E9" totalsRowCount="1" headerRowDxfId="891" dataDxfId="889" totalsRowDxfId="887" headerRowBorderDxfId="890" tableBorderDxfId="888" totalsRowBorderDxfId="886">
  <autoFilter ref="A2:E8" xr:uid="{7954D400-A973-4CA4-A173-A394218CD0D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AC3EF11-FF70-4E21-8323-78F2B1862668}" name="Candidate Name (Party)" totalsRowLabel="Total Votes by County" dataDxfId="885" totalsRowDxfId="884"/>
    <tableColumn id="2" xr3:uid="{79720CCE-82F4-44FA-BF93-95C2F96A066B}" name="Part of Orange County Vote Results" totalsRowFunction="custom" dataDxfId="883" totalsRowDxfId="882">
      <totalsRowFormula>SUM(MemberOfAssemblyAssemblyDistrict99General[Part of Orange County Vote Results])</totalsRowFormula>
    </tableColumn>
    <tableColumn id="4" xr3:uid="{E9C7A8F3-513E-42AD-8AEA-C493F74A775F}" name="Part of Rockland County Vote Results" totalsRowFunction="custom" dataDxfId="881" totalsRowDxfId="880">
      <totalsRowFormula>SUM(MemberOfAssemblyAssemblyDistrict99General[Part of Rockland County Vote Results])</totalsRowFormula>
    </tableColumn>
    <tableColumn id="3" xr3:uid="{972CA9B4-1A63-4DB8-9BDC-AA8BDD68A9ED}" name="Total Votes by Party" totalsRowFunction="custom" dataDxfId="879" totalsRowDxfId="878">
      <calculatedColumnFormula>SUM(MemberOfAssemblyAssemblyDistrict99General[[#This Row],[Part of Orange County Vote Results]:[Part of Rockland County Vote Results]])</calculatedColumnFormula>
      <totalsRowFormula>SUM(MemberOfAssemblyAssemblyDistrict99General[Total Votes by Party])</totalsRowFormula>
    </tableColumn>
    <tableColumn id="5" xr3:uid="{1DD93F5D-3BCC-4953-9CE0-D502B4C43FB8}" name="Total Votes by Candidate" dataDxfId="877" totalsRowDxfId="876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5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5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6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7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8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9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0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1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2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3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4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5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6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7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8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9.x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0.xml"/><Relationship Id="rId1" Type="http://schemas.openxmlformats.org/officeDocument/2006/relationships/printerSettings" Target="../printerSettings/printerSettings15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9820-E436-411F-855E-BBB5B092DDA9}">
  <sheetPr codeName="Sheet47"/>
  <dimension ref="A1:D9"/>
  <sheetViews>
    <sheetView tabSelected="1" zoomScaleNormal="100" workbookViewId="0">
      <selection activeCell="D23" sqref="D23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1" t="s">
        <v>56</v>
      </c>
    </row>
    <row r="2" spans="1:4" ht="24.95" customHeight="1" x14ac:dyDescent="0.2">
      <c r="A2" s="10" t="s">
        <v>8</v>
      </c>
      <c r="B2" s="55" t="s">
        <v>23</v>
      </c>
      <c r="C2" s="9" t="s">
        <v>3</v>
      </c>
      <c r="D2" s="8" t="s">
        <v>4</v>
      </c>
    </row>
    <row r="3" spans="1:4" x14ac:dyDescent="0.2">
      <c r="A3" s="6" t="s">
        <v>55</v>
      </c>
      <c r="B3" s="3">
        <v>29862</v>
      </c>
      <c r="C3" s="2">
        <f>MemberOfAssemblyAssemblyDistrict1General[[#This Row],[Part of Suffolk County Vote Results]]</f>
        <v>29862</v>
      </c>
      <c r="D3" s="7">
        <f>SUM(C3)</f>
        <v>29862</v>
      </c>
    </row>
    <row r="4" spans="1:4" x14ac:dyDescent="0.2">
      <c r="A4" s="6" t="s">
        <v>643</v>
      </c>
      <c r="B4" s="3">
        <v>20891</v>
      </c>
      <c r="C4" s="2">
        <f>MemberOfAssemblyAssemblyDistrict1General[[#This Row],[Part of Suffolk County Vote Results]]</f>
        <v>20891</v>
      </c>
      <c r="D4" s="7">
        <f>SUM(C4,C5)</f>
        <v>24242</v>
      </c>
    </row>
    <row r="5" spans="1:4" x14ac:dyDescent="0.2">
      <c r="A5" s="6" t="s">
        <v>644</v>
      </c>
      <c r="B5" s="3">
        <v>3351</v>
      </c>
      <c r="C5" s="2">
        <f>MemberOfAssemblyAssemblyDistrict1General[[#This Row],[Part of Suffolk County Vote Results]]</f>
        <v>3351</v>
      </c>
      <c r="D5" s="1"/>
    </row>
    <row r="6" spans="1:4" x14ac:dyDescent="0.2">
      <c r="A6" s="5" t="s">
        <v>0</v>
      </c>
      <c r="B6" s="3">
        <v>1422</v>
      </c>
      <c r="C6" s="2">
        <f>MemberOfAssemblyAssemblyDistrict1General[[#This Row],[Part of Suffolk County Vote Results]]</f>
        <v>1422</v>
      </c>
      <c r="D6" s="1"/>
    </row>
    <row r="7" spans="1:4" x14ac:dyDescent="0.2">
      <c r="A7" s="5" t="s">
        <v>1</v>
      </c>
      <c r="B7" s="3">
        <v>9</v>
      </c>
      <c r="C7" s="2">
        <f>MemberOfAssemblyAssemblyDistrict1General[[#This Row],[Part of Suffolk County Vote Results]]</f>
        <v>9</v>
      </c>
      <c r="D7" s="1"/>
    </row>
    <row r="8" spans="1:4" x14ac:dyDescent="0.2">
      <c r="A8" s="5" t="s">
        <v>5</v>
      </c>
      <c r="B8" s="3">
        <v>7</v>
      </c>
      <c r="C8" s="2">
        <f>MemberOfAssemblyAssemblyDistrict1General[[#This Row],[Part of Suffolk County Vote Results]]</f>
        <v>7</v>
      </c>
      <c r="D8" s="1"/>
    </row>
    <row r="9" spans="1:4" x14ac:dyDescent="0.2">
      <c r="A9" s="4" t="s">
        <v>2</v>
      </c>
      <c r="B9" s="3">
        <f>SUM(MemberOfAssemblyAssemblyDistrict1General[Part of Suffolk County Vote Results])</f>
        <v>55542</v>
      </c>
      <c r="C9" s="2">
        <f>SUM(MemberOfAssemblyAssemblyDistrict1General[Total Votes by Party])</f>
        <v>55542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rowBreaks count="34" manualBreakCount="34">
    <brk id="39" max="16383" man="1"/>
    <brk id="86" max="16383" man="1"/>
    <brk id="131" max="16383" man="1"/>
    <brk id="176" max="16383" man="1"/>
    <brk id="221" max="16383" man="1"/>
    <brk id="266" max="16383" man="1"/>
    <brk id="311" max="16383" man="1"/>
    <brk id="356" max="16383" man="1"/>
    <brk id="401" max="16383" man="1"/>
    <brk id="446" max="16383" man="1"/>
    <brk id="491" max="16383" man="1"/>
    <brk id="536" max="16383" man="1"/>
    <brk id="574" max="16383" man="1"/>
    <brk id="619" max="16383" man="1"/>
    <brk id="664" max="16383" man="1"/>
    <brk id="709" max="16383" man="1"/>
    <brk id="754" max="16383" man="1"/>
    <brk id="799" max="16383" man="1"/>
    <brk id="835" max="16383" man="1"/>
    <brk id="875" max="16383" man="1"/>
    <brk id="924" max="16383" man="1"/>
    <brk id="972" max="16383" man="1"/>
    <brk id="1007" max="16383" man="1"/>
    <brk id="1050" max="16383" man="1"/>
    <brk id="1097" max="16383" man="1"/>
    <brk id="1135" max="16383" man="1"/>
    <brk id="1181" max="16383" man="1"/>
    <brk id="1217" max="16383" man="1"/>
    <brk id="1256" max="16383" man="1"/>
    <brk id="1303" max="16383" man="1"/>
    <brk id="1339" max="16383" man="1"/>
    <brk id="1380" max="16383" man="1"/>
    <brk id="1423" max="16383" man="1"/>
    <brk id="1464" max="12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2157-995E-4D48-8521-82AAB1AD0B4D}">
  <sheetPr codeName="Sheet56"/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18.75" x14ac:dyDescent="0.2">
      <c r="A1" s="11" t="s">
        <v>91</v>
      </c>
    </row>
    <row r="2" spans="1:5" ht="25.5" x14ac:dyDescent="0.2">
      <c r="A2" s="10" t="s">
        <v>8</v>
      </c>
      <c r="B2" s="55" t="s">
        <v>24</v>
      </c>
      <c r="C2" s="55" t="s">
        <v>23</v>
      </c>
      <c r="D2" s="9" t="s">
        <v>3</v>
      </c>
      <c r="E2" s="8" t="s">
        <v>4</v>
      </c>
    </row>
    <row r="3" spans="1:5" x14ac:dyDescent="0.2">
      <c r="A3" s="6" t="s">
        <v>90</v>
      </c>
      <c r="B3" s="3">
        <v>2919</v>
      </c>
      <c r="C3" s="3">
        <v>23727</v>
      </c>
      <c r="D3" s="2">
        <f>SUM(MemberOfAssemblyAssemblyDistrict10General[[#This Row],[Part of Nassau County Vote Results]:[Part of Suffolk County Vote Results]])</f>
        <v>26646</v>
      </c>
      <c r="E3" s="7">
        <f>SUM(MemberOfAssemblyAssemblyDistrict10General[[#This Row],[Total Votes by Party]])</f>
        <v>26646</v>
      </c>
    </row>
    <row r="4" spans="1:5" x14ac:dyDescent="0.2">
      <c r="A4" s="6" t="s">
        <v>89</v>
      </c>
      <c r="B4" s="3">
        <v>1598</v>
      </c>
      <c r="C4" s="3">
        <v>18126</v>
      </c>
      <c r="D4" s="2">
        <f>SUM(MemberOfAssemblyAssemblyDistrict10General[[#This Row],[Part of Nassau County Vote Results]:[Part of Suffolk County Vote Results]])</f>
        <v>19724</v>
      </c>
      <c r="E4" s="7">
        <f t="shared" ref="E4" si="0">SUM(D4,D5)</f>
        <v>22352</v>
      </c>
    </row>
    <row r="5" spans="1:5" x14ac:dyDescent="0.2">
      <c r="A5" s="6" t="s">
        <v>88</v>
      </c>
      <c r="B5" s="3">
        <v>125</v>
      </c>
      <c r="C5" s="3">
        <v>2503</v>
      </c>
      <c r="D5" s="2">
        <f>SUM(MemberOfAssemblyAssemblyDistrict10General[[#This Row],[Part of Nassau County Vote Results]:[Part of Suffolk County Vote Results]])</f>
        <v>2628</v>
      </c>
      <c r="E5" s="1"/>
    </row>
    <row r="6" spans="1:5" x14ac:dyDescent="0.2">
      <c r="A6" s="5" t="s">
        <v>0</v>
      </c>
      <c r="B6" s="3">
        <v>240</v>
      </c>
      <c r="C6" s="3">
        <v>1459</v>
      </c>
      <c r="D6" s="2">
        <f>SUM(MemberOfAssemblyAssemblyDistrict10General[[#This Row],[Part of Nassau County Vote Results]:[Part of Suffolk County Vote Results]])</f>
        <v>1699</v>
      </c>
      <c r="E6" s="1"/>
    </row>
    <row r="7" spans="1:5" x14ac:dyDescent="0.2">
      <c r="A7" s="5" t="s">
        <v>1</v>
      </c>
      <c r="B7" s="3">
        <v>3</v>
      </c>
      <c r="C7" s="3">
        <v>9</v>
      </c>
      <c r="D7" s="2">
        <f>SUM(MemberOfAssemblyAssemblyDistrict10General[[#This Row],[Part of Nassau County Vote Results]:[Part of Suffolk County Vote Results]])</f>
        <v>12</v>
      </c>
      <c r="E7" s="1"/>
    </row>
    <row r="8" spans="1:5" x14ac:dyDescent="0.2">
      <c r="A8" s="5" t="s">
        <v>5</v>
      </c>
      <c r="B8" s="3">
        <v>1</v>
      </c>
      <c r="C8" s="3">
        <v>7</v>
      </c>
      <c r="D8" s="2">
        <f>SUM(MemberOfAssemblyAssemblyDistrict10General[[#This Row],[Part of Nassau County Vote Results]:[Part of Suffolk County Vote Results]])</f>
        <v>8</v>
      </c>
      <c r="E8" s="1"/>
    </row>
    <row r="9" spans="1:5" x14ac:dyDescent="0.2">
      <c r="A9" s="4" t="s">
        <v>2</v>
      </c>
      <c r="B9" s="3">
        <f>SUM(MemberOfAssemblyAssemblyDistrict10General[Part of Nassau County Vote Results])</f>
        <v>4886</v>
      </c>
      <c r="C9" s="3">
        <f>SUM(MemberOfAssemblyAssemblyDistrict10General[Part of Suffolk County Vote Results])</f>
        <v>45831</v>
      </c>
      <c r="D9" s="2">
        <f>SUM(MemberOfAssemblyAssemblyDistrict10General[Total Votes by Party])</f>
        <v>50717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EECB-7462-461A-94D7-3D7F9C04BB43}">
  <sheetPr codeName="Sheet146"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414</v>
      </c>
    </row>
    <row r="2" spans="1:5" ht="25.5" x14ac:dyDescent="0.2">
      <c r="A2" s="10" t="s">
        <v>8</v>
      </c>
      <c r="B2" s="55" t="s">
        <v>42</v>
      </c>
      <c r="C2" s="55" t="s">
        <v>413</v>
      </c>
      <c r="D2" s="9" t="s">
        <v>3</v>
      </c>
      <c r="E2" s="8" t="s">
        <v>4</v>
      </c>
    </row>
    <row r="3" spans="1:5" x14ac:dyDescent="0.2">
      <c r="A3" s="6" t="s">
        <v>621</v>
      </c>
      <c r="B3" s="13">
        <v>7757</v>
      </c>
      <c r="C3" s="13">
        <v>10761</v>
      </c>
      <c r="D3" s="2">
        <f>SUM(MemberOfAssemblyAssemblyDistrict100General[[#This Row],[Part of Orange County Vote Results]:[Part of Sullivan County Vote Results]])</f>
        <v>18518</v>
      </c>
      <c r="E3" s="7">
        <f>SUM(D3,D6)</f>
        <v>20257</v>
      </c>
    </row>
    <row r="4" spans="1:5" x14ac:dyDescent="0.2">
      <c r="A4" s="5" t="s">
        <v>412</v>
      </c>
      <c r="B4" s="13">
        <v>4811</v>
      </c>
      <c r="C4" s="13">
        <v>8959</v>
      </c>
      <c r="D4" s="2">
        <f>SUM(MemberOfAssemblyAssemblyDistrict100General[[#This Row],[Part of Orange County Vote Results]:[Part of Sullivan County Vote Results]])</f>
        <v>13770</v>
      </c>
      <c r="E4" s="7">
        <f>SUM(D4,D5)</f>
        <v>15518</v>
      </c>
    </row>
    <row r="5" spans="1:5" x14ac:dyDescent="0.2">
      <c r="A5" s="5" t="s">
        <v>411</v>
      </c>
      <c r="B5" s="13">
        <v>550</v>
      </c>
      <c r="C5" s="13">
        <v>1198</v>
      </c>
      <c r="D5" s="2">
        <f>SUM(MemberOfAssemblyAssemblyDistrict100General[[#This Row],[Part of Orange County Vote Results]:[Part of Sullivan County Vote Results]])</f>
        <v>1748</v>
      </c>
      <c r="E5" s="16"/>
    </row>
    <row r="6" spans="1:5" x14ac:dyDescent="0.2">
      <c r="A6" s="6" t="s">
        <v>622</v>
      </c>
      <c r="B6" s="13">
        <v>459</v>
      </c>
      <c r="C6" s="13">
        <v>1280</v>
      </c>
      <c r="D6" s="2">
        <f>SUM(MemberOfAssemblyAssemblyDistrict100General[[#This Row],[Part of Orange County Vote Results]:[Part of Sullivan County Vote Results]])</f>
        <v>1739</v>
      </c>
      <c r="E6" s="1"/>
    </row>
    <row r="7" spans="1:5" x14ac:dyDescent="0.2">
      <c r="A7" s="5" t="s">
        <v>0</v>
      </c>
      <c r="B7" s="13">
        <v>541</v>
      </c>
      <c r="C7" s="13">
        <v>712</v>
      </c>
      <c r="D7" s="2">
        <f>SUM(MemberOfAssemblyAssemblyDistrict100General[[#This Row],[Part of Orange County Vote Results]:[Part of Sullivan County Vote Results]])</f>
        <v>1253</v>
      </c>
      <c r="E7" s="1"/>
    </row>
    <row r="8" spans="1:5" x14ac:dyDescent="0.2">
      <c r="A8" s="5" t="s">
        <v>1</v>
      </c>
      <c r="B8" s="13">
        <v>6</v>
      </c>
      <c r="C8" s="13">
        <v>28</v>
      </c>
      <c r="D8" s="2">
        <f>SUM(MemberOfAssemblyAssemblyDistrict100General[[#This Row],[Part of Orange County Vote Results]:[Part of Sullivan County Vote Results]])</f>
        <v>34</v>
      </c>
      <c r="E8" s="1"/>
    </row>
    <row r="9" spans="1:5" x14ac:dyDescent="0.2">
      <c r="A9" s="5" t="s">
        <v>5</v>
      </c>
      <c r="B9" s="13">
        <v>5</v>
      </c>
      <c r="C9" s="13">
        <v>8</v>
      </c>
      <c r="D9" s="2">
        <f>SUM(MemberOfAssemblyAssemblyDistrict100General[[#This Row],[Part of Orange County Vote Results]:[Part of Sullivan County Vote Results]])</f>
        <v>13</v>
      </c>
      <c r="E9" s="1"/>
    </row>
    <row r="10" spans="1:5" x14ac:dyDescent="0.2">
      <c r="A10" s="4" t="s">
        <v>2</v>
      </c>
      <c r="B10" s="13">
        <f>SUM(MemberOfAssemblyAssemblyDistrict100General[Part of Orange County Vote Results])</f>
        <v>14129</v>
      </c>
      <c r="C10" s="13">
        <f>SUM(MemberOfAssemblyAssemblyDistrict100General[Part of Sullivan County Vote Results])</f>
        <v>22946</v>
      </c>
      <c r="D10" s="2">
        <f>SUM(MemberOfAssemblyAssemblyDistrict100General[Total Votes by Party])</f>
        <v>37075</v>
      </c>
      <c r="E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FE89-DC1C-4695-B964-DD12059AE385}">
  <sheetPr codeName="Sheet147">
    <pageSetUpPr fitToPage="1"/>
  </sheetPr>
  <dimension ref="A1:I10"/>
  <sheetViews>
    <sheetView workbookViewId="0">
      <pane xSplit="1" topLeftCell="B1" activePane="topRight" state="frozen"/>
      <selection activeCell="A32" sqref="A32:XFD32"/>
      <selection pane="topRight" activeCell="B2" sqref="B2"/>
    </sheetView>
  </sheetViews>
  <sheetFormatPr defaultRowHeight="12.75" x14ac:dyDescent="0.2"/>
  <cols>
    <col min="1" max="1" width="25.5703125" customWidth="1"/>
    <col min="2" max="10" width="17.7109375" customWidth="1"/>
    <col min="11" max="12" width="23.5703125" customWidth="1"/>
  </cols>
  <sheetData>
    <row r="1" spans="1:9" ht="18.75" x14ac:dyDescent="0.2">
      <c r="A1" s="61" t="s">
        <v>421</v>
      </c>
      <c r="B1" s="61"/>
      <c r="C1" s="61"/>
      <c r="D1" s="61"/>
      <c r="E1" s="61"/>
      <c r="F1" s="61"/>
      <c r="G1" s="61"/>
    </row>
    <row r="2" spans="1:9" ht="25.5" x14ac:dyDescent="0.2">
      <c r="A2" s="10" t="s">
        <v>8</v>
      </c>
      <c r="B2" s="55" t="s">
        <v>420</v>
      </c>
      <c r="C2" s="55" t="s">
        <v>419</v>
      </c>
      <c r="D2" s="55" t="s">
        <v>42</v>
      </c>
      <c r="E2" s="55" t="s">
        <v>34</v>
      </c>
      <c r="F2" s="55" t="s">
        <v>413</v>
      </c>
      <c r="G2" s="55" t="s">
        <v>31</v>
      </c>
      <c r="H2" s="9" t="s">
        <v>3</v>
      </c>
      <c r="I2" s="8" t="s">
        <v>4</v>
      </c>
    </row>
    <row r="3" spans="1:9" x14ac:dyDescent="0.2">
      <c r="A3" s="6" t="s">
        <v>418</v>
      </c>
      <c r="B3" s="13">
        <v>841</v>
      </c>
      <c r="C3" s="13">
        <v>179</v>
      </c>
      <c r="D3" s="13">
        <v>9717</v>
      </c>
      <c r="E3" s="13">
        <v>1066</v>
      </c>
      <c r="F3" s="13">
        <v>383</v>
      </c>
      <c r="G3" s="13">
        <v>4564</v>
      </c>
      <c r="H3" s="2">
        <f>SUM(MemberOfAssemblyAssemblyDistrict101General[[#This Row],[Part of Delaware County Vote Results]:[Part of Ulster County Vote Results]])</f>
        <v>16750</v>
      </c>
      <c r="I3" s="7">
        <f>SUM(MemberOfAssemblyAssemblyDistrict101General[[#This Row],[Total Votes by Party]],H6)</f>
        <v>18361</v>
      </c>
    </row>
    <row r="4" spans="1:9" x14ac:dyDescent="0.2">
      <c r="A4" s="6" t="s">
        <v>417</v>
      </c>
      <c r="B4" s="13">
        <v>1299</v>
      </c>
      <c r="C4" s="13">
        <v>583</v>
      </c>
      <c r="D4" s="13">
        <v>16021</v>
      </c>
      <c r="E4" s="13">
        <v>2383</v>
      </c>
      <c r="F4" s="13">
        <v>858</v>
      </c>
      <c r="G4" s="13">
        <v>5841</v>
      </c>
      <c r="H4" s="2">
        <f>SUM(MemberOfAssemblyAssemblyDistrict101General[[#This Row],[Part of Delaware County Vote Results]:[Part of Ulster County Vote Results]])</f>
        <v>26985</v>
      </c>
      <c r="I4" s="7">
        <f>SUM(MemberOfAssemblyAssemblyDistrict101General[[#This Row],[Total Votes by Party]],H5,)</f>
        <v>30340</v>
      </c>
    </row>
    <row r="5" spans="1:9" x14ac:dyDescent="0.2">
      <c r="A5" s="6" t="s">
        <v>416</v>
      </c>
      <c r="B5" s="13">
        <v>134</v>
      </c>
      <c r="C5" s="13">
        <v>92</v>
      </c>
      <c r="D5" s="13">
        <v>2003</v>
      </c>
      <c r="E5" s="13">
        <v>215</v>
      </c>
      <c r="F5" s="13">
        <v>142</v>
      </c>
      <c r="G5" s="13">
        <v>769</v>
      </c>
      <c r="H5" s="2">
        <f>SUM(MemberOfAssemblyAssemblyDistrict101General[[#This Row],[Part of Delaware County Vote Results]:[Part of Ulster County Vote Results]])</f>
        <v>3355</v>
      </c>
      <c r="I5" s="1"/>
    </row>
    <row r="6" spans="1:9" x14ac:dyDescent="0.2">
      <c r="A6" s="6" t="s">
        <v>415</v>
      </c>
      <c r="B6" s="13">
        <v>103</v>
      </c>
      <c r="C6" s="13">
        <v>17</v>
      </c>
      <c r="D6" s="13">
        <v>645</v>
      </c>
      <c r="E6" s="13">
        <v>127</v>
      </c>
      <c r="F6" s="13">
        <v>34</v>
      </c>
      <c r="G6" s="13">
        <v>685</v>
      </c>
      <c r="H6" s="2">
        <f>SUM(MemberOfAssemblyAssemblyDistrict101General[[#This Row],[Part of Delaware County Vote Results]:[Part of Ulster County Vote Results]])</f>
        <v>1611</v>
      </c>
      <c r="I6" s="1"/>
    </row>
    <row r="7" spans="1:9" x14ac:dyDescent="0.2">
      <c r="A7" s="5" t="s">
        <v>0</v>
      </c>
      <c r="B7" s="13">
        <v>59</v>
      </c>
      <c r="C7" s="13">
        <v>51</v>
      </c>
      <c r="D7" s="13">
        <v>1230</v>
      </c>
      <c r="E7" s="13">
        <v>124</v>
      </c>
      <c r="F7" s="13">
        <v>41</v>
      </c>
      <c r="G7" s="13">
        <v>326</v>
      </c>
      <c r="H7" s="2">
        <f>SUM(MemberOfAssemblyAssemblyDistrict101General[[#This Row],[Part of Delaware County Vote Results]:[Part of Ulster County Vote Results]])</f>
        <v>1831</v>
      </c>
      <c r="I7" s="1"/>
    </row>
    <row r="8" spans="1:9" x14ac:dyDescent="0.2">
      <c r="A8" s="5" t="s">
        <v>1</v>
      </c>
      <c r="B8" s="13">
        <v>0</v>
      </c>
      <c r="C8" s="13">
        <v>0</v>
      </c>
      <c r="D8" s="13">
        <v>5</v>
      </c>
      <c r="E8" s="13">
        <v>3</v>
      </c>
      <c r="F8" s="13">
        <v>0</v>
      </c>
      <c r="G8" s="13">
        <v>2</v>
      </c>
      <c r="H8" s="2">
        <f>SUM(MemberOfAssemblyAssemblyDistrict101General[[#This Row],[Part of Delaware County Vote Results]:[Part of Ulster County Vote Results]])</f>
        <v>10</v>
      </c>
      <c r="I8" s="1"/>
    </row>
    <row r="9" spans="1:9" x14ac:dyDescent="0.2">
      <c r="A9" s="5" t="s">
        <v>5</v>
      </c>
      <c r="B9" s="13">
        <v>0</v>
      </c>
      <c r="C9" s="13">
        <v>0</v>
      </c>
      <c r="D9" s="13">
        <v>21</v>
      </c>
      <c r="E9" s="13">
        <v>2</v>
      </c>
      <c r="F9" s="13">
        <v>0</v>
      </c>
      <c r="G9" s="13">
        <v>1</v>
      </c>
      <c r="H9" s="2">
        <f>SUM(MemberOfAssemblyAssemblyDistrict101General[[#This Row],[Part of Delaware County Vote Results]:[Part of Ulster County Vote Results]])</f>
        <v>24</v>
      </c>
      <c r="I9" s="1"/>
    </row>
    <row r="10" spans="1:9" x14ac:dyDescent="0.2">
      <c r="A10" s="4" t="s">
        <v>2</v>
      </c>
      <c r="B10" s="13">
        <f>SUM(MemberOfAssemblyAssemblyDistrict101General[Part of Delaware County Vote Results])</f>
        <v>2436</v>
      </c>
      <c r="C10" s="13">
        <f>SUM(MemberOfAssemblyAssemblyDistrict101General[Part of Madison County Vote Results])</f>
        <v>922</v>
      </c>
      <c r="D10" s="13">
        <f>SUM(MemberOfAssemblyAssemblyDistrict101General[Part of Orange County Vote Results])</f>
        <v>29642</v>
      </c>
      <c r="E10" s="13">
        <f>SUM(MemberOfAssemblyAssemblyDistrict101General[Part of Otsego County Vote Results])</f>
        <v>3920</v>
      </c>
      <c r="F10" s="13">
        <f>SUM(MemberOfAssemblyAssemblyDistrict101General[Part of Sullivan County Vote Results])</f>
        <v>1458</v>
      </c>
      <c r="G10" s="13">
        <f>SUM(MemberOfAssemblyAssemblyDistrict101General[Part of Ulster County Vote Results])</f>
        <v>12188</v>
      </c>
      <c r="H10" s="2">
        <f>SUM(MemberOfAssemblyAssemblyDistrict101General[Total Votes by Party])</f>
        <v>50566</v>
      </c>
      <c r="I10" s="1"/>
    </row>
  </sheetData>
  <mergeCells count="1">
    <mergeCell ref="A1:G1"/>
  </mergeCells>
  <pageMargins left="0.25" right="0.25" top="0.25" bottom="0.25" header="0.25" footer="0.25"/>
  <pageSetup scale="81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23C9-0574-4EFD-AFB6-810D923F81A4}">
  <sheetPr codeName="Sheet148">
    <pageSetUpPr fitToPage="1"/>
  </sheetPr>
  <dimension ref="A1:I9"/>
  <sheetViews>
    <sheetView workbookViewId="0">
      <pane xSplit="1" topLeftCell="B1" activePane="topRight" state="frozen"/>
      <selection activeCell="A32" sqref="A32:XFD32"/>
      <selection pane="topRight" activeCell="G2" sqref="G2"/>
    </sheetView>
  </sheetViews>
  <sheetFormatPr defaultRowHeight="12.75" x14ac:dyDescent="0.2"/>
  <cols>
    <col min="1" max="1" width="25.5703125" customWidth="1"/>
    <col min="2" max="8" width="17.7109375" customWidth="1"/>
    <col min="9" max="9" width="20.42578125" customWidth="1"/>
    <col min="10" max="10" width="17.7109375" customWidth="1"/>
    <col min="11" max="12" width="23.5703125" customWidth="1"/>
  </cols>
  <sheetData>
    <row r="1" spans="1:9" ht="18.75" x14ac:dyDescent="0.2">
      <c r="A1" s="61" t="s">
        <v>426</v>
      </c>
      <c r="B1" s="61"/>
      <c r="C1" s="61"/>
      <c r="D1" s="61"/>
      <c r="E1" s="61"/>
      <c r="F1" s="61"/>
      <c r="G1" s="61"/>
      <c r="H1" s="61"/>
    </row>
    <row r="2" spans="1:9" ht="25.5" x14ac:dyDescent="0.2">
      <c r="A2" s="10" t="s">
        <v>8</v>
      </c>
      <c r="B2" s="55" t="s">
        <v>45</v>
      </c>
      <c r="C2" s="55" t="s">
        <v>420</v>
      </c>
      <c r="D2" s="55" t="s">
        <v>7</v>
      </c>
      <c r="E2" s="55" t="s">
        <v>425</v>
      </c>
      <c r="F2" s="55" t="s">
        <v>6</v>
      </c>
      <c r="G2" s="55" t="s">
        <v>31</v>
      </c>
      <c r="H2" s="9" t="s">
        <v>3</v>
      </c>
      <c r="I2" s="8" t="s">
        <v>4</v>
      </c>
    </row>
    <row r="3" spans="1:9" x14ac:dyDescent="0.2">
      <c r="A3" s="6" t="s">
        <v>424</v>
      </c>
      <c r="B3" s="13">
        <v>3363</v>
      </c>
      <c r="C3" s="13">
        <v>3255</v>
      </c>
      <c r="D3" s="13">
        <v>6820</v>
      </c>
      <c r="E3" s="13">
        <v>2510</v>
      </c>
      <c r="F3" s="13">
        <v>3298</v>
      </c>
      <c r="G3" s="13">
        <v>891</v>
      </c>
      <c r="H3" s="2">
        <f>SUM(MemberOfAssemblyAssemblyDistrict102General[[#This Row],[Part of Albany County Vote Results]:[Part of Ulster County Vote Results]])</f>
        <v>20137</v>
      </c>
      <c r="I3" s="7">
        <f>SUM(MemberOfAssemblyAssemblyDistrict102General[[#This Row],[Total Votes by Party]])</f>
        <v>20137</v>
      </c>
    </row>
    <row r="4" spans="1:9" x14ac:dyDescent="0.2">
      <c r="A4" s="6" t="s">
        <v>423</v>
      </c>
      <c r="B4" s="13">
        <v>4847</v>
      </c>
      <c r="C4" s="13">
        <v>4634</v>
      </c>
      <c r="D4" s="13">
        <v>10973</v>
      </c>
      <c r="E4" s="13">
        <v>3317</v>
      </c>
      <c r="F4" s="13">
        <v>8027</v>
      </c>
      <c r="G4" s="13">
        <v>435</v>
      </c>
      <c r="H4" s="2">
        <f>SUM(MemberOfAssemblyAssemblyDistrict102General[[#This Row],[Part of Albany County Vote Results]:[Part of Ulster County Vote Results]])</f>
        <v>32233</v>
      </c>
      <c r="I4" s="7">
        <f>SUM(MemberOfAssemblyAssemblyDistrict102General[[#This Row],[Total Votes by Party]],H5)</f>
        <v>37877</v>
      </c>
    </row>
    <row r="5" spans="1:9" x14ac:dyDescent="0.2">
      <c r="A5" s="6" t="s">
        <v>422</v>
      </c>
      <c r="B5" s="13">
        <v>1311</v>
      </c>
      <c r="C5" s="13">
        <v>558</v>
      </c>
      <c r="D5" s="13">
        <v>1974</v>
      </c>
      <c r="E5" s="13">
        <v>396</v>
      </c>
      <c r="F5" s="13">
        <v>1334</v>
      </c>
      <c r="G5" s="13">
        <v>71</v>
      </c>
      <c r="H5" s="2">
        <f>SUM(MemberOfAssemblyAssemblyDistrict102General[[#This Row],[Part of Albany County Vote Results]:[Part of Ulster County Vote Results]])</f>
        <v>5644</v>
      </c>
      <c r="I5" s="1"/>
    </row>
    <row r="6" spans="1:9" x14ac:dyDescent="0.2">
      <c r="A6" s="5" t="s">
        <v>0</v>
      </c>
      <c r="B6" s="13">
        <v>352</v>
      </c>
      <c r="C6" s="13">
        <v>192</v>
      </c>
      <c r="D6" s="13">
        <v>588</v>
      </c>
      <c r="E6" s="13">
        <v>235</v>
      </c>
      <c r="F6" s="13">
        <v>286</v>
      </c>
      <c r="G6" s="13">
        <v>74</v>
      </c>
      <c r="H6" s="2">
        <f>SUM(MemberOfAssemblyAssemblyDistrict102General[[#This Row],[Part of Albany County Vote Results]:[Part of Ulster County Vote Results]])</f>
        <v>1727</v>
      </c>
      <c r="I6" s="1"/>
    </row>
    <row r="7" spans="1:9" x14ac:dyDescent="0.2">
      <c r="A7" s="5" t="s">
        <v>1</v>
      </c>
      <c r="B7" s="13">
        <v>1</v>
      </c>
      <c r="C7" s="13">
        <v>0</v>
      </c>
      <c r="D7" s="13">
        <v>8</v>
      </c>
      <c r="E7" s="13">
        <v>3</v>
      </c>
      <c r="F7" s="13">
        <v>2</v>
      </c>
      <c r="G7" s="13">
        <v>0</v>
      </c>
      <c r="H7" s="2">
        <f>SUM(MemberOfAssemblyAssemblyDistrict102General[[#This Row],[Part of Albany County Vote Results]:[Part of Ulster County Vote Results]])</f>
        <v>14</v>
      </c>
      <c r="I7" s="1"/>
    </row>
    <row r="8" spans="1:9" x14ac:dyDescent="0.2">
      <c r="A8" s="5" t="s">
        <v>5</v>
      </c>
      <c r="B8" s="13">
        <v>4</v>
      </c>
      <c r="C8" s="13">
        <v>1</v>
      </c>
      <c r="D8" s="13">
        <v>4</v>
      </c>
      <c r="E8" s="13">
        <v>2</v>
      </c>
      <c r="F8" s="13">
        <v>6</v>
      </c>
      <c r="G8" s="13">
        <v>0</v>
      </c>
      <c r="H8" s="2">
        <f>SUM(MemberOfAssemblyAssemblyDistrict102General[[#This Row],[Part of Albany County Vote Results]:[Part of Ulster County Vote Results]])</f>
        <v>17</v>
      </c>
      <c r="I8" s="1"/>
    </row>
    <row r="9" spans="1:9" x14ac:dyDescent="0.2">
      <c r="A9" s="4" t="s">
        <v>2</v>
      </c>
      <c r="B9" s="13">
        <f>SUM(MemberOfAssemblyAssemblyDistrict102General[Part of Albany County Vote Results])</f>
        <v>9878</v>
      </c>
      <c r="C9" s="13">
        <f>SUM(MemberOfAssemblyAssemblyDistrict102General[Part of Delaware County Vote Results])</f>
        <v>8640</v>
      </c>
      <c r="D9" s="13">
        <f>SUM(MemberOfAssemblyAssemblyDistrict102General[Greene County Vote Results])</f>
        <v>20367</v>
      </c>
      <c r="E9" s="13">
        <f>SUM(MemberOfAssemblyAssemblyDistrict102General[Part of Otsego County Vote Result])</f>
        <v>6463</v>
      </c>
      <c r="F9" s="13">
        <f>SUM(MemberOfAssemblyAssemblyDistrict102General[Schoharie County Vote Results])</f>
        <v>12953</v>
      </c>
      <c r="G9" s="13">
        <f>SUM(MemberOfAssemblyAssemblyDistrict102General[Part of Ulster County Vote Results])</f>
        <v>1471</v>
      </c>
      <c r="H9" s="2">
        <f>SUM(MemberOfAssemblyAssemblyDistrict102General[Total Votes by Party])</f>
        <v>59772</v>
      </c>
      <c r="I9" s="1"/>
    </row>
  </sheetData>
  <mergeCells count="1">
    <mergeCell ref="A1:H1"/>
  </mergeCells>
  <pageMargins left="0.25" right="0.25" top="0.25" bottom="0.25" header="0.25" footer="0.25"/>
  <pageSetup scale="8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CC6B-4106-4553-BFD8-06F60B67FED5}">
  <sheetPr codeName="Sheet149"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431</v>
      </c>
    </row>
    <row r="2" spans="1:5" ht="25.5" x14ac:dyDescent="0.2">
      <c r="A2" s="10" t="s">
        <v>8</v>
      </c>
      <c r="B2" s="55" t="s">
        <v>30</v>
      </c>
      <c r="C2" s="55" t="s">
        <v>31</v>
      </c>
      <c r="D2" s="9" t="s">
        <v>3</v>
      </c>
      <c r="E2" s="8" t="s">
        <v>4</v>
      </c>
    </row>
    <row r="3" spans="1:5" x14ac:dyDescent="0.2">
      <c r="A3" s="6" t="s">
        <v>430</v>
      </c>
      <c r="B3" s="13">
        <v>5027</v>
      </c>
      <c r="C3" s="13">
        <v>25676</v>
      </c>
      <c r="D3" s="2">
        <f>SUM(MemberOfAssemblyAssemblyDistrict103General[[#This Row],[Part of Dutchess County Vote Results]:[Part of Ulster County Vote Results]])</f>
        <v>30703</v>
      </c>
      <c r="E3" s="7">
        <f>SUM(MemberOfAssemblyAssemblyDistrict103General[[#This Row],[Total Votes by Party]],D6)</f>
        <v>36605</v>
      </c>
    </row>
    <row r="4" spans="1:5" x14ac:dyDescent="0.2">
      <c r="A4" s="5" t="s">
        <v>429</v>
      </c>
      <c r="B4" s="13">
        <v>2870</v>
      </c>
      <c r="C4" s="13">
        <v>17038</v>
      </c>
      <c r="D4" s="2">
        <f>SUM(MemberOfAssemblyAssemblyDistrict103General[[#This Row],[Part of Dutchess County Vote Results]:[Part of Ulster County Vote Results]])</f>
        <v>19908</v>
      </c>
      <c r="E4" s="7">
        <f>SUM(MemberOfAssemblyAssemblyDistrict103General[[#This Row],[Total Votes by Party]],D5)</f>
        <v>23554</v>
      </c>
    </row>
    <row r="5" spans="1:5" x14ac:dyDescent="0.2">
      <c r="A5" s="5" t="s">
        <v>428</v>
      </c>
      <c r="B5" s="13">
        <v>424</v>
      </c>
      <c r="C5" s="13">
        <v>3222</v>
      </c>
      <c r="D5" s="2">
        <f>SUM(MemberOfAssemblyAssemblyDistrict103General[[#This Row],[Part of Dutchess County Vote Results]:[Part of Ulster County Vote Results]])</f>
        <v>3646</v>
      </c>
      <c r="E5" s="16"/>
    </row>
    <row r="6" spans="1:5" x14ac:dyDescent="0.2">
      <c r="A6" s="5" t="s">
        <v>427</v>
      </c>
      <c r="B6" s="13">
        <v>758</v>
      </c>
      <c r="C6" s="13">
        <v>5144</v>
      </c>
      <c r="D6" s="2">
        <f>SUM(MemberOfAssemblyAssemblyDistrict103General[[#This Row],[Part of Dutchess County Vote Results]:[Part of Ulster County Vote Results]])</f>
        <v>5902</v>
      </c>
      <c r="E6" s="16"/>
    </row>
    <row r="7" spans="1:5" x14ac:dyDescent="0.2">
      <c r="A7" s="5" t="s">
        <v>0</v>
      </c>
      <c r="B7" s="13">
        <v>210</v>
      </c>
      <c r="C7" s="13">
        <v>1738</v>
      </c>
      <c r="D7" s="2">
        <f>SUM(MemberOfAssemblyAssemblyDistrict103General[[#This Row],[Part of Dutchess County Vote Results]:[Part of Ulster County Vote Results]])</f>
        <v>1948</v>
      </c>
      <c r="E7" s="1"/>
    </row>
    <row r="8" spans="1:5" x14ac:dyDescent="0.2">
      <c r="A8" s="5" t="s">
        <v>1</v>
      </c>
      <c r="B8" s="13">
        <v>2</v>
      </c>
      <c r="C8" s="13">
        <v>6</v>
      </c>
      <c r="D8" s="2">
        <f>SUM(MemberOfAssemblyAssemblyDistrict103General[[#This Row],[Part of Dutchess County Vote Results]:[Part of Ulster County Vote Results]])</f>
        <v>8</v>
      </c>
      <c r="E8" s="1"/>
    </row>
    <row r="9" spans="1:5" x14ac:dyDescent="0.2">
      <c r="A9" s="5" t="s">
        <v>5</v>
      </c>
      <c r="B9" s="13">
        <v>3</v>
      </c>
      <c r="C9" s="13">
        <v>112</v>
      </c>
      <c r="D9" s="2">
        <f>SUM(MemberOfAssemblyAssemblyDistrict103General[[#This Row],[Part of Dutchess County Vote Results]:[Part of Ulster County Vote Results]])</f>
        <v>115</v>
      </c>
      <c r="E9" s="1"/>
    </row>
    <row r="10" spans="1:5" x14ac:dyDescent="0.2">
      <c r="A10" s="4" t="s">
        <v>2</v>
      </c>
      <c r="B10" s="13">
        <f>SUM(MemberOfAssemblyAssemblyDistrict103General[Part of Dutchess County Vote Results])</f>
        <v>9294</v>
      </c>
      <c r="C10" s="13">
        <f>SUM(MemberOfAssemblyAssemblyDistrict103General[Part of Ulster County Vote Results])</f>
        <v>52936</v>
      </c>
      <c r="D10" s="2">
        <f>SUM(MemberOfAssemblyAssemblyDistrict103General[Total Votes by Party])</f>
        <v>62230</v>
      </c>
      <c r="E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6258-607F-4079-A95A-05BFC716D599}">
  <sheetPr codeName="Sheet150">
    <pageSetUpPr fitToPage="1"/>
  </sheetPr>
  <dimension ref="A1:F8"/>
  <sheetViews>
    <sheetView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1" t="s">
        <v>434</v>
      </c>
    </row>
    <row r="2" spans="1:6" ht="25.5" x14ac:dyDescent="0.2">
      <c r="A2" s="10" t="s">
        <v>8</v>
      </c>
      <c r="B2" s="55" t="s">
        <v>30</v>
      </c>
      <c r="C2" s="55" t="s">
        <v>42</v>
      </c>
      <c r="D2" s="55" t="s">
        <v>31</v>
      </c>
      <c r="E2" s="9" t="s">
        <v>3</v>
      </c>
      <c r="F2" s="8" t="s">
        <v>4</v>
      </c>
    </row>
    <row r="3" spans="1:6" x14ac:dyDescent="0.2">
      <c r="A3" s="6" t="s">
        <v>433</v>
      </c>
      <c r="B3" s="13">
        <v>8351</v>
      </c>
      <c r="C3" s="13">
        <v>7434</v>
      </c>
      <c r="D3" s="13">
        <v>5093</v>
      </c>
      <c r="E3" s="2">
        <f t="shared" ref="E3:E7" si="0">SUM(B3,C3,D3)</f>
        <v>20878</v>
      </c>
      <c r="F3" s="7">
        <f>SUM(MemberOfAssemblyAssemblyDistrict104General[[#This Row],[Total Votes by Party]],E4)</f>
        <v>24411</v>
      </c>
    </row>
    <row r="4" spans="1:6" x14ac:dyDescent="0.2">
      <c r="A4" s="6" t="s">
        <v>432</v>
      </c>
      <c r="B4" s="13">
        <v>1490</v>
      </c>
      <c r="C4" s="13">
        <v>960</v>
      </c>
      <c r="D4" s="13">
        <v>1083</v>
      </c>
      <c r="E4" s="2">
        <f t="shared" si="0"/>
        <v>3533</v>
      </c>
      <c r="F4" s="1"/>
    </row>
    <row r="5" spans="1:6" x14ac:dyDescent="0.2">
      <c r="A5" s="5" t="s">
        <v>0</v>
      </c>
      <c r="B5" s="13">
        <v>3166</v>
      </c>
      <c r="C5" s="13">
        <v>6512</v>
      </c>
      <c r="D5" s="13">
        <v>5911</v>
      </c>
      <c r="E5" s="2">
        <f t="shared" si="0"/>
        <v>15589</v>
      </c>
      <c r="F5" s="1"/>
    </row>
    <row r="6" spans="1:6" x14ac:dyDescent="0.2">
      <c r="A6" s="5" t="s">
        <v>1</v>
      </c>
      <c r="B6" s="13">
        <v>0</v>
      </c>
      <c r="C6" s="13">
        <v>1</v>
      </c>
      <c r="D6" s="13">
        <v>0</v>
      </c>
      <c r="E6" s="2">
        <f t="shared" si="0"/>
        <v>1</v>
      </c>
      <c r="F6" s="1"/>
    </row>
    <row r="7" spans="1:6" x14ac:dyDescent="0.2">
      <c r="A7" s="5" t="s">
        <v>5</v>
      </c>
      <c r="B7" s="13">
        <v>36</v>
      </c>
      <c r="C7" s="13">
        <v>76</v>
      </c>
      <c r="D7" s="13">
        <v>42</v>
      </c>
      <c r="E7" s="2">
        <f t="shared" si="0"/>
        <v>154</v>
      </c>
      <c r="F7" s="1"/>
    </row>
    <row r="8" spans="1:6" x14ac:dyDescent="0.2">
      <c r="A8" s="4" t="s">
        <v>2</v>
      </c>
      <c r="B8" s="13">
        <f>SUM(MemberOfAssemblyAssemblyDistrict104General[Part of Dutchess County Vote Results])</f>
        <v>13043</v>
      </c>
      <c r="C8" s="13">
        <f>SUM(MemberOfAssemblyAssemblyDistrict104General[Part of Orange County Vote Results])</f>
        <v>14983</v>
      </c>
      <c r="D8" s="13">
        <f>SUM(MemberOfAssemblyAssemblyDistrict104General[Part of Ulster County Vote Results])</f>
        <v>12129</v>
      </c>
      <c r="E8" s="2">
        <f>SUM(MemberOfAssemblyAssemblyDistrict104General[Total Votes by Party])</f>
        <v>40155</v>
      </c>
      <c r="F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A586-2762-4A95-9029-FB3A131FE2EA}">
  <sheetPr codeName="Sheet151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437</v>
      </c>
    </row>
    <row r="2" spans="1:4" ht="25.5" x14ac:dyDescent="0.2">
      <c r="A2" s="10" t="s">
        <v>8</v>
      </c>
      <c r="B2" s="55" t="s">
        <v>30</v>
      </c>
      <c r="C2" s="9" t="s">
        <v>3</v>
      </c>
      <c r="D2" s="8" t="s">
        <v>4</v>
      </c>
    </row>
    <row r="3" spans="1:4" x14ac:dyDescent="0.2">
      <c r="A3" s="6" t="s">
        <v>436</v>
      </c>
      <c r="B3" s="13">
        <v>20030</v>
      </c>
      <c r="C3" s="2">
        <f>MemberOfAssemblyAssemblyDistrict105General[[#This Row],[Part of Dutchess County Vote Results]]</f>
        <v>20030</v>
      </c>
      <c r="D3" s="7">
        <f>SUM(MemberOfAssemblyAssemblyDistrict105General[[#This Row],[Total Votes by Party]],C6)</f>
        <v>21708</v>
      </c>
    </row>
    <row r="4" spans="1:4" x14ac:dyDescent="0.2">
      <c r="A4" s="6" t="s">
        <v>438</v>
      </c>
      <c r="B4" s="13">
        <v>29172</v>
      </c>
      <c r="C4" s="2">
        <f>MemberOfAssemblyAssemblyDistrict105General[[#This Row],[Part of Dutchess County Vote Results]]</f>
        <v>29172</v>
      </c>
      <c r="D4" s="7">
        <f>SUM(MemberOfAssemblyAssemblyDistrict105General[[#This Row],[Total Votes by Party]],C5)</f>
        <v>32865</v>
      </c>
    </row>
    <row r="5" spans="1:4" x14ac:dyDescent="0.2">
      <c r="A5" s="6" t="s">
        <v>439</v>
      </c>
      <c r="B5" s="13">
        <v>3693</v>
      </c>
      <c r="C5" s="2">
        <f>MemberOfAssemblyAssemblyDistrict105General[[#This Row],[Part of Dutchess County Vote Results]]</f>
        <v>3693</v>
      </c>
      <c r="D5" s="1"/>
    </row>
    <row r="6" spans="1:4" x14ac:dyDescent="0.2">
      <c r="A6" s="6" t="s">
        <v>435</v>
      </c>
      <c r="B6" s="13">
        <v>1678</v>
      </c>
      <c r="C6" s="2">
        <f>MemberOfAssemblyAssemblyDistrict105General[[#This Row],[Part of Dutchess County Vote Results]]</f>
        <v>1678</v>
      </c>
      <c r="D6" s="1"/>
    </row>
    <row r="7" spans="1:4" x14ac:dyDescent="0.2">
      <c r="A7" s="5" t="s">
        <v>0</v>
      </c>
      <c r="B7" s="13">
        <v>1394</v>
      </c>
      <c r="C7" s="2">
        <f>MemberOfAssemblyAssemblyDistrict105General[[#This Row],[Part of Dutchess County Vote Results]]</f>
        <v>1394</v>
      </c>
      <c r="D7" s="1"/>
    </row>
    <row r="8" spans="1:4" x14ac:dyDescent="0.2">
      <c r="A8" s="5" t="s">
        <v>1</v>
      </c>
      <c r="B8" s="13">
        <v>15</v>
      </c>
      <c r="C8" s="2">
        <f>MemberOfAssemblyAssemblyDistrict105General[[#This Row],[Part of Dutchess County Vote Results]]</f>
        <v>15</v>
      </c>
      <c r="D8" s="1"/>
    </row>
    <row r="9" spans="1:4" x14ac:dyDescent="0.2">
      <c r="A9" s="5" t="s">
        <v>5</v>
      </c>
      <c r="B9" s="13">
        <v>17</v>
      </c>
      <c r="C9" s="2">
        <f>MemberOfAssemblyAssemblyDistrict105General[[#This Row],[Part of Dutchess County Vote Results]]</f>
        <v>17</v>
      </c>
      <c r="D9" s="1"/>
    </row>
    <row r="10" spans="1:4" x14ac:dyDescent="0.2">
      <c r="A10" s="4" t="s">
        <v>2</v>
      </c>
      <c r="B10" s="13">
        <f>SUM(MemberOfAssemblyAssemblyDistrict105General[Part of Dutchess County Vote Results])</f>
        <v>55999</v>
      </c>
      <c r="C10" s="2">
        <f>SUM(MemberOfAssemblyAssemblyDistrict105General[Total Votes by Party])</f>
        <v>55999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5702-E50F-4BA2-B63A-54A9EAA88F41}">
  <sheetPr codeName="Sheet152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444</v>
      </c>
    </row>
    <row r="2" spans="1:5" ht="25.5" x14ac:dyDescent="0.2">
      <c r="A2" s="10" t="s">
        <v>8</v>
      </c>
      <c r="B2" s="55" t="s">
        <v>443</v>
      </c>
      <c r="C2" s="55" t="s">
        <v>30</v>
      </c>
      <c r="D2" s="9" t="s">
        <v>3</v>
      </c>
      <c r="E2" s="8" t="s">
        <v>4</v>
      </c>
    </row>
    <row r="3" spans="1:5" x14ac:dyDescent="0.2">
      <c r="A3" s="6" t="s">
        <v>442</v>
      </c>
      <c r="B3" s="13">
        <v>11581</v>
      </c>
      <c r="C3" s="13">
        <v>19090</v>
      </c>
      <c r="D3" s="2">
        <f>SUM(MemberOfAssemblyAssemblyDistrict106General[[#This Row],[Part of Columbia County Vote Results]:[Part of Dutchess County Vote Results]])</f>
        <v>30671</v>
      </c>
      <c r="E3" s="7">
        <f>SUM(MemberOfAssemblyAssemblyDistrict106General[[#This Row],[Total Votes by Party]])</f>
        <v>30671</v>
      </c>
    </row>
    <row r="4" spans="1:5" x14ac:dyDescent="0.2">
      <c r="A4" s="6" t="s">
        <v>441</v>
      </c>
      <c r="B4" s="13">
        <v>7053</v>
      </c>
      <c r="C4" s="13">
        <v>15300</v>
      </c>
      <c r="D4" s="2">
        <f>SUM(MemberOfAssemblyAssemblyDistrict106General[[#This Row],[Part of Columbia County Vote Results]:[Part of Dutchess County Vote Results]])</f>
        <v>22353</v>
      </c>
      <c r="E4" s="7">
        <f>SUM(MemberOfAssemblyAssemblyDistrict106General[[#This Row],[Total Votes by Party]],D5)</f>
        <v>25688</v>
      </c>
    </row>
    <row r="5" spans="1:5" x14ac:dyDescent="0.2">
      <c r="A5" s="6" t="s">
        <v>440</v>
      </c>
      <c r="B5" s="13">
        <v>1174</v>
      </c>
      <c r="C5" s="13">
        <v>2161</v>
      </c>
      <c r="D5" s="2">
        <f>SUM(MemberOfAssemblyAssemblyDistrict106General[[#This Row],[Part of Columbia County Vote Results]:[Part of Dutchess County Vote Results]])</f>
        <v>3335</v>
      </c>
      <c r="E5" s="1"/>
    </row>
    <row r="6" spans="1:5" x14ac:dyDescent="0.2">
      <c r="A6" s="5" t="s">
        <v>0</v>
      </c>
      <c r="B6" s="13">
        <v>527</v>
      </c>
      <c r="C6" s="13">
        <v>810</v>
      </c>
      <c r="D6" s="2">
        <f>SUM(MemberOfAssemblyAssemblyDistrict106General[[#This Row],[Part of Columbia County Vote Results]:[Part of Dutchess County Vote Results]])</f>
        <v>1337</v>
      </c>
      <c r="E6" s="1"/>
    </row>
    <row r="7" spans="1:5" x14ac:dyDescent="0.2">
      <c r="A7" s="5" t="s">
        <v>1</v>
      </c>
      <c r="B7" s="13">
        <v>3</v>
      </c>
      <c r="C7" s="13">
        <v>19</v>
      </c>
      <c r="D7" s="2">
        <f>SUM(MemberOfAssemblyAssemblyDistrict106General[[#This Row],[Part of Columbia County Vote Results]:[Part of Dutchess County Vote Results]])</f>
        <v>22</v>
      </c>
      <c r="E7" s="1"/>
    </row>
    <row r="8" spans="1:5" x14ac:dyDescent="0.2">
      <c r="A8" s="5" t="s">
        <v>5</v>
      </c>
      <c r="B8" s="13">
        <v>2</v>
      </c>
      <c r="C8" s="13">
        <v>10</v>
      </c>
      <c r="D8" s="2">
        <f>SUM(MemberOfAssemblyAssemblyDistrict106General[[#This Row],[Part of Columbia County Vote Results]:[Part of Dutchess County Vote Results]])</f>
        <v>12</v>
      </c>
      <c r="E8" s="1"/>
    </row>
    <row r="9" spans="1:5" x14ac:dyDescent="0.2">
      <c r="A9" s="4" t="s">
        <v>2</v>
      </c>
      <c r="B9" s="13">
        <f>SUM(MemberOfAssemblyAssemblyDistrict106General[Part of Columbia County Vote Results])</f>
        <v>20340</v>
      </c>
      <c r="C9" s="13">
        <f>SUM(MemberOfAssemblyAssemblyDistrict106General[Part of Dutchess County Vote Results])</f>
        <v>37390</v>
      </c>
      <c r="D9" s="2">
        <f>SUM(MemberOfAssemblyAssemblyDistrict106General[Total Votes by Party])</f>
        <v>57730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2E3F2-C324-4B9D-9329-86B02F302269}">
  <sheetPr codeName="Sheet153">
    <pageSetUpPr fitToPage="1"/>
  </sheetPr>
  <dimension ref="A1:G8"/>
  <sheetViews>
    <sheetView workbookViewId="0">
      <selection activeCell="E2" sqref="E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18.75" x14ac:dyDescent="0.2">
      <c r="A1" s="11" t="s">
        <v>445</v>
      </c>
    </row>
    <row r="2" spans="1:7" ht="25.5" x14ac:dyDescent="0.2">
      <c r="A2" s="10" t="s">
        <v>8</v>
      </c>
      <c r="B2" s="55" t="s">
        <v>45</v>
      </c>
      <c r="C2" s="55" t="s">
        <v>443</v>
      </c>
      <c r="D2" s="55" t="s">
        <v>35</v>
      </c>
      <c r="E2" s="55" t="s">
        <v>44</v>
      </c>
      <c r="F2" s="9" t="s">
        <v>3</v>
      </c>
      <c r="G2" s="8" t="s">
        <v>4</v>
      </c>
    </row>
    <row r="3" spans="1:7" x14ac:dyDescent="0.2">
      <c r="A3" s="6" t="s">
        <v>446</v>
      </c>
      <c r="B3" s="13">
        <v>6229</v>
      </c>
      <c r="C3" s="13">
        <v>4700</v>
      </c>
      <c r="D3" s="13">
        <v>18449</v>
      </c>
      <c r="E3" s="13">
        <v>1824</v>
      </c>
      <c r="F3" s="2">
        <f>SUM(MemberOfAssemblyAssemblyDistrict107General[[#This Row],[Part of Albany County Vote Results]:[Part of Washington County Vote Results]])</f>
        <v>31202</v>
      </c>
      <c r="G3" s="7">
        <f>SUM(MemberOfAssemblyAssemblyDistrict107General[[#This Row],[Total Votes by Party]],F4)</f>
        <v>38909</v>
      </c>
    </row>
    <row r="4" spans="1:7" x14ac:dyDescent="0.2">
      <c r="A4" s="6" t="s">
        <v>447</v>
      </c>
      <c r="B4" s="13">
        <v>1519</v>
      </c>
      <c r="C4" s="13">
        <v>1128</v>
      </c>
      <c r="D4" s="13">
        <v>4723</v>
      </c>
      <c r="E4" s="13">
        <v>337</v>
      </c>
      <c r="F4" s="2">
        <f>SUM(MemberOfAssemblyAssemblyDistrict107General[[#This Row],[Part of Albany County Vote Results]:[Part of Washington County Vote Results]])</f>
        <v>7707</v>
      </c>
      <c r="G4" s="1"/>
    </row>
    <row r="5" spans="1:7" x14ac:dyDescent="0.2">
      <c r="A5" s="5" t="s">
        <v>0</v>
      </c>
      <c r="B5" s="13">
        <v>8974</v>
      </c>
      <c r="C5" s="13">
        <v>3701</v>
      </c>
      <c r="D5" s="13">
        <v>11007</v>
      </c>
      <c r="E5" s="13">
        <v>110</v>
      </c>
      <c r="F5" s="2">
        <f>SUM(MemberOfAssemblyAssemblyDistrict107General[[#This Row],[Part of Albany County Vote Results]:[Part of Washington County Vote Results]])</f>
        <v>23792</v>
      </c>
      <c r="G5" s="1"/>
    </row>
    <row r="6" spans="1:7" x14ac:dyDescent="0.2">
      <c r="A6" s="5" t="s">
        <v>1</v>
      </c>
      <c r="B6" s="13">
        <v>3</v>
      </c>
      <c r="C6" s="13">
        <v>0</v>
      </c>
      <c r="D6" s="13">
        <v>0</v>
      </c>
      <c r="E6" s="13">
        <v>0</v>
      </c>
      <c r="F6" s="2">
        <f>SUM(MemberOfAssemblyAssemblyDistrict107General[[#This Row],[Part of Albany County Vote Results]:[Part of Washington County Vote Results]])</f>
        <v>3</v>
      </c>
      <c r="G6" s="1"/>
    </row>
    <row r="7" spans="1:7" x14ac:dyDescent="0.2">
      <c r="A7" s="5" t="s">
        <v>5</v>
      </c>
      <c r="B7" s="13">
        <v>643</v>
      </c>
      <c r="C7" s="13">
        <v>62</v>
      </c>
      <c r="D7" s="13">
        <v>165</v>
      </c>
      <c r="E7" s="13">
        <v>109</v>
      </c>
      <c r="F7" s="2">
        <f>SUM(MemberOfAssemblyAssemblyDistrict107General[[#This Row],[Part of Albany County Vote Results]:[Part of Washington County Vote Results]])</f>
        <v>979</v>
      </c>
      <c r="G7" s="1"/>
    </row>
    <row r="8" spans="1:7" x14ac:dyDescent="0.2">
      <c r="A8" s="4" t="s">
        <v>2</v>
      </c>
      <c r="B8" s="13">
        <f>SUM(MemberOfAssemblyAssemblyDistrict107General[Part of Albany County Vote Results])</f>
        <v>17368</v>
      </c>
      <c r="C8" s="13">
        <f>SUM(MemberOfAssemblyAssemblyDistrict107General[Part of Columbia County Vote Results])</f>
        <v>9591</v>
      </c>
      <c r="D8" s="13">
        <f>SUM(MemberOfAssemblyAssemblyDistrict107General[Part of Rensselaer County Vote Results])</f>
        <v>34344</v>
      </c>
      <c r="E8" s="13">
        <f>SUM(MemberOfAssemblyAssemblyDistrict107General[Part of Washington County Vote Results])</f>
        <v>2380</v>
      </c>
      <c r="F8" s="2">
        <f>SUM(MemberOfAssemblyAssemblyDistrict107General[Total Votes by Party])</f>
        <v>63683</v>
      </c>
      <c r="G8" s="1"/>
    </row>
  </sheetData>
  <pageMargins left="0.25" right="0.25" top="0.25" bottom="0.25" header="0.25" footer="0.25"/>
  <pageSetup scale="9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46C3-6F9D-4BAA-9C4B-6FDC3EFBE6F0}">
  <sheetPr codeName="Sheet154">
    <pageSetUpPr fitToPage="1"/>
  </sheetPr>
  <dimension ref="A1:F7"/>
  <sheetViews>
    <sheetView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1" t="s">
        <v>449</v>
      </c>
    </row>
    <row r="2" spans="1:6" ht="25.5" x14ac:dyDescent="0.2">
      <c r="A2" s="10" t="s">
        <v>8</v>
      </c>
      <c r="B2" s="55" t="s">
        <v>45</v>
      </c>
      <c r="C2" s="55" t="s">
        <v>35</v>
      </c>
      <c r="D2" s="55" t="s">
        <v>448</v>
      </c>
      <c r="E2" s="9" t="s">
        <v>3</v>
      </c>
      <c r="F2" s="8" t="s">
        <v>4</v>
      </c>
    </row>
    <row r="3" spans="1:6" x14ac:dyDescent="0.2">
      <c r="A3" s="6" t="s">
        <v>619</v>
      </c>
      <c r="B3" s="13">
        <v>5930</v>
      </c>
      <c r="C3" s="13">
        <v>17654</v>
      </c>
      <c r="D3" s="13">
        <v>1834</v>
      </c>
      <c r="E3" s="2">
        <f>SUM(MemberOfAssemblyAssemblyDistrict108General[[#This Row],[Part of Albany County Vote Results]:[Part of Saratoga County Vote Results]])</f>
        <v>25418</v>
      </c>
      <c r="F3" s="7">
        <f>SUM(MemberOfAssemblyAssemblyDistrict108General[[#This Row],[Total Votes by Party]])</f>
        <v>25418</v>
      </c>
    </row>
    <row r="4" spans="1:6" x14ac:dyDescent="0.2">
      <c r="A4" s="5" t="s">
        <v>0</v>
      </c>
      <c r="B4" s="13">
        <v>2542</v>
      </c>
      <c r="C4" s="13">
        <v>10755</v>
      </c>
      <c r="D4" s="13">
        <v>1455</v>
      </c>
      <c r="E4" s="2">
        <f>SUM(MemberOfAssemblyAssemblyDistrict108General[[#This Row],[Part of Albany County Vote Results]:[Part of Saratoga County Vote Results]])</f>
        <v>14752</v>
      </c>
      <c r="F4" s="1"/>
    </row>
    <row r="5" spans="1:6" x14ac:dyDescent="0.2">
      <c r="A5" s="5" t="s">
        <v>1</v>
      </c>
      <c r="B5" s="13">
        <v>1</v>
      </c>
      <c r="C5" s="13">
        <v>0</v>
      </c>
      <c r="D5" s="13">
        <v>0</v>
      </c>
      <c r="E5" s="2">
        <f>SUM(MemberOfAssemblyAssemblyDistrict108General[[#This Row],[Part of Albany County Vote Results]:[Part of Saratoga County Vote Results]])</f>
        <v>1</v>
      </c>
      <c r="F5" s="1"/>
    </row>
    <row r="6" spans="1:6" x14ac:dyDescent="0.2">
      <c r="A6" s="5" t="s">
        <v>5</v>
      </c>
      <c r="B6" s="13">
        <v>97</v>
      </c>
      <c r="C6" s="13">
        <v>79</v>
      </c>
      <c r="D6" s="13">
        <v>5</v>
      </c>
      <c r="E6" s="2">
        <f>SUM(MemberOfAssemblyAssemblyDistrict108General[[#This Row],[Part of Albany County Vote Results]:[Part of Saratoga County Vote Results]])</f>
        <v>181</v>
      </c>
      <c r="F6" s="1"/>
    </row>
    <row r="7" spans="1:6" x14ac:dyDescent="0.2">
      <c r="A7" s="4" t="s">
        <v>2</v>
      </c>
      <c r="B7" s="13">
        <f>SUM(MemberOfAssemblyAssemblyDistrict108General[Part of Albany County Vote Results])</f>
        <v>8570</v>
      </c>
      <c r="C7" s="13">
        <f>SUM(MemberOfAssemblyAssemblyDistrict108General[Part of Rensselaer County Vote Results])</f>
        <v>28488</v>
      </c>
      <c r="D7" s="13">
        <f>SUM(MemberOfAssemblyAssemblyDistrict108General[Part of Saratoga County Vote Results])</f>
        <v>3294</v>
      </c>
      <c r="E7" s="2">
        <f>SUM(MemberOfAssemblyAssemblyDistrict108General[Total Votes by Party])</f>
        <v>40352</v>
      </c>
      <c r="F7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EFB1-3178-437F-B4FF-FFC5CEE8A557}">
  <sheetPr codeName="Sheet155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450</v>
      </c>
    </row>
    <row r="2" spans="1:4" ht="25.5" x14ac:dyDescent="0.2">
      <c r="A2" s="10" t="s">
        <v>8</v>
      </c>
      <c r="B2" s="55" t="s">
        <v>45</v>
      </c>
      <c r="C2" s="9" t="s">
        <v>3</v>
      </c>
      <c r="D2" s="8" t="s">
        <v>4</v>
      </c>
    </row>
    <row r="3" spans="1:4" x14ac:dyDescent="0.2">
      <c r="A3" s="6" t="s">
        <v>616</v>
      </c>
      <c r="B3" s="13">
        <v>27753</v>
      </c>
      <c r="C3" s="2">
        <f>MemberOfAssemblyAssemblyDistrict109General[[#This Row],[Part of Albany County Vote Results]]</f>
        <v>27753</v>
      </c>
      <c r="D3" s="7">
        <f>SUM(MemberOfAssemblyAssemblyDistrict109General[[#This Row],[Total Votes by Party]])</f>
        <v>27753</v>
      </c>
    </row>
    <row r="4" spans="1:4" x14ac:dyDescent="0.2">
      <c r="A4" s="6" t="s">
        <v>451</v>
      </c>
      <c r="B4" s="13">
        <v>9545</v>
      </c>
      <c r="C4" s="2">
        <f>MemberOfAssemblyAssemblyDistrict109General[[#This Row],[Part of Albany County Vote Results]]</f>
        <v>9545</v>
      </c>
      <c r="D4" s="7">
        <f>SUM(MemberOfAssemblyAssemblyDistrict109General[[#This Row],[Total Votes by Party]])</f>
        <v>9545</v>
      </c>
    </row>
    <row r="5" spans="1:4" x14ac:dyDescent="0.2">
      <c r="A5" s="5" t="s">
        <v>0</v>
      </c>
      <c r="B5" s="13">
        <v>2355</v>
      </c>
      <c r="C5" s="2">
        <f>MemberOfAssemblyAssemblyDistrict109General[[#This Row],[Part of Albany County Vote Results]]</f>
        <v>2355</v>
      </c>
      <c r="D5" s="1"/>
    </row>
    <row r="6" spans="1:4" x14ac:dyDescent="0.2">
      <c r="A6" s="5" t="s">
        <v>1</v>
      </c>
      <c r="B6" s="13">
        <v>15</v>
      </c>
      <c r="C6" s="2">
        <f>MemberOfAssemblyAssemblyDistrict109General[[#This Row],[Part of Albany County Vote Results]]</f>
        <v>15</v>
      </c>
      <c r="D6" s="1"/>
    </row>
    <row r="7" spans="1:4" x14ac:dyDescent="0.2">
      <c r="A7" s="5" t="s">
        <v>5</v>
      </c>
      <c r="B7" s="13">
        <v>45</v>
      </c>
      <c r="C7" s="2">
        <f>MemberOfAssemblyAssemblyDistrict109General[[#This Row],[Part of Albany County Vote Results]]</f>
        <v>45</v>
      </c>
      <c r="D7" s="1"/>
    </row>
    <row r="8" spans="1:4" x14ac:dyDescent="0.2">
      <c r="A8" s="4" t="s">
        <v>2</v>
      </c>
      <c r="B8" s="13">
        <f>SUM(MemberOfAssemblyAssemblyDistrict109General[Part of Albany County Vote Results])</f>
        <v>39713</v>
      </c>
      <c r="C8" s="2">
        <f>SUM(MemberOfAssemblyAssemblyDistrict109General[Total Votes by Party])</f>
        <v>39713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D96D-A282-4CFB-8130-D2239365BEE5}">
  <sheetPr codeName="Sheet57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18.75" x14ac:dyDescent="0.2">
      <c r="A1" s="11" t="s">
        <v>95</v>
      </c>
    </row>
    <row r="2" spans="1:5" ht="25.5" x14ac:dyDescent="0.2">
      <c r="A2" s="10" t="s">
        <v>8</v>
      </c>
      <c r="B2" s="55" t="s">
        <v>24</v>
      </c>
      <c r="C2" s="55" t="s">
        <v>23</v>
      </c>
      <c r="D2" s="9" t="s">
        <v>3</v>
      </c>
      <c r="E2" s="8" t="s">
        <v>4</v>
      </c>
    </row>
    <row r="3" spans="1:5" x14ac:dyDescent="0.2">
      <c r="A3" s="6" t="s">
        <v>94</v>
      </c>
      <c r="B3" s="3">
        <v>1263</v>
      </c>
      <c r="C3" s="3">
        <v>17099</v>
      </c>
      <c r="D3" s="2">
        <f>SUM(MemberOfAssemblyAssemblyDistrict11General[[#This Row],[Part of Nassau County Vote Results]:[Part of Suffolk County Vote Results]])</f>
        <v>18362</v>
      </c>
      <c r="E3" s="7">
        <f>D3</f>
        <v>18362</v>
      </c>
    </row>
    <row r="4" spans="1:5" x14ac:dyDescent="0.2">
      <c r="A4" s="6" t="s">
        <v>93</v>
      </c>
      <c r="B4" s="3">
        <v>878</v>
      </c>
      <c r="C4" s="3">
        <v>15236</v>
      </c>
      <c r="D4" s="2">
        <f>SUM(MemberOfAssemblyAssemblyDistrict11General[[#This Row],[Part of Nassau County Vote Results]:[Part of Suffolk County Vote Results]])</f>
        <v>16114</v>
      </c>
      <c r="E4" s="7">
        <f>SUM(D4,D5)</f>
        <v>18077</v>
      </c>
    </row>
    <row r="5" spans="1:5" x14ac:dyDescent="0.2">
      <c r="A5" s="6" t="s">
        <v>92</v>
      </c>
      <c r="B5" s="3">
        <v>88</v>
      </c>
      <c r="C5" s="3">
        <v>1875</v>
      </c>
      <c r="D5" s="2">
        <f>SUM(MemberOfAssemblyAssemblyDistrict11General[[#This Row],[Part of Nassau County Vote Results]:[Part of Suffolk County Vote Results]])</f>
        <v>1963</v>
      </c>
      <c r="E5" s="1"/>
    </row>
    <row r="6" spans="1:5" x14ac:dyDescent="0.2">
      <c r="A6" s="5" t="s">
        <v>0</v>
      </c>
      <c r="B6" s="3">
        <v>121</v>
      </c>
      <c r="C6" s="3">
        <v>1294</v>
      </c>
      <c r="D6" s="2">
        <f>SUM(MemberOfAssemblyAssemblyDistrict11General[[#This Row],[Part of Nassau County Vote Results]:[Part of Suffolk County Vote Results]])</f>
        <v>1415</v>
      </c>
      <c r="E6" s="1"/>
    </row>
    <row r="7" spans="1:5" x14ac:dyDescent="0.2">
      <c r="A7" s="5" t="s">
        <v>1</v>
      </c>
      <c r="B7" s="3">
        <v>0</v>
      </c>
      <c r="C7" s="3">
        <v>4</v>
      </c>
      <c r="D7" s="2">
        <f>SUM(MemberOfAssemblyAssemblyDistrict11General[[#This Row],[Part of Nassau County Vote Results]:[Part of Suffolk County Vote Results]])</f>
        <v>4</v>
      </c>
      <c r="E7" s="1"/>
    </row>
    <row r="8" spans="1:5" x14ac:dyDescent="0.2">
      <c r="A8" s="5" t="s">
        <v>5</v>
      </c>
      <c r="B8" s="3">
        <v>0</v>
      </c>
      <c r="C8" s="3">
        <v>6</v>
      </c>
      <c r="D8" s="2">
        <f>SUM(MemberOfAssemblyAssemblyDistrict11General[[#This Row],[Part of Nassau County Vote Results]:[Part of Suffolk County Vote Results]])</f>
        <v>6</v>
      </c>
      <c r="E8" s="1"/>
    </row>
    <row r="9" spans="1:5" x14ac:dyDescent="0.2">
      <c r="A9" s="4" t="s">
        <v>2</v>
      </c>
      <c r="B9" s="3">
        <f>SUM(MemberOfAssemblyAssemblyDistrict11General[Part of Nassau County Vote Results])</f>
        <v>2350</v>
      </c>
      <c r="C9" s="3">
        <f>SUM(MemberOfAssemblyAssemblyDistrict11General[Part of Suffolk County Vote Results])</f>
        <v>35514</v>
      </c>
      <c r="D9" s="2">
        <f>SUM(MemberOfAssemblyAssemblyDistrict11General[Total Votes by Party])</f>
        <v>37864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6894-156F-481B-BABA-8B37164D4267}">
  <sheetPr codeName="Sheet156"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456</v>
      </c>
    </row>
    <row r="2" spans="1:5" ht="25.5" x14ac:dyDescent="0.2">
      <c r="A2" s="10" t="s">
        <v>8</v>
      </c>
      <c r="B2" s="55" t="s">
        <v>45</v>
      </c>
      <c r="C2" s="55" t="s">
        <v>46</v>
      </c>
      <c r="D2" s="9" t="s">
        <v>3</v>
      </c>
      <c r="E2" s="8" t="s">
        <v>4</v>
      </c>
    </row>
    <row r="3" spans="1:5" x14ac:dyDescent="0.2">
      <c r="A3" s="6" t="s">
        <v>455</v>
      </c>
      <c r="B3" s="13">
        <v>20821</v>
      </c>
      <c r="C3" s="13">
        <v>7782</v>
      </c>
      <c r="D3" s="2">
        <f>SUM(MemberOfAssemblyAssemblyDistrict110General[[#This Row],[Part of Albany County Vote Results]:[Part of Schenectady County Vote Results]])</f>
        <v>28603</v>
      </c>
      <c r="E3" s="7">
        <f>SUM(MemberOfAssemblyAssemblyDistrict110General[[#This Row],[Total Votes by Party]],D6)</f>
        <v>31345</v>
      </c>
    </row>
    <row r="4" spans="1:5" x14ac:dyDescent="0.2">
      <c r="A4" s="6" t="s">
        <v>454</v>
      </c>
      <c r="B4" s="13">
        <v>15918</v>
      </c>
      <c r="C4" s="13">
        <v>4253</v>
      </c>
      <c r="D4" s="2">
        <f>SUM(MemberOfAssemblyAssemblyDistrict110General[[#This Row],[Part of Albany County Vote Results]:[Part of Schenectady County Vote Results]])</f>
        <v>20171</v>
      </c>
      <c r="E4" s="7">
        <f>SUM(MemberOfAssemblyAssemblyDistrict110General[[#This Row],[Total Votes by Party]],D5)</f>
        <v>23592</v>
      </c>
    </row>
    <row r="5" spans="1:5" x14ac:dyDescent="0.2">
      <c r="A5" s="6" t="s">
        <v>453</v>
      </c>
      <c r="B5" s="13">
        <v>2648</v>
      </c>
      <c r="C5" s="13">
        <v>773</v>
      </c>
      <c r="D5" s="2">
        <f>SUM(MemberOfAssemblyAssemblyDistrict110General[[#This Row],[Part of Albany County Vote Results]:[Part of Schenectady County Vote Results]])</f>
        <v>3421</v>
      </c>
      <c r="E5" s="1"/>
    </row>
    <row r="6" spans="1:5" x14ac:dyDescent="0.2">
      <c r="A6" s="6" t="s">
        <v>452</v>
      </c>
      <c r="B6" s="13">
        <v>1930</v>
      </c>
      <c r="C6" s="13">
        <v>812</v>
      </c>
      <c r="D6" s="2">
        <f>SUM(MemberOfAssemblyAssemblyDistrict110General[[#This Row],[Part of Albany County Vote Results]:[Part of Schenectady County Vote Results]])</f>
        <v>2742</v>
      </c>
      <c r="E6" s="1"/>
    </row>
    <row r="7" spans="1:5" x14ac:dyDescent="0.2">
      <c r="A7" s="5" t="s">
        <v>0</v>
      </c>
      <c r="B7" s="13">
        <v>926</v>
      </c>
      <c r="C7" s="13">
        <v>387</v>
      </c>
      <c r="D7" s="2">
        <f>SUM(MemberOfAssemblyAssemblyDistrict110General[[#This Row],[Part of Albany County Vote Results]:[Part of Schenectady County Vote Results]])</f>
        <v>1313</v>
      </c>
      <c r="E7" s="1"/>
    </row>
    <row r="8" spans="1:5" x14ac:dyDescent="0.2">
      <c r="A8" s="5" t="s">
        <v>1</v>
      </c>
      <c r="B8" s="13">
        <v>11</v>
      </c>
      <c r="C8" s="13">
        <v>3</v>
      </c>
      <c r="D8" s="2">
        <f>SUM(MemberOfAssemblyAssemblyDistrict110General[[#This Row],[Part of Albany County Vote Results]:[Part of Schenectady County Vote Results]])</f>
        <v>14</v>
      </c>
      <c r="E8" s="1"/>
    </row>
    <row r="9" spans="1:5" x14ac:dyDescent="0.2">
      <c r="A9" s="5" t="s">
        <v>5</v>
      </c>
      <c r="B9" s="13">
        <v>42</v>
      </c>
      <c r="C9" s="13">
        <v>11</v>
      </c>
      <c r="D9" s="2">
        <f>SUM(MemberOfAssemblyAssemblyDistrict110General[[#This Row],[Part of Albany County Vote Results]:[Part of Schenectady County Vote Results]])</f>
        <v>53</v>
      </c>
      <c r="E9" s="1"/>
    </row>
    <row r="10" spans="1:5" x14ac:dyDescent="0.2">
      <c r="A10" s="4" t="s">
        <v>2</v>
      </c>
      <c r="B10" s="13">
        <f>SUM(MemberOfAssemblyAssemblyDistrict110General[Part of Albany County Vote Results])</f>
        <v>42296</v>
      </c>
      <c r="C10" s="13">
        <f>SUM(MemberOfAssemblyAssemblyDistrict110General[Part of Schenectady County Vote Results])</f>
        <v>14021</v>
      </c>
      <c r="D10" s="2">
        <f>SUM(MemberOfAssemblyAssemblyDistrict110General[Total Votes by Party])</f>
        <v>56317</v>
      </c>
      <c r="E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49ABE-73A7-4D28-982D-7D70BD7B46DF}">
  <sheetPr codeName="Sheet157">
    <pageSetUpPr fitToPage="1"/>
  </sheetPr>
  <dimension ref="A1:E11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5" ht="18.75" x14ac:dyDescent="0.2">
      <c r="A1" s="11" t="s">
        <v>460</v>
      </c>
    </row>
    <row r="2" spans="1:5" ht="25.5" x14ac:dyDescent="0.2">
      <c r="A2" s="10" t="s">
        <v>8</v>
      </c>
      <c r="B2" s="55" t="s">
        <v>9</v>
      </c>
      <c r="C2" s="55" t="s">
        <v>46</v>
      </c>
      <c r="D2" s="9" t="s">
        <v>3</v>
      </c>
      <c r="E2" s="8" t="s">
        <v>4</v>
      </c>
    </row>
    <row r="3" spans="1:5" x14ac:dyDescent="0.2">
      <c r="A3" s="6" t="s">
        <v>459</v>
      </c>
      <c r="B3" s="3">
        <v>4188</v>
      </c>
      <c r="C3" s="13">
        <v>15225</v>
      </c>
      <c r="D3" s="2">
        <f>SUM(MemberOfAssemblyAssemblyDistrict111General[[#This Row],[Montgomery County Vote Results]:[Part of Schenectady County Vote Results]])</f>
        <v>19413</v>
      </c>
      <c r="E3" s="7">
        <f>SUM(MemberOfAssemblyAssemblyDistrict111General[[#This Row],[Total Votes by Party]],D7)</f>
        <v>20210</v>
      </c>
    </row>
    <row r="4" spans="1:5" x14ac:dyDescent="0.2">
      <c r="A4" s="6" t="s">
        <v>458</v>
      </c>
      <c r="B4" s="3">
        <v>2899</v>
      </c>
      <c r="C4" s="13">
        <v>10691</v>
      </c>
      <c r="D4" s="2">
        <f>SUM(MemberOfAssemblyAssemblyDistrict111General[[#This Row],[Montgomery County Vote Results]:[Part of Schenectady County Vote Results]])</f>
        <v>13590</v>
      </c>
      <c r="E4" s="7">
        <f>SUM(MemberOfAssemblyAssemblyDistrict111General[[#This Row],[Total Votes by Party]],D5)</f>
        <v>16205</v>
      </c>
    </row>
    <row r="5" spans="1:5" x14ac:dyDescent="0.2">
      <c r="A5" s="6" t="s">
        <v>457</v>
      </c>
      <c r="B5" s="3">
        <v>504</v>
      </c>
      <c r="C5" s="13">
        <v>2111</v>
      </c>
      <c r="D5" s="2">
        <f>SUM(MemberOfAssemblyAssemblyDistrict111General[[#This Row],[Montgomery County Vote Results]:[Part of Schenectady County Vote Results]])</f>
        <v>2615</v>
      </c>
      <c r="E5" s="1"/>
    </row>
    <row r="6" spans="1:5" x14ac:dyDescent="0.2">
      <c r="A6" s="5" t="s">
        <v>620</v>
      </c>
      <c r="B6" s="3">
        <v>72</v>
      </c>
      <c r="C6" s="13">
        <v>722</v>
      </c>
      <c r="D6" s="2">
        <f>SUM(MemberOfAssemblyAssemblyDistrict111General[[#This Row],[Montgomery County Vote Results]:[Part of Schenectady County Vote Results]])</f>
        <v>794</v>
      </c>
      <c r="E6" s="7">
        <f>SUM(MemberOfAssemblyAssemblyDistrict111General[[#This Row],[Total Votes by Party]])</f>
        <v>794</v>
      </c>
    </row>
    <row r="7" spans="1:5" x14ac:dyDescent="0.2">
      <c r="A7" s="6" t="s">
        <v>461</v>
      </c>
      <c r="B7" s="3">
        <v>174</v>
      </c>
      <c r="C7" s="13">
        <v>623</v>
      </c>
      <c r="D7" s="2">
        <f>SUM(MemberOfAssemblyAssemblyDistrict111General[[#This Row],[Montgomery County Vote Results]:[Part of Schenectady County Vote Results]])</f>
        <v>797</v>
      </c>
      <c r="E7" s="1"/>
    </row>
    <row r="8" spans="1:5" x14ac:dyDescent="0.2">
      <c r="A8" s="5" t="s">
        <v>0</v>
      </c>
      <c r="B8" s="3">
        <v>163</v>
      </c>
      <c r="C8" s="13">
        <v>620</v>
      </c>
      <c r="D8" s="2">
        <f>SUM(MemberOfAssemblyAssemblyDistrict111General[[#This Row],[Montgomery County Vote Results]:[Part of Schenectady County Vote Results]])</f>
        <v>783</v>
      </c>
      <c r="E8" s="1"/>
    </row>
    <row r="9" spans="1:5" x14ac:dyDescent="0.2">
      <c r="A9" s="5" t="s">
        <v>1</v>
      </c>
      <c r="B9" s="3">
        <v>11</v>
      </c>
      <c r="C9" s="13">
        <v>76</v>
      </c>
      <c r="D9" s="2">
        <f>SUM(MemberOfAssemblyAssemblyDistrict111General[[#This Row],[Montgomery County Vote Results]:[Part of Schenectady County Vote Results]])</f>
        <v>87</v>
      </c>
      <c r="E9" s="1"/>
    </row>
    <row r="10" spans="1:5" x14ac:dyDescent="0.2">
      <c r="A10" s="5" t="s">
        <v>5</v>
      </c>
      <c r="B10" s="3">
        <v>0</v>
      </c>
      <c r="C10" s="13">
        <v>34</v>
      </c>
      <c r="D10" s="2">
        <f>SUM(MemberOfAssemblyAssemblyDistrict111General[[#This Row],[Montgomery County Vote Results]:[Part of Schenectady County Vote Results]])</f>
        <v>34</v>
      </c>
      <c r="E10" s="1"/>
    </row>
    <row r="11" spans="1:5" x14ac:dyDescent="0.2">
      <c r="A11" s="4" t="s">
        <v>2</v>
      </c>
      <c r="B11" s="3">
        <f>SUM(MemberOfAssemblyAssemblyDistrict111General[Montgomery County Vote Results])</f>
        <v>8011</v>
      </c>
      <c r="C11" s="13">
        <f>SUM(MemberOfAssemblyAssemblyDistrict111General[Part of Schenectady County Vote Results])</f>
        <v>30102</v>
      </c>
      <c r="D11" s="2">
        <f>SUM(MemberOfAssemblyAssemblyDistrict111General[Total Votes by Party])</f>
        <v>38113</v>
      </c>
      <c r="E11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C270-074F-48E8-8FA7-1FE45069D03F}">
  <sheetPr codeName="Sheet158">
    <pageSetUpPr fitToPage="1"/>
  </sheetPr>
  <dimension ref="A1:F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6" ht="18.75" x14ac:dyDescent="0.2">
      <c r="A1" s="11" t="s">
        <v>467</v>
      </c>
    </row>
    <row r="2" spans="1:6" ht="25.5" x14ac:dyDescent="0.2">
      <c r="A2" s="10" t="s">
        <v>8</v>
      </c>
      <c r="B2" s="55" t="s">
        <v>466</v>
      </c>
      <c r="C2" s="55" t="s">
        <v>448</v>
      </c>
      <c r="D2" s="55" t="s">
        <v>46</v>
      </c>
      <c r="E2" s="9" t="s">
        <v>3</v>
      </c>
      <c r="F2" s="8" t="s">
        <v>4</v>
      </c>
    </row>
    <row r="3" spans="1:6" x14ac:dyDescent="0.2">
      <c r="A3" s="6" t="s">
        <v>465</v>
      </c>
      <c r="B3" s="13">
        <v>454</v>
      </c>
      <c r="C3" s="13">
        <v>17900</v>
      </c>
      <c r="D3" s="13">
        <v>3993</v>
      </c>
      <c r="E3" s="2">
        <f>SUM(MemberOfAssemblyAssemblyDistrict112General[[#This Row],[Part of Fulton County Vote Results]:[Part of Schenectady County Vote Results]])</f>
        <v>22347</v>
      </c>
      <c r="F3" s="7">
        <f>SUM(MemberOfAssemblyAssemblyDistrict112General[[#This Row],[Total Votes by Party]],E6)</f>
        <v>24141</v>
      </c>
    </row>
    <row r="4" spans="1:6" x14ac:dyDescent="0.2">
      <c r="A4" s="6" t="s">
        <v>464</v>
      </c>
      <c r="B4" s="13">
        <v>1412</v>
      </c>
      <c r="C4" s="13">
        <v>23950</v>
      </c>
      <c r="D4" s="13">
        <v>5081</v>
      </c>
      <c r="E4" s="2">
        <f>SUM(MemberOfAssemblyAssemblyDistrict112General[[#This Row],[Part of Fulton County Vote Results]:[Part of Schenectady County Vote Results]])</f>
        <v>30443</v>
      </c>
      <c r="F4" s="7">
        <f>SUM(MemberOfAssemblyAssemblyDistrict112General[[#This Row],[Total Votes by Party]],E5)</f>
        <v>35654</v>
      </c>
    </row>
    <row r="5" spans="1:6" x14ac:dyDescent="0.2">
      <c r="A5" s="6" t="s">
        <v>463</v>
      </c>
      <c r="B5" s="13">
        <v>181</v>
      </c>
      <c r="C5" s="13">
        <v>3933</v>
      </c>
      <c r="D5" s="13">
        <v>1097</v>
      </c>
      <c r="E5" s="2">
        <f>SUM(MemberOfAssemblyAssemblyDistrict112General[[#This Row],[Part of Fulton County Vote Results]:[Part of Schenectady County Vote Results]])</f>
        <v>5211</v>
      </c>
      <c r="F5" s="1"/>
    </row>
    <row r="6" spans="1:6" x14ac:dyDescent="0.2">
      <c r="A6" s="5" t="s">
        <v>462</v>
      </c>
      <c r="B6" s="13">
        <v>32</v>
      </c>
      <c r="C6" s="13">
        <v>1382</v>
      </c>
      <c r="D6" s="13">
        <v>380</v>
      </c>
      <c r="E6" s="2">
        <f>SUM(MemberOfAssemblyAssemblyDistrict112General[[#This Row],[Part of Fulton County Vote Results]:[Part of Schenectady County Vote Results]])</f>
        <v>1794</v>
      </c>
      <c r="F6" s="16"/>
    </row>
    <row r="7" spans="1:6" x14ac:dyDescent="0.2">
      <c r="A7" s="5" t="s">
        <v>0</v>
      </c>
      <c r="B7" s="13">
        <v>124</v>
      </c>
      <c r="C7" s="13">
        <v>1299</v>
      </c>
      <c r="D7" s="13">
        <v>366</v>
      </c>
      <c r="E7" s="2">
        <f>SUM(MemberOfAssemblyAssemblyDistrict112General[[#This Row],[Part of Fulton County Vote Results]:[Part of Schenectady County Vote Results]])</f>
        <v>1789</v>
      </c>
      <c r="F7" s="1"/>
    </row>
    <row r="8" spans="1:6" x14ac:dyDescent="0.2">
      <c r="A8" s="5" t="s">
        <v>1</v>
      </c>
      <c r="B8" s="13">
        <v>0</v>
      </c>
      <c r="C8" s="13">
        <v>3</v>
      </c>
      <c r="D8" s="13">
        <v>3</v>
      </c>
      <c r="E8" s="2">
        <f>SUM(MemberOfAssemblyAssemblyDistrict112General[[#This Row],[Part of Fulton County Vote Results]:[Part of Schenectady County Vote Results]])</f>
        <v>6</v>
      </c>
      <c r="F8" s="1"/>
    </row>
    <row r="9" spans="1:6" x14ac:dyDescent="0.2">
      <c r="A9" s="5" t="s">
        <v>5</v>
      </c>
      <c r="B9" s="13">
        <v>1</v>
      </c>
      <c r="C9" s="13">
        <v>5</v>
      </c>
      <c r="D9" s="13">
        <v>3</v>
      </c>
      <c r="E9" s="2">
        <f>SUM(MemberOfAssemblyAssemblyDistrict112General[[#This Row],[Part of Fulton County Vote Results]:[Part of Schenectady County Vote Results]])</f>
        <v>9</v>
      </c>
      <c r="F9" s="1"/>
    </row>
    <row r="10" spans="1:6" x14ac:dyDescent="0.2">
      <c r="A10" s="4" t="s">
        <v>2</v>
      </c>
      <c r="B10" s="13">
        <f>SUM(MemberOfAssemblyAssemblyDistrict112General[Part of Fulton County Vote Results])</f>
        <v>2204</v>
      </c>
      <c r="C10" s="13">
        <f>SUM(MemberOfAssemblyAssemblyDistrict112General[Part of Saratoga County Vote Results])</f>
        <v>48472</v>
      </c>
      <c r="D10" s="13">
        <f>SUM(MemberOfAssemblyAssemblyDistrict112General[Part of Schenectady County Vote Results])</f>
        <v>10923</v>
      </c>
      <c r="E10" s="2">
        <f>SUM(MemberOfAssemblyAssemblyDistrict112General[Total Votes by Party])</f>
        <v>61599</v>
      </c>
      <c r="F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96B6-CCAA-4E83-94FE-B9B28C7F3AC8}">
  <sheetPr codeName="Sheet159">
    <pageSetUpPr fitToPage="1"/>
  </sheetPr>
  <dimension ref="A1:F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6" ht="18.75" x14ac:dyDescent="0.2">
      <c r="A1" s="11" t="s">
        <v>471</v>
      </c>
    </row>
    <row r="2" spans="1:6" ht="25.5" x14ac:dyDescent="0.2">
      <c r="A2" s="10" t="s">
        <v>8</v>
      </c>
      <c r="B2" s="55" t="s">
        <v>448</v>
      </c>
      <c r="C2" s="55" t="s">
        <v>641</v>
      </c>
      <c r="D2" s="55" t="s">
        <v>44</v>
      </c>
      <c r="E2" s="9" t="s">
        <v>3</v>
      </c>
      <c r="F2" s="8" t="s">
        <v>4</v>
      </c>
    </row>
    <row r="3" spans="1:6" x14ac:dyDescent="0.2">
      <c r="A3" s="6" t="s">
        <v>470</v>
      </c>
      <c r="B3" s="13">
        <v>23332</v>
      </c>
      <c r="C3" s="13">
        <v>2951</v>
      </c>
      <c r="D3" s="13">
        <v>2950</v>
      </c>
      <c r="E3" s="2">
        <f>SUM(MemberOfAssemblyAssemblyDistrict113General[[#This Row],[Part of Saratoga County Vote Results]:[Part of Washington County Vote Results]])</f>
        <v>29233</v>
      </c>
      <c r="F3" s="7">
        <f>SUM(MemberOfAssemblyAssemblyDistrict113General[[#This Row],[Total Votes by Party]])</f>
        <v>29233</v>
      </c>
    </row>
    <row r="4" spans="1:6" x14ac:dyDescent="0.2">
      <c r="A4" s="6" t="s">
        <v>469</v>
      </c>
      <c r="B4" s="13">
        <v>18143</v>
      </c>
      <c r="C4" s="13">
        <v>1797</v>
      </c>
      <c r="D4" s="13">
        <v>2630</v>
      </c>
      <c r="E4" s="2">
        <f>SUM(MemberOfAssemblyAssemblyDistrict113General[[#This Row],[Part of Saratoga County Vote Results]:[Part of Washington County Vote Results]])</f>
        <v>22570</v>
      </c>
      <c r="F4" s="7">
        <f>SUM(MemberOfAssemblyAssemblyDistrict113General[[#This Row],[Total Votes by Party]],E5)</f>
        <v>25874</v>
      </c>
    </row>
    <row r="5" spans="1:6" x14ac:dyDescent="0.2">
      <c r="A5" s="6" t="s">
        <v>468</v>
      </c>
      <c r="B5" s="13">
        <v>2735</v>
      </c>
      <c r="C5" s="13">
        <v>247</v>
      </c>
      <c r="D5" s="13">
        <v>322</v>
      </c>
      <c r="E5" s="2">
        <f>SUM(MemberOfAssemblyAssemblyDistrict113General[[#This Row],[Part of Saratoga County Vote Results]:[Part of Washington County Vote Results]])</f>
        <v>3304</v>
      </c>
      <c r="F5" s="1"/>
    </row>
    <row r="6" spans="1:6" x14ac:dyDescent="0.2">
      <c r="A6" s="5" t="s">
        <v>0</v>
      </c>
      <c r="B6" s="13">
        <v>859</v>
      </c>
      <c r="C6" s="13">
        <v>103</v>
      </c>
      <c r="D6" s="13">
        <v>13</v>
      </c>
      <c r="E6" s="2">
        <f>SUM(MemberOfAssemblyAssemblyDistrict113General[[#This Row],[Part of Saratoga County Vote Results]:[Part of Washington County Vote Results]])</f>
        <v>975</v>
      </c>
      <c r="F6" s="1"/>
    </row>
    <row r="7" spans="1:6" x14ac:dyDescent="0.2">
      <c r="A7" s="5" t="s">
        <v>1</v>
      </c>
      <c r="B7" s="13">
        <v>11</v>
      </c>
      <c r="C7" s="13">
        <v>4</v>
      </c>
      <c r="D7" s="13">
        <v>2</v>
      </c>
      <c r="E7" s="2">
        <f>SUM(MemberOfAssemblyAssemblyDistrict113General[[#This Row],[Part of Saratoga County Vote Results]:[Part of Washington County Vote Results]])</f>
        <v>17</v>
      </c>
      <c r="F7" s="1"/>
    </row>
    <row r="8" spans="1:6" x14ac:dyDescent="0.2">
      <c r="A8" s="5" t="s">
        <v>5</v>
      </c>
      <c r="B8" s="13">
        <v>15</v>
      </c>
      <c r="C8" s="13">
        <v>9</v>
      </c>
      <c r="D8" s="13">
        <v>3</v>
      </c>
      <c r="E8" s="2">
        <f>SUM(MemberOfAssemblyAssemblyDistrict113General[[#This Row],[Part of Saratoga County Vote Results]:[Part of Washington County Vote Results]])</f>
        <v>27</v>
      </c>
      <c r="F8" s="1"/>
    </row>
    <row r="9" spans="1:6" x14ac:dyDescent="0.2">
      <c r="A9" s="4" t="s">
        <v>2</v>
      </c>
      <c r="B9" s="13">
        <f>SUM(MemberOfAssemblyAssemblyDistrict113General[Part of Saratoga County Vote Results])</f>
        <v>45095</v>
      </c>
      <c r="C9" s="13">
        <f>SUM(MemberOfAssemblyAssemblyDistrict113General[[Part of Warren County Vote Results ]])</f>
        <v>5111</v>
      </c>
      <c r="D9" s="13">
        <f>SUM(MemberOfAssemblyAssemblyDistrict113General[Part of Washington County Vote Results])</f>
        <v>5920</v>
      </c>
      <c r="E9" s="2">
        <f>SUM(MemberOfAssemblyAssemblyDistrict113General[Total Votes by Party])</f>
        <v>56126</v>
      </c>
      <c r="F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3B77-F136-415E-91B6-E5F94C14237F}">
  <sheetPr codeName="Sheet160">
    <pageSetUpPr fitToPage="1"/>
  </sheetPr>
  <dimension ref="A1:H8"/>
  <sheetViews>
    <sheetView workbookViewId="0">
      <selection activeCell="D2" sqref="D2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8" ht="18.75" x14ac:dyDescent="0.2">
      <c r="A1" s="11" t="s">
        <v>474</v>
      </c>
    </row>
    <row r="2" spans="1:8" ht="25.5" x14ac:dyDescent="0.2">
      <c r="A2" s="10" t="s">
        <v>8</v>
      </c>
      <c r="B2" s="55" t="s">
        <v>475</v>
      </c>
      <c r="C2" s="55" t="s">
        <v>466</v>
      </c>
      <c r="D2" s="55" t="s">
        <v>448</v>
      </c>
      <c r="E2" s="55" t="s">
        <v>642</v>
      </c>
      <c r="F2" s="55" t="s">
        <v>44</v>
      </c>
      <c r="G2" s="9" t="s">
        <v>3</v>
      </c>
      <c r="H2" s="8" t="s">
        <v>4</v>
      </c>
    </row>
    <row r="3" spans="1:8" x14ac:dyDescent="0.2">
      <c r="A3" s="6" t="s">
        <v>473</v>
      </c>
      <c r="B3" s="13">
        <v>6164</v>
      </c>
      <c r="C3" s="13">
        <v>796</v>
      </c>
      <c r="D3" s="13">
        <v>5019</v>
      </c>
      <c r="E3" s="13">
        <v>14757</v>
      </c>
      <c r="F3" s="13">
        <v>8520</v>
      </c>
      <c r="G3" s="2">
        <f>SUM(MemberOfAssemblyAssemblyDistrict114General[[#This Row],[Part of Essex County Vote Results]:[Part of Washington County Vote Results]])</f>
        <v>35256</v>
      </c>
      <c r="H3" s="7">
        <f>SUM(MemberOfAssemblyAssemblyDistrict114General[[#This Row],[Total Votes by Party]],G4)</f>
        <v>40268</v>
      </c>
    </row>
    <row r="4" spans="1:8" x14ac:dyDescent="0.2">
      <c r="A4" s="6" t="s">
        <v>472</v>
      </c>
      <c r="B4" s="13">
        <v>658</v>
      </c>
      <c r="C4" s="13">
        <v>124</v>
      </c>
      <c r="D4" s="13">
        <v>737</v>
      </c>
      <c r="E4" s="13">
        <v>2314</v>
      </c>
      <c r="F4" s="13">
        <v>1179</v>
      </c>
      <c r="G4" s="2">
        <f>SUM(MemberOfAssemblyAssemblyDistrict114General[[#This Row],[Part of Essex County Vote Results]:[Part of Washington County Vote Results]])</f>
        <v>5012</v>
      </c>
      <c r="H4" s="16"/>
    </row>
    <row r="5" spans="1:8" x14ac:dyDescent="0.2">
      <c r="A5" s="5" t="s">
        <v>0</v>
      </c>
      <c r="B5" s="13">
        <v>2847</v>
      </c>
      <c r="C5" s="13">
        <v>309</v>
      </c>
      <c r="D5" s="13">
        <v>2214</v>
      </c>
      <c r="E5" s="13">
        <v>6095</v>
      </c>
      <c r="F5" s="13">
        <v>407</v>
      </c>
      <c r="G5" s="2">
        <f>SUM(MemberOfAssemblyAssemblyDistrict114General[[#This Row],[Part of Essex County Vote Results]:[Part of Washington County Vote Results]])</f>
        <v>11872</v>
      </c>
      <c r="H5" s="1"/>
    </row>
    <row r="6" spans="1:8" x14ac:dyDescent="0.2">
      <c r="A6" s="5" t="s">
        <v>1</v>
      </c>
      <c r="B6" s="13">
        <v>3</v>
      </c>
      <c r="C6" s="13">
        <v>1</v>
      </c>
      <c r="D6" s="13">
        <v>0</v>
      </c>
      <c r="E6" s="13">
        <v>1</v>
      </c>
      <c r="F6" s="13">
        <v>2</v>
      </c>
      <c r="G6" s="2">
        <f>SUM(MemberOfAssemblyAssemblyDistrict114General[[#This Row],[Part of Essex County Vote Results]:[Part of Washington County Vote Results]])</f>
        <v>7</v>
      </c>
      <c r="H6" s="1"/>
    </row>
    <row r="7" spans="1:8" x14ac:dyDescent="0.2">
      <c r="A7" s="5" t="s">
        <v>5</v>
      </c>
      <c r="B7" s="13">
        <v>21</v>
      </c>
      <c r="C7" s="13">
        <v>0</v>
      </c>
      <c r="D7" s="13">
        <v>15</v>
      </c>
      <c r="E7" s="13">
        <v>115</v>
      </c>
      <c r="F7" s="13">
        <v>46</v>
      </c>
      <c r="G7" s="2">
        <f>SUM(MemberOfAssemblyAssemblyDistrict114General[[#This Row],[Part of Essex County Vote Results]:[Part of Washington County Vote Results]])</f>
        <v>197</v>
      </c>
      <c r="H7" s="1"/>
    </row>
    <row r="8" spans="1:8" x14ac:dyDescent="0.2">
      <c r="A8" s="4" t="s">
        <v>2</v>
      </c>
      <c r="B8" s="13">
        <f>SUM(MemberOfAssemblyAssemblyDistrict114General[Part of Essex County Vote Results])</f>
        <v>9693</v>
      </c>
      <c r="C8" s="13">
        <f>SUM(MemberOfAssemblyAssemblyDistrict114General[Part of Fulton County Vote Results])</f>
        <v>1230</v>
      </c>
      <c r="D8" s="13">
        <f>SUM(MemberOfAssemblyAssemblyDistrict114General[Part of Saratoga County Vote Results])</f>
        <v>7985</v>
      </c>
      <c r="E8" s="13">
        <f>SUM(MemberOfAssemblyAssemblyDistrict114General[Part of Warren County Vote Results])</f>
        <v>23282</v>
      </c>
      <c r="F8" s="13">
        <f>SUM(MemberOfAssemblyAssemblyDistrict114General[Part of Washington County Vote Results])</f>
        <v>10154</v>
      </c>
      <c r="G8" s="2">
        <f>SUM(MemberOfAssemblyAssemblyDistrict114General[Total Votes by Party])</f>
        <v>52344</v>
      </c>
      <c r="H8" s="1"/>
    </row>
  </sheetData>
  <pageMargins left="0.25" right="0.25" top="0.25" bottom="0.25" header="0.25" footer="0.25"/>
  <pageSetup scale="79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D841-1DF8-466F-A9BD-7B770856B5DC}">
  <sheetPr codeName="Sheet161">
    <pageSetUpPr fitToPage="1"/>
  </sheetPr>
  <dimension ref="A1:F10"/>
  <sheetViews>
    <sheetView workbookViewId="0">
      <selection activeCell="E15" sqref="E15"/>
    </sheetView>
  </sheetViews>
  <sheetFormatPr defaultRowHeight="12.75" x14ac:dyDescent="0.2"/>
  <cols>
    <col min="1" max="1" width="25.5703125" customWidth="1"/>
    <col min="2" max="4" width="20.5703125" customWidth="1"/>
    <col min="5" max="5" width="18.7109375" customWidth="1"/>
    <col min="6" max="7" width="20.5703125" customWidth="1"/>
    <col min="8" max="9" width="23.5703125" customWidth="1"/>
  </cols>
  <sheetData>
    <row r="1" spans="1:6" ht="18.75" x14ac:dyDescent="0.2">
      <c r="A1" s="58" t="s">
        <v>478</v>
      </c>
    </row>
    <row r="2" spans="1:6" ht="25.5" x14ac:dyDescent="0.2">
      <c r="A2" s="10" t="s">
        <v>8</v>
      </c>
      <c r="B2" s="55" t="s">
        <v>13</v>
      </c>
      <c r="C2" s="55" t="s">
        <v>475</v>
      </c>
      <c r="D2" s="55" t="s">
        <v>12</v>
      </c>
      <c r="E2" s="9" t="s">
        <v>3</v>
      </c>
      <c r="F2" s="8" t="s">
        <v>4</v>
      </c>
    </row>
    <row r="3" spans="1:6" x14ac:dyDescent="0.2">
      <c r="A3" s="6" t="s">
        <v>477</v>
      </c>
      <c r="B3" s="13">
        <v>17317</v>
      </c>
      <c r="C3" s="13">
        <v>3815</v>
      </c>
      <c r="D3" s="13">
        <v>8563</v>
      </c>
      <c r="E3" s="2">
        <f>SUM(B3,C3,D3)</f>
        <v>29695</v>
      </c>
      <c r="F3" s="7">
        <f>SUM(MemberOfAssemblyAssemblyDistrict115General2[[#This Row],[Total Votes by Party]],E6)</f>
        <v>30375</v>
      </c>
    </row>
    <row r="4" spans="1:6" x14ac:dyDescent="0.2">
      <c r="A4" s="6" t="s">
        <v>617</v>
      </c>
      <c r="B4" s="13">
        <v>8868</v>
      </c>
      <c r="C4" s="13">
        <v>1777</v>
      </c>
      <c r="D4" s="13">
        <v>5825</v>
      </c>
      <c r="E4" s="2">
        <f>SUM(B4,C4,D4)</f>
        <v>16470</v>
      </c>
      <c r="F4" s="7">
        <f>SUM(MemberOfAssemblyAssemblyDistrict115General2[[#This Row],[Total Votes by Party]],E5)</f>
        <v>17931</v>
      </c>
    </row>
    <row r="5" spans="1:6" x14ac:dyDescent="0.2">
      <c r="A5" s="5" t="s">
        <v>618</v>
      </c>
      <c r="B5" s="13">
        <v>783</v>
      </c>
      <c r="C5" s="13">
        <v>172</v>
      </c>
      <c r="D5" s="13">
        <v>506</v>
      </c>
      <c r="E5" s="2">
        <f t="shared" ref="E5:E9" si="0">SUM(B5,C5,D5)</f>
        <v>1461</v>
      </c>
      <c r="F5" s="16"/>
    </row>
    <row r="6" spans="1:6" x14ac:dyDescent="0.2">
      <c r="A6" s="6" t="s">
        <v>476</v>
      </c>
      <c r="B6" s="13">
        <v>436</v>
      </c>
      <c r="C6" s="13">
        <v>90</v>
      </c>
      <c r="D6" s="13">
        <v>154</v>
      </c>
      <c r="E6" s="2">
        <f t="shared" si="0"/>
        <v>680</v>
      </c>
      <c r="F6" s="1"/>
    </row>
    <row r="7" spans="1:6" x14ac:dyDescent="0.2">
      <c r="A7" s="5" t="s">
        <v>0</v>
      </c>
      <c r="B7" s="13">
        <v>381</v>
      </c>
      <c r="C7" s="13">
        <v>236</v>
      </c>
      <c r="D7" s="13">
        <v>305</v>
      </c>
      <c r="E7" s="2">
        <f t="shared" si="0"/>
        <v>922</v>
      </c>
      <c r="F7" s="1"/>
    </row>
    <row r="8" spans="1:6" x14ac:dyDescent="0.2">
      <c r="A8" s="5" t="s">
        <v>1</v>
      </c>
      <c r="B8" s="13">
        <v>35</v>
      </c>
      <c r="C8" s="13">
        <v>3</v>
      </c>
      <c r="D8" s="13">
        <v>9</v>
      </c>
      <c r="E8" s="2">
        <f t="shared" si="0"/>
        <v>47</v>
      </c>
      <c r="F8" s="1"/>
    </row>
    <row r="9" spans="1:6" x14ac:dyDescent="0.2">
      <c r="A9" s="5" t="s">
        <v>5</v>
      </c>
      <c r="B9" s="13">
        <v>12</v>
      </c>
      <c r="C9" s="13">
        <v>2</v>
      </c>
      <c r="D9" s="13">
        <v>2</v>
      </c>
      <c r="E9" s="2">
        <f t="shared" si="0"/>
        <v>16</v>
      </c>
      <c r="F9" s="1"/>
    </row>
    <row r="10" spans="1:6" x14ac:dyDescent="0.2">
      <c r="A10" s="4" t="s">
        <v>2</v>
      </c>
      <c r="B10" s="13">
        <f>SUM(MemberOfAssemblyAssemblyDistrict115General2[Clinton County Vote Results])</f>
        <v>27832</v>
      </c>
      <c r="C10" s="13">
        <f>SUM(MemberOfAssemblyAssemblyDistrict115General2[Part of Essex County Vote Results])</f>
        <v>6095</v>
      </c>
      <c r="D10" s="13">
        <f>SUM(MemberOfAssemblyAssemblyDistrict115General2[Franklin County Vote Results])</f>
        <v>15364</v>
      </c>
      <c r="E10" s="2">
        <f>SUM(MemberOfAssemblyAssemblyDistrict115General2[Total Votes by Party])</f>
        <v>49291</v>
      </c>
      <c r="F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A4AD-2088-442A-9B5D-1544F74086C9}">
  <sheetPr codeName="Sheet162">
    <pageSetUpPr fitToPage="1"/>
  </sheetPr>
  <dimension ref="A1:E8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481</v>
      </c>
    </row>
    <row r="2" spans="1:5" ht="25.5" x14ac:dyDescent="0.2">
      <c r="A2" s="10" t="s">
        <v>8</v>
      </c>
      <c r="B2" s="55" t="s">
        <v>36</v>
      </c>
      <c r="C2" s="55" t="s">
        <v>47</v>
      </c>
      <c r="D2" s="9" t="s">
        <v>3</v>
      </c>
      <c r="E2" s="8" t="s">
        <v>4</v>
      </c>
    </row>
    <row r="3" spans="1:5" x14ac:dyDescent="0.2">
      <c r="A3" s="6" t="s">
        <v>480</v>
      </c>
      <c r="B3" s="13">
        <v>14095</v>
      </c>
      <c r="C3" s="13">
        <v>11193</v>
      </c>
      <c r="D3" s="2">
        <f>SUM(MemberOfAssemblyAssemblyDistrict116General[[#This Row],[Part of Jefferson County Vote Results]:[Part of St. Lawrence County Vote Results]])</f>
        <v>25288</v>
      </c>
      <c r="E3" s="7">
        <f>SUM(MemberOfAssemblyAssemblyDistrict116General[[#This Row],[Total Votes by Party]])</f>
        <v>25288</v>
      </c>
    </row>
    <row r="4" spans="1:5" x14ac:dyDescent="0.2">
      <c r="A4" s="6" t="s">
        <v>479</v>
      </c>
      <c r="B4" s="13">
        <v>5159</v>
      </c>
      <c r="C4" s="13">
        <v>5427</v>
      </c>
      <c r="D4" s="2">
        <f>SUM(MemberOfAssemblyAssemblyDistrict116General[[#This Row],[Part of Jefferson County Vote Results]:[Part of St. Lawrence County Vote Results]])</f>
        <v>10586</v>
      </c>
      <c r="E4" s="7">
        <f>SUM(MemberOfAssemblyAssemblyDistrict116General[[#This Row],[Total Votes by Party]])</f>
        <v>10586</v>
      </c>
    </row>
    <row r="5" spans="1:5" x14ac:dyDescent="0.2">
      <c r="A5" s="5" t="s">
        <v>0</v>
      </c>
      <c r="B5" s="13">
        <v>2850</v>
      </c>
      <c r="C5" s="13">
        <v>4302</v>
      </c>
      <c r="D5" s="2">
        <f>SUM(MemberOfAssemblyAssemblyDistrict116General[[#This Row],[Part of Jefferson County Vote Results]:[Part of St. Lawrence County Vote Results]])</f>
        <v>7152</v>
      </c>
      <c r="E5" s="1"/>
    </row>
    <row r="6" spans="1:5" x14ac:dyDescent="0.2">
      <c r="A6" s="5" t="s">
        <v>1</v>
      </c>
      <c r="B6" s="13">
        <v>10</v>
      </c>
      <c r="C6" s="13">
        <v>0</v>
      </c>
      <c r="D6" s="2">
        <f>SUM(MemberOfAssemblyAssemblyDistrict116General[[#This Row],[Part of Jefferson County Vote Results]:[Part of St. Lawrence County Vote Results]])</f>
        <v>10</v>
      </c>
      <c r="E6" s="1"/>
    </row>
    <row r="7" spans="1:5" x14ac:dyDescent="0.2">
      <c r="A7" s="5" t="s">
        <v>5</v>
      </c>
      <c r="B7" s="13">
        <v>61</v>
      </c>
      <c r="C7" s="13">
        <v>47</v>
      </c>
      <c r="D7" s="2">
        <f>SUM(MemberOfAssemblyAssemblyDistrict116General[[#This Row],[Part of Jefferson County Vote Results]:[Part of St. Lawrence County Vote Results]])</f>
        <v>108</v>
      </c>
      <c r="E7" s="1"/>
    </row>
    <row r="8" spans="1:5" x14ac:dyDescent="0.2">
      <c r="A8" s="4" t="s">
        <v>2</v>
      </c>
      <c r="B8" s="13">
        <f>SUM(MemberOfAssemblyAssemblyDistrict116General[Part of Jefferson County Vote Results])</f>
        <v>22175</v>
      </c>
      <c r="C8" s="13">
        <f>SUM(MemberOfAssemblyAssemblyDistrict116General[Part of St. Lawrence County Vote Results])</f>
        <v>20969</v>
      </c>
      <c r="D8" s="2">
        <f>SUM(MemberOfAssemblyAssemblyDistrict116General[Total Votes by Party])</f>
        <v>43144</v>
      </c>
      <c r="E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1941-46ED-499F-A970-688FCA08CA8B}">
  <sheetPr codeName="Sheet163">
    <pageSetUpPr fitToPage="1"/>
  </sheetPr>
  <dimension ref="A1:G8"/>
  <sheetViews>
    <sheetView workbookViewId="0">
      <selection activeCell="E2" sqref="E2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1" t="s">
        <v>484</v>
      </c>
    </row>
    <row r="2" spans="1:7" ht="25.5" x14ac:dyDescent="0.2">
      <c r="A2" s="10" t="s">
        <v>8</v>
      </c>
      <c r="B2" s="55" t="s">
        <v>36</v>
      </c>
      <c r="C2" s="55" t="s">
        <v>14</v>
      </c>
      <c r="D2" s="55" t="s">
        <v>52</v>
      </c>
      <c r="E2" s="55" t="s">
        <v>47</v>
      </c>
      <c r="F2" s="9" t="s">
        <v>3</v>
      </c>
      <c r="G2" s="8" t="s">
        <v>4</v>
      </c>
    </row>
    <row r="3" spans="1:7" x14ac:dyDescent="0.2">
      <c r="A3" s="6" t="s">
        <v>483</v>
      </c>
      <c r="B3" s="13">
        <v>4564</v>
      </c>
      <c r="C3" s="13">
        <v>8090</v>
      </c>
      <c r="D3" s="13">
        <v>7472</v>
      </c>
      <c r="E3" s="13">
        <v>8993</v>
      </c>
      <c r="F3" s="2">
        <f>SUM(MemberOfAssemblyAssemblyDistrict117General[[#This Row],[Part of Jefferson County Vote Results]:[Part of St. Lawrence County Vote Results]])</f>
        <v>29119</v>
      </c>
      <c r="G3" s="27">
        <f>SUM(MemberOfAssemblyAssemblyDistrict117General[[#This Row],[Total Votes by Party]],F4)</f>
        <v>33221</v>
      </c>
    </row>
    <row r="4" spans="1:7" x14ac:dyDescent="0.2">
      <c r="A4" s="6" t="s">
        <v>482</v>
      </c>
      <c r="B4" s="13">
        <v>578</v>
      </c>
      <c r="C4" s="13">
        <v>939</v>
      </c>
      <c r="D4" s="13">
        <v>1078</v>
      </c>
      <c r="E4" s="13">
        <v>1507</v>
      </c>
      <c r="F4" s="2">
        <f>SUM(MemberOfAssemblyAssemblyDistrict117General[[#This Row],[Part of Jefferson County Vote Results]:[Part of St. Lawrence County Vote Results]])</f>
        <v>4102</v>
      </c>
      <c r="G4" s="16"/>
    </row>
    <row r="5" spans="1:7" x14ac:dyDescent="0.2">
      <c r="A5" s="5" t="s">
        <v>0</v>
      </c>
      <c r="B5" s="13">
        <v>974</v>
      </c>
      <c r="C5" s="13">
        <v>1722</v>
      </c>
      <c r="D5" s="13">
        <v>1769</v>
      </c>
      <c r="E5" s="13">
        <v>3667</v>
      </c>
      <c r="F5" s="2">
        <f>SUM(MemberOfAssemblyAssemblyDistrict117General[[#This Row],[Part of Jefferson County Vote Results]:[Part of St. Lawrence County Vote Results]])</f>
        <v>8132</v>
      </c>
      <c r="G5" s="16"/>
    </row>
    <row r="6" spans="1:7" x14ac:dyDescent="0.2">
      <c r="A6" s="5" t="s">
        <v>1</v>
      </c>
      <c r="B6" s="13">
        <v>0</v>
      </c>
      <c r="C6" s="13">
        <v>0</v>
      </c>
      <c r="D6" s="13">
        <v>0</v>
      </c>
      <c r="E6" s="13">
        <v>0</v>
      </c>
      <c r="F6" s="2">
        <f>SUM(MemberOfAssemblyAssemblyDistrict117General[[#This Row],[Part of Jefferson County Vote Results]:[Part of St. Lawrence County Vote Results]])</f>
        <v>0</v>
      </c>
      <c r="G6" s="16"/>
    </row>
    <row r="7" spans="1:7" x14ac:dyDescent="0.2">
      <c r="A7" s="5" t="s">
        <v>5</v>
      </c>
      <c r="B7" s="13">
        <v>18</v>
      </c>
      <c r="C7" s="13">
        <v>28</v>
      </c>
      <c r="D7" s="13">
        <v>25</v>
      </c>
      <c r="E7" s="13">
        <v>30</v>
      </c>
      <c r="F7" s="2">
        <f>SUM(MemberOfAssemblyAssemblyDistrict117General[[#This Row],[Part of Jefferson County Vote Results]:[Part of St. Lawrence County Vote Results]])</f>
        <v>101</v>
      </c>
      <c r="G7" s="16"/>
    </row>
    <row r="8" spans="1:7" x14ac:dyDescent="0.2">
      <c r="A8" s="4" t="s">
        <v>2</v>
      </c>
      <c r="B8" s="13">
        <f>SUM(MemberOfAssemblyAssemblyDistrict117General[Part of Jefferson County Vote Results])</f>
        <v>6134</v>
      </c>
      <c r="C8" s="13">
        <f>SUM(MemberOfAssemblyAssemblyDistrict117General[Lewis County Vote Results])</f>
        <v>10779</v>
      </c>
      <c r="D8" s="13">
        <f>SUM(MemberOfAssemblyAssemblyDistrict117General[Part of Oneida County Vote Results])</f>
        <v>10344</v>
      </c>
      <c r="E8" s="13">
        <f>SUM(MemberOfAssemblyAssemblyDistrict117General[Part of St. Lawrence County Vote Results])</f>
        <v>14197</v>
      </c>
      <c r="F8" s="2">
        <f>SUM(MemberOfAssemblyAssemblyDistrict117General[Total Votes by Party])</f>
        <v>41454</v>
      </c>
      <c r="G8" s="1"/>
    </row>
  </sheetData>
  <pageMargins left="0.25" right="0.25" top="0.25" bottom="0.25" header="0.25" footer="0.25"/>
  <pageSetup scale="91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0C0D-5892-4423-B968-ABDDD683BCE2}">
  <sheetPr codeName="Sheet164">
    <pageSetUpPr fitToPage="1"/>
  </sheetPr>
  <dimension ref="A1:H8"/>
  <sheetViews>
    <sheetView workbookViewId="0">
      <selection activeCell="F2" sqref="F2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1" t="s">
        <v>488</v>
      </c>
    </row>
    <row r="2" spans="1:8" ht="25.5" x14ac:dyDescent="0.2">
      <c r="A2" s="10" t="s">
        <v>8</v>
      </c>
      <c r="B2" s="55" t="s">
        <v>11</v>
      </c>
      <c r="C2" s="55" t="s">
        <v>10</v>
      </c>
      <c r="D2" s="55" t="s">
        <v>49</v>
      </c>
      <c r="E2" s="55" t="s">
        <v>487</v>
      </c>
      <c r="F2" s="55" t="s">
        <v>52</v>
      </c>
      <c r="G2" s="9" t="s">
        <v>3</v>
      </c>
      <c r="H2" s="8" t="s">
        <v>4</v>
      </c>
    </row>
    <row r="3" spans="1:8" x14ac:dyDescent="0.2">
      <c r="A3" s="6" t="s">
        <v>486</v>
      </c>
      <c r="B3" s="13">
        <v>10766</v>
      </c>
      <c r="C3" s="13">
        <v>1978</v>
      </c>
      <c r="D3" s="13">
        <v>13390</v>
      </c>
      <c r="E3" s="13">
        <v>5378</v>
      </c>
      <c r="F3" s="13">
        <v>2906</v>
      </c>
      <c r="G3" s="2">
        <f>SUM(MemberOfAssemblyAssemblyDistrict118General[[#This Row],[Fulton County Vote Results]:[Part of Oneida County Vote Results]])</f>
        <v>34418</v>
      </c>
      <c r="H3" s="7">
        <f>SUM(MemberOfAssemblyAssemblyDistrict118General[[#This Row],[Total Votes by Party]],G4)</f>
        <v>39263</v>
      </c>
    </row>
    <row r="4" spans="1:8" x14ac:dyDescent="0.2">
      <c r="A4" s="6" t="s">
        <v>485</v>
      </c>
      <c r="B4" s="13">
        <v>1338</v>
      </c>
      <c r="C4" s="13">
        <v>251</v>
      </c>
      <c r="D4" s="13">
        <v>1949</v>
      </c>
      <c r="E4" s="13">
        <v>879</v>
      </c>
      <c r="F4" s="13">
        <v>428</v>
      </c>
      <c r="G4" s="2">
        <f>SUM(MemberOfAssemblyAssemblyDistrict118General[[#This Row],[Fulton County Vote Results]:[Part of Oneida County Vote Results]])</f>
        <v>4845</v>
      </c>
      <c r="H4" s="1"/>
    </row>
    <row r="5" spans="1:8" x14ac:dyDescent="0.2">
      <c r="A5" s="5" t="s">
        <v>0</v>
      </c>
      <c r="B5" s="13">
        <v>3489</v>
      </c>
      <c r="C5" s="13">
        <v>703</v>
      </c>
      <c r="D5" s="13">
        <v>5843</v>
      </c>
      <c r="E5" s="13">
        <v>1788</v>
      </c>
      <c r="F5" s="13">
        <v>737</v>
      </c>
      <c r="G5" s="2">
        <f>SUM(MemberOfAssemblyAssemblyDistrict118General[[#This Row],[Fulton County Vote Results]:[Part of Oneida County Vote Results]])</f>
        <v>12560</v>
      </c>
      <c r="H5" s="1"/>
    </row>
    <row r="6" spans="1:8" x14ac:dyDescent="0.2">
      <c r="A6" s="5" t="s">
        <v>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2">
        <f>SUM(MemberOfAssemblyAssemblyDistrict118General[[#This Row],[Fulton County Vote Results]:[Part of Oneida County Vote Results]])</f>
        <v>0</v>
      </c>
      <c r="H6" s="1"/>
    </row>
    <row r="7" spans="1:8" x14ac:dyDescent="0.2">
      <c r="A7" s="5" t="s">
        <v>5</v>
      </c>
      <c r="B7" s="13">
        <v>33</v>
      </c>
      <c r="C7" s="13">
        <v>3</v>
      </c>
      <c r="D7" s="13">
        <v>11</v>
      </c>
      <c r="E7" s="13">
        <v>15</v>
      </c>
      <c r="F7" s="13">
        <v>6</v>
      </c>
      <c r="G7" s="2">
        <f>SUM(MemberOfAssemblyAssemblyDistrict118General[[#This Row],[Fulton County Vote Results]:[Part of Oneida County Vote Results]])</f>
        <v>68</v>
      </c>
      <c r="H7" s="1"/>
    </row>
    <row r="8" spans="1:8" x14ac:dyDescent="0.2">
      <c r="A8" s="4" t="s">
        <v>2</v>
      </c>
      <c r="B8" s="13">
        <f>SUM(MemberOfAssemblyAssemblyDistrict118General[Fulton County Vote Results])</f>
        <v>15626</v>
      </c>
      <c r="C8" s="13">
        <f>SUM(MemberOfAssemblyAssemblyDistrict118General[Hamilton County Vote Results])</f>
        <v>2935</v>
      </c>
      <c r="D8" s="13">
        <f>SUBTOTAL(109,D3:D7)</f>
        <v>21193</v>
      </c>
      <c r="E8" s="13">
        <f>SUM(MemberOfAssemblyAssemblyDistrict118General[Part of Montgomery County Vote Results])</f>
        <v>8060</v>
      </c>
      <c r="F8" s="13">
        <f>SUM(MemberOfAssemblyAssemblyDistrict118General[Part of Oneida County Vote Results])</f>
        <v>4077</v>
      </c>
      <c r="G8" s="2">
        <f>SUM(MemberOfAssemblyAssemblyDistrict118General[Total Votes by Party])</f>
        <v>51891</v>
      </c>
      <c r="H8" s="1"/>
    </row>
  </sheetData>
  <pageMargins left="0.25" right="0.25" top="0.25" bottom="0.25" header="0.25" footer="0.25"/>
  <pageSetup scale="8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5439-EC48-47DC-BDAA-B6D220490A7C}">
  <sheetPr codeName="Sheet165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4" ht="18.75" x14ac:dyDescent="0.2">
      <c r="A1" s="11" t="s">
        <v>492</v>
      </c>
    </row>
    <row r="2" spans="1:4" ht="25.5" x14ac:dyDescent="0.2">
      <c r="A2" s="10" t="s">
        <v>8</v>
      </c>
      <c r="B2" s="55" t="s">
        <v>52</v>
      </c>
      <c r="C2" s="9" t="s">
        <v>3</v>
      </c>
      <c r="D2" s="8" t="s">
        <v>4</v>
      </c>
    </row>
    <row r="3" spans="1:4" x14ac:dyDescent="0.2">
      <c r="A3" s="6" t="s">
        <v>491</v>
      </c>
      <c r="B3" s="13">
        <v>16336</v>
      </c>
      <c r="C3" s="2">
        <f>SUM(B3)</f>
        <v>16336</v>
      </c>
      <c r="D3" s="7">
        <f>SUM(MemberOfAssemblyAssemblyDistrict119General[[#This Row],[Total Votes by Party]],C5)</f>
        <v>19350</v>
      </c>
    </row>
    <row r="4" spans="1:4" x14ac:dyDescent="0.2">
      <c r="A4" s="6" t="s">
        <v>490</v>
      </c>
      <c r="B4" s="13">
        <v>15022</v>
      </c>
      <c r="C4" s="2">
        <f t="shared" ref="C4:C8" si="0">SUM(B4)</f>
        <v>15022</v>
      </c>
      <c r="D4" s="7">
        <f>SUM(MemberOfAssemblyAssemblyDistrict119General[[#This Row],[Total Votes by Party]])</f>
        <v>15022</v>
      </c>
    </row>
    <row r="5" spans="1:4" x14ac:dyDescent="0.2">
      <c r="A5" s="6" t="s">
        <v>489</v>
      </c>
      <c r="B5" s="13">
        <v>3014</v>
      </c>
      <c r="C5" s="2">
        <f t="shared" si="0"/>
        <v>3014</v>
      </c>
      <c r="D5" s="1"/>
    </row>
    <row r="6" spans="1:4" x14ac:dyDescent="0.2">
      <c r="A6" s="5" t="s">
        <v>0</v>
      </c>
      <c r="B6" s="13">
        <v>752</v>
      </c>
      <c r="C6" s="2">
        <f t="shared" si="0"/>
        <v>752</v>
      </c>
      <c r="D6" s="1"/>
    </row>
    <row r="7" spans="1:4" x14ac:dyDescent="0.2">
      <c r="A7" s="5" t="s">
        <v>1</v>
      </c>
      <c r="B7" s="13">
        <v>21</v>
      </c>
      <c r="C7" s="2">
        <f t="shared" si="0"/>
        <v>21</v>
      </c>
      <c r="D7" s="1"/>
    </row>
    <row r="8" spans="1:4" x14ac:dyDescent="0.2">
      <c r="A8" s="5" t="s">
        <v>5</v>
      </c>
      <c r="B8" s="13">
        <v>20</v>
      </c>
      <c r="C8" s="2">
        <f t="shared" si="0"/>
        <v>20</v>
      </c>
      <c r="D8" s="1"/>
    </row>
    <row r="9" spans="1:4" x14ac:dyDescent="0.2">
      <c r="A9" s="4" t="s">
        <v>2</v>
      </c>
      <c r="B9" s="13">
        <f>SUM(MemberOfAssemblyAssemblyDistrict119General[Part of Oneida County Vote Results])</f>
        <v>35165</v>
      </c>
      <c r="C9" s="2">
        <f>SUM(MemberOfAssemblyAssemblyDistrict119General[Total Votes by Party])</f>
        <v>35165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CA95B-3763-46A5-AD2A-BB7E08C28686}">
  <sheetPr codeName="Sheet58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99</v>
      </c>
    </row>
    <row r="2" spans="1:4" ht="25.5" x14ac:dyDescent="0.2">
      <c r="A2" s="10" t="s">
        <v>8</v>
      </c>
      <c r="B2" s="55" t="s">
        <v>23</v>
      </c>
      <c r="C2" s="9" t="s">
        <v>3</v>
      </c>
      <c r="D2" s="8" t="s">
        <v>4</v>
      </c>
    </row>
    <row r="3" spans="1:4" x14ac:dyDescent="0.2">
      <c r="A3" s="6" t="s">
        <v>98</v>
      </c>
      <c r="B3" s="3">
        <v>22428</v>
      </c>
      <c r="C3" s="2">
        <f>MemberOfAssemblyAssemblyDistrict12General[[#This Row],[Part of Suffolk County Vote Results]]</f>
        <v>22428</v>
      </c>
      <c r="D3" s="7">
        <f>C3</f>
        <v>22428</v>
      </c>
    </row>
    <row r="4" spans="1:4" x14ac:dyDescent="0.2">
      <c r="A4" s="6" t="s">
        <v>97</v>
      </c>
      <c r="B4" s="3">
        <v>26230</v>
      </c>
      <c r="C4" s="2">
        <f>MemberOfAssemblyAssemblyDistrict12General[[#This Row],[Part of Suffolk County Vote Results]]</f>
        <v>26230</v>
      </c>
      <c r="D4" s="7">
        <f>SUM(C4,C5)</f>
        <v>30390</v>
      </c>
    </row>
    <row r="5" spans="1:4" x14ac:dyDescent="0.2">
      <c r="A5" s="6" t="s">
        <v>96</v>
      </c>
      <c r="B5" s="3">
        <v>4160</v>
      </c>
      <c r="C5" s="2">
        <f>MemberOfAssemblyAssemblyDistrict12General[[#This Row],[Part of Suffolk County Vote Results]]</f>
        <v>4160</v>
      </c>
      <c r="D5" s="1"/>
    </row>
    <row r="6" spans="1:4" x14ac:dyDescent="0.2">
      <c r="A6" s="5" t="s">
        <v>0</v>
      </c>
      <c r="B6" s="3">
        <v>1879</v>
      </c>
      <c r="C6" s="2">
        <f>MemberOfAssemblyAssemblyDistrict12General[[#This Row],[Part of Suffolk County Vote Results]]</f>
        <v>1879</v>
      </c>
      <c r="D6" s="1"/>
    </row>
    <row r="7" spans="1:4" x14ac:dyDescent="0.2">
      <c r="A7" s="5" t="s">
        <v>1</v>
      </c>
      <c r="B7" s="3">
        <v>2</v>
      </c>
      <c r="C7" s="2">
        <f>MemberOfAssemblyAssemblyDistrict12General[[#This Row],[Part of Suffolk County Vote Results]]</f>
        <v>2</v>
      </c>
      <c r="D7" s="1"/>
    </row>
    <row r="8" spans="1:4" x14ac:dyDescent="0.2">
      <c r="A8" s="5" t="s">
        <v>5</v>
      </c>
      <c r="B8" s="3">
        <v>12</v>
      </c>
      <c r="C8" s="2">
        <f>MemberOfAssemblyAssemblyDistrict12General[[#This Row],[Part of Suffolk County Vote Results]]</f>
        <v>12</v>
      </c>
      <c r="D8" s="1"/>
    </row>
    <row r="9" spans="1:4" x14ac:dyDescent="0.2">
      <c r="A9" s="4" t="s">
        <v>2</v>
      </c>
      <c r="B9" s="3">
        <f>SUM(MemberOfAssemblyAssemblyDistrict12General[Part of Suffolk County Vote Results])</f>
        <v>54711</v>
      </c>
      <c r="C9" s="2">
        <f>SUM(MemberOfAssemblyAssemblyDistrict12General[Total Votes by Party])</f>
        <v>54711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34D1-C18F-40E0-9C09-71A9FEC87F1C}">
  <sheetPr codeName="Sheet166">
    <pageSetUpPr fitToPage="1"/>
  </sheetPr>
  <dimension ref="A1:F8"/>
  <sheetViews>
    <sheetView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1" t="s">
        <v>496</v>
      </c>
    </row>
    <row r="2" spans="1:6" ht="25.5" x14ac:dyDescent="0.2">
      <c r="A2" s="10" t="s">
        <v>8</v>
      </c>
      <c r="B2" s="55" t="s">
        <v>495</v>
      </c>
      <c r="C2" s="55" t="s">
        <v>36</v>
      </c>
      <c r="D2" s="55" t="s">
        <v>37</v>
      </c>
      <c r="E2" s="9" t="s">
        <v>3</v>
      </c>
      <c r="F2" s="8" t="s">
        <v>4</v>
      </c>
    </row>
    <row r="3" spans="1:6" x14ac:dyDescent="0.2">
      <c r="A3" s="6" t="s">
        <v>494</v>
      </c>
      <c r="B3" s="13">
        <v>1738</v>
      </c>
      <c r="C3" s="13">
        <v>2736</v>
      </c>
      <c r="D3" s="13">
        <v>27501</v>
      </c>
      <c r="E3" s="2">
        <f>SUM(MemberOfAssemblyAssemblyDistrict120General[[#This Row],[Part of Cayuga County Vote Results]:[Part of Oswego County Vote Results]])</f>
        <v>31975</v>
      </c>
      <c r="F3" s="7">
        <f>SUM(MemberOfAssemblyAssemblyDistrict120General[[#This Row],[Total Votes by Party]],E4)</f>
        <v>37663</v>
      </c>
    </row>
    <row r="4" spans="1:6" x14ac:dyDescent="0.2">
      <c r="A4" s="6" t="s">
        <v>493</v>
      </c>
      <c r="B4" s="13">
        <v>396</v>
      </c>
      <c r="C4" s="13">
        <v>323</v>
      </c>
      <c r="D4" s="13">
        <v>4969</v>
      </c>
      <c r="E4" s="2">
        <f>SUM(MemberOfAssemblyAssemblyDistrict120General[[#This Row],[Part of Cayuga County Vote Results]:[Part of Oswego County Vote Results]])</f>
        <v>5688</v>
      </c>
      <c r="F4" s="1"/>
    </row>
    <row r="5" spans="1:6" x14ac:dyDescent="0.2">
      <c r="A5" s="5" t="s">
        <v>0</v>
      </c>
      <c r="B5" s="13">
        <v>535</v>
      </c>
      <c r="C5" s="13">
        <v>593</v>
      </c>
      <c r="D5" s="13">
        <v>7793</v>
      </c>
      <c r="E5" s="2">
        <f>SUM(MemberOfAssemblyAssemblyDistrict120General[[#This Row],[Part of Cayuga County Vote Results]:[Part of Oswego County Vote Results]])</f>
        <v>8921</v>
      </c>
      <c r="F5" s="1"/>
    </row>
    <row r="6" spans="1:6" x14ac:dyDescent="0.2">
      <c r="A6" s="5" t="s">
        <v>1</v>
      </c>
      <c r="B6" s="13">
        <v>0</v>
      </c>
      <c r="C6" s="13">
        <v>0</v>
      </c>
      <c r="D6" s="13">
        <v>5</v>
      </c>
      <c r="E6" s="2">
        <f>SUM(MemberOfAssemblyAssemblyDistrict120General[[#This Row],[Part of Cayuga County Vote Results]:[Part of Oswego County Vote Results]])</f>
        <v>5</v>
      </c>
      <c r="F6" s="1"/>
    </row>
    <row r="7" spans="1:6" x14ac:dyDescent="0.2">
      <c r="A7" s="5" t="s">
        <v>5</v>
      </c>
      <c r="B7" s="13">
        <v>6</v>
      </c>
      <c r="C7" s="13">
        <v>11</v>
      </c>
      <c r="D7" s="13">
        <v>221</v>
      </c>
      <c r="E7" s="2">
        <f>SUM(MemberOfAssemblyAssemblyDistrict120General[[#This Row],[Part of Cayuga County Vote Results]:[Part of Oswego County Vote Results]])</f>
        <v>238</v>
      </c>
      <c r="F7" s="1"/>
    </row>
    <row r="8" spans="1:6" x14ac:dyDescent="0.2">
      <c r="A8" s="4" t="s">
        <v>2</v>
      </c>
      <c r="B8" s="13">
        <f>SUM(MemberOfAssemblyAssemblyDistrict120General[Part of Cayuga County Vote Results])</f>
        <v>2675</v>
      </c>
      <c r="C8" s="13">
        <f>SUM(MemberOfAssemblyAssemblyDistrict120General[Part of Jefferson County Vote Results])</f>
        <v>3663</v>
      </c>
      <c r="D8" s="13">
        <f>SUM(MemberOfAssemblyAssemblyDistrict120General[Part of Oswego County Vote Results])</f>
        <v>40489</v>
      </c>
      <c r="E8" s="2">
        <f>SUM(MemberOfAssemblyAssemblyDistrict120General[Total Votes by Party])</f>
        <v>46827</v>
      </c>
      <c r="F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D244-AE6D-4E03-97FB-188B4FD7DF6C}">
  <sheetPr codeName="Sheet167">
    <pageSetUpPr fitToPage="1"/>
  </sheetPr>
  <dimension ref="A1:I8"/>
  <sheetViews>
    <sheetView workbookViewId="0">
      <selection activeCell="D2" sqref="D2"/>
    </sheetView>
  </sheetViews>
  <sheetFormatPr defaultRowHeight="12.75" x14ac:dyDescent="0.2"/>
  <cols>
    <col min="1" max="1" width="25.5703125" customWidth="1"/>
    <col min="2" max="6" width="20.5703125" customWidth="1"/>
    <col min="7" max="7" width="23.5703125" customWidth="1"/>
    <col min="8" max="8" width="18.140625" customWidth="1"/>
    <col min="9" max="9" width="15.85546875" customWidth="1"/>
  </cols>
  <sheetData>
    <row r="1" spans="1:9" ht="18.75" x14ac:dyDescent="0.2">
      <c r="A1" s="11" t="s">
        <v>499</v>
      </c>
    </row>
    <row r="2" spans="1:9" ht="25.5" x14ac:dyDescent="0.2">
      <c r="A2" s="10" t="s">
        <v>8</v>
      </c>
      <c r="B2" s="55" t="s">
        <v>51</v>
      </c>
      <c r="C2" s="55" t="s">
        <v>50</v>
      </c>
      <c r="D2" s="55" t="s">
        <v>420</v>
      </c>
      <c r="E2" s="55" t="s">
        <v>419</v>
      </c>
      <c r="F2" s="55" t="s">
        <v>34</v>
      </c>
      <c r="G2" s="55" t="s">
        <v>413</v>
      </c>
      <c r="H2" s="9" t="s">
        <v>3</v>
      </c>
      <c r="I2" s="29" t="s">
        <v>4</v>
      </c>
    </row>
    <row r="3" spans="1:9" x14ac:dyDescent="0.2">
      <c r="A3" s="6" t="s">
        <v>498</v>
      </c>
      <c r="B3" s="13">
        <v>14317</v>
      </c>
      <c r="C3" s="13">
        <v>11790</v>
      </c>
      <c r="D3" s="13">
        <v>5439</v>
      </c>
      <c r="E3" s="13">
        <v>3298</v>
      </c>
      <c r="F3" s="13">
        <v>1505</v>
      </c>
      <c r="G3" s="13">
        <v>353</v>
      </c>
      <c r="H3" s="2">
        <f>SUM(MemberOfAssemblyAssemblyDistrict121General[[#This Row],[Part of Broome County Vote Results]:[Part of Sullivan County Vote Results]])</f>
        <v>36702</v>
      </c>
      <c r="I3" s="7">
        <f>SUM(MemberOfAssemblyAssemblyDistrict121General[[#This Row],[Total Votes by Party]],H4)</f>
        <v>41413</v>
      </c>
    </row>
    <row r="4" spans="1:9" x14ac:dyDescent="0.2">
      <c r="A4" s="6" t="s">
        <v>497</v>
      </c>
      <c r="B4" s="13">
        <v>1849</v>
      </c>
      <c r="C4" s="13">
        <v>1482</v>
      </c>
      <c r="D4" s="13">
        <v>510</v>
      </c>
      <c r="E4" s="13">
        <v>686</v>
      </c>
      <c r="F4" s="13">
        <v>135</v>
      </c>
      <c r="G4" s="13">
        <v>49</v>
      </c>
      <c r="H4" s="2">
        <f>SUM(MemberOfAssemblyAssemblyDistrict121General[[#This Row],[Part of Broome County Vote Results]:[Part of Sullivan County Vote Results]])</f>
        <v>4711</v>
      </c>
      <c r="I4" s="16"/>
    </row>
    <row r="5" spans="1:9" x14ac:dyDescent="0.2">
      <c r="A5" s="5" t="s">
        <v>0</v>
      </c>
      <c r="B5" s="13">
        <v>5209</v>
      </c>
      <c r="C5" s="13">
        <v>3072</v>
      </c>
      <c r="D5" s="13">
        <v>1642</v>
      </c>
      <c r="E5" s="13">
        <v>1811</v>
      </c>
      <c r="F5" s="13">
        <v>591</v>
      </c>
      <c r="G5" s="13">
        <v>194</v>
      </c>
      <c r="H5" s="2">
        <f>SUM(MemberOfAssemblyAssemblyDistrict121General[[#This Row],[Part of Broome County Vote Results]:[Part of Sullivan County Vote Results]])</f>
        <v>12519</v>
      </c>
      <c r="I5" s="1"/>
    </row>
    <row r="6" spans="1:9" x14ac:dyDescent="0.2">
      <c r="A6" s="5" t="s">
        <v>1</v>
      </c>
      <c r="B6" s="13">
        <v>1</v>
      </c>
      <c r="C6" s="13">
        <v>1</v>
      </c>
      <c r="D6" s="13">
        <v>0</v>
      </c>
      <c r="E6" s="13">
        <v>1</v>
      </c>
      <c r="F6" s="13">
        <v>0</v>
      </c>
      <c r="G6" s="13">
        <v>2</v>
      </c>
      <c r="H6" s="2">
        <f>SUM(MemberOfAssemblyAssemblyDistrict121General[[#This Row],[Part of Broome County Vote Results]:[Part of Sullivan County Vote Results]])</f>
        <v>5</v>
      </c>
      <c r="I6" s="1"/>
    </row>
    <row r="7" spans="1:9" x14ac:dyDescent="0.2">
      <c r="A7" s="5" t="s">
        <v>5</v>
      </c>
      <c r="B7" s="13">
        <v>52</v>
      </c>
      <c r="C7" s="13">
        <v>81</v>
      </c>
      <c r="D7" s="13">
        <v>31</v>
      </c>
      <c r="E7" s="13">
        <v>54</v>
      </c>
      <c r="F7" s="13">
        <v>7</v>
      </c>
      <c r="G7" s="13">
        <v>3</v>
      </c>
      <c r="H7" s="2">
        <f>SUM(MemberOfAssemblyAssemblyDistrict121General[[#This Row],[Part of Broome County Vote Results]:[Part of Sullivan County Vote Results]])</f>
        <v>228</v>
      </c>
      <c r="I7" s="1"/>
    </row>
    <row r="8" spans="1:9" x14ac:dyDescent="0.2">
      <c r="A8" s="4" t="s">
        <v>2</v>
      </c>
      <c r="B8" s="13">
        <f>SUM(MemberOfAssemblyAssemblyDistrict121General[Part of Broome County Vote Results])</f>
        <v>21428</v>
      </c>
      <c r="C8" s="13">
        <f>SUM(MemberOfAssemblyAssemblyDistrict121General[Part of Chenango County Vote Results])</f>
        <v>16426</v>
      </c>
      <c r="D8" s="13">
        <f>SUM(MemberOfAssemblyAssemblyDistrict121General[Part of Delaware County Vote Results])</f>
        <v>7622</v>
      </c>
      <c r="E8" s="13">
        <f>SUM(MemberOfAssemblyAssemblyDistrict121General[Part of Madison County Vote Results])</f>
        <v>5850</v>
      </c>
      <c r="F8" s="13">
        <f>SUM(MemberOfAssemblyAssemblyDistrict121General[Part of Otsego County Vote Results])</f>
        <v>2238</v>
      </c>
      <c r="G8" s="13">
        <f>SUM(MemberOfAssemblyAssemblyDistrict121General[Part of Sullivan County Vote Results])</f>
        <v>601</v>
      </c>
      <c r="H8" s="2">
        <f>SUM(MemberOfAssemblyAssemblyDistrict121General[Total Votes by Party])</f>
        <v>54165</v>
      </c>
      <c r="I8" s="1"/>
    </row>
  </sheetData>
  <pageMargins left="0.25" right="0.25" top="0.25" bottom="0.25" header="0.25" footer="0.25"/>
  <pageSetup scale="73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D5E3-0AC7-4C77-898A-502D69472916}">
  <sheetPr codeName="Sheet168">
    <pageSetUpPr fitToPage="1"/>
  </sheetPr>
  <dimension ref="A1:G10"/>
  <sheetViews>
    <sheetView workbookViewId="0">
      <selection activeCell="E2" sqref="E2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18.75" x14ac:dyDescent="0.2">
      <c r="A1" s="11" t="s">
        <v>504</v>
      </c>
    </row>
    <row r="2" spans="1:7" ht="25.5" x14ac:dyDescent="0.2">
      <c r="A2" s="10" t="s">
        <v>8</v>
      </c>
      <c r="B2" s="55" t="s">
        <v>49</v>
      </c>
      <c r="C2" s="55" t="s">
        <v>419</v>
      </c>
      <c r="D2" s="55" t="s">
        <v>52</v>
      </c>
      <c r="E2" s="55" t="s">
        <v>34</v>
      </c>
      <c r="F2" s="9" t="s">
        <v>3</v>
      </c>
      <c r="G2" s="8" t="s">
        <v>4</v>
      </c>
    </row>
    <row r="3" spans="1:7" x14ac:dyDescent="0.2">
      <c r="A3" s="6" t="s">
        <v>503</v>
      </c>
      <c r="B3" s="13">
        <v>87</v>
      </c>
      <c r="C3" s="13">
        <v>4965</v>
      </c>
      <c r="D3" s="13">
        <v>8157</v>
      </c>
      <c r="E3" s="13">
        <v>4216</v>
      </c>
      <c r="F3" s="2">
        <f>SUM(MemberOfAssemblyAssemblyDistrict122General[[#This Row],[Part of Herkimer County Vote Results]:[Part of Otsego County Vote Results]])</f>
        <v>17425</v>
      </c>
      <c r="G3" s="7">
        <f>SUM(MemberOfAssemblyAssemblyDistrict122General[[#This Row],[Total Votes by Party]])</f>
        <v>17425</v>
      </c>
    </row>
    <row r="4" spans="1:7" x14ac:dyDescent="0.2">
      <c r="A4" s="5" t="s">
        <v>502</v>
      </c>
      <c r="B4" s="13">
        <v>435</v>
      </c>
      <c r="C4" s="13">
        <v>8127</v>
      </c>
      <c r="D4" s="13">
        <v>14896</v>
      </c>
      <c r="E4" s="13">
        <v>4455</v>
      </c>
      <c r="F4" s="2">
        <f>SUM(MemberOfAssemblyAssemblyDistrict122General[[#This Row],[Part of Herkimer County Vote Results]:[Part of Otsego County Vote Results]])</f>
        <v>27913</v>
      </c>
      <c r="G4" s="7">
        <f>SUM(MemberOfAssemblyAssemblyDistrict122General[[#This Row],[Total Votes by Party]],F5)</f>
        <v>31833</v>
      </c>
    </row>
    <row r="5" spans="1:7" x14ac:dyDescent="0.2">
      <c r="A5" s="5" t="s">
        <v>501</v>
      </c>
      <c r="B5" s="13">
        <v>62</v>
      </c>
      <c r="C5" s="13">
        <v>1345</v>
      </c>
      <c r="D5" s="13">
        <v>2036</v>
      </c>
      <c r="E5" s="13">
        <v>477</v>
      </c>
      <c r="F5" s="2">
        <f>SUM(MemberOfAssemblyAssemblyDistrict122General[[#This Row],[Part of Herkimer County Vote Results]:[Part of Otsego County Vote Results]])</f>
        <v>3920</v>
      </c>
      <c r="G5" s="30"/>
    </row>
    <row r="6" spans="1:7" x14ac:dyDescent="0.2">
      <c r="A6" s="6" t="s">
        <v>500</v>
      </c>
      <c r="B6" s="13">
        <v>8</v>
      </c>
      <c r="C6" s="13">
        <v>527</v>
      </c>
      <c r="D6" s="13">
        <v>550</v>
      </c>
      <c r="E6" s="13">
        <v>230</v>
      </c>
      <c r="F6" s="2">
        <f>SUM(MemberOfAssemblyAssemblyDistrict122General[[#This Row],[Part of Herkimer County Vote Results]:[Part of Otsego County Vote Results]])</f>
        <v>1315</v>
      </c>
      <c r="G6" s="7">
        <f>SUM(MemberOfAssemblyAssemblyDistrict122General[[#This Row],[Total Votes by Party]])</f>
        <v>1315</v>
      </c>
    </row>
    <row r="7" spans="1:7" x14ac:dyDescent="0.2">
      <c r="A7" s="5" t="s">
        <v>0</v>
      </c>
      <c r="B7" s="13">
        <v>711</v>
      </c>
      <c r="C7" s="13">
        <v>557</v>
      </c>
      <c r="D7" s="13">
        <v>768</v>
      </c>
      <c r="E7" s="13">
        <v>230</v>
      </c>
      <c r="F7" s="2">
        <f>SUM(MemberOfAssemblyAssemblyDistrict122General[[#This Row],[Part of Herkimer County Vote Results]:[Part of Otsego County Vote Results]])</f>
        <v>2266</v>
      </c>
      <c r="G7" s="1"/>
    </row>
    <row r="8" spans="1:7" x14ac:dyDescent="0.2">
      <c r="A8" s="5" t="s">
        <v>1</v>
      </c>
      <c r="B8" s="13">
        <v>0</v>
      </c>
      <c r="C8" s="13">
        <v>1</v>
      </c>
      <c r="D8" s="13">
        <v>5</v>
      </c>
      <c r="E8" s="13">
        <v>3</v>
      </c>
      <c r="F8" s="2">
        <f>SUM(MemberOfAssemblyAssemblyDistrict122General[[#This Row],[Part of Herkimer County Vote Results]:[Part of Otsego County Vote Results]])</f>
        <v>9</v>
      </c>
      <c r="G8" s="1"/>
    </row>
    <row r="9" spans="1:7" x14ac:dyDescent="0.2">
      <c r="A9" s="5" t="s">
        <v>5</v>
      </c>
      <c r="B9" s="13">
        <v>0</v>
      </c>
      <c r="C9" s="13">
        <v>13</v>
      </c>
      <c r="D9" s="13">
        <v>8</v>
      </c>
      <c r="E9" s="13">
        <v>0</v>
      </c>
      <c r="F9" s="2">
        <f>SUM(MemberOfAssemblyAssemblyDistrict122General[[#This Row],[Part of Herkimer County Vote Results]:[Part of Otsego County Vote Results]])</f>
        <v>21</v>
      </c>
      <c r="G9" s="1"/>
    </row>
    <row r="10" spans="1:7" x14ac:dyDescent="0.2">
      <c r="A10" s="4" t="s">
        <v>2</v>
      </c>
      <c r="B10" s="13">
        <f>SUM(MemberOfAssemblyAssemblyDistrict122General[Part of Herkimer County Vote Results])</f>
        <v>1303</v>
      </c>
      <c r="C10" s="13">
        <f>SUM(MemberOfAssemblyAssemblyDistrict122General[Part of Madison County Vote Results])</f>
        <v>15535</v>
      </c>
      <c r="D10" s="13">
        <f>SUM(MemberOfAssemblyAssemblyDistrict122General[Part of Oneida County Vote Results])</f>
        <v>26420</v>
      </c>
      <c r="E10" s="13">
        <f>SUM(MemberOfAssemblyAssemblyDistrict122General[Part of Otsego County Vote Results])</f>
        <v>9611</v>
      </c>
      <c r="F10" s="2">
        <f>SUM(MemberOfAssemblyAssemblyDistrict122General[Total Votes by Party])</f>
        <v>52869</v>
      </c>
      <c r="G10" s="1"/>
    </row>
  </sheetData>
  <pageMargins left="0.25" right="0.25" top="0.25" bottom="0.25" header="0.25" footer="0.25"/>
  <pageSetup scale="91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BD4A-9B76-4D80-9356-AE74343C2774}">
  <sheetPr codeName="Sheet169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508</v>
      </c>
    </row>
    <row r="2" spans="1:4" ht="25.5" x14ac:dyDescent="0.2">
      <c r="A2" s="10" t="s">
        <v>8</v>
      </c>
      <c r="B2" s="55" t="s">
        <v>51</v>
      </c>
      <c r="C2" s="9" t="s">
        <v>3</v>
      </c>
      <c r="D2" s="8" t="s">
        <v>4</v>
      </c>
    </row>
    <row r="3" spans="1:4" x14ac:dyDescent="0.2">
      <c r="A3" s="12" t="s">
        <v>507</v>
      </c>
      <c r="B3" s="13">
        <v>20212</v>
      </c>
      <c r="C3" s="2">
        <f>MemberOfAssemblyAssemblyDistrict123General[[#This Row],[Part of Broome County Vote Results]]</f>
        <v>20212</v>
      </c>
      <c r="D3" s="7">
        <f>SUM(MemberOfAssemblyAssemblyDistrict123General[[#This Row],[Total Votes by Party]],C5)</f>
        <v>22416</v>
      </c>
    </row>
    <row r="4" spans="1:4" x14ac:dyDescent="0.2">
      <c r="A4" s="12" t="s">
        <v>506</v>
      </c>
      <c r="B4" s="50">
        <v>18127</v>
      </c>
      <c r="C4" s="2">
        <f>MemberOfAssemblyAssemblyDistrict123General[[#This Row],[Part of Broome County Vote Results]]</f>
        <v>18127</v>
      </c>
      <c r="D4" s="7">
        <f>SUM(MemberOfAssemblyAssemblyDistrict123General[[#This Row],[Total Votes by Party]])</f>
        <v>18127</v>
      </c>
    </row>
    <row r="5" spans="1:4" x14ac:dyDescent="0.2">
      <c r="A5" s="6" t="s">
        <v>505</v>
      </c>
      <c r="B5" s="13">
        <v>2204</v>
      </c>
      <c r="C5" s="2">
        <f>MemberOfAssemblyAssemblyDistrict123General[[#This Row],[Part of Broome County Vote Results]]</f>
        <v>2204</v>
      </c>
      <c r="D5" s="1"/>
    </row>
    <row r="6" spans="1:4" x14ac:dyDescent="0.2">
      <c r="A6" s="5" t="s">
        <v>0</v>
      </c>
      <c r="B6" s="13">
        <v>959</v>
      </c>
      <c r="C6" s="2">
        <f>MemberOfAssemblyAssemblyDistrict123General[[#This Row],[Part of Broome County Vote Results]]</f>
        <v>959</v>
      </c>
      <c r="D6" s="1"/>
    </row>
    <row r="7" spans="1:4" x14ac:dyDescent="0.2">
      <c r="A7" s="5" t="s">
        <v>1</v>
      </c>
      <c r="B7" s="13">
        <v>29</v>
      </c>
      <c r="C7" s="2">
        <f>MemberOfAssemblyAssemblyDistrict123General[[#This Row],[Part of Broome County Vote Results]]</f>
        <v>29</v>
      </c>
      <c r="D7" s="1"/>
    </row>
    <row r="8" spans="1:4" x14ac:dyDescent="0.2">
      <c r="A8" s="5" t="s">
        <v>5</v>
      </c>
      <c r="B8" s="13">
        <v>30</v>
      </c>
      <c r="C8" s="2">
        <f>MemberOfAssemblyAssemblyDistrict123General[[#This Row],[Part of Broome County Vote Results]]</f>
        <v>30</v>
      </c>
      <c r="D8" s="1"/>
    </row>
    <row r="9" spans="1:4" x14ac:dyDescent="0.2">
      <c r="A9" s="4" t="s">
        <v>2</v>
      </c>
      <c r="B9" s="13">
        <f>SUM(MemberOfAssemblyAssemblyDistrict123General[Part of Broome County Vote Results])</f>
        <v>41561</v>
      </c>
      <c r="C9" s="2">
        <f>SUM(MemberOfAssemblyAssemblyDistrict123General[Total Votes by Party])</f>
        <v>41561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D40E-1A92-4F0A-80AB-E26748E6F69D}">
  <sheetPr codeName="Sheet170">
    <pageSetUpPr fitToPage="1"/>
  </sheetPr>
  <dimension ref="A1:F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18.75" x14ac:dyDescent="0.2">
      <c r="A1" s="11" t="s">
        <v>512</v>
      </c>
    </row>
    <row r="2" spans="1:6" ht="25.5" x14ac:dyDescent="0.2">
      <c r="A2" s="10" t="s">
        <v>8</v>
      </c>
      <c r="B2" s="55" t="s">
        <v>51</v>
      </c>
      <c r="C2" s="55" t="s">
        <v>511</v>
      </c>
      <c r="D2" s="55" t="s">
        <v>32</v>
      </c>
      <c r="E2" s="9" t="s">
        <v>3</v>
      </c>
      <c r="F2" s="8" t="s">
        <v>4</v>
      </c>
    </row>
    <row r="3" spans="1:6" x14ac:dyDescent="0.2">
      <c r="A3" s="6" t="s">
        <v>510</v>
      </c>
      <c r="B3" s="13">
        <v>3324</v>
      </c>
      <c r="C3" s="13">
        <v>16107</v>
      </c>
      <c r="D3" s="13">
        <v>12821</v>
      </c>
      <c r="E3" s="2">
        <f>SUM(MemberOfAssemblyAssemblyDistrict124General[[#This Row],[Part of Broome County Vote Results]:[Tioga County Vote Results]])</f>
        <v>32252</v>
      </c>
      <c r="F3" s="7">
        <f>SUM(MemberOfAssemblyAssemblyDistrict124General[[#This Row],[Total Votes by Party]],E4)</f>
        <v>36564</v>
      </c>
    </row>
    <row r="4" spans="1:6" x14ac:dyDescent="0.2">
      <c r="A4" s="6" t="s">
        <v>509</v>
      </c>
      <c r="B4" s="13">
        <v>449</v>
      </c>
      <c r="C4" s="13">
        <v>2244</v>
      </c>
      <c r="D4" s="13">
        <v>1619</v>
      </c>
      <c r="E4" s="2">
        <f>SUM(MemberOfAssemblyAssemblyDistrict124General[[#This Row],[Part of Broome County Vote Results]:[Tioga County Vote Results]])</f>
        <v>4312</v>
      </c>
      <c r="F4" s="1"/>
    </row>
    <row r="5" spans="1:6" x14ac:dyDescent="0.2">
      <c r="A5" s="5" t="s">
        <v>0</v>
      </c>
      <c r="B5" s="13">
        <v>1007</v>
      </c>
      <c r="C5" s="13">
        <v>5831</v>
      </c>
      <c r="D5" s="13">
        <v>4585</v>
      </c>
      <c r="E5" s="2">
        <f>SUM(MemberOfAssemblyAssemblyDistrict124General[[#This Row],[Part of Broome County Vote Results]:[Tioga County Vote Results]])</f>
        <v>11423</v>
      </c>
      <c r="F5" s="1"/>
    </row>
    <row r="6" spans="1:6" x14ac:dyDescent="0.2">
      <c r="A6" s="5" t="s">
        <v>1</v>
      </c>
      <c r="B6" s="13">
        <v>0</v>
      </c>
      <c r="C6" s="13">
        <v>0</v>
      </c>
      <c r="D6" s="13">
        <v>4</v>
      </c>
      <c r="E6" s="2">
        <f>SUM(MemberOfAssemblyAssemblyDistrict124General[[#This Row],[Part of Broome County Vote Results]:[Tioga County Vote Results]])</f>
        <v>4</v>
      </c>
      <c r="F6" s="1"/>
    </row>
    <row r="7" spans="1:6" x14ac:dyDescent="0.2">
      <c r="A7" s="5" t="s">
        <v>5</v>
      </c>
      <c r="B7" s="13">
        <v>8</v>
      </c>
      <c r="C7" s="13">
        <v>132</v>
      </c>
      <c r="D7" s="13">
        <v>99</v>
      </c>
      <c r="E7" s="2">
        <f>SUM(MemberOfAssemblyAssemblyDistrict124General[[#This Row],[Part of Broome County Vote Results]:[Tioga County Vote Results]])</f>
        <v>239</v>
      </c>
      <c r="F7" s="1"/>
    </row>
    <row r="8" spans="1:6" x14ac:dyDescent="0.2">
      <c r="A8" s="4" t="s">
        <v>2</v>
      </c>
      <c r="B8" s="13">
        <f>SUM(MemberOfAssemblyAssemblyDistrict124General[Part of Broome County Vote Results])</f>
        <v>4788</v>
      </c>
      <c r="C8" s="13">
        <f>SUM(MemberOfAssemblyAssemblyDistrict124General[Part of Chemung County Vote Results])</f>
        <v>24314</v>
      </c>
      <c r="D8" s="13">
        <f>SUM(MemberOfAssemblyAssemblyDistrict124General[Tioga County Vote Results])</f>
        <v>19128</v>
      </c>
      <c r="E8" s="2">
        <f>SUM(MemberOfAssemblyAssemblyDistrict124General[Total Votes by Party])</f>
        <v>48230</v>
      </c>
      <c r="F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CA81-57C7-4CF7-8232-C5921E7C6241}">
  <sheetPr codeName="Sheet171">
    <pageSetUpPr fitToPage="1"/>
  </sheetPr>
  <dimension ref="A1:E8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516</v>
      </c>
    </row>
    <row r="2" spans="1:5" ht="25.5" x14ac:dyDescent="0.2">
      <c r="A2" s="10" t="s">
        <v>8</v>
      </c>
      <c r="B2" s="55" t="s">
        <v>515</v>
      </c>
      <c r="C2" s="55" t="s">
        <v>33</v>
      </c>
      <c r="D2" s="9" t="s">
        <v>3</v>
      </c>
      <c r="E2" s="8" t="s">
        <v>4</v>
      </c>
    </row>
    <row r="3" spans="1:5" x14ac:dyDescent="0.2">
      <c r="A3" s="31" t="s">
        <v>514</v>
      </c>
      <c r="B3" s="13">
        <v>4422</v>
      </c>
      <c r="C3" s="13">
        <v>21218</v>
      </c>
      <c r="D3" s="32">
        <f>SUM(MemberOfAssemblyAssemblyDistrict125General[[#This Row],[Part of Cortland County Vote Results]:[Tompkins County Vote Results]])</f>
        <v>25640</v>
      </c>
      <c r="E3" s="7">
        <f t="shared" ref="E3" si="0">SUM(D3:D4)</f>
        <v>32321</v>
      </c>
    </row>
    <row r="4" spans="1:5" x14ac:dyDescent="0.2">
      <c r="A4" s="31" t="s">
        <v>513</v>
      </c>
      <c r="B4" s="13">
        <v>948</v>
      </c>
      <c r="C4" s="13">
        <v>5733</v>
      </c>
      <c r="D4" s="2">
        <f>SUM(MemberOfAssemblyAssemblyDistrict125General[[#This Row],[Part of Cortland County Vote Results]:[Tompkins County Vote Results]])</f>
        <v>6681</v>
      </c>
      <c r="E4" s="1"/>
    </row>
    <row r="5" spans="1:5" x14ac:dyDescent="0.2">
      <c r="A5" s="5" t="s">
        <v>0</v>
      </c>
      <c r="B5" s="13">
        <v>3897</v>
      </c>
      <c r="C5" s="13">
        <v>8107</v>
      </c>
      <c r="D5" s="2">
        <f>SUM(MemberOfAssemblyAssemblyDistrict125General[[#This Row],[Part of Cortland County Vote Results]:[Tompkins County Vote Results]])</f>
        <v>12004</v>
      </c>
      <c r="E5" s="1"/>
    </row>
    <row r="6" spans="1:5" x14ac:dyDescent="0.2">
      <c r="A6" s="5" t="s">
        <v>1</v>
      </c>
      <c r="B6" s="13">
        <v>0</v>
      </c>
      <c r="C6" s="13">
        <v>5</v>
      </c>
      <c r="D6" s="2">
        <f>SUM(MemberOfAssemblyAssemblyDistrict125General[[#This Row],[Part of Cortland County Vote Results]:[Tompkins County Vote Results]])</f>
        <v>5</v>
      </c>
      <c r="E6" s="1"/>
    </row>
    <row r="7" spans="1:5" x14ac:dyDescent="0.2">
      <c r="A7" s="5" t="s">
        <v>5</v>
      </c>
      <c r="B7" s="13">
        <v>44</v>
      </c>
      <c r="C7" s="13">
        <v>148</v>
      </c>
      <c r="D7" s="2">
        <f>SUM(MemberOfAssemblyAssemblyDistrict125General[[#This Row],[Part of Cortland County Vote Results]:[Tompkins County Vote Results]])</f>
        <v>192</v>
      </c>
      <c r="E7" s="1"/>
    </row>
    <row r="8" spans="1:5" x14ac:dyDescent="0.2">
      <c r="A8" s="4" t="s">
        <v>2</v>
      </c>
      <c r="B8" s="13">
        <f>SUM(MemberOfAssemblyAssemblyDistrict125General[Part of Cortland County Vote Results])</f>
        <v>9311</v>
      </c>
      <c r="C8" s="13">
        <f>SUM(MemberOfAssemblyAssemblyDistrict125General[Tompkins County Vote Results])</f>
        <v>35211</v>
      </c>
      <c r="D8" s="2">
        <f>SUM(MemberOfAssemblyAssemblyDistrict125General[Total Votes by Party])</f>
        <v>44522</v>
      </c>
      <c r="E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99EC-69DB-4811-A038-C97B1EA0B698}">
  <sheetPr codeName="Sheet172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5" ht="18.75" x14ac:dyDescent="0.2">
      <c r="A1" s="11" t="s">
        <v>520</v>
      </c>
    </row>
    <row r="2" spans="1:5" ht="25.5" x14ac:dyDescent="0.2">
      <c r="A2" s="10" t="s">
        <v>8</v>
      </c>
      <c r="B2" s="55" t="s">
        <v>495</v>
      </c>
      <c r="C2" s="55" t="s">
        <v>48</v>
      </c>
      <c r="D2" s="9" t="s">
        <v>3</v>
      </c>
      <c r="E2" s="8" t="s">
        <v>4</v>
      </c>
    </row>
    <row r="3" spans="1:5" x14ac:dyDescent="0.2">
      <c r="A3" s="6" t="s">
        <v>519</v>
      </c>
      <c r="B3" s="13">
        <v>5820</v>
      </c>
      <c r="C3" s="18">
        <v>17854</v>
      </c>
      <c r="D3" s="2">
        <f>SUM(MemberOfAssemblyAssemblyDistrict126General[[#This Row],[Part of Cayuga County Vote Results]:[Part of Onondaga County Vote Results]])</f>
        <v>23674</v>
      </c>
      <c r="E3" s="7">
        <f>SUM(MemberOfAssemblyAssemblyDistrict126General[[#This Row],[Total Votes by Party]])</f>
        <v>23674</v>
      </c>
    </row>
    <row r="4" spans="1:5" x14ac:dyDescent="0.2">
      <c r="A4" s="6" t="s">
        <v>518</v>
      </c>
      <c r="B4" s="13">
        <v>7802</v>
      </c>
      <c r="C4" s="18">
        <v>20011</v>
      </c>
      <c r="D4" s="2">
        <f>SUM(MemberOfAssemblyAssemblyDistrict126General[[#This Row],[Part of Cayuga County Vote Results]:[Part of Onondaga County Vote Results]])</f>
        <v>27813</v>
      </c>
      <c r="E4" s="7">
        <f>SUM(MemberOfAssemblyAssemblyDistrict126General[[#This Row],[Total Votes by Party]],D5)</f>
        <v>32714</v>
      </c>
    </row>
    <row r="5" spans="1:5" x14ac:dyDescent="0.2">
      <c r="A5" s="6" t="s">
        <v>517</v>
      </c>
      <c r="B5" s="13">
        <v>1269</v>
      </c>
      <c r="C5" s="18">
        <v>3632</v>
      </c>
      <c r="D5" s="2">
        <f>SUM(MemberOfAssemblyAssemblyDistrict126General[[#This Row],[Part of Cayuga County Vote Results]:[Part of Onondaga County Vote Results]])</f>
        <v>4901</v>
      </c>
      <c r="E5" s="1"/>
    </row>
    <row r="6" spans="1:5" x14ac:dyDescent="0.2">
      <c r="A6" s="5" t="s">
        <v>0</v>
      </c>
      <c r="B6" s="13">
        <v>516</v>
      </c>
      <c r="C6" s="18">
        <v>1531</v>
      </c>
      <c r="D6" s="2">
        <f>SUM(MemberOfAssemblyAssemblyDistrict126General[[#This Row],[Part of Cayuga County Vote Results]:[Part of Onondaga County Vote Results]])</f>
        <v>2047</v>
      </c>
      <c r="E6" s="1"/>
    </row>
    <row r="7" spans="1:5" x14ac:dyDescent="0.2">
      <c r="A7" s="5" t="s">
        <v>1</v>
      </c>
      <c r="B7" s="13">
        <v>7</v>
      </c>
      <c r="C7" s="18">
        <v>5</v>
      </c>
      <c r="D7" s="2">
        <f>SUM(MemberOfAssemblyAssemblyDistrict126General[[#This Row],[Part of Cayuga County Vote Results]:[Part of Onondaga County Vote Results]])</f>
        <v>12</v>
      </c>
      <c r="E7" s="1"/>
    </row>
    <row r="8" spans="1:5" x14ac:dyDescent="0.2">
      <c r="A8" s="5" t="s">
        <v>5</v>
      </c>
      <c r="B8" s="13">
        <v>8</v>
      </c>
      <c r="C8" s="18">
        <v>15</v>
      </c>
      <c r="D8" s="2">
        <f>SUM(MemberOfAssemblyAssemblyDistrict126General[[#This Row],[Part of Cayuga County Vote Results]:[Part of Onondaga County Vote Results]])</f>
        <v>23</v>
      </c>
      <c r="E8" s="1"/>
    </row>
    <row r="9" spans="1:5" x14ac:dyDescent="0.2">
      <c r="A9" s="4" t="s">
        <v>2</v>
      </c>
      <c r="B9" s="13">
        <f>SUM(MemberOfAssemblyAssemblyDistrict126General[Part of Cayuga County Vote Results])</f>
        <v>15422</v>
      </c>
      <c r="C9" s="13">
        <f>SUM(MemberOfAssemblyAssemblyDistrict126General[Part of Onondaga County Vote Results])</f>
        <v>43048</v>
      </c>
      <c r="D9" s="2">
        <f>SUM(MemberOfAssemblyAssemblyDistrict126General[Total Votes by Party])</f>
        <v>58470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B3C6-0685-45F0-AC0B-B3B3DDB4B1AE}">
  <sheetPr codeName="Sheet173"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18.75" x14ac:dyDescent="0.2">
      <c r="A1" s="11" t="s">
        <v>523</v>
      </c>
      <c r="B1" s="47"/>
      <c r="C1" s="47"/>
    </row>
    <row r="2" spans="1:5" ht="25.5" x14ac:dyDescent="0.2">
      <c r="A2" s="10" t="s">
        <v>8</v>
      </c>
      <c r="B2" s="56" t="s">
        <v>419</v>
      </c>
      <c r="C2" s="55" t="s">
        <v>48</v>
      </c>
      <c r="D2" s="9" t="s">
        <v>3</v>
      </c>
      <c r="E2" s="8" t="s">
        <v>4</v>
      </c>
    </row>
    <row r="3" spans="1:5" x14ac:dyDescent="0.2">
      <c r="A3" s="6" t="s">
        <v>522</v>
      </c>
      <c r="B3" s="53">
        <v>1806</v>
      </c>
      <c r="C3" s="13">
        <v>27192</v>
      </c>
      <c r="D3" s="2">
        <f>SUM(MemberOfAssemblyAssemblyDistrict127General[[#This Row],[Part of Madison County Vote Results]:[Part of Onondaga County Vote Results]])</f>
        <v>28998</v>
      </c>
      <c r="E3" s="7">
        <f>SUM(MemberOfAssemblyAssemblyDistrict127General[[#This Row],[Total Votes by Party]],D6)</f>
        <v>31079</v>
      </c>
    </row>
    <row r="4" spans="1:5" x14ac:dyDescent="0.2">
      <c r="A4" s="4" t="s">
        <v>627</v>
      </c>
      <c r="B4" s="53">
        <v>1309</v>
      </c>
      <c r="C4" s="13">
        <v>19707</v>
      </c>
      <c r="D4" s="2">
        <f>SUM(MemberOfAssemblyAssemblyDistrict127General[[#This Row],[Part of Madison County Vote Results]:[Part of Onondaga County Vote Results]])</f>
        <v>21016</v>
      </c>
      <c r="E4" s="7">
        <f>SUM(MemberOfAssemblyAssemblyDistrict127General[[#This Row],[Total Votes by Party]],D5)</f>
        <v>24858</v>
      </c>
    </row>
    <row r="5" spans="1:5" x14ac:dyDescent="0.2">
      <c r="A5" s="4" t="s">
        <v>628</v>
      </c>
      <c r="B5" s="53">
        <v>248</v>
      </c>
      <c r="C5" s="13">
        <v>3594</v>
      </c>
      <c r="D5" s="2">
        <f>SUM(MemberOfAssemblyAssemblyDistrict127General[[#This Row],[Part of Madison County Vote Results]:[Part of Onondaga County Vote Results]])</f>
        <v>3842</v>
      </c>
      <c r="E5" s="1"/>
    </row>
    <row r="6" spans="1:5" x14ac:dyDescent="0.2">
      <c r="A6" s="6" t="s">
        <v>521</v>
      </c>
      <c r="B6" s="53">
        <v>132</v>
      </c>
      <c r="C6" s="13">
        <v>1949</v>
      </c>
      <c r="D6" s="2">
        <f>SUM(MemberOfAssemblyAssemblyDistrict127General[[#This Row],[Part of Madison County Vote Results]:[Part of Onondaga County Vote Results]])</f>
        <v>2081</v>
      </c>
      <c r="E6" s="1"/>
    </row>
    <row r="7" spans="1:5" x14ac:dyDescent="0.2">
      <c r="A7" s="5" t="s">
        <v>0</v>
      </c>
      <c r="B7" s="54">
        <v>71</v>
      </c>
      <c r="C7" s="13">
        <v>785</v>
      </c>
      <c r="D7" s="2">
        <f>SUM(MemberOfAssemblyAssemblyDistrict127General[[#This Row],[Part of Madison County Vote Results]:[Part of Onondaga County Vote Results]])</f>
        <v>856</v>
      </c>
      <c r="E7" s="1"/>
    </row>
    <row r="8" spans="1:5" x14ac:dyDescent="0.2">
      <c r="A8" s="5" t="s">
        <v>1</v>
      </c>
      <c r="B8" s="54">
        <v>1</v>
      </c>
      <c r="C8" s="13">
        <v>13</v>
      </c>
      <c r="D8" s="2">
        <f>SUM(MemberOfAssemblyAssemblyDistrict127General[[#This Row],[Part of Madison County Vote Results]:[Part of Onondaga County Vote Results]])</f>
        <v>14</v>
      </c>
      <c r="E8" s="1"/>
    </row>
    <row r="9" spans="1:5" x14ac:dyDescent="0.2">
      <c r="A9" s="5" t="s">
        <v>5</v>
      </c>
      <c r="B9" s="54">
        <v>2</v>
      </c>
      <c r="C9" s="13">
        <v>18</v>
      </c>
      <c r="D9" s="2">
        <f>SUM(MemberOfAssemblyAssemblyDistrict127General[[#This Row],[Part of Madison County Vote Results]:[Part of Onondaga County Vote Results]])</f>
        <v>20</v>
      </c>
      <c r="E9" s="1"/>
    </row>
    <row r="10" spans="1:5" x14ac:dyDescent="0.2">
      <c r="A10" s="4" t="s">
        <v>2</v>
      </c>
      <c r="B10" s="13">
        <f>SUM(MemberOfAssemblyAssemblyDistrict127General[Part of Madison County Vote Results])</f>
        <v>3569</v>
      </c>
      <c r="C10" s="13">
        <f>SUM(MemberOfAssemblyAssemblyDistrict127General[Part of Onondaga County Vote Results])</f>
        <v>53258</v>
      </c>
      <c r="D10" s="2">
        <f>SUM(MemberOfAssemblyAssemblyDistrict127General[Total Votes by Party])</f>
        <v>56827</v>
      </c>
      <c r="E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4C54-75A2-40DE-A066-EEE2846E59E7}">
  <sheetPr codeName="Sheet174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528</v>
      </c>
    </row>
    <row r="2" spans="1:4" ht="25.5" x14ac:dyDescent="0.2">
      <c r="A2" s="10" t="s">
        <v>8</v>
      </c>
      <c r="B2" s="55" t="s">
        <v>48</v>
      </c>
      <c r="C2" s="9" t="s">
        <v>3</v>
      </c>
      <c r="D2" s="8" t="s">
        <v>4</v>
      </c>
    </row>
    <row r="3" spans="1:4" x14ac:dyDescent="0.2">
      <c r="A3" s="6" t="s">
        <v>527</v>
      </c>
      <c r="B3" s="13">
        <v>22539</v>
      </c>
      <c r="C3" s="2">
        <f>MemberOfAssemblyAssemblyDistrict128General[[#This Row],[Part of Onondaga County Vote Results]]</f>
        <v>22539</v>
      </c>
      <c r="D3" s="7">
        <f>SUM(MemberOfAssemblyAssemblyDistrict128General[[#This Row],[Total Votes by Party]],C6)</f>
        <v>24443</v>
      </c>
    </row>
    <row r="4" spans="1:4" x14ac:dyDescent="0.2">
      <c r="A4" s="6" t="s">
        <v>526</v>
      </c>
      <c r="B4" s="13">
        <v>13114</v>
      </c>
      <c r="C4" s="2">
        <f>MemberOfAssemblyAssemblyDistrict128General[[#This Row],[Part of Onondaga County Vote Results]]</f>
        <v>13114</v>
      </c>
      <c r="D4" s="7">
        <f>SUM(MemberOfAssemblyAssemblyDistrict128General[[#This Row],[Total Votes by Party]],C5)</f>
        <v>15717</v>
      </c>
    </row>
    <row r="5" spans="1:4" x14ac:dyDescent="0.2">
      <c r="A5" s="6" t="s">
        <v>525</v>
      </c>
      <c r="B5" s="13">
        <v>2603</v>
      </c>
      <c r="C5" s="2">
        <f>MemberOfAssemblyAssemblyDistrict128General[[#This Row],[Part of Onondaga County Vote Results]]</f>
        <v>2603</v>
      </c>
      <c r="D5" s="1"/>
    </row>
    <row r="6" spans="1:4" x14ac:dyDescent="0.2">
      <c r="A6" s="6" t="s">
        <v>524</v>
      </c>
      <c r="B6" s="13">
        <v>1904</v>
      </c>
      <c r="C6" s="2">
        <f>MemberOfAssemblyAssemblyDistrict128General[[#This Row],[Part of Onondaga County Vote Results]]</f>
        <v>1904</v>
      </c>
      <c r="D6" s="1"/>
    </row>
    <row r="7" spans="1:4" x14ac:dyDescent="0.2">
      <c r="A7" s="5" t="s">
        <v>0</v>
      </c>
      <c r="B7" s="13">
        <v>1187</v>
      </c>
      <c r="C7" s="2">
        <f>MemberOfAssemblyAssemblyDistrict128General[[#This Row],[Part of Onondaga County Vote Results]]</f>
        <v>1187</v>
      </c>
      <c r="D7" s="1"/>
    </row>
    <row r="8" spans="1:4" x14ac:dyDescent="0.2">
      <c r="A8" s="5" t="s">
        <v>1</v>
      </c>
      <c r="B8" s="13">
        <v>15</v>
      </c>
      <c r="C8" s="2">
        <f>MemberOfAssemblyAssemblyDistrict128General[[#This Row],[Part of Onondaga County Vote Results]]</f>
        <v>15</v>
      </c>
      <c r="D8" s="1"/>
    </row>
    <row r="9" spans="1:4" x14ac:dyDescent="0.2">
      <c r="A9" s="5" t="s">
        <v>5</v>
      </c>
      <c r="B9" s="13">
        <v>10</v>
      </c>
      <c r="C9" s="2">
        <f>MemberOfAssemblyAssemblyDistrict128General[[#This Row],[Part of Onondaga County Vote Results]]</f>
        <v>10</v>
      </c>
      <c r="D9" s="1"/>
    </row>
    <row r="10" spans="1:4" x14ac:dyDescent="0.2">
      <c r="A10" s="4" t="s">
        <v>2</v>
      </c>
      <c r="B10" s="13">
        <f>SUM(MemberOfAssemblyAssemblyDistrict128General[Part of Onondaga County Vote Results])</f>
        <v>41372</v>
      </c>
      <c r="C10" s="2">
        <f>SUM(MemberOfAssemblyAssemblyDistrict128General[Total Votes by Party])</f>
        <v>41372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44D2-AD12-4D50-AFB1-693A581F2E43}">
  <sheetPr codeName="Sheet175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530</v>
      </c>
    </row>
    <row r="2" spans="1:4" ht="25.5" x14ac:dyDescent="0.2">
      <c r="A2" s="10" t="s">
        <v>8</v>
      </c>
      <c r="B2" s="55" t="s">
        <v>48</v>
      </c>
      <c r="C2" s="9" t="s">
        <v>3</v>
      </c>
      <c r="D2" s="8" t="s">
        <v>4</v>
      </c>
    </row>
    <row r="3" spans="1:4" x14ac:dyDescent="0.2">
      <c r="A3" s="6" t="s">
        <v>529</v>
      </c>
      <c r="B3" s="13">
        <v>24143</v>
      </c>
      <c r="C3" s="2">
        <f>MemberOfAssemblyAssemblyDistrict129General[[#This Row],[Part of Onondaga County Vote Results]]</f>
        <v>24143</v>
      </c>
      <c r="D3" s="7">
        <f>SUM(MemberOfAssemblyAssemblyDistrict129General[[#This Row],[Total Votes by Party]])</f>
        <v>24143</v>
      </c>
    </row>
    <row r="4" spans="1:4" x14ac:dyDescent="0.2">
      <c r="A4" s="5" t="s">
        <v>0</v>
      </c>
      <c r="B4" s="13">
        <v>9152</v>
      </c>
      <c r="C4" s="2">
        <f>MemberOfAssemblyAssemblyDistrict129General[[#This Row],[Part of Onondaga County Vote Results]]</f>
        <v>9152</v>
      </c>
      <c r="D4" s="1"/>
    </row>
    <row r="5" spans="1:4" x14ac:dyDescent="0.2">
      <c r="A5" s="5" t="s">
        <v>1</v>
      </c>
      <c r="B5" s="13">
        <v>1</v>
      </c>
      <c r="C5" s="2">
        <f>MemberOfAssemblyAssemblyDistrict129General[[#This Row],[Part of Onondaga County Vote Results]]</f>
        <v>1</v>
      </c>
      <c r="D5" s="1"/>
    </row>
    <row r="6" spans="1:4" x14ac:dyDescent="0.2">
      <c r="A6" s="5" t="s">
        <v>5</v>
      </c>
      <c r="B6" s="13">
        <v>235</v>
      </c>
      <c r="C6" s="2">
        <f>MemberOfAssemblyAssemblyDistrict129General[[#This Row],[Part of Onondaga County Vote Results]]</f>
        <v>235</v>
      </c>
      <c r="D6" s="1"/>
    </row>
    <row r="7" spans="1:4" x14ac:dyDescent="0.2">
      <c r="A7" s="4" t="s">
        <v>2</v>
      </c>
      <c r="B7" s="13">
        <f>SUM(MemberOfAssemblyAssemblyDistrict129General[Part of Onondaga County Vote Results])</f>
        <v>33531</v>
      </c>
      <c r="C7" s="2">
        <f>SUM(MemberOfAssemblyAssemblyDistrict129General[Total Votes by Party])</f>
        <v>33531</v>
      </c>
      <c r="D7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8B77-F168-47AF-BB59-F131E148FBF7}">
  <sheetPr codeName="Sheet59">
    <pageSetUpPr fitToPage="1"/>
  </sheetPr>
  <dimension ref="A1:D10"/>
  <sheetViews>
    <sheetView workbookViewId="0">
      <selection activeCell="A4" sqref="A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103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647</v>
      </c>
      <c r="B3" s="13">
        <v>21781</v>
      </c>
      <c r="C3" s="2">
        <f>MemberOfAssemblyAssemblyDistrict13General[[#This Row],[Part of Nassau County Vote Results]]</f>
        <v>21781</v>
      </c>
      <c r="D3" s="7">
        <f>SUM(C3,C6)</f>
        <v>22702</v>
      </c>
    </row>
    <row r="4" spans="1:4" x14ac:dyDescent="0.2">
      <c r="A4" s="6" t="s">
        <v>102</v>
      </c>
      <c r="B4" s="13">
        <v>17261</v>
      </c>
      <c r="C4" s="2">
        <f>MemberOfAssemblyAssemblyDistrict13General[[#This Row],[Part of Nassau County Vote Results]]</f>
        <v>17261</v>
      </c>
      <c r="D4" s="7">
        <f>SUM(C4,C5)</f>
        <v>18865</v>
      </c>
    </row>
    <row r="5" spans="1:4" x14ac:dyDescent="0.2">
      <c r="A5" s="6" t="s">
        <v>101</v>
      </c>
      <c r="B5" s="13">
        <v>1604</v>
      </c>
      <c r="C5" s="2">
        <f>MemberOfAssemblyAssemblyDistrict13General[[#This Row],[Part of Nassau County Vote Results]]</f>
        <v>1604</v>
      </c>
      <c r="D5" s="1"/>
    </row>
    <row r="6" spans="1:4" x14ac:dyDescent="0.2">
      <c r="A6" s="6" t="s">
        <v>100</v>
      </c>
      <c r="B6" s="13">
        <v>921</v>
      </c>
      <c r="C6" s="2">
        <f>MemberOfAssemblyAssemblyDistrict13General[[#This Row],[Part of Nassau County Vote Results]]</f>
        <v>921</v>
      </c>
      <c r="D6" s="1"/>
    </row>
    <row r="7" spans="1:4" x14ac:dyDescent="0.2">
      <c r="A7" s="5" t="s">
        <v>0</v>
      </c>
      <c r="B7" s="13">
        <v>1732</v>
      </c>
      <c r="C7" s="2">
        <f>MemberOfAssemblyAssemblyDistrict13General[[#This Row],[Part of Nassau County Vote Results]]</f>
        <v>1732</v>
      </c>
      <c r="D7" s="1"/>
    </row>
    <row r="8" spans="1:4" x14ac:dyDescent="0.2">
      <c r="A8" s="5" t="s">
        <v>1</v>
      </c>
      <c r="B8" s="13">
        <v>14</v>
      </c>
      <c r="C8" s="2">
        <f>MemberOfAssemblyAssemblyDistrict13General[[#This Row],[Part of Nassau County Vote Results]]</f>
        <v>14</v>
      </c>
      <c r="D8" s="1"/>
    </row>
    <row r="9" spans="1:4" x14ac:dyDescent="0.2">
      <c r="A9" s="5" t="s">
        <v>5</v>
      </c>
      <c r="B9" s="13">
        <v>28</v>
      </c>
      <c r="C9" s="2">
        <f>MemberOfAssemblyAssemblyDistrict13General[[#This Row],[Part of Nassau County Vote Results]]</f>
        <v>28</v>
      </c>
      <c r="D9" s="1"/>
    </row>
    <row r="10" spans="1:4" x14ac:dyDescent="0.2">
      <c r="A10" s="4" t="s">
        <v>2</v>
      </c>
      <c r="B10" s="13">
        <f>SUM(MemberOfAssemblyAssemblyDistrict13General[Part of Nassau County Vote Results])</f>
        <v>43341</v>
      </c>
      <c r="C10" s="2">
        <f>SUM(MemberOfAssemblyAssemblyDistrict13General[Total Votes by Party])</f>
        <v>43341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8862-A514-4A79-9BD6-E34839D7D51C}">
  <sheetPr codeName="Sheet176"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5" ht="18.75" x14ac:dyDescent="0.2">
      <c r="A1" s="11" t="s">
        <v>535</v>
      </c>
    </row>
    <row r="2" spans="1:5" ht="25.5" x14ac:dyDescent="0.2">
      <c r="A2" s="10" t="s">
        <v>8</v>
      </c>
      <c r="B2" s="55" t="s">
        <v>53</v>
      </c>
      <c r="C2" s="55" t="s">
        <v>16</v>
      </c>
      <c r="D2" s="9" t="s">
        <v>3</v>
      </c>
      <c r="E2" s="8" t="s">
        <v>4</v>
      </c>
    </row>
    <row r="3" spans="1:5" x14ac:dyDescent="0.2">
      <c r="A3" s="6" t="s">
        <v>534</v>
      </c>
      <c r="B3" s="13">
        <v>8701</v>
      </c>
      <c r="C3" s="13">
        <v>8513</v>
      </c>
      <c r="D3" s="2">
        <f>SUM(MemberOfAssemblyAssemblyDistrict130General[[#This Row],[Part of Monroe County Vote Results]:[Wayne County Vote Results]])</f>
        <v>17214</v>
      </c>
      <c r="E3" s="7">
        <f>SUM(MemberOfAssemblyAssemblyDistrict130General[[#This Row],[Total Votes by Party]],D6)</f>
        <v>18431</v>
      </c>
    </row>
    <row r="4" spans="1:5" x14ac:dyDescent="0.2">
      <c r="A4" s="6" t="s">
        <v>533</v>
      </c>
      <c r="B4" s="13">
        <v>9733</v>
      </c>
      <c r="C4" s="13">
        <v>19905</v>
      </c>
      <c r="D4" s="2">
        <f>SUM(MemberOfAssemblyAssemblyDistrict130General[[#This Row],[Part of Monroe County Vote Results]:[Wayne County Vote Results]])</f>
        <v>29638</v>
      </c>
      <c r="E4" s="7">
        <f>SUM(MemberOfAssemblyAssemblyDistrict130General[[#This Row],[Total Votes by Party]],D5)</f>
        <v>35607</v>
      </c>
    </row>
    <row r="5" spans="1:5" x14ac:dyDescent="0.2">
      <c r="A5" s="6" t="s">
        <v>532</v>
      </c>
      <c r="B5" s="13">
        <v>1909</v>
      </c>
      <c r="C5" s="13">
        <v>4060</v>
      </c>
      <c r="D5" s="2">
        <f>SUM(MemberOfAssemblyAssemblyDistrict130General[[#This Row],[Part of Monroe County Vote Results]:[Wayne County Vote Results]])</f>
        <v>5969</v>
      </c>
      <c r="E5" s="1"/>
    </row>
    <row r="6" spans="1:5" x14ac:dyDescent="0.2">
      <c r="A6" s="6" t="s">
        <v>531</v>
      </c>
      <c r="B6" s="13">
        <v>626</v>
      </c>
      <c r="C6" s="13">
        <v>591</v>
      </c>
      <c r="D6" s="2">
        <f>SUM(MemberOfAssemblyAssemblyDistrict130General[[#This Row],[Part of Monroe County Vote Results]:[Wayne County Vote Results]])</f>
        <v>1217</v>
      </c>
      <c r="E6" s="1"/>
    </row>
    <row r="7" spans="1:5" x14ac:dyDescent="0.2">
      <c r="A7" s="5" t="s">
        <v>0</v>
      </c>
      <c r="B7" s="13">
        <v>768</v>
      </c>
      <c r="C7" s="13">
        <v>791</v>
      </c>
      <c r="D7" s="2">
        <f>SUM(MemberOfAssemblyAssemblyDistrict130General[[#This Row],[Part of Monroe County Vote Results]:[Wayne County Vote Results]])</f>
        <v>1559</v>
      </c>
      <c r="E7" s="1"/>
    </row>
    <row r="8" spans="1:5" x14ac:dyDescent="0.2">
      <c r="A8" s="5" t="s">
        <v>1</v>
      </c>
      <c r="B8" s="13">
        <v>2</v>
      </c>
      <c r="C8" s="13">
        <v>4</v>
      </c>
      <c r="D8" s="2">
        <f>SUM(MemberOfAssemblyAssemblyDistrict130General[[#This Row],[Part of Monroe County Vote Results]:[Wayne County Vote Results]])</f>
        <v>6</v>
      </c>
      <c r="E8" s="1"/>
    </row>
    <row r="9" spans="1:5" x14ac:dyDescent="0.2">
      <c r="A9" s="5" t="s">
        <v>5</v>
      </c>
      <c r="B9" s="13">
        <v>5</v>
      </c>
      <c r="C9" s="13">
        <v>8</v>
      </c>
      <c r="D9" s="2">
        <f>SUM(MemberOfAssemblyAssemblyDistrict130General[[#This Row],[Part of Monroe County Vote Results]:[Wayne County Vote Results]])</f>
        <v>13</v>
      </c>
      <c r="E9" s="1"/>
    </row>
    <row r="10" spans="1:5" x14ac:dyDescent="0.2">
      <c r="A10" s="4" t="s">
        <v>2</v>
      </c>
      <c r="B10" s="13">
        <f>SUM(MemberOfAssemblyAssemblyDistrict130General[Part of Monroe County Vote Results])</f>
        <v>21744</v>
      </c>
      <c r="C10" s="13">
        <f>SUM(MemberOfAssemblyAssemblyDistrict130General[Wayne County Vote Results])</f>
        <v>33872</v>
      </c>
      <c r="D10" s="2">
        <f>SUM(MemberOfAssemblyAssemblyDistrict130General[Total Votes by Party])</f>
        <v>55616</v>
      </c>
      <c r="E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6CAB-25F5-4AB9-B630-6F7E00D68EE3}">
  <sheetPr codeName="Sheet177">
    <pageSetUpPr fitToPage="1"/>
  </sheetPr>
  <dimension ref="A1:J8"/>
  <sheetViews>
    <sheetView workbookViewId="0">
      <pane xSplit="1" topLeftCell="B1" activePane="topRight" state="frozen"/>
      <selection pane="topRight" activeCell="B2" sqref="B2"/>
    </sheetView>
  </sheetViews>
  <sheetFormatPr defaultRowHeight="12.75" x14ac:dyDescent="0.2"/>
  <cols>
    <col min="1" max="1" width="25.5703125" customWidth="1"/>
    <col min="2" max="9" width="17.7109375" customWidth="1"/>
    <col min="10" max="10" width="20.7109375" bestFit="1" customWidth="1"/>
  </cols>
  <sheetData>
    <row r="1" spans="1:10" ht="18.75" x14ac:dyDescent="0.2">
      <c r="A1" s="11" t="s">
        <v>540</v>
      </c>
    </row>
    <row r="2" spans="1:10" ht="25.5" x14ac:dyDescent="0.2">
      <c r="A2" s="10" t="s">
        <v>8</v>
      </c>
      <c r="B2" s="55" t="s">
        <v>51</v>
      </c>
      <c r="C2" s="55" t="s">
        <v>495</v>
      </c>
      <c r="D2" s="55" t="s">
        <v>50</v>
      </c>
      <c r="E2" s="55" t="s">
        <v>515</v>
      </c>
      <c r="F2" s="55" t="s">
        <v>419</v>
      </c>
      <c r="G2" s="55" t="s">
        <v>539</v>
      </c>
      <c r="H2" s="55" t="s">
        <v>538</v>
      </c>
      <c r="I2" s="9" t="s">
        <v>3</v>
      </c>
      <c r="J2" s="8" t="s">
        <v>4</v>
      </c>
    </row>
    <row r="3" spans="1:10" x14ac:dyDescent="0.2">
      <c r="A3" s="6" t="s">
        <v>537</v>
      </c>
      <c r="B3" s="13">
        <v>753</v>
      </c>
      <c r="C3" s="13">
        <v>5645</v>
      </c>
      <c r="D3" s="13">
        <v>384</v>
      </c>
      <c r="E3" s="13">
        <v>4262</v>
      </c>
      <c r="F3" s="13">
        <v>393</v>
      </c>
      <c r="G3" s="13">
        <v>14292</v>
      </c>
      <c r="H3" s="13">
        <v>4954</v>
      </c>
      <c r="I3" s="2">
        <f>SUM(MemberOfAssemblyAssemblyDistrict131General[[#This Row],[Part of Broome County Vote Results]:[Part of Seneca County Vote Results]])</f>
        <v>30683</v>
      </c>
      <c r="J3" s="7">
        <f>SUM(MemberOfAssemblyAssemblyDistrict131General[[#This Row],[Total Votes by Party]],I4)</f>
        <v>36658</v>
      </c>
    </row>
    <row r="4" spans="1:10" x14ac:dyDescent="0.2">
      <c r="A4" s="6" t="s">
        <v>536</v>
      </c>
      <c r="B4" s="13">
        <v>96</v>
      </c>
      <c r="C4" s="13">
        <v>1104</v>
      </c>
      <c r="D4" s="13">
        <v>46</v>
      </c>
      <c r="E4" s="13">
        <v>674</v>
      </c>
      <c r="F4" s="13">
        <v>95</v>
      </c>
      <c r="G4" s="13">
        <v>3093</v>
      </c>
      <c r="H4" s="13">
        <v>867</v>
      </c>
      <c r="I4" s="2">
        <f>SUM(MemberOfAssemblyAssemblyDistrict131General[[#This Row],[Part of Broome County Vote Results]:[Part of Seneca County Vote Results]])</f>
        <v>5975</v>
      </c>
      <c r="J4" s="1"/>
    </row>
    <row r="5" spans="1:10" x14ac:dyDescent="0.2">
      <c r="A5" s="5" t="s">
        <v>0</v>
      </c>
      <c r="B5" s="13">
        <v>226</v>
      </c>
      <c r="C5" s="13">
        <v>2261</v>
      </c>
      <c r="D5" s="13">
        <v>98</v>
      </c>
      <c r="E5" s="13">
        <v>1982</v>
      </c>
      <c r="F5" s="13">
        <v>149</v>
      </c>
      <c r="G5" s="13">
        <v>7179</v>
      </c>
      <c r="H5" s="13">
        <v>1932</v>
      </c>
      <c r="I5" s="2">
        <f>SUM(MemberOfAssemblyAssemblyDistrict131General[[#This Row],[Part of Broome County Vote Results]:[Part of Seneca County Vote Results]])</f>
        <v>13827</v>
      </c>
      <c r="J5" s="1"/>
    </row>
    <row r="6" spans="1:10" x14ac:dyDescent="0.2">
      <c r="A6" s="5" t="s">
        <v>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1</v>
      </c>
      <c r="H6" s="13">
        <v>0</v>
      </c>
      <c r="I6" s="2">
        <f>SUM(MemberOfAssemblyAssemblyDistrict131General[[#This Row],[Part of Broome County Vote Results]:[Part of Seneca County Vote Results]])</f>
        <v>1</v>
      </c>
      <c r="J6" s="1"/>
    </row>
    <row r="7" spans="1:10" x14ac:dyDescent="0.2">
      <c r="A7" s="5" t="s">
        <v>5</v>
      </c>
      <c r="B7" s="13">
        <v>1</v>
      </c>
      <c r="C7" s="13">
        <v>27</v>
      </c>
      <c r="D7" s="13">
        <v>0</v>
      </c>
      <c r="E7" s="13">
        <v>45</v>
      </c>
      <c r="F7" s="13">
        <v>2</v>
      </c>
      <c r="G7" s="13">
        <v>107</v>
      </c>
      <c r="H7" s="13">
        <v>39</v>
      </c>
      <c r="I7" s="2">
        <f>SUM(MemberOfAssemblyAssemblyDistrict131General[[#This Row],[Part of Broome County Vote Results]:[Part of Seneca County Vote Results]])</f>
        <v>221</v>
      </c>
      <c r="J7" s="1"/>
    </row>
    <row r="8" spans="1:10" x14ac:dyDescent="0.2">
      <c r="A8" s="4" t="s">
        <v>2</v>
      </c>
      <c r="B8" s="13">
        <f>SUM(MemberOfAssemblyAssemblyDistrict131General[Part of Broome County Vote Results])</f>
        <v>1076</v>
      </c>
      <c r="C8" s="13">
        <f>SUM(MemberOfAssemblyAssemblyDistrict131General[Part of Cayuga County Vote Results])</f>
        <v>9037</v>
      </c>
      <c r="D8" s="13">
        <f>SUM(MemberOfAssemblyAssemblyDistrict131General[Part of Chenango County Vote Results])</f>
        <v>528</v>
      </c>
      <c r="E8" s="13">
        <f>SUM(MemberOfAssemblyAssemblyDistrict131General[Part of Cortland County Vote Results])</f>
        <v>6963</v>
      </c>
      <c r="F8" s="13">
        <f>SUM(MemberOfAssemblyAssemblyDistrict131General[Part of Madison County Vote Results])</f>
        <v>639</v>
      </c>
      <c r="G8" s="13">
        <f>SUM(MemberOfAssemblyAssemblyDistrict131General[Part of Ontario County Vote Results])</f>
        <v>24672</v>
      </c>
      <c r="H8" s="13">
        <f>SUM(MemberOfAssemblyAssemblyDistrict131General[Part of Seneca County Vote Results])</f>
        <v>7792</v>
      </c>
      <c r="I8" s="2">
        <f>SUBTOTAL(109,I3:I7)</f>
        <v>50707</v>
      </c>
      <c r="J8" s="1"/>
    </row>
  </sheetData>
  <pageMargins left="0.25" right="0.25" top="0.25" bottom="0.25" header="0.25" footer="0.25"/>
  <pageSetup scale="7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09D7-DECE-4670-B321-E4E6F0F166E0}">
  <sheetPr codeName="Sheet178">
    <pageSetUpPr fitToPage="1"/>
  </sheetPr>
  <dimension ref="A1:H8"/>
  <sheetViews>
    <sheetView workbookViewId="0">
      <selection activeCell="F2" sqref="F2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18.75" x14ac:dyDescent="0.2">
      <c r="A1" s="11" t="s">
        <v>544</v>
      </c>
    </row>
    <row r="2" spans="1:8" ht="25.5" x14ac:dyDescent="0.2">
      <c r="A2" s="10" t="s">
        <v>8</v>
      </c>
      <c r="B2" s="55" t="s">
        <v>511</v>
      </c>
      <c r="C2" s="55" t="s">
        <v>54</v>
      </c>
      <c r="D2" s="55" t="s">
        <v>538</v>
      </c>
      <c r="E2" s="55" t="s">
        <v>543</v>
      </c>
      <c r="F2" s="55" t="s">
        <v>15</v>
      </c>
      <c r="G2" s="9" t="s">
        <v>3</v>
      </c>
      <c r="H2" s="8" t="s">
        <v>4</v>
      </c>
    </row>
    <row r="3" spans="1:8" x14ac:dyDescent="0.2">
      <c r="A3" s="6" t="s">
        <v>542</v>
      </c>
      <c r="B3" s="13">
        <v>2702</v>
      </c>
      <c r="C3" s="13">
        <v>4985</v>
      </c>
      <c r="D3" s="13">
        <v>2259</v>
      </c>
      <c r="E3" s="13">
        <v>20068</v>
      </c>
      <c r="F3" s="13">
        <v>5276</v>
      </c>
      <c r="G3" s="2">
        <f>SUM(MemberOfAssemblyAssemblyDistrict132General[[#This Row],[Part of Chemung County Vote Results]:[Yates County Vote Results]])</f>
        <v>35290</v>
      </c>
      <c r="H3" s="7">
        <f>SUM(MemberOfAssemblyAssemblyDistrict132General[[#This Row],[Total Votes by Party]],G4)</f>
        <v>39869</v>
      </c>
    </row>
    <row r="4" spans="1:8" x14ac:dyDescent="0.2">
      <c r="A4" s="6" t="s">
        <v>541</v>
      </c>
      <c r="B4" s="13">
        <v>355</v>
      </c>
      <c r="C4" s="13">
        <v>686</v>
      </c>
      <c r="D4" s="13">
        <v>404</v>
      </c>
      <c r="E4" s="13">
        <v>2248</v>
      </c>
      <c r="F4" s="13">
        <v>886</v>
      </c>
      <c r="G4" s="2">
        <f>SUM(MemberOfAssemblyAssemblyDistrict132General[[#This Row],[Part of Chemung County Vote Results]:[Yates County Vote Results]])</f>
        <v>4579</v>
      </c>
      <c r="H4" s="1">
        <f>SUM(MemberOfAssemblyAssemblyDistrict132General[[#This Row],[Total Votes by Party]],G5)</f>
        <v>16324</v>
      </c>
    </row>
    <row r="5" spans="1:8" x14ac:dyDescent="0.2">
      <c r="A5" s="5" t="s">
        <v>0</v>
      </c>
      <c r="B5" s="13">
        <v>687</v>
      </c>
      <c r="C5" s="13">
        <v>2098</v>
      </c>
      <c r="D5" s="13">
        <v>1159</v>
      </c>
      <c r="E5" s="13">
        <v>5636</v>
      </c>
      <c r="F5" s="13">
        <v>2165</v>
      </c>
      <c r="G5" s="2">
        <f>SUM(MemberOfAssemblyAssemblyDistrict132General[[#This Row],[Part of Chemung County Vote Results]:[Yates County Vote Results]])</f>
        <v>11745</v>
      </c>
      <c r="H5" s="1">
        <f>SUM(MemberOfAssemblyAssemblyDistrict132General[[#This Row],[Total Votes by Party]],G6)</f>
        <v>11751</v>
      </c>
    </row>
    <row r="6" spans="1:8" x14ac:dyDescent="0.2">
      <c r="A6" s="5" t="s">
        <v>1</v>
      </c>
      <c r="B6" s="13">
        <v>0</v>
      </c>
      <c r="C6" s="13">
        <v>0</v>
      </c>
      <c r="D6" s="13">
        <v>0</v>
      </c>
      <c r="E6" s="13">
        <v>6</v>
      </c>
      <c r="F6" s="13">
        <v>0</v>
      </c>
      <c r="G6" s="2">
        <f>SUM(MemberOfAssemblyAssemblyDistrict132General[[#This Row],[Part of Chemung County Vote Results]:[Yates County Vote Results]])</f>
        <v>6</v>
      </c>
      <c r="H6" s="1">
        <f>SUM(MemberOfAssemblyAssemblyDistrict132General[[#This Row],[Total Votes by Party]],G7)</f>
        <v>204</v>
      </c>
    </row>
    <row r="7" spans="1:8" x14ac:dyDescent="0.2">
      <c r="A7" s="5" t="s">
        <v>5</v>
      </c>
      <c r="B7" s="13">
        <v>11</v>
      </c>
      <c r="C7" s="13">
        <v>36</v>
      </c>
      <c r="D7" s="13">
        <v>20</v>
      </c>
      <c r="E7" s="13">
        <v>113</v>
      </c>
      <c r="F7" s="13">
        <v>18</v>
      </c>
      <c r="G7" s="2">
        <f>SUM(MemberOfAssemblyAssemblyDistrict132General[[#This Row],[Part of Chemung County Vote Results]:[Yates County Vote Results]])</f>
        <v>198</v>
      </c>
      <c r="H7" s="1">
        <f>SUM(MemberOfAssemblyAssemblyDistrict132General[[#This Row],[Total Votes by Party]],G8)</f>
        <v>52016</v>
      </c>
    </row>
    <row r="8" spans="1:8" x14ac:dyDescent="0.2">
      <c r="A8" s="4" t="s">
        <v>2</v>
      </c>
      <c r="B8" s="13">
        <f>SUM(MemberOfAssemblyAssemblyDistrict132General[Part of Chemung County Vote Results])</f>
        <v>3755</v>
      </c>
      <c r="C8" s="13">
        <f>SUM(MemberOfAssemblyAssemblyDistrict132General[Schuyler County Vote Results])</f>
        <v>7805</v>
      </c>
      <c r="D8" s="13">
        <f>SUM(MemberOfAssemblyAssemblyDistrict132General[Part of Seneca County Vote Results])</f>
        <v>3842</v>
      </c>
      <c r="E8" s="13">
        <f>SUM(MemberOfAssemblyAssemblyDistrict132General[Part of Steuben County Vote Results])</f>
        <v>28071</v>
      </c>
      <c r="F8" s="13">
        <f>SUM(MemberOfAssemblyAssemblyDistrict132General[Yates County Vote Results])</f>
        <v>8345</v>
      </c>
      <c r="G8" s="2">
        <f>SUM(MemberOfAssemblyAssemblyDistrict132General[Total Votes by Party])</f>
        <v>51818</v>
      </c>
      <c r="H8" s="1"/>
    </row>
  </sheetData>
  <pageMargins left="0.25" right="0.25" top="0.25" bottom="0.25" header="0.25" footer="0.25"/>
  <pageSetup scale="8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8179-D02E-46BF-BD98-F2E7D5123352}">
  <sheetPr codeName="Sheet179">
    <pageSetUpPr fitToPage="1"/>
  </sheetPr>
  <dimension ref="A1:H9"/>
  <sheetViews>
    <sheetView workbookViewId="0">
      <pane xSplit="1" topLeftCell="B1" activePane="topRight" state="frozen"/>
      <selection pane="topRight" activeCell="F2" sqref="F2"/>
    </sheetView>
  </sheetViews>
  <sheetFormatPr defaultRowHeight="12.75" x14ac:dyDescent="0.2"/>
  <cols>
    <col min="1" max="1" width="26.28515625" customWidth="1"/>
    <col min="2" max="6" width="20.5703125" customWidth="1"/>
    <col min="7" max="8" width="23.5703125" customWidth="1"/>
  </cols>
  <sheetData>
    <row r="1" spans="1:8" ht="18.75" x14ac:dyDescent="0.2">
      <c r="A1" s="11" t="s">
        <v>549</v>
      </c>
    </row>
    <row r="2" spans="1:8" ht="25.5" x14ac:dyDescent="0.2">
      <c r="A2" s="10" t="s">
        <v>8</v>
      </c>
      <c r="B2" s="55" t="s">
        <v>17</v>
      </c>
      <c r="C2" s="55" t="s">
        <v>53</v>
      </c>
      <c r="D2" s="55" t="s">
        <v>539</v>
      </c>
      <c r="E2" s="55" t="s">
        <v>543</v>
      </c>
      <c r="F2" s="55" t="s">
        <v>548</v>
      </c>
      <c r="G2" s="9" t="s">
        <v>3</v>
      </c>
      <c r="H2" s="8" t="s">
        <v>4</v>
      </c>
    </row>
    <row r="3" spans="1:8" x14ac:dyDescent="0.2">
      <c r="A3" s="6" t="s">
        <v>547</v>
      </c>
      <c r="B3" s="13">
        <v>6750</v>
      </c>
      <c r="C3" s="13">
        <v>1487</v>
      </c>
      <c r="D3" s="13">
        <v>8328</v>
      </c>
      <c r="E3" s="13">
        <v>670</v>
      </c>
      <c r="F3" s="13">
        <v>383</v>
      </c>
      <c r="G3" s="2">
        <f>SUM(MemberOfAssemblyAssemblyDistrict133General[[#This Row],[Livingston County Vote Results]:[Part of Wyoming County Vote Results]])</f>
        <v>17618</v>
      </c>
      <c r="H3" s="7">
        <f>SUM(MemberOfAssemblyAssemblyDistrict133General[[#This Row],[Total Votes by Party]])</f>
        <v>17618</v>
      </c>
    </row>
    <row r="4" spans="1:8" x14ac:dyDescent="0.2">
      <c r="A4" s="6" t="s">
        <v>546</v>
      </c>
      <c r="B4" s="13">
        <v>14828</v>
      </c>
      <c r="C4" s="13">
        <v>2087</v>
      </c>
      <c r="D4" s="13">
        <v>10582</v>
      </c>
      <c r="E4" s="13">
        <v>2794</v>
      </c>
      <c r="F4" s="13">
        <v>899</v>
      </c>
      <c r="G4" s="2">
        <f>SUM(MemberOfAssemblyAssemblyDistrict133General[[#This Row],[Livingston County Vote Results]:[Part of Wyoming County Vote Results]])</f>
        <v>31190</v>
      </c>
      <c r="H4" s="7">
        <f>SUM(MemberOfAssemblyAssemblyDistrict133General[[#This Row],[Total Votes by Party]],G5)</f>
        <v>36589</v>
      </c>
    </row>
    <row r="5" spans="1:8" x14ac:dyDescent="0.2">
      <c r="A5" s="6" t="s">
        <v>545</v>
      </c>
      <c r="B5" s="13">
        <v>2456</v>
      </c>
      <c r="C5" s="13">
        <v>512</v>
      </c>
      <c r="D5" s="13">
        <v>1962</v>
      </c>
      <c r="E5" s="13">
        <v>330</v>
      </c>
      <c r="F5" s="13">
        <v>139</v>
      </c>
      <c r="G5" s="2">
        <f>SUM(MemberOfAssemblyAssemblyDistrict133General[[#This Row],[Livingston County Vote Results]:[Part of Wyoming County Vote Results]])</f>
        <v>5399</v>
      </c>
      <c r="H5" s="1"/>
    </row>
    <row r="6" spans="1:8" x14ac:dyDescent="0.2">
      <c r="A6" s="5" t="s">
        <v>0</v>
      </c>
      <c r="B6" s="13">
        <v>466</v>
      </c>
      <c r="C6" s="13">
        <v>80</v>
      </c>
      <c r="D6" s="13">
        <v>697</v>
      </c>
      <c r="E6" s="13">
        <v>100</v>
      </c>
      <c r="F6" s="13">
        <v>60</v>
      </c>
      <c r="G6" s="2">
        <f>SUM(MemberOfAssemblyAssemblyDistrict133General[[#This Row],[Livingston County Vote Results]:[Part of Wyoming County Vote Results]])</f>
        <v>1403</v>
      </c>
      <c r="H6" s="1"/>
    </row>
    <row r="7" spans="1:8" x14ac:dyDescent="0.2">
      <c r="A7" s="5" t="s">
        <v>1</v>
      </c>
      <c r="B7" s="13">
        <v>7</v>
      </c>
      <c r="C7" s="13">
        <v>0</v>
      </c>
      <c r="D7" s="13">
        <v>2</v>
      </c>
      <c r="E7" s="13">
        <v>2</v>
      </c>
      <c r="F7" s="13">
        <v>1</v>
      </c>
      <c r="G7" s="2">
        <f>SUM(MemberOfAssemblyAssemblyDistrict133General[[#This Row],[Livingston County Vote Results]:[Part of Wyoming County Vote Results]])</f>
        <v>12</v>
      </c>
      <c r="H7" s="1"/>
    </row>
    <row r="8" spans="1:8" x14ac:dyDescent="0.2">
      <c r="A8" s="5" t="s">
        <v>5</v>
      </c>
      <c r="B8" s="13">
        <v>5</v>
      </c>
      <c r="C8" s="13">
        <v>0</v>
      </c>
      <c r="D8" s="13">
        <v>2</v>
      </c>
      <c r="E8" s="13">
        <v>0</v>
      </c>
      <c r="F8" s="13">
        <v>1</v>
      </c>
      <c r="G8" s="2">
        <f>SUM(MemberOfAssemblyAssemblyDistrict133General[[#This Row],[Livingston County Vote Results]:[Part of Wyoming County Vote Results]])</f>
        <v>8</v>
      </c>
      <c r="H8" s="1"/>
    </row>
    <row r="9" spans="1:8" x14ac:dyDescent="0.2">
      <c r="A9" s="4" t="s">
        <v>2</v>
      </c>
      <c r="B9" s="13">
        <f>SUM(MemberOfAssemblyAssemblyDistrict133General[Livingston County Vote Results])</f>
        <v>24512</v>
      </c>
      <c r="C9" s="13">
        <f>SUM(MemberOfAssemblyAssemblyDistrict133General[Part of Monroe County Vote Results])</f>
        <v>4166</v>
      </c>
      <c r="D9" s="13">
        <f>SUM(MemberOfAssemblyAssemblyDistrict133General[Part of Ontario County Vote Results])</f>
        <v>21573</v>
      </c>
      <c r="E9" s="13">
        <f>SUM(MemberOfAssemblyAssemblyDistrict133General[Part of Steuben County Vote Results])</f>
        <v>3896</v>
      </c>
      <c r="F9" s="13">
        <f>SUM(MemberOfAssemblyAssemblyDistrict133General[Part of Wyoming County Vote Results])</f>
        <v>1483</v>
      </c>
      <c r="G9" s="2">
        <f>SUM(MemberOfAssemblyAssemblyDistrict133General[Total Votes by Party])</f>
        <v>55630</v>
      </c>
      <c r="H9" s="1"/>
    </row>
  </sheetData>
  <pageMargins left="0.25" right="0.25" top="0.25" bottom="0.25" header="0.25" footer="0.25"/>
  <pageSetup scale="77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FC11-D25A-4103-988F-D10A984F9039}">
  <sheetPr codeName="Sheet180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550</v>
      </c>
    </row>
    <row r="2" spans="1:4" ht="25.5" x14ac:dyDescent="0.2">
      <c r="A2" s="10" t="s">
        <v>8</v>
      </c>
      <c r="B2" s="55" t="s">
        <v>53</v>
      </c>
      <c r="C2" s="9" t="s">
        <v>3</v>
      </c>
      <c r="D2" s="8" t="s">
        <v>4</v>
      </c>
    </row>
    <row r="3" spans="1:4" x14ac:dyDescent="0.2">
      <c r="A3" s="6" t="s">
        <v>623</v>
      </c>
      <c r="B3" s="13">
        <v>31027</v>
      </c>
      <c r="C3" s="2">
        <f>MemberOfAssemblyAssemblyDistrict134General[[#This Row],[Part of Monroe County Vote Results]]</f>
        <v>31027</v>
      </c>
      <c r="D3" s="7">
        <f>SUM(MemberOfAssemblyAssemblyDistrict134General[[#This Row],[Total Votes by Party]],C4)</f>
        <v>38580</v>
      </c>
    </row>
    <row r="4" spans="1:4" x14ac:dyDescent="0.2">
      <c r="A4" s="6" t="s">
        <v>624</v>
      </c>
      <c r="B4" s="13">
        <v>7553</v>
      </c>
      <c r="C4" s="2">
        <f>MemberOfAssemblyAssemblyDistrict134General[[#This Row],[Part of Monroe County Vote Results]]</f>
        <v>7553</v>
      </c>
      <c r="D4" s="1"/>
    </row>
    <row r="5" spans="1:4" x14ac:dyDescent="0.2">
      <c r="A5" s="5" t="s">
        <v>0</v>
      </c>
      <c r="B5" s="13">
        <v>15143</v>
      </c>
      <c r="C5" s="2">
        <f>MemberOfAssemblyAssemblyDistrict134General[[#This Row],[Part of Monroe County Vote Results]]</f>
        <v>15143</v>
      </c>
      <c r="D5" s="1"/>
    </row>
    <row r="6" spans="1:4" x14ac:dyDescent="0.2">
      <c r="A6" s="5" t="s">
        <v>1</v>
      </c>
      <c r="B6" s="13">
        <v>1</v>
      </c>
      <c r="C6" s="2">
        <f>MemberOfAssemblyAssemblyDistrict134General[[#This Row],[Part of Monroe County Vote Results]]</f>
        <v>1</v>
      </c>
      <c r="D6" s="1"/>
    </row>
    <row r="7" spans="1:4" x14ac:dyDescent="0.2">
      <c r="A7" s="5" t="s">
        <v>5</v>
      </c>
      <c r="B7" s="13">
        <v>284</v>
      </c>
      <c r="C7" s="2">
        <f>MemberOfAssemblyAssemblyDistrict134General[[#This Row],[Part of Monroe County Vote Results]]</f>
        <v>284</v>
      </c>
      <c r="D7" s="1"/>
    </row>
    <row r="8" spans="1:4" x14ac:dyDescent="0.2">
      <c r="A8" s="4" t="s">
        <v>2</v>
      </c>
      <c r="B8" s="13">
        <f>SUM(MemberOfAssemblyAssemblyDistrict134General[Part of Monroe County Vote Results])</f>
        <v>54008</v>
      </c>
      <c r="C8" s="2">
        <f>SUM(MemberOfAssemblyAssemblyDistrict134General[Total Votes by Party])</f>
        <v>54008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A46F-634D-4E97-80F3-128F4463FC6B}">
  <sheetPr codeName="Sheet181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552</v>
      </c>
    </row>
    <row r="2" spans="1:4" ht="25.5" x14ac:dyDescent="0.2">
      <c r="A2" s="10" t="s">
        <v>8</v>
      </c>
      <c r="B2" s="55" t="s">
        <v>53</v>
      </c>
      <c r="C2" s="9" t="s">
        <v>3</v>
      </c>
      <c r="D2" s="8" t="s">
        <v>4</v>
      </c>
    </row>
    <row r="3" spans="1:4" x14ac:dyDescent="0.2">
      <c r="A3" s="12" t="s">
        <v>553</v>
      </c>
      <c r="B3" s="51">
        <v>33242</v>
      </c>
      <c r="C3" s="32">
        <f>SUM(MemberOfAssemblyAssemblyDistrict135General[[#This Row],[Part of Monroe County Vote Results]])</f>
        <v>33242</v>
      </c>
      <c r="D3" s="7">
        <f>SUM(MemberOfAssemblyAssemblyDistrict135General[[#This Row],[Total Votes by Party]],C6)</f>
        <v>35569</v>
      </c>
    </row>
    <row r="4" spans="1:4" x14ac:dyDescent="0.2">
      <c r="A4" s="6" t="s">
        <v>551</v>
      </c>
      <c r="B4" s="13">
        <v>23927</v>
      </c>
      <c r="C4" s="2">
        <f>SUM(MemberOfAssemblyAssemblyDistrict135General[[#This Row],[Part of Monroe County Vote Results]])</f>
        <v>23927</v>
      </c>
      <c r="D4" s="7">
        <f>SUM(MemberOfAssemblyAssemblyDistrict135General[[#This Row],[Total Votes by Party]],C5)</f>
        <v>28674</v>
      </c>
    </row>
    <row r="5" spans="1:4" x14ac:dyDescent="0.2">
      <c r="A5" s="6" t="s">
        <v>554</v>
      </c>
      <c r="B5" s="13">
        <v>4747</v>
      </c>
      <c r="C5" s="2">
        <f>SUM(MemberOfAssemblyAssemblyDistrict135General[[#This Row],[Part of Monroe County Vote Results]])</f>
        <v>4747</v>
      </c>
      <c r="D5" s="1"/>
    </row>
    <row r="6" spans="1:4" x14ac:dyDescent="0.2">
      <c r="A6" s="6" t="s">
        <v>555</v>
      </c>
      <c r="B6" s="13">
        <v>2327</v>
      </c>
      <c r="C6" s="2">
        <f>SUM(MemberOfAssemblyAssemblyDistrict135General[[#This Row],[Part of Monroe County Vote Results]])</f>
        <v>2327</v>
      </c>
      <c r="D6" s="1"/>
    </row>
    <row r="7" spans="1:4" x14ac:dyDescent="0.2">
      <c r="A7" s="5" t="s">
        <v>0</v>
      </c>
      <c r="B7" s="13">
        <v>969</v>
      </c>
      <c r="C7" s="2">
        <f>SUM(MemberOfAssemblyAssemblyDistrict135General[[#This Row],[Part of Monroe County Vote Results]])</f>
        <v>969</v>
      </c>
      <c r="D7" s="1"/>
    </row>
    <row r="8" spans="1:4" x14ac:dyDescent="0.2">
      <c r="A8" s="5" t="s">
        <v>1</v>
      </c>
      <c r="B8" s="13">
        <v>3</v>
      </c>
      <c r="C8" s="2">
        <f>SUM(MemberOfAssemblyAssemblyDistrict135General[[#This Row],[Part of Monroe County Vote Results]])</f>
        <v>3</v>
      </c>
      <c r="D8" s="1"/>
    </row>
    <row r="9" spans="1:4" x14ac:dyDescent="0.2">
      <c r="A9" s="5" t="s">
        <v>5</v>
      </c>
      <c r="B9" s="13">
        <v>12</v>
      </c>
      <c r="C9" s="2">
        <f>SUM(MemberOfAssemblyAssemblyDistrict135General[[#This Row],[Part of Monroe County Vote Results]])</f>
        <v>12</v>
      </c>
      <c r="D9" s="1"/>
    </row>
    <row r="10" spans="1:4" x14ac:dyDescent="0.2">
      <c r="A10" s="4" t="s">
        <v>2</v>
      </c>
      <c r="B10" s="13">
        <f>SUM(MemberOfAssemblyAssemblyDistrict135General[Part of Monroe County Vote Results])</f>
        <v>65227</v>
      </c>
      <c r="C10" s="2">
        <f>SUM(MemberOfAssemblyAssemblyDistrict135General[Total Votes by Party])</f>
        <v>65227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642F-A684-4E52-A3D0-76715EC40584}">
  <sheetPr codeName="Sheet182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28" t="s">
        <v>558</v>
      </c>
    </row>
    <row r="2" spans="1:4" ht="25.5" x14ac:dyDescent="0.2">
      <c r="A2" s="10" t="s">
        <v>8</v>
      </c>
      <c r="B2" s="55" t="s">
        <v>53</v>
      </c>
      <c r="C2" s="9" t="s">
        <v>3</v>
      </c>
      <c r="D2" s="8" t="s">
        <v>4</v>
      </c>
    </row>
    <row r="3" spans="1:4" x14ac:dyDescent="0.2">
      <c r="A3" s="6" t="s">
        <v>557</v>
      </c>
      <c r="B3" s="13">
        <v>28882</v>
      </c>
      <c r="C3" s="2">
        <f t="shared" ref="C3:C9" si="0">B3</f>
        <v>28882</v>
      </c>
      <c r="D3" s="7">
        <f>SUM(MemberOfAssemblyAssemblyDistrict136General[[#This Row],[Total Votes by Party]],C6)</f>
        <v>31963</v>
      </c>
    </row>
    <row r="4" spans="1:4" x14ac:dyDescent="0.2">
      <c r="A4" s="6" t="s">
        <v>559</v>
      </c>
      <c r="B4" s="13">
        <v>13440</v>
      </c>
      <c r="C4" s="2">
        <f t="shared" si="0"/>
        <v>13440</v>
      </c>
      <c r="D4" s="7">
        <f>SUM(MemberOfAssemblyAssemblyDistrict136General[[#This Row],[Total Votes by Party]],C5)</f>
        <v>16185</v>
      </c>
    </row>
    <row r="5" spans="1:4" x14ac:dyDescent="0.2">
      <c r="A5" s="6" t="s">
        <v>560</v>
      </c>
      <c r="B5" s="13">
        <v>2745</v>
      </c>
      <c r="C5" s="2">
        <f t="shared" si="0"/>
        <v>2745</v>
      </c>
      <c r="D5" s="1"/>
    </row>
    <row r="6" spans="1:4" x14ac:dyDescent="0.2">
      <c r="A6" s="6" t="s">
        <v>556</v>
      </c>
      <c r="B6" s="13">
        <v>3081</v>
      </c>
      <c r="C6" s="2">
        <f t="shared" si="0"/>
        <v>3081</v>
      </c>
      <c r="D6" s="1"/>
    </row>
    <row r="7" spans="1:4" x14ac:dyDescent="0.2">
      <c r="A7" s="5" t="s">
        <v>0</v>
      </c>
      <c r="B7" s="13">
        <v>1608</v>
      </c>
      <c r="C7" s="2">
        <f t="shared" si="0"/>
        <v>1608</v>
      </c>
      <c r="D7" s="1"/>
    </row>
    <row r="8" spans="1:4" x14ac:dyDescent="0.2">
      <c r="A8" s="5" t="s">
        <v>1</v>
      </c>
      <c r="B8" s="13">
        <v>8</v>
      </c>
      <c r="C8" s="2">
        <f t="shared" si="0"/>
        <v>8</v>
      </c>
      <c r="D8" s="1"/>
    </row>
    <row r="9" spans="1:4" x14ac:dyDescent="0.2">
      <c r="A9" s="5" t="s">
        <v>5</v>
      </c>
      <c r="B9" s="13">
        <v>16</v>
      </c>
      <c r="C9" s="2">
        <f t="shared" si="0"/>
        <v>16</v>
      </c>
      <c r="D9" s="1"/>
    </row>
    <row r="10" spans="1:4" x14ac:dyDescent="0.2">
      <c r="A10" s="4" t="s">
        <v>2</v>
      </c>
      <c r="B10" s="13">
        <f>SUM(MemberOfAssemblyAssemblyDistrict136General[Part of Monroe County Vote Results])</f>
        <v>49780</v>
      </c>
      <c r="C10" s="2">
        <f>SUM(MemberOfAssemblyAssemblyDistrict136General[Total Votes by Party])</f>
        <v>49780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A9ED-5FD7-45EA-92F0-BB3C1A05C149}">
  <sheetPr codeName="Sheet183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28" t="s">
        <v>562</v>
      </c>
    </row>
    <row r="2" spans="1:4" ht="25.5" x14ac:dyDescent="0.2">
      <c r="A2" s="10" t="s">
        <v>8</v>
      </c>
      <c r="B2" s="55" t="s">
        <v>53</v>
      </c>
      <c r="C2" s="9" t="s">
        <v>3</v>
      </c>
      <c r="D2" s="8" t="s">
        <v>4</v>
      </c>
    </row>
    <row r="3" spans="1:4" x14ac:dyDescent="0.2">
      <c r="A3" s="12" t="s">
        <v>564</v>
      </c>
      <c r="B3" s="51">
        <v>15757</v>
      </c>
      <c r="C3" s="32">
        <f>MemberOfAssemblyAssemblyDistrict137General[[#This Row],[Part of Monroe County Vote Results]]</f>
        <v>15757</v>
      </c>
      <c r="D3" s="7">
        <f>SUM(MemberOfAssemblyAssemblyDistrict137General[[#This Row],[Total Votes by Party]],C6)</f>
        <v>16900</v>
      </c>
    </row>
    <row r="4" spans="1:4" x14ac:dyDescent="0.2">
      <c r="A4" s="12" t="s">
        <v>561</v>
      </c>
      <c r="B4" s="13">
        <v>6640</v>
      </c>
      <c r="C4" s="2">
        <f>MemberOfAssemblyAssemblyDistrict137General[[#This Row],[Part of Monroe County Vote Results]]</f>
        <v>6640</v>
      </c>
      <c r="D4" s="7">
        <f>SUM(MemberOfAssemblyAssemblyDistrict137General[[#This Row],[Total Votes by Party]],C5)</f>
        <v>7990</v>
      </c>
    </row>
    <row r="5" spans="1:4" x14ac:dyDescent="0.2">
      <c r="A5" s="6" t="s">
        <v>563</v>
      </c>
      <c r="B5" s="13">
        <v>1350</v>
      </c>
      <c r="C5" s="2">
        <f>MemberOfAssemblyAssemblyDistrict137General[[#This Row],[Part of Monroe County Vote Results]]</f>
        <v>1350</v>
      </c>
      <c r="D5" s="1"/>
    </row>
    <row r="6" spans="1:4" x14ac:dyDescent="0.2">
      <c r="A6" s="12" t="s">
        <v>565</v>
      </c>
      <c r="B6" s="13">
        <v>1143</v>
      </c>
      <c r="C6" s="2">
        <f>MemberOfAssemblyAssemblyDistrict137General[[#This Row],[Part of Monroe County Vote Results]]</f>
        <v>1143</v>
      </c>
      <c r="D6" s="1"/>
    </row>
    <row r="7" spans="1:4" x14ac:dyDescent="0.2">
      <c r="A7" s="5" t="s">
        <v>0</v>
      </c>
      <c r="B7" s="13">
        <v>1155</v>
      </c>
      <c r="C7" s="2">
        <f>MemberOfAssemblyAssemblyDistrict137General[[#This Row],[Part of Monroe County Vote Results]]</f>
        <v>1155</v>
      </c>
      <c r="D7" s="1"/>
    </row>
    <row r="8" spans="1:4" x14ac:dyDescent="0.2">
      <c r="A8" s="5" t="s">
        <v>1</v>
      </c>
      <c r="B8" s="13">
        <v>12</v>
      </c>
      <c r="C8" s="2">
        <f>MemberOfAssemblyAssemblyDistrict137General[[#This Row],[Part of Monroe County Vote Results]]</f>
        <v>12</v>
      </c>
      <c r="D8" s="1"/>
    </row>
    <row r="9" spans="1:4" x14ac:dyDescent="0.2">
      <c r="A9" s="5" t="s">
        <v>5</v>
      </c>
      <c r="B9" s="13">
        <v>9</v>
      </c>
      <c r="C9" s="2">
        <f>MemberOfAssemblyAssemblyDistrict137General[[#This Row],[Part of Monroe County Vote Results]]</f>
        <v>9</v>
      </c>
      <c r="D9" s="1"/>
    </row>
    <row r="10" spans="1:4" x14ac:dyDescent="0.2">
      <c r="A10" s="4" t="s">
        <v>2</v>
      </c>
      <c r="B10" s="13">
        <f>SUM(MemberOfAssemblyAssemblyDistrict137General[Part of Monroe County Vote Results])</f>
        <v>26066</v>
      </c>
      <c r="C10" s="2">
        <f>SUM(MemberOfAssemblyAssemblyDistrict137General[Total Votes by Party])</f>
        <v>26066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E6EC-38F0-4F1C-A29A-792FF997C201}">
  <sheetPr codeName="Sheet184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28" t="s">
        <v>568</v>
      </c>
    </row>
    <row r="2" spans="1:4" ht="25.5" x14ac:dyDescent="0.2">
      <c r="A2" s="10" t="s">
        <v>8</v>
      </c>
      <c r="B2" s="55" t="s">
        <v>53</v>
      </c>
      <c r="C2" s="9" t="s">
        <v>3</v>
      </c>
      <c r="D2" s="8" t="s">
        <v>4</v>
      </c>
    </row>
    <row r="3" spans="1:4" x14ac:dyDescent="0.2">
      <c r="A3" s="6" t="s">
        <v>567</v>
      </c>
      <c r="B3" s="13">
        <v>23716</v>
      </c>
      <c r="C3" s="2">
        <f>MemberOfAssemblyAssemblyDistrict138General[[#This Row],[Part of Monroe County Vote Results]]</f>
        <v>23716</v>
      </c>
      <c r="D3" s="7">
        <f>SUM(MemberOfAssemblyAssemblyDistrict138General[[#This Row],[Total Votes by Party]],C6)</f>
        <v>26876</v>
      </c>
    </row>
    <row r="4" spans="1:4" x14ac:dyDescent="0.2">
      <c r="A4" s="6" t="s">
        <v>569</v>
      </c>
      <c r="B4" s="13">
        <v>14806</v>
      </c>
      <c r="C4" s="2">
        <f>MemberOfAssemblyAssemblyDistrict138General[[#This Row],[Part of Monroe County Vote Results]]</f>
        <v>14806</v>
      </c>
      <c r="D4" s="7">
        <f>SUM(MemberOfAssemblyAssemblyDistrict138General[[#This Row],[Total Votes by Party]],C5)</f>
        <v>18271</v>
      </c>
    </row>
    <row r="5" spans="1:4" x14ac:dyDescent="0.2">
      <c r="A5" s="6" t="s">
        <v>570</v>
      </c>
      <c r="B5" s="13">
        <v>3465</v>
      </c>
      <c r="C5" s="2">
        <f>MemberOfAssemblyAssemblyDistrict138General[[#This Row],[Part of Monroe County Vote Results]]</f>
        <v>3465</v>
      </c>
      <c r="D5" s="1"/>
    </row>
    <row r="6" spans="1:4" x14ac:dyDescent="0.2">
      <c r="A6" s="6" t="s">
        <v>566</v>
      </c>
      <c r="B6" s="13">
        <v>3160</v>
      </c>
      <c r="C6" s="2">
        <f>MemberOfAssemblyAssemblyDistrict138General[[#This Row],[Part of Monroe County Vote Results]]</f>
        <v>3160</v>
      </c>
      <c r="D6" s="1"/>
    </row>
    <row r="7" spans="1:4" x14ac:dyDescent="0.2">
      <c r="A7" s="5" t="s">
        <v>0</v>
      </c>
      <c r="B7" s="13">
        <v>946</v>
      </c>
      <c r="C7" s="2">
        <f>MemberOfAssemblyAssemblyDistrict138General[[#This Row],[Part of Monroe County Vote Results]]</f>
        <v>946</v>
      </c>
      <c r="D7" s="1"/>
    </row>
    <row r="8" spans="1:4" x14ac:dyDescent="0.2">
      <c r="A8" s="5" t="s">
        <v>1</v>
      </c>
      <c r="B8" s="13">
        <v>16</v>
      </c>
      <c r="C8" s="2">
        <f>MemberOfAssemblyAssemblyDistrict138General[[#This Row],[Part of Monroe County Vote Results]]</f>
        <v>16</v>
      </c>
      <c r="D8" s="1"/>
    </row>
    <row r="9" spans="1:4" x14ac:dyDescent="0.2">
      <c r="A9" s="5" t="s">
        <v>5</v>
      </c>
      <c r="B9" s="13">
        <v>18</v>
      </c>
      <c r="C9" s="2">
        <f>MemberOfAssemblyAssemblyDistrict138General[[#This Row],[Part of Monroe County Vote Results]]</f>
        <v>18</v>
      </c>
      <c r="D9" s="1"/>
    </row>
    <row r="10" spans="1:4" x14ac:dyDescent="0.2">
      <c r="A10" s="4" t="s">
        <v>2</v>
      </c>
      <c r="B10" s="13">
        <f>SUM(MemberOfAssemblyAssemblyDistrict138General[Part of Monroe County Vote Results])</f>
        <v>46127</v>
      </c>
      <c r="C10" s="2">
        <f>SUM(MemberOfAssemblyAssemblyDistrict138General[Total Votes by Party])</f>
        <v>46127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F167-E6C9-43BE-96E2-63DC73C7C134}">
  <sheetPr codeName="Sheet185">
    <pageSetUpPr fitToPage="1"/>
  </sheetPr>
  <dimension ref="A1:G9"/>
  <sheetViews>
    <sheetView workbookViewId="0">
      <selection activeCell="E2" sqref="E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18.75" x14ac:dyDescent="0.2">
      <c r="A1" s="28" t="s">
        <v>574</v>
      </c>
    </row>
    <row r="2" spans="1:7" ht="25.5" x14ac:dyDescent="0.2">
      <c r="A2" s="10" t="s">
        <v>8</v>
      </c>
      <c r="B2" s="55" t="s">
        <v>38</v>
      </c>
      <c r="C2" s="55" t="s">
        <v>20</v>
      </c>
      <c r="D2" s="55" t="s">
        <v>53</v>
      </c>
      <c r="E2" s="55" t="s">
        <v>19</v>
      </c>
      <c r="F2" s="9" t="s">
        <v>3</v>
      </c>
      <c r="G2" s="8" t="s">
        <v>4</v>
      </c>
    </row>
    <row r="3" spans="1:7" x14ac:dyDescent="0.2">
      <c r="A3" s="6" t="s">
        <v>573</v>
      </c>
      <c r="B3" s="13">
        <v>1057</v>
      </c>
      <c r="C3" s="13">
        <v>4675</v>
      </c>
      <c r="D3" s="13">
        <v>3228</v>
      </c>
      <c r="E3" s="13">
        <v>2468</v>
      </c>
      <c r="F3" s="2">
        <f>SUM(MemberOfAssemblyAssemblyDistrict139General[[#This Row],[Part of Erie County Vote Results]:[Orleans County Vote Results]])</f>
        <v>11428</v>
      </c>
      <c r="G3" s="7">
        <f>SUM(MemberOfAssemblyAssemblyDistrict139General[[#This Row],[Total Votes by Party]])</f>
        <v>11428</v>
      </c>
    </row>
    <row r="4" spans="1:7" x14ac:dyDescent="0.2">
      <c r="A4" s="6" t="s">
        <v>572</v>
      </c>
      <c r="B4" s="13">
        <v>2208</v>
      </c>
      <c r="C4" s="13">
        <v>14579</v>
      </c>
      <c r="D4" s="13">
        <v>5901</v>
      </c>
      <c r="E4" s="13">
        <v>9272</v>
      </c>
      <c r="F4" s="2">
        <f>SUM(MemberOfAssemblyAssemblyDistrict139General[[#This Row],[Part of Erie County Vote Results]:[Orleans County Vote Results]])</f>
        <v>31960</v>
      </c>
      <c r="G4" s="7">
        <f>SUM(MemberOfAssemblyAssemblyDistrict139General[[#This Row],[Total Votes by Party]],F5)</f>
        <v>38071</v>
      </c>
    </row>
    <row r="5" spans="1:7" x14ac:dyDescent="0.2">
      <c r="A5" s="6" t="s">
        <v>571</v>
      </c>
      <c r="B5" s="13">
        <v>571</v>
      </c>
      <c r="C5" s="13">
        <v>2620</v>
      </c>
      <c r="D5" s="13">
        <v>1413</v>
      </c>
      <c r="E5" s="13">
        <v>1507</v>
      </c>
      <c r="F5" s="2">
        <f>SUM(MemberOfAssemblyAssemblyDistrict139General[[#This Row],[Part of Erie County Vote Results]:[Orleans County Vote Results]])</f>
        <v>6111</v>
      </c>
      <c r="G5" s="1"/>
    </row>
    <row r="6" spans="1:7" x14ac:dyDescent="0.2">
      <c r="A6" s="5" t="s">
        <v>0</v>
      </c>
      <c r="B6" s="13">
        <v>175</v>
      </c>
      <c r="C6" s="13">
        <v>558</v>
      </c>
      <c r="D6" s="13">
        <v>285</v>
      </c>
      <c r="E6" s="13">
        <v>524</v>
      </c>
      <c r="F6" s="2">
        <f>SUM(MemberOfAssemblyAssemblyDistrict139General[[#This Row],[Part of Erie County Vote Results]:[Orleans County Vote Results]])</f>
        <v>1542</v>
      </c>
      <c r="G6" s="1"/>
    </row>
    <row r="7" spans="1:7" x14ac:dyDescent="0.2">
      <c r="A7" s="5" t="s">
        <v>1</v>
      </c>
      <c r="B7" s="13">
        <v>0</v>
      </c>
      <c r="C7" s="13">
        <v>13</v>
      </c>
      <c r="D7" s="13">
        <v>1</v>
      </c>
      <c r="E7" s="13">
        <v>11</v>
      </c>
      <c r="F7" s="2">
        <f>SUM(MemberOfAssemblyAssemblyDistrict139General[[#This Row],[Part of Erie County Vote Results]:[Orleans County Vote Results]])</f>
        <v>25</v>
      </c>
      <c r="G7" s="1"/>
    </row>
    <row r="8" spans="1:7" x14ac:dyDescent="0.2">
      <c r="A8" s="5" t="s">
        <v>5</v>
      </c>
      <c r="B8" s="13">
        <v>1</v>
      </c>
      <c r="C8" s="13">
        <v>9</v>
      </c>
      <c r="D8" s="13">
        <v>4</v>
      </c>
      <c r="E8" s="13">
        <v>3</v>
      </c>
      <c r="F8" s="2">
        <f>SUM(MemberOfAssemblyAssemblyDistrict139General[[#This Row],[Part of Erie County Vote Results]:[Orleans County Vote Results]])</f>
        <v>17</v>
      </c>
      <c r="G8" s="1"/>
    </row>
    <row r="9" spans="1:7" x14ac:dyDescent="0.2">
      <c r="A9" s="4" t="s">
        <v>2</v>
      </c>
      <c r="B9" s="13">
        <f>SUM(MemberOfAssemblyAssemblyDistrict139General[Part of Erie County Vote Results])</f>
        <v>4012</v>
      </c>
      <c r="C9" s="13">
        <f>SUM(MemberOfAssemblyAssemblyDistrict139General[Genesee County Vote Results])</f>
        <v>22454</v>
      </c>
      <c r="D9" s="13">
        <f>SUM(MemberOfAssemblyAssemblyDistrict139General[Part of Monroe County Vote Results])</f>
        <v>10832</v>
      </c>
      <c r="E9" s="13">
        <f>SUM(MemberOfAssemblyAssemblyDistrict139General[Orleans County Vote Results])</f>
        <v>13785</v>
      </c>
      <c r="F9" s="2">
        <f>SUM(MemberOfAssemblyAssemblyDistrict139General[Total Votes by Party])</f>
        <v>51083</v>
      </c>
      <c r="G9" s="1"/>
    </row>
  </sheetData>
  <pageMargins left="0.25" right="0.25" top="0.25" bottom="0.25" header="0.25" footer="0.25"/>
  <pageSetup scale="9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6EFA-3E91-4BEE-9ADA-E32A5D02C7B2}">
  <sheetPr codeName="Sheet60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107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106</v>
      </c>
      <c r="B3" s="13">
        <v>21718</v>
      </c>
      <c r="C3" s="2">
        <f>MemberOfAssemblyAssemblyDistrict14General[[#This Row],[Part of Nassau County Vote Results]]</f>
        <v>21718</v>
      </c>
      <c r="D3" s="7">
        <f>C3</f>
        <v>21718</v>
      </c>
    </row>
    <row r="4" spans="1:4" x14ac:dyDescent="0.2">
      <c r="A4" s="6" t="s">
        <v>105</v>
      </c>
      <c r="B4" s="13">
        <v>37023</v>
      </c>
      <c r="C4" s="2">
        <f>MemberOfAssemblyAssemblyDistrict14General[[#This Row],[Part of Nassau County Vote Results]]</f>
        <v>37023</v>
      </c>
      <c r="D4" s="7">
        <f>SUM(C4,C5)</f>
        <v>40365</v>
      </c>
    </row>
    <row r="5" spans="1:4" x14ac:dyDescent="0.2">
      <c r="A5" s="6" t="s">
        <v>104</v>
      </c>
      <c r="B5" s="13">
        <v>3342</v>
      </c>
      <c r="C5" s="2">
        <f>MemberOfAssemblyAssemblyDistrict14General[[#This Row],[Part of Nassau County Vote Results]]</f>
        <v>3342</v>
      </c>
      <c r="D5" s="1"/>
    </row>
    <row r="6" spans="1:4" x14ac:dyDescent="0.2">
      <c r="A6" s="5" t="s">
        <v>0</v>
      </c>
      <c r="B6" s="13">
        <v>2397</v>
      </c>
      <c r="C6" s="2">
        <f>MemberOfAssemblyAssemblyDistrict14General[[#This Row],[Part of Nassau County Vote Results]]</f>
        <v>2397</v>
      </c>
      <c r="D6" s="1"/>
    </row>
    <row r="7" spans="1:4" x14ac:dyDescent="0.2">
      <c r="A7" s="5" t="s">
        <v>1</v>
      </c>
      <c r="B7" s="13">
        <v>7</v>
      </c>
      <c r="C7" s="2">
        <f>MemberOfAssemblyAssemblyDistrict14General[[#This Row],[Part of Nassau County Vote Results]]</f>
        <v>7</v>
      </c>
      <c r="D7" s="1"/>
    </row>
    <row r="8" spans="1:4" x14ac:dyDescent="0.2">
      <c r="A8" s="5" t="s">
        <v>5</v>
      </c>
      <c r="B8" s="13">
        <v>13</v>
      </c>
      <c r="C8" s="2">
        <f>MemberOfAssemblyAssemblyDistrict14General[[#This Row],[Part of Nassau County Vote Results]]</f>
        <v>13</v>
      </c>
      <c r="D8" s="1"/>
    </row>
    <row r="9" spans="1:4" x14ac:dyDescent="0.2">
      <c r="A9" s="4" t="s">
        <v>2</v>
      </c>
      <c r="B9" s="13">
        <f>SUM(MemberOfAssemblyAssemblyDistrict14General[Part of Nassau County Vote Results])</f>
        <v>64500</v>
      </c>
      <c r="C9" s="2">
        <f>SUM(MemberOfAssemblyAssemblyDistrict14General[Total Votes by Party])</f>
        <v>64500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01214-4EB8-4A88-B94D-D06D10ACA3E2}">
  <sheetPr codeName="Sheet186"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28" t="s">
        <v>577</v>
      </c>
    </row>
    <row r="2" spans="1:5" ht="25.5" x14ac:dyDescent="0.2">
      <c r="A2" s="10" t="s">
        <v>8</v>
      </c>
      <c r="B2" s="55" t="s">
        <v>38</v>
      </c>
      <c r="C2" s="55" t="s">
        <v>39</v>
      </c>
      <c r="D2" s="9" t="s">
        <v>3</v>
      </c>
      <c r="E2" s="8" t="s">
        <v>4</v>
      </c>
    </row>
    <row r="3" spans="1:5" x14ac:dyDescent="0.2">
      <c r="A3" s="6" t="s">
        <v>625</v>
      </c>
      <c r="B3" s="13">
        <v>21605</v>
      </c>
      <c r="C3" s="13">
        <v>3032</v>
      </c>
      <c r="D3" s="2">
        <f>SUM(MemberOfAssemblyAssemblyDistrict140General[[#This Row],[Part of Erie County Vote Results]:[Part of Niagara County Vote Results]])</f>
        <v>24637</v>
      </c>
      <c r="E3" s="7">
        <f>SUM(MemberOfAssemblyAssemblyDistrict140General[[#This Row],[Total Votes by Party]],D6,)</f>
        <v>27647</v>
      </c>
    </row>
    <row r="4" spans="1:5" x14ac:dyDescent="0.2">
      <c r="A4" s="5" t="s">
        <v>576</v>
      </c>
      <c r="B4" s="13">
        <v>12364</v>
      </c>
      <c r="C4" s="13">
        <v>2989</v>
      </c>
      <c r="D4" s="2">
        <f>SUM(MemberOfAssemblyAssemblyDistrict140General[[#This Row],[Part of Erie County Vote Results]:[Part of Niagara County Vote Results]])</f>
        <v>15353</v>
      </c>
      <c r="E4" s="7">
        <f>SUM(MemberOfAssemblyAssemblyDistrict140General[[#This Row],[Total Votes by Party]],D5)</f>
        <v>19267</v>
      </c>
    </row>
    <row r="5" spans="1:5" x14ac:dyDescent="0.2">
      <c r="A5" s="5" t="s">
        <v>575</v>
      </c>
      <c r="B5" s="13">
        <v>3153</v>
      </c>
      <c r="C5" s="13">
        <v>761</v>
      </c>
      <c r="D5" s="2">
        <f>SUM(MemberOfAssemblyAssemblyDistrict140General[[#This Row],[Part of Erie County Vote Results]:[Part of Niagara County Vote Results]])</f>
        <v>3914</v>
      </c>
      <c r="E5" s="1"/>
    </row>
    <row r="6" spans="1:5" x14ac:dyDescent="0.2">
      <c r="A6" s="6" t="s">
        <v>626</v>
      </c>
      <c r="B6" s="13">
        <v>2647</v>
      </c>
      <c r="C6" s="13">
        <v>363</v>
      </c>
      <c r="D6" s="2">
        <f>SUM(MemberOfAssemblyAssemblyDistrict140General[[#This Row],[Part of Erie County Vote Results]:[Part of Niagara County Vote Results]])</f>
        <v>3010</v>
      </c>
      <c r="E6" s="1"/>
    </row>
    <row r="7" spans="1:5" x14ac:dyDescent="0.2">
      <c r="A7" s="5" t="s">
        <v>0</v>
      </c>
      <c r="B7" s="13">
        <v>1445</v>
      </c>
      <c r="C7" s="13">
        <v>262</v>
      </c>
      <c r="D7" s="2">
        <f>SUM(MemberOfAssemblyAssemblyDistrict140General[[#This Row],[Part of Erie County Vote Results]:[Part of Niagara County Vote Results]])</f>
        <v>1707</v>
      </c>
      <c r="E7" s="1"/>
    </row>
    <row r="8" spans="1:5" x14ac:dyDescent="0.2">
      <c r="A8" s="5" t="s">
        <v>1</v>
      </c>
      <c r="B8" s="13">
        <v>11</v>
      </c>
      <c r="C8" s="13">
        <v>1</v>
      </c>
      <c r="D8" s="2">
        <f>SUM(MemberOfAssemblyAssemblyDistrict140General[[#This Row],[Part of Erie County Vote Results]:[Part of Niagara County Vote Results]])</f>
        <v>12</v>
      </c>
      <c r="E8" s="1"/>
    </row>
    <row r="9" spans="1:5" x14ac:dyDescent="0.2">
      <c r="A9" s="5" t="s">
        <v>5</v>
      </c>
      <c r="B9" s="13">
        <v>30</v>
      </c>
      <c r="C9" s="13">
        <v>1</v>
      </c>
      <c r="D9" s="2">
        <f>SUM(MemberOfAssemblyAssemblyDistrict140General[[#This Row],[Part of Erie County Vote Results]:[Part of Niagara County Vote Results]])</f>
        <v>31</v>
      </c>
      <c r="E9" s="1"/>
    </row>
    <row r="10" spans="1:5" x14ac:dyDescent="0.2">
      <c r="A10" s="4" t="s">
        <v>2</v>
      </c>
      <c r="B10" s="13">
        <f>SUM(MemberOfAssemblyAssemblyDistrict140General[Part of Erie County Vote Results])</f>
        <v>41255</v>
      </c>
      <c r="C10" s="13">
        <f>SUM(MemberOfAssemblyAssemblyDistrict140General[Part of Niagara County Vote Results])</f>
        <v>7409</v>
      </c>
      <c r="D10" s="2">
        <f>SUM(MemberOfAssemblyAssemblyDistrict140General[Total Votes by Party])</f>
        <v>48664</v>
      </c>
      <c r="E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52C4-ED39-41E9-984D-BDC3D5A0D688}">
  <sheetPr codeName="Sheet187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3" t="s">
        <v>579</v>
      </c>
    </row>
    <row r="2" spans="1:4" ht="25.5" x14ac:dyDescent="0.2">
      <c r="A2" s="10" t="s">
        <v>8</v>
      </c>
      <c r="B2" s="55" t="s">
        <v>38</v>
      </c>
      <c r="C2" s="9" t="s">
        <v>3</v>
      </c>
      <c r="D2" s="8" t="s">
        <v>4</v>
      </c>
    </row>
    <row r="3" spans="1:4" x14ac:dyDescent="0.2">
      <c r="A3" s="34" t="s">
        <v>578</v>
      </c>
      <c r="B3" s="13">
        <v>24906</v>
      </c>
      <c r="C3" s="2">
        <f>MemberOfAssemblyAssemblyDistrict141General[[#This Row],[Part of Erie County Vote Results]]</f>
        <v>24906</v>
      </c>
      <c r="D3" s="7">
        <f>MemberOfAssemblyAssemblyDistrict141General[[#This Row],[Total Votes by Party]]</f>
        <v>24906</v>
      </c>
    </row>
    <row r="4" spans="1:4" x14ac:dyDescent="0.2">
      <c r="A4" s="5" t="s">
        <v>0</v>
      </c>
      <c r="B4" s="13">
        <v>4022</v>
      </c>
      <c r="C4" s="2">
        <f>MemberOfAssemblyAssemblyDistrict141General[[#This Row],[Part of Erie County Vote Results]]</f>
        <v>4022</v>
      </c>
      <c r="D4" s="1"/>
    </row>
    <row r="5" spans="1:4" x14ac:dyDescent="0.2">
      <c r="A5" s="5" t="s">
        <v>1</v>
      </c>
      <c r="B5" s="13">
        <v>8</v>
      </c>
      <c r="C5" s="2">
        <f>MemberOfAssemblyAssemblyDistrict141General[[#This Row],[Part of Erie County Vote Results]]</f>
        <v>8</v>
      </c>
      <c r="D5" s="1"/>
    </row>
    <row r="6" spans="1:4" x14ac:dyDescent="0.2">
      <c r="A6" s="5" t="s">
        <v>5</v>
      </c>
      <c r="B6" s="13">
        <v>172</v>
      </c>
      <c r="C6" s="2">
        <f>MemberOfAssemblyAssemblyDistrict141General[[#This Row],[Part of Erie County Vote Results]]</f>
        <v>172</v>
      </c>
      <c r="D6" s="1"/>
    </row>
    <row r="7" spans="1:4" x14ac:dyDescent="0.2">
      <c r="A7" s="4" t="s">
        <v>2</v>
      </c>
      <c r="B7" s="13">
        <f>SUM(MemberOfAssemblyAssemblyDistrict141General[Part of Erie County Vote Results])</f>
        <v>29108</v>
      </c>
      <c r="C7" s="2">
        <f>SUM(MemberOfAssemblyAssemblyDistrict141General[Total Votes by Party])</f>
        <v>29108</v>
      </c>
      <c r="D7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2168-A3DB-4FCD-934C-2095987A54C9}">
  <sheetPr codeName="Sheet188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3" t="s">
        <v>583</v>
      </c>
    </row>
    <row r="2" spans="1:4" ht="25.5" x14ac:dyDescent="0.2">
      <c r="A2" s="10" t="s">
        <v>8</v>
      </c>
      <c r="B2" s="55" t="s">
        <v>38</v>
      </c>
      <c r="C2" s="9" t="s">
        <v>3</v>
      </c>
      <c r="D2" s="8" t="s">
        <v>4</v>
      </c>
    </row>
    <row r="3" spans="1:4" x14ac:dyDescent="0.2">
      <c r="A3" s="6" t="s">
        <v>582</v>
      </c>
      <c r="B3" s="13">
        <v>24163</v>
      </c>
      <c r="C3" s="2">
        <f>MemberOfAssemblyAssemblyDistrict142General[[#This Row],[Part of Erie County Vote Results]]</f>
        <v>24163</v>
      </c>
      <c r="D3" s="7">
        <f>SUM(MemberOfAssemblyAssemblyDistrict142General[[#This Row],[Total Votes by Party]])</f>
        <v>24163</v>
      </c>
    </row>
    <row r="4" spans="1:4" x14ac:dyDescent="0.2">
      <c r="A4" s="6" t="s">
        <v>581</v>
      </c>
      <c r="B4" s="13">
        <v>16767</v>
      </c>
      <c r="C4" s="2">
        <f>MemberOfAssemblyAssemblyDistrict142General[[#This Row],[Part of Erie County Vote Results]]</f>
        <v>16767</v>
      </c>
      <c r="D4" s="7">
        <f>SUM(MemberOfAssemblyAssemblyDistrict142General[[#This Row],[Total Votes by Party]],C5)</f>
        <v>21373</v>
      </c>
    </row>
    <row r="5" spans="1:4" x14ac:dyDescent="0.2">
      <c r="A5" s="6" t="s">
        <v>580</v>
      </c>
      <c r="B5" s="13">
        <v>4606</v>
      </c>
      <c r="C5" s="2">
        <f>MemberOfAssemblyAssemblyDistrict142General[[#This Row],[Part of Erie County Vote Results]]</f>
        <v>4606</v>
      </c>
      <c r="D5" s="1"/>
    </row>
    <row r="6" spans="1:4" x14ac:dyDescent="0.2">
      <c r="A6" s="5" t="s">
        <v>0</v>
      </c>
      <c r="B6" s="13">
        <v>1805</v>
      </c>
      <c r="C6" s="2">
        <f>MemberOfAssemblyAssemblyDistrict142General[[#This Row],[Part of Erie County Vote Results]]</f>
        <v>1805</v>
      </c>
      <c r="D6" s="1"/>
    </row>
    <row r="7" spans="1:4" x14ac:dyDescent="0.2">
      <c r="A7" s="5" t="s">
        <v>1</v>
      </c>
      <c r="B7" s="13">
        <v>11</v>
      </c>
      <c r="C7" s="2">
        <f>MemberOfAssemblyAssemblyDistrict142General[[#This Row],[Part of Erie County Vote Results]]</f>
        <v>11</v>
      </c>
      <c r="D7" s="1"/>
    </row>
    <row r="8" spans="1:4" x14ac:dyDescent="0.2">
      <c r="A8" s="5" t="s">
        <v>5</v>
      </c>
      <c r="B8" s="13">
        <v>38</v>
      </c>
      <c r="C8" s="2">
        <f>MemberOfAssemblyAssemblyDistrict142General[[#This Row],[Part of Erie County Vote Results]]</f>
        <v>38</v>
      </c>
      <c r="D8" s="1"/>
    </row>
    <row r="9" spans="1:4" x14ac:dyDescent="0.2">
      <c r="A9" s="4" t="s">
        <v>2</v>
      </c>
      <c r="B9" s="13">
        <f>SUM(MemberOfAssemblyAssemblyDistrict142General[Part of Erie County Vote Results])</f>
        <v>47390</v>
      </c>
      <c r="C9" s="2">
        <f>SUM(MemberOfAssemblyAssemblyDistrict142General[Total Votes by Party])</f>
        <v>47390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5590-17A7-42BA-A2F3-BE51B12AD107}">
  <sheetPr codeName="Sheet189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3" t="s">
        <v>586</v>
      </c>
    </row>
    <row r="2" spans="1:4" ht="25.5" x14ac:dyDescent="0.2">
      <c r="A2" s="10" t="s">
        <v>8</v>
      </c>
      <c r="B2" s="55" t="s">
        <v>38</v>
      </c>
      <c r="C2" s="9" t="s">
        <v>3</v>
      </c>
      <c r="D2" s="8" t="s">
        <v>4</v>
      </c>
    </row>
    <row r="3" spans="1:4" x14ac:dyDescent="0.2">
      <c r="A3" s="6" t="s">
        <v>585</v>
      </c>
      <c r="B3" s="13">
        <v>21835</v>
      </c>
      <c r="C3" s="2">
        <f>MemberOfAssemblyAssemblyDistrict143General[[#This Row],[Part of Erie County Vote Results]]</f>
        <v>21835</v>
      </c>
      <c r="D3" s="7">
        <f>SUM(MemberOfAssemblyAssemblyDistrict143General[[#This Row],[Total Votes by Party]],C6,)</f>
        <v>22255</v>
      </c>
    </row>
    <row r="4" spans="1:4" x14ac:dyDescent="0.2">
      <c r="A4" s="6" t="s">
        <v>587</v>
      </c>
      <c r="B4" s="13">
        <v>15861</v>
      </c>
      <c r="C4" s="2">
        <f>MemberOfAssemblyAssemblyDistrict143General[[#This Row],[Part of Erie County Vote Results]]</f>
        <v>15861</v>
      </c>
      <c r="D4" s="7">
        <f>SUM(MemberOfAssemblyAssemblyDistrict143General[[#This Row],[Total Votes by Party]],C5)</f>
        <v>20035</v>
      </c>
    </row>
    <row r="5" spans="1:4" x14ac:dyDescent="0.2">
      <c r="A5" s="6" t="s">
        <v>588</v>
      </c>
      <c r="B5" s="13">
        <v>4174</v>
      </c>
      <c r="C5" s="2">
        <f>MemberOfAssemblyAssemblyDistrict143General[[#This Row],[Part of Erie County Vote Results]]</f>
        <v>4174</v>
      </c>
      <c r="D5" s="1"/>
    </row>
    <row r="6" spans="1:4" x14ac:dyDescent="0.2">
      <c r="A6" s="6" t="s">
        <v>584</v>
      </c>
      <c r="B6" s="13">
        <v>420</v>
      </c>
      <c r="C6" s="2">
        <f>MemberOfAssemblyAssemblyDistrict143General[[#This Row],[Part of Erie County Vote Results]]</f>
        <v>420</v>
      </c>
      <c r="D6" s="1"/>
    </row>
    <row r="7" spans="1:4" x14ac:dyDescent="0.2">
      <c r="A7" s="5" t="s">
        <v>0</v>
      </c>
      <c r="B7" s="13">
        <v>1613</v>
      </c>
      <c r="C7" s="2">
        <f>MemberOfAssemblyAssemblyDistrict143General[[#This Row],[Part of Erie County Vote Results]]</f>
        <v>1613</v>
      </c>
      <c r="D7" s="1"/>
    </row>
    <row r="8" spans="1:4" x14ac:dyDescent="0.2">
      <c r="A8" s="5" t="s">
        <v>1</v>
      </c>
      <c r="B8" s="13">
        <v>21</v>
      </c>
      <c r="C8" s="2">
        <f>MemberOfAssemblyAssemblyDistrict143General[[#This Row],[Part of Erie County Vote Results]]</f>
        <v>21</v>
      </c>
      <c r="D8" s="1"/>
    </row>
    <row r="9" spans="1:4" x14ac:dyDescent="0.2">
      <c r="A9" s="5" t="s">
        <v>5</v>
      </c>
      <c r="B9" s="13">
        <v>20</v>
      </c>
      <c r="C9" s="2">
        <f>MemberOfAssemblyAssemblyDistrict143General[[#This Row],[Part of Erie County Vote Results]]</f>
        <v>20</v>
      </c>
      <c r="D9" s="1"/>
    </row>
    <row r="10" spans="1:4" x14ac:dyDescent="0.2">
      <c r="A10" s="4" t="s">
        <v>2</v>
      </c>
      <c r="B10" s="13">
        <f>SUM(MemberOfAssemblyAssemblyDistrict143General[Part of Erie County Vote Results])</f>
        <v>43944</v>
      </c>
      <c r="C10" s="2">
        <f>SUM(MemberOfAssemblyAssemblyDistrict143General[Total Votes by Party])</f>
        <v>43944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7F52-4BC3-422B-BC16-26A87E984B6E}">
  <sheetPr codeName="Sheet190">
    <pageSetUpPr fitToPage="1"/>
  </sheetPr>
  <dimension ref="A1:E8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5" ht="18.75" x14ac:dyDescent="0.2">
      <c r="A1" s="33" t="s">
        <v>591</v>
      </c>
    </row>
    <row r="2" spans="1:5" ht="25.5" x14ac:dyDescent="0.2">
      <c r="A2" s="10" t="s">
        <v>8</v>
      </c>
      <c r="B2" s="55" t="s">
        <v>38</v>
      </c>
      <c r="C2" s="55" t="s">
        <v>39</v>
      </c>
      <c r="D2" s="9" t="s">
        <v>3</v>
      </c>
      <c r="E2" s="8" t="s">
        <v>4</v>
      </c>
    </row>
    <row r="3" spans="1:5" x14ac:dyDescent="0.2">
      <c r="A3" s="6" t="s">
        <v>590</v>
      </c>
      <c r="B3" s="13">
        <v>15695</v>
      </c>
      <c r="C3" s="13">
        <v>17496</v>
      </c>
      <c r="D3" s="2">
        <f>SUM(MemberOfAssemblyAssemblyDistrict144General[[#This Row],[Part of Erie County Vote Results]:[Part of Niagara County Vote Results]])</f>
        <v>33191</v>
      </c>
      <c r="E3" s="7">
        <f>SUM(MemberOfAssemblyAssemblyDistrict144General[[#This Row],[Total Votes by Party]],D4)</f>
        <v>42819</v>
      </c>
    </row>
    <row r="4" spans="1:5" x14ac:dyDescent="0.2">
      <c r="A4" s="6" t="s">
        <v>589</v>
      </c>
      <c r="B4" s="13">
        <v>4807</v>
      </c>
      <c r="C4" s="13">
        <v>4821</v>
      </c>
      <c r="D4" s="2">
        <f>SUM(MemberOfAssemblyAssemblyDistrict144General[[#This Row],[Part of Erie County Vote Results]:[Part of Niagara County Vote Results]])</f>
        <v>9628</v>
      </c>
      <c r="E4" s="1"/>
    </row>
    <row r="5" spans="1:5" x14ac:dyDescent="0.2">
      <c r="A5" s="5" t="s">
        <v>0</v>
      </c>
      <c r="B5" s="13">
        <v>7617</v>
      </c>
      <c r="C5" s="13">
        <v>7715</v>
      </c>
      <c r="D5" s="2">
        <f>SUM(MemberOfAssemblyAssemblyDistrict144General[[#This Row],[Part of Erie County Vote Results]:[Part of Niagara County Vote Results]])</f>
        <v>15332</v>
      </c>
      <c r="E5" s="1"/>
    </row>
    <row r="6" spans="1:5" x14ac:dyDescent="0.2">
      <c r="A6" s="5" t="s">
        <v>1</v>
      </c>
      <c r="B6" s="13">
        <v>1</v>
      </c>
      <c r="C6" s="13">
        <v>4</v>
      </c>
      <c r="D6" s="2">
        <f>SUM(MemberOfAssemblyAssemblyDistrict144General[[#This Row],[Part of Erie County Vote Results]:[Part of Niagara County Vote Results]])</f>
        <v>5</v>
      </c>
      <c r="E6" s="1"/>
    </row>
    <row r="7" spans="1:5" x14ac:dyDescent="0.2">
      <c r="A7" s="5" t="s">
        <v>5</v>
      </c>
      <c r="B7" s="13">
        <v>225</v>
      </c>
      <c r="C7" s="13">
        <v>133</v>
      </c>
      <c r="D7" s="2">
        <f>SUM(MemberOfAssemblyAssemblyDistrict144General[[#This Row],[Part of Erie County Vote Results]:[Part of Niagara County Vote Results]])</f>
        <v>358</v>
      </c>
      <c r="E7" s="1"/>
    </row>
    <row r="8" spans="1:5" x14ac:dyDescent="0.2">
      <c r="A8" s="4" t="s">
        <v>2</v>
      </c>
      <c r="B8" s="13">
        <f>SUM(MemberOfAssemblyAssemblyDistrict144General[Part of Erie County Vote Results])</f>
        <v>28345</v>
      </c>
      <c r="C8" s="13">
        <f>SUM(MemberOfAssemblyAssemblyDistrict144General[Part of Niagara County Vote Results])</f>
        <v>30169</v>
      </c>
      <c r="D8" s="2">
        <f>SUM(MemberOfAssemblyAssemblyDistrict144General[Total Votes by Party])</f>
        <v>58514</v>
      </c>
      <c r="E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BAA1-0974-4868-94B2-5141624F79EB}">
  <sheetPr codeName="Sheet191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33" t="s">
        <v>595</v>
      </c>
    </row>
    <row r="2" spans="1:5" ht="25.5" x14ac:dyDescent="0.2">
      <c r="A2" s="10" t="s">
        <v>8</v>
      </c>
      <c r="B2" s="55" t="s">
        <v>38</v>
      </c>
      <c r="C2" s="55" t="s">
        <v>39</v>
      </c>
      <c r="D2" s="9" t="s">
        <v>3</v>
      </c>
      <c r="E2" s="8" t="s">
        <v>4</v>
      </c>
    </row>
    <row r="3" spans="1:5" x14ac:dyDescent="0.2">
      <c r="A3" s="6" t="s">
        <v>594</v>
      </c>
      <c r="B3" s="13">
        <v>3525</v>
      </c>
      <c r="C3" s="13">
        <v>13822</v>
      </c>
      <c r="D3" s="2">
        <f>SUM(MemberOfAssemblyAssemblyDistrict145General[[#This Row],[Part of Erie County Vote Results]:[Part of Niagara County Vote Results]])</f>
        <v>17347</v>
      </c>
      <c r="E3" s="7">
        <f>SUM(MemberOfAssemblyAssemblyDistrict145General[[#This Row],[Total Votes by Party]],)</f>
        <v>17347</v>
      </c>
    </row>
    <row r="4" spans="1:5" x14ac:dyDescent="0.2">
      <c r="A4" s="6" t="s">
        <v>593</v>
      </c>
      <c r="B4" s="13">
        <v>4955</v>
      </c>
      <c r="C4" s="13">
        <v>19775</v>
      </c>
      <c r="D4" s="2">
        <f>SUM(MemberOfAssemblyAssemblyDistrict145General[[#This Row],[Part of Erie County Vote Results]:[Part of Niagara County Vote Results]])</f>
        <v>24730</v>
      </c>
      <c r="E4" s="7">
        <f>SUM(MemberOfAssemblyAssemblyDistrict145General[[#This Row],[Total Votes by Party]],D5)</f>
        <v>30131</v>
      </c>
    </row>
    <row r="5" spans="1:5" x14ac:dyDescent="0.2">
      <c r="A5" s="6" t="s">
        <v>592</v>
      </c>
      <c r="B5" s="13">
        <v>1329</v>
      </c>
      <c r="C5" s="13">
        <v>4072</v>
      </c>
      <c r="D5" s="2">
        <f>SUM(MemberOfAssemblyAssemblyDistrict145General[[#This Row],[Part of Erie County Vote Results]:[Part of Niagara County Vote Results]])</f>
        <v>5401</v>
      </c>
      <c r="E5" s="1"/>
    </row>
    <row r="6" spans="1:5" x14ac:dyDescent="0.2">
      <c r="A6" s="5" t="s">
        <v>0</v>
      </c>
      <c r="B6" s="13">
        <v>330</v>
      </c>
      <c r="C6" s="13">
        <v>1706</v>
      </c>
      <c r="D6" s="2">
        <f>SUM(MemberOfAssemblyAssemblyDistrict145General[[#This Row],[Part of Erie County Vote Results]:[Part of Niagara County Vote Results]])</f>
        <v>2036</v>
      </c>
      <c r="E6" s="1"/>
    </row>
    <row r="7" spans="1:5" x14ac:dyDescent="0.2">
      <c r="A7" s="5" t="s">
        <v>1</v>
      </c>
      <c r="B7" s="13">
        <v>3</v>
      </c>
      <c r="C7" s="13">
        <v>9</v>
      </c>
      <c r="D7" s="2">
        <f>SUM(MemberOfAssemblyAssemblyDistrict145General[[#This Row],[Part of Erie County Vote Results]:[Part of Niagara County Vote Results]])</f>
        <v>12</v>
      </c>
      <c r="E7" s="1"/>
    </row>
    <row r="8" spans="1:5" x14ac:dyDescent="0.2">
      <c r="A8" s="5" t="s">
        <v>5</v>
      </c>
      <c r="B8" s="13">
        <v>5</v>
      </c>
      <c r="C8" s="13">
        <v>12</v>
      </c>
      <c r="D8" s="2">
        <f>SUM(MemberOfAssemblyAssemblyDistrict145General[[#This Row],[Part of Erie County Vote Results]:[Part of Niagara County Vote Results]])</f>
        <v>17</v>
      </c>
      <c r="E8" s="1"/>
    </row>
    <row r="9" spans="1:5" x14ac:dyDescent="0.2">
      <c r="A9" s="4" t="s">
        <v>2</v>
      </c>
      <c r="B9" s="13">
        <f>SUM(MemberOfAssemblyAssemblyDistrict145General[Part of Erie County Vote Results])</f>
        <v>10147</v>
      </c>
      <c r="C9" s="13">
        <f>SUM(MemberOfAssemblyAssemblyDistrict145General[Part of Niagara County Vote Results])</f>
        <v>39396</v>
      </c>
      <c r="D9" s="2">
        <f>SUM(MemberOfAssemblyAssemblyDistrict145General[Total Votes by Party])</f>
        <v>49543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A131-1D11-4EE4-9840-C089A47841CC}">
  <sheetPr codeName="Sheet192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4" ht="18.75" x14ac:dyDescent="0.2">
      <c r="A1" s="33" t="s">
        <v>597</v>
      </c>
    </row>
    <row r="2" spans="1:4" ht="25.5" x14ac:dyDescent="0.2">
      <c r="A2" s="10" t="s">
        <v>8</v>
      </c>
      <c r="B2" s="55" t="s">
        <v>38</v>
      </c>
      <c r="C2" s="9" t="s">
        <v>3</v>
      </c>
      <c r="D2" s="8" t="s">
        <v>4</v>
      </c>
    </row>
    <row r="3" spans="1:4" x14ac:dyDescent="0.2">
      <c r="A3" s="6" t="s">
        <v>629</v>
      </c>
      <c r="B3" s="13">
        <v>28088</v>
      </c>
      <c r="C3" s="2">
        <f>MemberOfAssemblyAssemblyDistrict146General[[#This Row],[Part of Erie County Vote Results]]</f>
        <v>28088</v>
      </c>
      <c r="D3" s="7">
        <f>SUM(MemberOfAssemblyAssemblyDistrict146General[[#This Row],[Total Votes by Party]],C6)</f>
        <v>28443</v>
      </c>
    </row>
    <row r="4" spans="1:4" x14ac:dyDescent="0.2">
      <c r="A4" s="6" t="s">
        <v>599</v>
      </c>
      <c r="B4" s="13">
        <v>16334</v>
      </c>
      <c r="C4" s="2">
        <f>MemberOfAssemblyAssemblyDistrict146General[[#This Row],[Part of Erie County Vote Results]]</f>
        <v>16334</v>
      </c>
      <c r="D4" s="7">
        <f>SUM(MemberOfAssemblyAssemblyDistrict146General[[#This Row],[Total Votes by Party]],C5,)</f>
        <v>20518</v>
      </c>
    </row>
    <row r="5" spans="1:4" x14ac:dyDescent="0.2">
      <c r="A5" s="6" t="s">
        <v>598</v>
      </c>
      <c r="B5" s="13">
        <v>4184</v>
      </c>
      <c r="C5" s="2">
        <f>MemberOfAssemblyAssemblyDistrict146General[[#This Row],[Part of Erie County Vote Results]]</f>
        <v>4184</v>
      </c>
      <c r="D5" s="1"/>
    </row>
    <row r="6" spans="1:4" x14ac:dyDescent="0.2">
      <c r="A6" s="6" t="s">
        <v>596</v>
      </c>
      <c r="B6" s="13">
        <v>355</v>
      </c>
      <c r="C6" s="2">
        <f>MemberOfAssemblyAssemblyDistrict146General[[#This Row],[Part of Erie County Vote Results]]</f>
        <v>355</v>
      </c>
      <c r="D6" s="1"/>
    </row>
    <row r="7" spans="1:4" x14ac:dyDescent="0.2">
      <c r="A7" s="5" t="s">
        <v>0</v>
      </c>
      <c r="B7" s="13">
        <v>1515</v>
      </c>
      <c r="C7" s="2">
        <f>MemberOfAssemblyAssemblyDistrict146General[[#This Row],[Part of Erie County Vote Results]]</f>
        <v>1515</v>
      </c>
      <c r="D7" s="1"/>
    </row>
    <row r="8" spans="1:4" x14ac:dyDescent="0.2">
      <c r="A8" s="5" t="s">
        <v>1</v>
      </c>
      <c r="B8" s="13">
        <v>18</v>
      </c>
      <c r="C8" s="2">
        <f>MemberOfAssemblyAssemblyDistrict146General[[#This Row],[Part of Erie County Vote Results]]</f>
        <v>18</v>
      </c>
      <c r="D8" s="1"/>
    </row>
    <row r="9" spans="1:4" x14ac:dyDescent="0.2">
      <c r="A9" s="5" t="s">
        <v>5</v>
      </c>
      <c r="B9" s="13">
        <v>22</v>
      </c>
      <c r="C9" s="2">
        <f>MemberOfAssemblyAssemblyDistrict146General[[#This Row],[Part of Erie County Vote Results]]</f>
        <v>22</v>
      </c>
      <c r="D9" s="1"/>
    </row>
    <row r="10" spans="1:4" x14ac:dyDescent="0.2">
      <c r="A10" s="4" t="s">
        <v>2</v>
      </c>
      <c r="B10" s="13">
        <f>SUM(MemberOfAssemblyAssemblyDistrict146General[Part of Erie County Vote Results])</f>
        <v>50516</v>
      </c>
      <c r="C10" s="2">
        <f>SUM(MemberOfAssemblyAssemblyDistrict146General[Total Votes by Party])</f>
        <v>50516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5218-2214-4989-AD41-81F4D802EE16}">
  <sheetPr codeName="Sheet193">
    <pageSetUpPr fitToPage="1"/>
  </sheetPr>
  <dimension ref="A1:E8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3" width="20.5703125" customWidth="1"/>
    <col min="4" max="4" width="19" customWidth="1"/>
    <col min="5" max="6" width="20.5703125" customWidth="1"/>
    <col min="7" max="8" width="23.5703125" customWidth="1"/>
  </cols>
  <sheetData>
    <row r="1" spans="1:5" ht="18.75" x14ac:dyDescent="0.2">
      <c r="A1" s="33" t="s">
        <v>602</v>
      </c>
    </row>
    <row r="2" spans="1:5" ht="25.5" x14ac:dyDescent="0.2">
      <c r="A2" s="10" t="s">
        <v>8</v>
      </c>
      <c r="B2" s="55" t="s">
        <v>38</v>
      </c>
      <c r="C2" s="55" t="s">
        <v>18</v>
      </c>
      <c r="D2" s="9" t="s">
        <v>3</v>
      </c>
      <c r="E2" s="8" t="s">
        <v>4</v>
      </c>
    </row>
    <row r="3" spans="1:5" x14ac:dyDescent="0.2">
      <c r="A3" s="5" t="s">
        <v>601</v>
      </c>
      <c r="B3" s="13">
        <v>27013</v>
      </c>
      <c r="C3" s="13">
        <v>9790</v>
      </c>
      <c r="D3" s="2">
        <f>SUM(MemberOfAssemblyAssemblyDistrict147General[[#This Row],[Wyoming County Vote Results]:[Part of Erie County Vote Results]])</f>
        <v>36803</v>
      </c>
      <c r="E3" s="7">
        <f>SUM(MemberOfAssemblyAssemblyDistrict147General[[#This Row],[Total Votes by Party]],D4)</f>
        <v>47136</v>
      </c>
    </row>
    <row r="4" spans="1:5" x14ac:dyDescent="0.2">
      <c r="A4" s="5" t="s">
        <v>600</v>
      </c>
      <c r="B4" s="13">
        <v>8614</v>
      </c>
      <c r="C4" s="13">
        <v>1719</v>
      </c>
      <c r="D4" s="2">
        <f>SUM(MemberOfAssemblyAssemblyDistrict147General[[#This Row],[Wyoming County Vote Results]:[Part of Erie County Vote Results]])</f>
        <v>10333</v>
      </c>
      <c r="E4" s="1"/>
    </row>
    <row r="5" spans="1:5" x14ac:dyDescent="0.2">
      <c r="A5" s="5" t="s">
        <v>0</v>
      </c>
      <c r="B5" s="13">
        <v>12702</v>
      </c>
      <c r="C5" s="13">
        <v>2337</v>
      </c>
      <c r="D5" s="2">
        <f>SUM(MemberOfAssemblyAssemblyDistrict147General[[#This Row],[Wyoming County Vote Results]:[Part of Erie County Vote Results]])</f>
        <v>15039</v>
      </c>
      <c r="E5" s="1"/>
    </row>
    <row r="6" spans="1:5" x14ac:dyDescent="0.2">
      <c r="A6" s="5" t="s">
        <v>1</v>
      </c>
      <c r="B6" s="13">
        <v>2</v>
      </c>
      <c r="C6" s="13">
        <v>4</v>
      </c>
      <c r="D6" s="2">
        <f>SUM(MemberOfAssemblyAssemblyDistrict147General[[#This Row],[Wyoming County Vote Results]:[Part of Erie County Vote Results]])</f>
        <v>6</v>
      </c>
      <c r="E6" s="1"/>
    </row>
    <row r="7" spans="1:5" x14ac:dyDescent="0.2">
      <c r="A7" s="5" t="s">
        <v>5</v>
      </c>
      <c r="B7" s="13">
        <v>593</v>
      </c>
      <c r="C7" s="13">
        <v>35</v>
      </c>
      <c r="D7" s="2">
        <f>SUM(MemberOfAssemblyAssemblyDistrict147General[[#This Row],[Wyoming County Vote Results]:[Part of Erie County Vote Results]])</f>
        <v>628</v>
      </c>
      <c r="E7" s="1"/>
    </row>
    <row r="8" spans="1:5" x14ac:dyDescent="0.2">
      <c r="A8" s="4" t="s">
        <v>2</v>
      </c>
      <c r="B8" s="13">
        <f>SUM(MemberOfAssemblyAssemblyDistrict147General[Part of Erie County Vote Results])</f>
        <v>48924</v>
      </c>
      <c r="C8" s="13">
        <f>SUM(MemberOfAssemblyAssemblyDistrict147General[Wyoming County Vote Results])</f>
        <v>13885</v>
      </c>
      <c r="D8" s="2">
        <f>SUM(MemberOfAssemblyAssemblyDistrict147General[Total Votes by Party])</f>
        <v>62809</v>
      </c>
      <c r="E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FE0C-2A4C-4050-812D-871F326874DE}">
  <sheetPr codeName="Sheet194">
    <pageSetUpPr fitToPage="1"/>
  </sheetPr>
  <dimension ref="A1:G8"/>
  <sheetViews>
    <sheetView workbookViewId="0">
      <selection activeCell="E2" sqref="E2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7" ht="18.75" x14ac:dyDescent="0.2">
      <c r="A1" s="33" t="s">
        <v>605</v>
      </c>
    </row>
    <row r="2" spans="1:7" ht="25.5" x14ac:dyDescent="0.2">
      <c r="A2" s="10" t="s">
        <v>8</v>
      </c>
      <c r="B2" s="55" t="s">
        <v>22</v>
      </c>
      <c r="C2" s="55" t="s">
        <v>21</v>
      </c>
      <c r="D2" s="55" t="s">
        <v>38</v>
      </c>
      <c r="E2" s="55" t="s">
        <v>543</v>
      </c>
      <c r="F2" s="9" t="s">
        <v>3</v>
      </c>
      <c r="G2" s="8" t="s">
        <v>4</v>
      </c>
    </row>
    <row r="3" spans="1:7" x14ac:dyDescent="0.2">
      <c r="A3" s="6" t="s">
        <v>604</v>
      </c>
      <c r="B3" s="13">
        <v>11523</v>
      </c>
      <c r="C3" s="13">
        <v>17669</v>
      </c>
      <c r="D3" s="13">
        <v>0</v>
      </c>
      <c r="E3" s="13">
        <v>2179</v>
      </c>
      <c r="F3" s="2">
        <f>SUM(MemberOfAssemblyAssemblyDistrict148General[[#This Row],[Allegany County Vote Results]:[Part of Steuben County Vote Results]])</f>
        <v>31371</v>
      </c>
      <c r="G3" s="7">
        <f>SUM(MemberOfAssemblyAssemblyDistrict148General[[#This Row],[Total Votes by Party]],F4)</f>
        <v>36065</v>
      </c>
    </row>
    <row r="4" spans="1:7" x14ac:dyDescent="0.2">
      <c r="A4" s="6" t="s">
        <v>603</v>
      </c>
      <c r="B4" s="13">
        <v>1426</v>
      </c>
      <c r="C4" s="13">
        <v>3041</v>
      </c>
      <c r="D4" s="13">
        <v>0</v>
      </c>
      <c r="E4" s="13">
        <v>227</v>
      </c>
      <c r="F4" s="2">
        <f>SUM(MemberOfAssemblyAssemblyDistrict148General[[#This Row],[Allegany County Vote Results]:[Part of Steuben County Vote Results]])</f>
        <v>4694</v>
      </c>
      <c r="G4" s="16"/>
    </row>
    <row r="5" spans="1:7" x14ac:dyDescent="0.2">
      <c r="A5" s="5" t="s">
        <v>0</v>
      </c>
      <c r="B5" s="13">
        <v>2985</v>
      </c>
      <c r="C5" s="13">
        <v>5584</v>
      </c>
      <c r="D5" s="13">
        <v>0</v>
      </c>
      <c r="E5" s="13">
        <v>365</v>
      </c>
      <c r="F5" s="2">
        <f>SUM(MemberOfAssemblyAssemblyDistrict148General[[#This Row],[Allegany County Vote Results]:[Part of Steuben County Vote Results]])</f>
        <v>8934</v>
      </c>
      <c r="G5" s="1"/>
    </row>
    <row r="6" spans="1:7" x14ac:dyDescent="0.2">
      <c r="A6" s="5" t="s">
        <v>1</v>
      </c>
      <c r="B6" s="13">
        <v>2</v>
      </c>
      <c r="C6" s="13">
        <v>31</v>
      </c>
      <c r="D6" s="13">
        <v>0</v>
      </c>
      <c r="E6" s="13">
        <v>0</v>
      </c>
      <c r="F6" s="2">
        <f>SUM(MemberOfAssemblyAssemblyDistrict148General[[#This Row],[Allegany County Vote Results]:[Part of Steuben County Vote Results]])</f>
        <v>33</v>
      </c>
      <c r="G6" s="1"/>
    </row>
    <row r="7" spans="1:7" x14ac:dyDescent="0.2">
      <c r="A7" s="5" t="s">
        <v>5</v>
      </c>
      <c r="B7" s="13">
        <v>46</v>
      </c>
      <c r="C7" s="13">
        <v>25</v>
      </c>
      <c r="D7" s="13">
        <v>0</v>
      </c>
      <c r="E7" s="13">
        <v>4</v>
      </c>
      <c r="F7" s="2">
        <f>SUM(MemberOfAssemblyAssemblyDistrict148General[[#This Row],[Allegany County Vote Results]:[Part of Steuben County Vote Results]])</f>
        <v>75</v>
      </c>
      <c r="G7" s="1"/>
    </row>
    <row r="8" spans="1:7" x14ac:dyDescent="0.2">
      <c r="A8" s="4" t="s">
        <v>2</v>
      </c>
      <c r="B8" s="13">
        <f>SUM(MemberOfAssemblyAssemblyDistrict148General[Allegany County Vote Results])</f>
        <v>15982</v>
      </c>
      <c r="C8" s="13">
        <f>SUM(MemberOfAssemblyAssemblyDistrict148General[Cattaraugus County Vote Results])</f>
        <v>26350</v>
      </c>
      <c r="D8" s="13">
        <f>SUM(MemberOfAssemblyAssemblyDistrict148General[Part of Erie County Vote Results])</f>
        <v>0</v>
      </c>
      <c r="E8" s="13">
        <f>SUM(MemberOfAssemblyAssemblyDistrict148General[Part of Steuben County Vote Results])</f>
        <v>2775</v>
      </c>
      <c r="F8" s="2">
        <f>SUM(MemberOfAssemblyAssemblyDistrict148General[Total Votes by Party])</f>
        <v>45107</v>
      </c>
      <c r="G8" s="1"/>
    </row>
  </sheetData>
  <pageMargins left="0.25" right="0.25" top="0.25" bottom="0.25" header="0.25" footer="0.25"/>
  <pageSetup scale="90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08859-FBA5-4D3C-A264-55A1883A3E41}">
  <sheetPr codeName="Sheet195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33" t="s">
        <v>606</v>
      </c>
    </row>
    <row r="2" spans="1:4" ht="25.5" x14ac:dyDescent="0.2">
      <c r="A2" s="10" t="s">
        <v>8</v>
      </c>
      <c r="B2" s="55" t="s">
        <v>38</v>
      </c>
      <c r="C2" s="9" t="s">
        <v>3</v>
      </c>
      <c r="D2" s="8" t="s">
        <v>4</v>
      </c>
    </row>
    <row r="3" spans="1:4" x14ac:dyDescent="0.2">
      <c r="A3" s="6" t="s">
        <v>607</v>
      </c>
      <c r="B3" s="13">
        <v>20651</v>
      </c>
      <c r="C3" s="2">
        <f>MemberOfAssemblyAssemblyDistrict149General[[#This Row],[Part of Erie County Vote Results]]</f>
        <v>20651</v>
      </c>
      <c r="D3" s="7">
        <f>SUM(MemberOfAssemblyAssemblyDistrict149General[[#This Row],[Total Votes by Party]],C6)</f>
        <v>23792</v>
      </c>
    </row>
    <row r="4" spans="1:4" x14ac:dyDescent="0.2">
      <c r="A4" s="6" t="s">
        <v>608</v>
      </c>
      <c r="B4" s="13">
        <v>12983</v>
      </c>
      <c r="C4" s="2">
        <f>MemberOfAssemblyAssemblyDistrict149General[[#This Row],[Part of Erie County Vote Results]]</f>
        <v>12983</v>
      </c>
      <c r="D4" s="7">
        <f>SUM(MemberOfAssemblyAssemblyDistrict149General[[#This Row],[Total Votes by Party]],C5)</f>
        <v>16436</v>
      </c>
    </row>
    <row r="5" spans="1:4" x14ac:dyDescent="0.2">
      <c r="A5" s="6" t="s">
        <v>609</v>
      </c>
      <c r="B5" s="13">
        <v>3453</v>
      </c>
      <c r="C5" s="2">
        <f>MemberOfAssemblyAssemblyDistrict149General[[#This Row],[Part of Erie County Vote Results]]</f>
        <v>3453</v>
      </c>
      <c r="D5" s="1"/>
    </row>
    <row r="6" spans="1:4" x14ac:dyDescent="0.2">
      <c r="A6" s="6" t="s">
        <v>610</v>
      </c>
      <c r="B6" s="13">
        <v>3141</v>
      </c>
      <c r="C6" s="2">
        <f>MemberOfAssemblyAssemblyDistrict149General[[#This Row],[Part of Erie County Vote Results]]</f>
        <v>3141</v>
      </c>
      <c r="D6" s="1"/>
    </row>
    <row r="7" spans="1:4" x14ac:dyDescent="0.2">
      <c r="A7" s="5" t="s">
        <v>0</v>
      </c>
      <c r="B7" s="13">
        <v>2032</v>
      </c>
      <c r="C7" s="2">
        <f>MemberOfAssemblyAssemblyDistrict149General[[#This Row],[Part of Erie County Vote Results]]</f>
        <v>2032</v>
      </c>
      <c r="D7" s="1"/>
    </row>
    <row r="8" spans="1:4" x14ac:dyDescent="0.2">
      <c r="A8" s="5" t="s">
        <v>1</v>
      </c>
      <c r="B8" s="13">
        <v>16</v>
      </c>
      <c r="C8" s="2">
        <f>MemberOfAssemblyAssemblyDistrict149General[[#This Row],[Part of Erie County Vote Results]]</f>
        <v>16</v>
      </c>
      <c r="D8" s="1"/>
    </row>
    <row r="9" spans="1:4" x14ac:dyDescent="0.2">
      <c r="A9" s="5" t="s">
        <v>5</v>
      </c>
      <c r="B9" s="13">
        <v>42</v>
      </c>
      <c r="C9" s="2">
        <f>MemberOfAssemblyAssemblyDistrict149General[[#This Row],[Part of Erie County Vote Results]]</f>
        <v>42</v>
      </c>
      <c r="D9" s="1"/>
    </row>
    <row r="10" spans="1:4" x14ac:dyDescent="0.2">
      <c r="A10" s="4" t="s">
        <v>2</v>
      </c>
      <c r="B10" s="13">
        <f>SUM(MemberOfAssemblyAssemblyDistrict149General[Part of Erie County Vote Results])</f>
        <v>42318</v>
      </c>
      <c r="C10" s="2">
        <f>SUM(MemberOfAssemblyAssemblyDistrict149General[Total Votes by Party])</f>
        <v>42318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F728-DA4E-4F6A-8ADE-C87EDC5845EB}">
  <sheetPr codeName="Sheet61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109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108</v>
      </c>
      <c r="B3" s="13">
        <v>21849</v>
      </c>
      <c r="C3" s="2">
        <f>MemberOfAssemblyAssemblyDistrict15General[[#This Row],[Part of Nassau County Vote Results]]</f>
        <v>21849</v>
      </c>
      <c r="D3" s="7">
        <f>C3</f>
        <v>21849</v>
      </c>
    </row>
    <row r="4" spans="1:4" x14ac:dyDescent="0.2">
      <c r="A4" s="6" t="s">
        <v>110</v>
      </c>
      <c r="B4" s="13">
        <v>27285</v>
      </c>
      <c r="C4" s="2">
        <f>MemberOfAssemblyAssemblyDistrict15General[[#This Row],[Part of Nassau County Vote Results]]</f>
        <v>27285</v>
      </c>
      <c r="D4" s="7">
        <f>SUM(C4,C5)</f>
        <v>29910</v>
      </c>
    </row>
    <row r="5" spans="1:4" x14ac:dyDescent="0.2">
      <c r="A5" s="6" t="s">
        <v>111</v>
      </c>
      <c r="B5" s="13">
        <v>2625</v>
      </c>
      <c r="C5" s="2">
        <f>MemberOfAssemblyAssemblyDistrict15General[[#This Row],[Part of Nassau County Vote Results]]</f>
        <v>2625</v>
      </c>
      <c r="D5" s="1"/>
    </row>
    <row r="6" spans="1:4" x14ac:dyDescent="0.2">
      <c r="A6" s="5" t="s">
        <v>0</v>
      </c>
      <c r="B6" s="13">
        <v>2247</v>
      </c>
      <c r="C6" s="2">
        <f>MemberOfAssemblyAssemblyDistrict15General[[#This Row],[Part of Nassau County Vote Results]]</f>
        <v>2247</v>
      </c>
      <c r="D6" s="1"/>
    </row>
    <row r="7" spans="1:4" x14ac:dyDescent="0.2">
      <c r="A7" s="5" t="s">
        <v>1</v>
      </c>
      <c r="B7" s="13">
        <v>4</v>
      </c>
      <c r="C7" s="2">
        <f>MemberOfAssemblyAssemblyDistrict15General[[#This Row],[Part of Nassau County Vote Results]]</f>
        <v>4</v>
      </c>
      <c r="D7" s="1"/>
    </row>
    <row r="8" spans="1:4" x14ac:dyDescent="0.2">
      <c r="A8" s="5" t="s">
        <v>5</v>
      </c>
      <c r="B8" s="13">
        <v>23</v>
      </c>
      <c r="C8" s="2">
        <f>MemberOfAssemblyAssemblyDistrict15General[[#This Row],[Part of Nassau County Vote Results]]</f>
        <v>23</v>
      </c>
      <c r="D8" s="1"/>
    </row>
    <row r="9" spans="1:4" x14ac:dyDescent="0.2">
      <c r="A9" s="4" t="s">
        <v>2</v>
      </c>
      <c r="B9" s="13">
        <f>SUM(MemberOfAssemblyAssemblyDistrict15General[Part of Nassau County Vote Results])</f>
        <v>54033</v>
      </c>
      <c r="C9" s="2">
        <f>SUM(MemberOfAssemblyAssemblyDistrict15General[Total Votes by Party])</f>
        <v>54033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9CF5-27C9-46DB-A23B-9C1CB7EB77B2}">
  <sheetPr codeName="Sheet196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5" ht="18.75" x14ac:dyDescent="0.2">
      <c r="A1" s="33" t="s">
        <v>615</v>
      </c>
    </row>
    <row r="2" spans="1:5" ht="33" customHeight="1" x14ac:dyDescent="0.2">
      <c r="A2" s="10" t="s">
        <v>8</v>
      </c>
      <c r="B2" s="56" t="s">
        <v>614</v>
      </c>
      <c r="C2" s="55" t="s">
        <v>38</v>
      </c>
      <c r="D2" s="9" t="s">
        <v>3</v>
      </c>
      <c r="E2" s="8" t="s">
        <v>4</v>
      </c>
    </row>
    <row r="3" spans="1:5" x14ac:dyDescent="0.2">
      <c r="A3" s="6" t="s">
        <v>613</v>
      </c>
      <c r="B3" s="53">
        <v>11825</v>
      </c>
      <c r="C3" s="13">
        <v>83</v>
      </c>
      <c r="D3" s="2">
        <f>SUM(MemberOfAssemblyAssemblyDistrict150General[[#This Row],[Part of Chautauqua County Vote Results]:[Part of Erie County Vote Results]])</f>
        <v>11908</v>
      </c>
      <c r="E3" s="7">
        <f>SUM(MemberOfAssemblyAssemblyDistrict150General[[#This Row],[Total Votes by Party]])</f>
        <v>11908</v>
      </c>
    </row>
    <row r="4" spans="1:5" x14ac:dyDescent="0.2">
      <c r="A4" s="6" t="s">
        <v>612</v>
      </c>
      <c r="B4" s="53">
        <v>26754</v>
      </c>
      <c r="C4" s="13">
        <v>32</v>
      </c>
      <c r="D4" s="2">
        <f>SUM(MemberOfAssemblyAssemblyDistrict150General[[#This Row],[Part of Chautauqua County Vote Results]:[Part of Erie County Vote Results]])</f>
        <v>26786</v>
      </c>
      <c r="E4" s="7">
        <f>SUM(MemberOfAssemblyAssemblyDistrict150General[[#This Row],[Total Votes by Party]],D5)</f>
        <v>30993</v>
      </c>
    </row>
    <row r="5" spans="1:5" x14ac:dyDescent="0.2">
      <c r="A5" s="6" t="s">
        <v>611</v>
      </c>
      <c r="B5" s="53">
        <v>4198</v>
      </c>
      <c r="C5" s="13">
        <v>9</v>
      </c>
      <c r="D5" s="2">
        <f>SUM(MemberOfAssemblyAssemblyDistrict150General[[#This Row],[Part of Chautauqua County Vote Results]:[Part of Erie County Vote Results]])</f>
        <v>4207</v>
      </c>
      <c r="E5" s="1"/>
    </row>
    <row r="6" spans="1:5" x14ac:dyDescent="0.2">
      <c r="A6" s="5" t="s">
        <v>0</v>
      </c>
      <c r="B6" s="54">
        <v>1009</v>
      </c>
      <c r="C6" s="13">
        <v>4</v>
      </c>
      <c r="D6" s="2">
        <f>SUM(MemberOfAssemblyAssemblyDistrict150General[[#This Row],[Part of Chautauqua County Vote Results]:[Part of Erie County Vote Results]])</f>
        <v>1013</v>
      </c>
      <c r="E6" s="1"/>
    </row>
    <row r="7" spans="1:5" x14ac:dyDescent="0.2">
      <c r="A7" s="5" t="s">
        <v>1</v>
      </c>
      <c r="B7" s="54">
        <v>22</v>
      </c>
      <c r="C7" s="13">
        <v>0</v>
      </c>
      <c r="D7" s="2">
        <f>SUM(MemberOfAssemblyAssemblyDistrict150General[[#This Row],[Part of Chautauqua County Vote Results]:[Part of Erie County Vote Results]])</f>
        <v>22</v>
      </c>
      <c r="E7" s="1"/>
    </row>
    <row r="8" spans="1:5" x14ac:dyDescent="0.2">
      <c r="A8" s="5" t="s">
        <v>5</v>
      </c>
      <c r="B8" s="54">
        <v>7</v>
      </c>
      <c r="C8" s="13">
        <v>0</v>
      </c>
      <c r="D8" s="2">
        <f>SUM(MemberOfAssemblyAssemblyDistrict150General[[#This Row],[Part of Chautauqua County Vote Results]:[Part of Erie County Vote Results]])</f>
        <v>7</v>
      </c>
      <c r="E8" s="1"/>
    </row>
    <row r="9" spans="1:5" x14ac:dyDescent="0.2">
      <c r="A9" s="4" t="s">
        <v>2</v>
      </c>
      <c r="B9" s="13">
        <f>SUM(MemberOfAssemblyAssemblyDistrict150General[Part of Chautauqua County Vote Results])</f>
        <v>43815</v>
      </c>
      <c r="C9" s="13">
        <f>SUM(MemberOfAssemblyAssemblyDistrict150General[Part of Erie County Vote Results])</f>
        <v>128</v>
      </c>
      <c r="D9" s="2">
        <f>SUM(MemberOfAssemblyAssemblyDistrict150General[Total Votes by Party])</f>
        <v>43943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B75B-B09D-4251-8F8D-DFBA58027D4A}">
  <sheetPr codeName="Sheet62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116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115</v>
      </c>
      <c r="B3" s="13">
        <v>25365</v>
      </c>
      <c r="C3" s="2">
        <f>MemberOfAssemblyAssemblyDistrict16General[[#This Row],[Part of Nassau County Vote Results]]</f>
        <v>25365</v>
      </c>
      <c r="D3" s="7">
        <f>SUM(C3,C6)</f>
        <v>26537</v>
      </c>
    </row>
    <row r="4" spans="1:4" x14ac:dyDescent="0.2">
      <c r="A4" s="6" t="s">
        <v>114</v>
      </c>
      <c r="B4" s="13">
        <v>23151</v>
      </c>
      <c r="C4" s="2">
        <f>MemberOfAssemblyAssemblyDistrict16General[[#This Row],[Part of Nassau County Vote Results]]</f>
        <v>23151</v>
      </c>
      <c r="D4" s="7">
        <f>SUM(C4,C5)</f>
        <v>24752</v>
      </c>
    </row>
    <row r="5" spans="1:4" x14ac:dyDescent="0.2">
      <c r="A5" s="6" t="s">
        <v>113</v>
      </c>
      <c r="B5" s="13">
        <v>1601</v>
      </c>
      <c r="C5" s="2">
        <f>MemberOfAssemblyAssemblyDistrict16General[[#This Row],[Part of Nassau County Vote Results]]</f>
        <v>1601</v>
      </c>
      <c r="D5" s="1"/>
    </row>
    <row r="6" spans="1:4" x14ac:dyDescent="0.2">
      <c r="A6" s="6" t="s">
        <v>112</v>
      </c>
      <c r="B6" s="13">
        <v>1172</v>
      </c>
      <c r="C6" s="2">
        <f>MemberOfAssemblyAssemblyDistrict16General[[#This Row],[Part of Nassau County Vote Results]]</f>
        <v>1172</v>
      </c>
      <c r="D6" s="1"/>
    </row>
    <row r="7" spans="1:4" x14ac:dyDescent="0.2">
      <c r="A7" s="5" t="s">
        <v>0</v>
      </c>
      <c r="B7" s="13">
        <v>1809</v>
      </c>
      <c r="C7" s="2">
        <f>MemberOfAssemblyAssemblyDistrict16General[[#This Row],[Part of Nassau County Vote Results]]</f>
        <v>1809</v>
      </c>
      <c r="D7" s="1"/>
    </row>
    <row r="8" spans="1:4" x14ac:dyDescent="0.2">
      <c r="A8" s="5" t="s">
        <v>1</v>
      </c>
      <c r="B8" s="13">
        <v>23</v>
      </c>
      <c r="C8" s="2">
        <f>MemberOfAssemblyAssemblyDistrict16General[[#This Row],[Part of Nassau County Vote Results]]</f>
        <v>23</v>
      </c>
      <c r="D8" s="1"/>
    </row>
    <row r="9" spans="1:4" x14ac:dyDescent="0.2">
      <c r="A9" s="5" t="s">
        <v>5</v>
      </c>
      <c r="B9" s="13">
        <v>21</v>
      </c>
      <c r="C9" s="2">
        <f>MemberOfAssemblyAssemblyDistrict16General[[#This Row],[Part of Nassau County Vote Results]]</f>
        <v>21</v>
      </c>
      <c r="D9" s="1"/>
    </row>
    <row r="10" spans="1:4" x14ac:dyDescent="0.2">
      <c r="A10" s="4" t="s">
        <v>2</v>
      </c>
      <c r="B10" s="13">
        <f>SUM(MemberOfAssemblyAssemblyDistrict16General[Part of Nassau County Vote Results])</f>
        <v>53142</v>
      </c>
      <c r="C10" s="2">
        <f>SUM(MemberOfAssemblyAssemblyDistrict16General[Total Votes by Party])</f>
        <v>53142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12DE-70DD-4104-B764-86204EB854AF}">
  <sheetPr codeName="Sheet63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120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119</v>
      </c>
      <c r="B3" s="13">
        <v>17703</v>
      </c>
      <c r="C3" s="2">
        <f>MemberOfAssemblyAssemblyDistrict17General[[#This Row],[Part of Nassau County Vote Results]]</f>
        <v>17703</v>
      </c>
      <c r="D3" s="7">
        <f>C3</f>
        <v>17703</v>
      </c>
    </row>
    <row r="4" spans="1:4" x14ac:dyDescent="0.2">
      <c r="A4" s="6" t="s">
        <v>118</v>
      </c>
      <c r="B4" s="13">
        <v>31558</v>
      </c>
      <c r="C4" s="2">
        <f>MemberOfAssemblyAssemblyDistrict17General[[#This Row],[Part of Nassau County Vote Results]]</f>
        <v>31558</v>
      </c>
      <c r="D4" s="7">
        <f>SUM(C4,C5)</f>
        <v>34592</v>
      </c>
    </row>
    <row r="5" spans="1:4" x14ac:dyDescent="0.2">
      <c r="A5" s="6" t="s">
        <v>117</v>
      </c>
      <c r="B5" s="13">
        <v>3034</v>
      </c>
      <c r="C5" s="2">
        <f>MemberOfAssemblyAssemblyDistrict17General[[#This Row],[Part of Nassau County Vote Results]]</f>
        <v>3034</v>
      </c>
      <c r="D5" s="1"/>
    </row>
    <row r="6" spans="1:4" x14ac:dyDescent="0.2">
      <c r="A6" s="5" t="s">
        <v>0</v>
      </c>
      <c r="B6" s="13">
        <v>2310</v>
      </c>
      <c r="C6" s="2">
        <f>MemberOfAssemblyAssemblyDistrict17General[[#This Row],[Part of Nassau County Vote Results]]</f>
        <v>2310</v>
      </c>
      <c r="D6" s="1"/>
    </row>
    <row r="7" spans="1:4" x14ac:dyDescent="0.2">
      <c r="A7" s="5" t="s">
        <v>1</v>
      </c>
      <c r="B7" s="13">
        <v>6</v>
      </c>
      <c r="C7" s="2">
        <f>MemberOfAssemblyAssemblyDistrict17General[[#This Row],[Part of Nassau County Vote Results]]</f>
        <v>6</v>
      </c>
      <c r="D7" s="1"/>
    </row>
    <row r="8" spans="1:4" x14ac:dyDescent="0.2">
      <c r="A8" s="5" t="s">
        <v>5</v>
      </c>
      <c r="B8" s="13">
        <v>12</v>
      </c>
      <c r="C8" s="2">
        <f>MemberOfAssemblyAssemblyDistrict17General[[#This Row],[Part of Nassau County Vote Results]]</f>
        <v>12</v>
      </c>
      <c r="D8" s="1"/>
    </row>
    <row r="9" spans="1:4" x14ac:dyDescent="0.2">
      <c r="A9" s="4" t="s">
        <v>2</v>
      </c>
      <c r="B9" s="13">
        <f>SUM(MemberOfAssemblyAssemblyDistrict17General[Part of Nassau County Vote Results])</f>
        <v>54623</v>
      </c>
      <c r="C9" s="2">
        <f>SUM(MemberOfAssemblyAssemblyDistrict17General[Total Votes by Party])</f>
        <v>54623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7095-69FC-401F-B65A-172A413841F3}">
  <sheetPr codeName="Sheet64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123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122</v>
      </c>
      <c r="B3" s="13">
        <v>20260</v>
      </c>
      <c r="C3" s="2">
        <f>MemberOfAssemblyAssemblyDistrict18General[[#This Row],[Part of Nassau County Vote Results]]</f>
        <v>20260</v>
      </c>
      <c r="D3" s="7">
        <f>SUM(C3,C6)</f>
        <v>20732</v>
      </c>
    </row>
    <row r="4" spans="1:4" x14ac:dyDescent="0.2">
      <c r="A4" s="6" t="s">
        <v>125</v>
      </c>
      <c r="B4" s="13">
        <v>3300</v>
      </c>
      <c r="C4" s="2">
        <f>MemberOfAssemblyAssemblyDistrict18General[[#This Row],[Part of Nassau County Vote Results]]</f>
        <v>3300</v>
      </c>
      <c r="D4" s="7">
        <f>SUM(C4,C5)</f>
        <v>3703</v>
      </c>
    </row>
    <row r="5" spans="1:4" x14ac:dyDescent="0.2">
      <c r="A5" s="6" t="s">
        <v>124</v>
      </c>
      <c r="B5" s="13">
        <v>403</v>
      </c>
      <c r="C5" s="2">
        <f>MemberOfAssemblyAssemblyDistrict18General[[#This Row],[Part of Nassau County Vote Results]]</f>
        <v>403</v>
      </c>
      <c r="D5" s="1"/>
    </row>
    <row r="6" spans="1:4" x14ac:dyDescent="0.2">
      <c r="A6" s="6" t="s">
        <v>121</v>
      </c>
      <c r="B6" s="13">
        <v>472</v>
      </c>
      <c r="C6" s="2">
        <f>MemberOfAssemblyAssemblyDistrict18General[[#This Row],[Part of Nassau County Vote Results]]</f>
        <v>472</v>
      </c>
      <c r="D6" s="1"/>
    </row>
    <row r="7" spans="1:4" x14ac:dyDescent="0.2">
      <c r="A7" s="5" t="s">
        <v>0</v>
      </c>
      <c r="B7" s="13">
        <v>1233</v>
      </c>
      <c r="C7" s="2">
        <f>MemberOfAssemblyAssemblyDistrict18General[[#This Row],[Part of Nassau County Vote Results]]</f>
        <v>1233</v>
      </c>
      <c r="D7" s="1"/>
    </row>
    <row r="8" spans="1:4" x14ac:dyDescent="0.2">
      <c r="A8" s="5" t="s">
        <v>1</v>
      </c>
      <c r="B8" s="13">
        <v>16</v>
      </c>
      <c r="C8" s="2">
        <f>MemberOfAssemblyAssemblyDistrict18General[[#This Row],[Part of Nassau County Vote Results]]</f>
        <v>16</v>
      </c>
      <c r="D8" s="1"/>
    </row>
    <row r="9" spans="1:4" x14ac:dyDescent="0.2">
      <c r="A9" s="5" t="s">
        <v>5</v>
      </c>
      <c r="B9" s="13">
        <v>20</v>
      </c>
      <c r="C9" s="2">
        <f>MemberOfAssemblyAssemblyDistrict18General[[#This Row],[Part of Nassau County Vote Results]]</f>
        <v>20</v>
      </c>
      <c r="D9" s="1"/>
    </row>
    <row r="10" spans="1:4" x14ac:dyDescent="0.2">
      <c r="A10" s="4" t="s">
        <v>2</v>
      </c>
      <c r="B10" s="13">
        <f>SUM(MemberOfAssemblyAssemblyDistrict18General[Part of Nassau County Vote Results])</f>
        <v>25704</v>
      </c>
      <c r="C10" s="2">
        <f>SUM(MemberOfAssemblyAssemblyDistrict18General[Total Votes by Party])</f>
        <v>25704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9C92-6BE6-41E1-B7EF-3D26E0A14557}">
  <sheetPr codeName="Sheet65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128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129</v>
      </c>
      <c r="B3" s="13">
        <v>17141</v>
      </c>
      <c r="C3" s="2">
        <f>MemberOfAssemblyAssemblyDistrict19General[[#This Row],[Part of Nassau County Vote Results]]</f>
        <v>17141</v>
      </c>
      <c r="D3" s="7">
        <f>C3</f>
        <v>17141</v>
      </c>
    </row>
    <row r="4" spans="1:4" x14ac:dyDescent="0.2">
      <c r="A4" s="6" t="s">
        <v>127</v>
      </c>
      <c r="B4" s="13">
        <v>30948</v>
      </c>
      <c r="C4" s="2">
        <f>MemberOfAssemblyAssemblyDistrict19General[[#This Row],[Part of Nassau County Vote Results]]</f>
        <v>30948</v>
      </c>
      <c r="D4" s="7">
        <f>SUM(C4,C5)</f>
        <v>33908</v>
      </c>
    </row>
    <row r="5" spans="1:4" x14ac:dyDescent="0.2">
      <c r="A5" s="6" t="s">
        <v>126</v>
      </c>
      <c r="B5" s="13">
        <v>2960</v>
      </c>
      <c r="C5" s="2">
        <f>MemberOfAssemblyAssemblyDistrict19General[[#This Row],[Part of Nassau County Vote Results]]</f>
        <v>2960</v>
      </c>
      <c r="D5" s="1"/>
    </row>
    <row r="6" spans="1:4" x14ac:dyDescent="0.2">
      <c r="A6" s="5" t="s">
        <v>0</v>
      </c>
      <c r="B6" s="22">
        <v>2081</v>
      </c>
      <c r="C6" s="2">
        <f>MemberOfAssemblyAssemblyDistrict19General[[#This Row],[Part of Nassau County Vote Results]]</f>
        <v>2081</v>
      </c>
      <c r="D6" s="1"/>
    </row>
    <row r="7" spans="1:4" x14ac:dyDescent="0.2">
      <c r="A7" s="5" t="s">
        <v>1</v>
      </c>
      <c r="B7" s="22">
        <v>9</v>
      </c>
      <c r="C7" s="2">
        <f>MemberOfAssemblyAssemblyDistrict19General[[#This Row],[Part of Nassau County Vote Results]]</f>
        <v>9</v>
      </c>
      <c r="D7" s="1"/>
    </row>
    <row r="8" spans="1:4" x14ac:dyDescent="0.2">
      <c r="A8" s="5" t="s">
        <v>5</v>
      </c>
      <c r="B8" s="22">
        <v>14</v>
      </c>
      <c r="C8" s="2">
        <f>MemberOfAssemblyAssemblyDistrict19General[[#This Row],[Part of Nassau County Vote Results]]</f>
        <v>14</v>
      </c>
      <c r="D8" s="1"/>
    </row>
    <row r="9" spans="1:4" x14ac:dyDescent="0.2">
      <c r="A9" s="4" t="s">
        <v>2</v>
      </c>
      <c r="B9" s="13">
        <f>SUM(MemberOfAssemblyAssemblyDistrict19General[Part of Nassau County Vote Results])</f>
        <v>53153</v>
      </c>
      <c r="C9" s="2">
        <f>SUM(MemberOfAssemblyAssemblyDistrict19General[Total Votes by Party])</f>
        <v>53153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6F44-B875-45E5-8F15-EA200C8A784B}">
  <sheetPr codeName="Sheet48"/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60</v>
      </c>
    </row>
    <row r="2" spans="1:4" ht="25.5" x14ac:dyDescent="0.2">
      <c r="A2" s="10" t="s">
        <v>8</v>
      </c>
      <c r="B2" s="55" t="s">
        <v>23</v>
      </c>
      <c r="C2" s="9" t="s">
        <v>3</v>
      </c>
      <c r="D2" s="8" t="s">
        <v>4</v>
      </c>
    </row>
    <row r="3" spans="1:4" x14ac:dyDescent="0.2">
      <c r="A3" s="6" t="s">
        <v>59</v>
      </c>
      <c r="B3" s="3">
        <v>18948</v>
      </c>
      <c r="C3" s="2">
        <f>MemberOfAssemblyAssemblyDistrict2General[[#This Row],[Part of Suffolk County Vote Results]]</f>
        <v>18948</v>
      </c>
      <c r="D3" s="7">
        <f>SUM(C3)</f>
        <v>18948</v>
      </c>
    </row>
    <row r="4" spans="1:4" x14ac:dyDescent="0.2">
      <c r="A4" s="6" t="s">
        <v>58</v>
      </c>
      <c r="B4" s="3">
        <v>31491</v>
      </c>
      <c r="C4" s="2">
        <f>MemberOfAssemblyAssemblyDistrict2General[[#This Row],[Part of Suffolk County Vote Results]]</f>
        <v>31491</v>
      </c>
      <c r="D4" s="7">
        <f>SUM(C4,C5)</f>
        <v>36604</v>
      </c>
    </row>
    <row r="5" spans="1:4" x14ac:dyDescent="0.2">
      <c r="A5" s="6" t="s">
        <v>57</v>
      </c>
      <c r="B5" s="3">
        <v>5113</v>
      </c>
      <c r="C5" s="2">
        <f>MemberOfAssemblyAssemblyDistrict2General[[#This Row],[Part of Suffolk County Vote Results]]</f>
        <v>5113</v>
      </c>
      <c r="D5" s="1"/>
    </row>
    <row r="6" spans="1:4" x14ac:dyDescent="0.2">
      <c r="A6" s="5" t="s">
        <v>0</v>
      </c>
      <c r="B6" s="3">
        <v>2136</v>
      </c>
      <c r="C6" s="2">
        <f>MemberOfAssemblyAssemblyDistrict2General[[#This Row],[Part of Suffolk County Vote Results]]</f>
        <v>2136</v>
      </c>
      <c r="D6" s="1"/>
    </row>
    <row r="7" spans="1:4" x14ac:dyDescent="0.2">
      <c r="A7" s="5" t="s">
        <v>1</v>
      </c>
      <c r="B7" s="3">
        <v>6</v>
      </c>
      <c r="C7" s="2">
        <f>MemberOfAssemblyAssemblyDistrict2General[[#This Row],[Part of Suffolk County Vote Results]]</f>
        <v>6</v>
      </c>
      <c r="D7" s="1"/>
    </row>
    <row r="8" spans="1:4" x14ac:dyDescent="0.2">
      <c r="A8" s="5" t="s">
        <v>5</v>
      </c>
      <c r="B8" s="3">
        <v>4</v>
      </c>
      <c r="C8" s="2">
        <f>MemberOfAssemblyAssemblyDistrict2General[[#This Row],[Part of Suffolk County Vote Results]]</f>
        <v>4</v>
      </c>
      <c r="D8" s="1"/>
    </row>
    <row r="9" spans="1:4" x14ac:dyDescent="0.2">
      <c r="A9" s="4" t="s">
        <v>2</v>
      </c>
      <c r="B9" s="3">
        <f>SUM(MemberOfAssemblyAssemblyDistrict2General[Part of Suffolk County Vote Results])</f>
        <v>57698</v>
      </c>
      <c r="C9" s="2">
        <f>SUM(MemberOfAssemblyAssemblyDistrict2General[Total Votes by Party])</f>
        <v>57698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2359-ED5C-460D-B946-374D150912E9}">
  <sheetPr codeName="Sheet66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131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130</v>
      </c>
      <c r="B3" s="13">
        <v>18983</v>
      </c>
      <c r="C3" s="2">
        <f>MemberOfAssemblyAssemblyDistrict20General[[#This Row],[Part of Nassau County Vote Results]]</f>
        <v>18983</v>
      </c>
      <c r="D3" s="7">
        <f>C3</f>
        <v>18983</v>
      </c>
    </row>
    <row r="4" spans="1:4" x14ac:dyDescent="0.2">
      <c r="A4" s="6" t="s">
        <v>132</v>
      </c>
      <c r="B4" s="13">
        <v>27775</v>
      </c>
      <c r="C4" s="2">
        <f>MemberOfAssemblyAssemblyDistrict20General[[#This Row],[Part of Nassau County Vote Results]]</f>
        <v>27775</v>
      </c>
      <c r="D4" s="7">
        <f>SUM(C4,C5)</f>
        <v>29813</v>
      </c>
    </row>
    <row r="5" spans="1:4" x14ac:dyDescent="0.2">
      <c r="A5" s="6" t="s">
        <v>133</v>
      </c>
      <c r="B5" s="13">
        <v>2038</v>
      </c>
      <c r="C5" s="2">
        <f>MemberOfAssemblyAssemblyDistrict20General[[#This Row],[Part of Nassau County Vote Results]]</f>
        <v>2038</v>
      </c>
      <c r="D5" s="1"/>
    </row>
    <row r="6" spans="1:4" x14ac:dyDescent="0.2">
      <c r="A6" s="5" t="s">
        <v>0</v>
      </c>
      <c r="B6" s="13">
        <v>2132</v>
      </c>
      <c r="C6" s="2">
        <f>MemberOfAssemblyAssemblyDistrict20General[[#This Row],[Part of Nassau County Vote Results]]</f>
        <v>2132</v>
      </c>
      <c r="D6" s="1"/>
    </row>
    <row r="7" spans="1:4" x14ac:dyDescent="0.2">
      <c r="A7" s="5" t="s">
        <v>1</v>
      </c>
      <c r="B7" s="13">
        <v>9</v>
      </c>
      <c r="C7" s="2">
        <f>MemberOfAssemblyAssemblyDistrict20General[[#This Row],[Part of Nassau County Vote Results]]</f>
        <v>9</v>
      </c>
      <c r="D7" s="1"/>
    </row>
    <row r="8" spans="1:4" x14ac:dyDescent="0.2">
      <c r="A8" s="5" t="s">
        <v>5</v>
      </c>
      <c r="B8" s="13">
        <v>17</v>
      </c>
      <c r="C8" s="2">
        <f>MemberOfAssemblyAssemblyDistrict20General[[#This Row],[Part of Nassau County Vote Results]]</f>
        <v>17</v>
      </c>
      <c r="D8" s="1"/>
    </row>
    <row r="9" spans="1:4" x14ac:dyDescent="0.2">
      <c r="A9" s="4" t="s">
        <v>2</v>
      </c>
      <c r="B9" s="13">
        <f>SUM(MemberOfAssemblyAssemblyDistrict20General[Part of Nassau County Vote Results])</f>
        <v>50954</v>
      </c>
      <c r="C9" s="2">
        <f>SUM(MemberOfAssemblyAssemblyDistrict20General[Total Votes by Party])</f>
        <v>50954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94AA-AA5D-4BE9-9C07-7AB838DB5F51}">
  <sheetPr codeName="Sheet67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7.7109375" customWidth="1"/>
    <col min="2" max="4" width="20.5703125" customWidth="1"/>
    <col min="5" max="6" width="23.5703125" customWidth="1"/>
  </cols>
  <sheetData>
    <row r="1" spans="1:4" ht="18.75" x14ac:dyDescent="0.2">
      <c r="A1" s="11" t="s">
        <v>136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137</v>
      </c>
      <c r="B3" s="13">
        <v>25701</v>
      </c>
      <c r="C3" s="2">
        <f>MemberOfAssemblyAssemblyDistrict21General[[#This Row],[Part of Nassau County Vote Results]]</f>
        <v>25701</v>
      </c>
      <c r="D3" s="7">
        <f>C3</f>
        <v>25701</v>
      </c>
    </row>
    <row r="4" spans="1:4" x14ac:dyDescent="0.2">
      <c r="A4" s="6" t="s">
        <v>135</v>
      </c>
      <c r="B4" s="13">
        <v>23407</v>
      </c>
      <c r="C4" s="2">
        <f>MemberOfAssemblyAssemblyDistrict21General[[#This Row],[Part of Nassau County Vote Results]]</f>
        <v>23407</v>
      </c>
      <c r="D4" s="7">
        <f>SUM(C4,C5)</f>
        <v>25839</v>
      </c>
    </row>
    <row r="5" spans="1:4" x14ac:dyDescent="0.2">
      <c r="A5" s="6" t="s">
        <v>134</v>
      </c>
      <c r="B5" s="13">
        <v>2432</v>
      </c>
      <c r="C5" s="2">
        <f>MemberOfAssemblyAssemblyDistrict21General[[#This Row],[Part of Nassau County Vote Results]]</f>
        <v>2432</v>
      </c>
      <c r="D5" s="1"/>
    </row>
    <row r="6" spans="1:4" x14ac:dyDescent="0.2">
      <c r="A6" s="5" t="s">
        <v>0</v>
      </c>
      <c r="B6" s="13">
        <v>1494</v>
      </c>
      <c r="C6" s="2">
        <f>MemberOfAssemblyAssemblyDistrict21General[[#This Row],[Part of Nassau County Vote Results]]</f>
        <v>1494</v>
      </c>
      <c r="D6" s="1"/>
    </row>
    <row r="7" spans="1:4" x14ac:dyDescent="0.2">
      <c r="A7" s="5" t="s">
        <v>1</v>
      </c>
      <c r="B7" s="13">
        <v>8</v>
      </c>
      <c r="C7" s="2">
        <f>MemberOfAssemblyAssemblyDistrict21General[[#This Row],[Part of Nassau County Vote Results]]</f>
        <v>8</v>
      </c>
      <c r="D7" s="1"/>
    </row>
    <row r="8" spans="1:4" x14ac:dyDescent="0.2">
      <c r="A8" s="5" t="s">
        <v>5</v>
      </c>
      <c r="B8" s="13">
        <v>9</v>
      </c>
      <c r="C8" s="2">
        <f>MemberOfAssemblyAssemblyDistrict21General[[#This Row],[Part of Nassau County Vote Results]]</f>
        <v>9</v>
      </c>
      <c r="D8" s="1"/>
    </row>
    <row r="9" spans="1:4" x14ac:dyDescent="0.2">
      <c r="A9" s="4" t="s">
        <v>2</v>
      </c>
      <c r="B9" s="13">
        <f>SUM(MemberOfAssemblyAssemblyDistrict21General[Part of Nassau County Vote Results])</f>
        <v>53051</v>
      </c>
      <c r="C9" s="2">
        <f>SUM(MemberOfAssemblyAssemblyDistrict21General[Total Votes by Party])</f>
        <v>53051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9189-2A65-4412-8EE0-6060A8C104B9}">
  <sheetPr codeName="Sheet68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142</v>
      </c>
    </row>
    <row r="2" spans="1:4" ht="25.5" x14ac:dyDescent="0.2">
      <c r="A2" s="10" t="s">
        <v>8</v>
      </c>
      <c r="B2" s="55" t="s">
        <v>24</v>
      </c>
      <c r="C2" s="9" t="s">
        <v>3</v>
      </c>
      <c r="D2" s="8" t="s">
        <v>4</v>
      </c>
    </row>
    <row r="3" spans="1:4" x14ac:dyDescent="0.2">
      <c r="A3" s="6" t="s">
        <v>141</v>
      </c>
      <c r="B3" s="13">
        <v>22129</v>
      </c>
      <c r="C3" s="2">
        <f>MemberOfAssemblyAssemblyDistrict22General[[#This Row],[Part of Nassau County Vote Results]]</f>
        <v>22129</v>
      </c>
      <c r="D3" s="7">
        <f>SUM(C3,C6)</f>
        <v>22910</v>
      </c>
    </row>
    <row r="4" spans="1:4" x14ac:dyDescent="0.2">
      <c r="A4" s="6" t="s">
        <v>140</v>
      </c>
      <c r="B4" s="13">
        <v>15236</v>
      </c>
      <c r="C4" s="2">
        <f>MemberOfAssemblyAssemblyDistrict22General[[#This Row],[Part of Nassau County Vote Results]]</f>
        <v>15236</v>
      </c>
      <c r="D4" s="7">
        <f t="shared" ref="D4" si="0">SUM(C4,C5)</f>
        <v>16682</v>
      </c>
    </row>
    <row r="5" spans="1:4" x14ac:dyDescent="0.2">
      <c r="A5" s="6" t="s">
        <v>139</v>
      </c>
      <c r="B5" s="13">
        <v>1446</v>
      </c>
      <c r="C5" s="2">
        <f>MemberOfAssemblyAssemblyDistrict22General[[#This Row],[Part of Nassau County Vote Results]]</f>
        <v>1446</v>
      </c>
      <c r="D5" s="1"/>
    </row>
    <row r="6" spans="1:4" x14ac:dyDescent="0.2">
      <c r="A6" s="6" t="s">
        <v>138</v>
      </c>
      <c r="B6" s="13">
        <v>781</v>
      </c>
      <c r="C6" s="2">
        <f>MemberOfAssemblyAssemblyDistrict22General[[#This Row],[Part of Nassau County Vote Results]]</f>
        <v>781</v>
      </c>
      <c r="D6" s="1"/>
    </row>
    <row r="7" spans="1:4" x14ac:dyDescent="0.2">
      <c r="A7" s="5" t="s">
        <v>0</v>
      </c>
      <c r="B7" s="13">
        <v>1411</v>
      </c>
      <c r="C7" s="2">
        <f>MemberOfAssemblyAssemblyDistrict22General[[#This Row],[Part of Nassau County Vote Results]]</f>
        <v>1411</v>
      </c>
      <c r="D7" s="1"/>
    </row>
    <row r="8" spans="1:4" x14ac:dyDescent="0.2">
      <c r="A8" s="5" t="s">
        <v>1</v>
      </c>
      <c r="B8" s="13">
        <v>23</v>
      </c>
      <c r="C8" s="2">
        <f>MemberOfAssemblyAssemblyDistrict22General[[#This Row],[Part of Nassau County Vote Results]]</f>
        <v>23</v>
      </c>
      <c r="D8" s="1"/>
    </row>
    <row r="9" spans="1:4" x14ac:dyDescent="0.2">
      <c r="A9" s="5" t="s">
        <v>5</v>
      </c>
      <c r="B9" s="13">
        <v>17</v>
      </c>
      <c r="C9" s="2">
        <f>MemberOfAssemblyAssemblyDistrict22General[[#This Row],[Part of Nassau County Vote Results]]</f>
        <v>17</v>
      </c>
      <c r="D9" s="1"/>
    </row>
    <row r="10" spans="1:4" x14ac:dyDescent="0.2">
      <c r="A10" s="4" t="s">
        <v>2</v>
      </c>
      <c r="B10" s="13">
        <f>SUM(MemberOfAssemblyAssemblyDistrict22General[Part of Nassau County Vote Results])</f>
        <v>41043</v>
      </c>
      <c r="C10" s="2">
        <f>SUM(MemberOfAssemblyAssemblyDistrict22General[Total Votes by Party])</f>
        <v>41043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ignoredErrors>
    <ignoredError sqref="D3" calculatedColumn="1"/>
  </ignoredErrors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D782-9BEF-49F6-88EE-22E2F3EA7684}">
  <sheetPr codeName="Sheet69">
    <pageSetUpPr fitToPage="1"/>
  </sheetPr>
  <dimension ref="A1:D10"/>
  <sheetViews>
    <sheetView workbookViewId="0">
      <selection activeCell="F7" sqref="F7"/>
    </sheetView>
  </sheetViews>
  <sheetFormatPr defaultRowHeight="12.75" x14ac:dyDescent="0.2"/>
  <cols>
    <col min="1" max="1" width="29" customWidth="1"/>
    <col min="2" max="4" width="20.5703125" customWidth="1"/>
    <col min="5" max="6" width="23.5703125" customWidth="1"/>
  </cols>
  <sheetData>
    <row r="1" spans="1:4" ht="18.75" x14ac:dyDescent="0.2">
      <c r="A1" s="59" t="s">
        <v>147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146</v>
      </c>
      <c r="B3" s="19">
        <v>15412</v>
      </c>
      <c r="C3" s="2">
        <f>MemberOfAssemblyAssemblyDistrict23General3[[#This Row],[Part of Queens County Vote Results]]</f>
        <v>15412</v>
      </c>
      <c r="D3" s="7">
        <f>SUM(C3,C6)</f>
        <v>16185</v>
      </c>
    </row>
    <row r="4" spans="1:4" x14ac:dyDescent="0.2">
      <c r="A4" s="6" t="s">
        <v>145</v>
      </c>
      <c r="B4" s="19">
        <v>14800</v>
      </c>
      <c r="C4" s="2">
        <f>MemberOfAssemblyAssemblyDistrict23General3[[#This Row],[Part of Queens County Vote Results]]</f>
        <v>14800</v>
      </c>
      <c r="D4" s="7">
        <f>SUM(C4,C5)</f>
        <v>16170</v>
      </c>
    </row>
    <row r="5" spans="1:4" x14ac:dyDescent="0.2">
      <c r="A5" s="6" t="s">
        <v>144</v>
      </c>
      <c r="B5" s="19">
        <v>1370</v>
      </c>
      <c r="C5" s="2">
        <f>MemberOfAssemblyAssemblyDistrict23General3[[#This Row],[Part of Queens County Vote Results]]</f>
        <v>1370</v>
      </c>
      <c r="D5" s="1"/>
    </row>
    <row r="6" spans="1:4" x14ac:dyDescent="0.2">
      <c r="A6" s="6" t="s">
        <v>143</v>
      </c>
      <c r="B6" s="60">
        <v>773</v>
      </c>
      <c r="C6" s="17">
        <f>MemberOfAssemblyAssemblyDistrict23General3[[#This Row],[Part of Queens County Vote Results]]</f>
        <v>773</v>
      </c>
      <c r="D6" s="1"/>
    </row>
    <row r="7" spans="1:4" x14ac:dyDescent="0.2">
      <c r="A7" s="5" t="s">
        <v>0</v>
      </c>
      <c r="B7" s="13">
        <v>801</v>
      </c>
      <c r="C7" s="2">
        <f>MemberOfAssemblyAssemblyDistrict23General3[[#This Row],[Part of Queens County Vote Results]]</f>
        <v>801</v>
      </c>
      <c r="D7" s="1"/>
    </row>
    <row r="8" spans="1:4" x14ac:dyDescent="0.2">
      <c r="A8" s="5" t="s">
        <v>1</v>
      </c>
      <c r="B8" s="13">
        <v>14</v>
      </c>
      <c r="C8" s="2">
        <f>MemberOfAssemblyAssemblyDistrict23General3[[#This Row],[Part of Queens County Vote Results]]</f>
        <v>14</v>
      </c>
      <c r="D8" s="1"/>
    </row>
    <row r="9" spans="1:4" x14ac:dyDescent="0.2">
      <c r="A9" s="5" t="s">
        <v>5</v>
      </c>
      <c r="B9" s="13">
        <v>20</v>
      </c>
      <c r="C9" s="2">
        <f>MemberOfAssemblyAssemblyDistrict23General3[[#This Row],[Part of Queens County Vote Results]]</f>
        <v>20</v>
      </c>
      <c r="D9" s="1"/>
    </row>
    <row r="10" spans="1:4" x14ac:dyDescent="0.2">
      <c r="A10" s="4" t="s">
        <v>2</v>
      </c>
      <c r="B10" s="13">
        <f>SUM(MemberOfAssemblyAssemblyDistrict23General3[Part of Queens County Vote Results])</f>
        <v>33190</v>
      </c>
      <c r="C10" s="2">
        <f>SUM(MemberOfAssemblyAssemblyDistrict23General3[Total Votes by Party])</f>
        <v>33190</v>
      </c>
      <c r="D10" s="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63E4-2B87-4727-A836-6C9DB17B40D6}">
  <sheetPr codeName="Sheet70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148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149</v>
      </c>
      <c r="B3" s="19">
        <v>15897</v>
      </c>
      <c r="C3" s="2">
        <f>MemberOfAssemblyAssemblyDistrict24General[[#This Row],[Part of Queens County Vote Results]]</f>
        <v>15897</v>
      </c>
      <c r="D3" s="7">
        <f t="shared" ref="D3" si="0">C3</f>
        <v>15897</v>
      </c>
    </row>
    <row r="4" spans="1:4" x14ac:dyDescent="0.2">
      <c r="A4" s="5" t="s">
        <v>0</v>
      </c>
      <c r="B4" s="13">
        <v>6450</v>
      </c>
      <c r="C4" s="2">
        <f>MemberOfAssemblyAssemblyDistrict24General[[#This Row],[Part of Queens County Vote Results]]</f>
        <v>6450</v>
      </c>
      <c r="D4" s="1"/>
    </row>
    <row r="5" spans="1:4" x14ac:dyDescent="0.2">
      <c r="A5" s="5" t="s">
        <v>1</v>
      </c>
      <c r="B5" s="13">
        <v>53</v>
      </c>
      <c r="C5" s="2">
        <f>MemberOfAssemblyAssemblyDistrict24General[[#This Row],[Part of Queens County Vote Results]]</f>
        <v>53</v>
      </c>
      <c r="D5" s="1"/>
    </row>
    <row r="6" spans="1:4" x14ac:dyDescent="0.2">
      <c r="A6" s="5" t="s">
        <v>5</v>
      </c>
      <c r="B6" s="13">
        <v>212</v>
      </c>
      <c r="C6" s="2">
        <f>MemberOfAssemblyAssemblyDistrict24General[[#This Row],[Part of Queens County Vote Results]]</f>
        <v>212</v>
      </c>
      <c r="D6" s="1"/>
    </row>
    <row r="7" spans="1:4" x14ac:dyDescent="0.2">
      <c r="A7" s="4" t="s">
        <v>2</v>
      </c>
      <c r="B7" s="13">
        <f>SUM(MemberOfAssemblyAssemblyDistrict24General[Part of Queens County Vote Results])</f>
        <v>22612</v>
      </c>
      <c r="C7" s="2">
        <f>SUM(MemberOfAssemblyAssemblyDistrict24General[Total Votes by Party])</f>
        <v>22612</v>
      </c>
      <c r="D7" s="1"/>
    </row>
    <row r="8" spans="1:4" x14ac:dyDescent="0.2">
      <c r="B8" s="23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6B90-9C5B-4437-A9BD-DBEB4277A4D4}">
  <sheetPr codeName="Sheet71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153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152</v>
      </c>
      <c r="B3" s="19">
        <v>10777</v>
      </c>
      <c r="C3" s="2">
        <f>MemberOfAssemblyAssemblyDistrict25General[[#This Row],[Part of Queens County Vote Results]]</f>
        <v>10777</v>
      </c>
      <c r="D3" s="7">
        <f>SUM(C3,C5)</f>
        <v>11752</v>
      </c>
    </row>
    <row r="4" spans="1:4" x14ac:dyDescent="0.2">
      <c r="A4" s="6" t="s">
        <v>151</v>
      </c>
      <c r="B4" s="18">
        <v>8839</v>
      </c>
      <c r="C4" s="2">
        <f>MemberOfAssemblyAssemblyDistrict25General[[#This Row],[Part of Queens County Vote Results]]</f>
        <v>8839</v>
      </c>
      <c r="D4" s="7">
        <f>C4</f>
        <v>8839</v>
      </c>
    </row>
    <row r="5" spans="1:4" x14ac:dyDescent="0.2">
      <c r="A5" s="6" t="s">
        <v>150</v>
      </c>
      <c r="B5" s="19">
        <v>975</v>
      </c>
      <c r="C5" s="2">
        <f>MemberOfAssemblyAssemblyDistrict25General[[#This Row],[Part of Queens County Vote Results]]</f>
        <v>975</v>
      </c>
      <c r="D5" s="1"/>
    </row>
    <row r="6" spans="1:4" x14ac:dyDescent="0.2">
      <c r="A6" s="5" t="s">
        <v>0</v>
      </c>
      <c r="B6" s="13">
        <v>1232</v>
      </c>
      <c r="C6" s="2">
        <f>MemberOfAssemblyAssemblyDistrict25General[[#This Row],[Part of Queens County Vote Results]]</f>
        <v>1232</v>
      </c>
      <c r="D6" s="1"/>
    </row>
    <row r="7" spans="1:4" x14ac:dyDescent="0.2">
      <c r="A7" s="5" t="s">
        <v>1</v>
      </c>
      <c r="B7" s="13">
        <v>83</v>
      </c>
      <c r="C7" s="2">
        <f>MemberOfAssemblyAssemblyDistrict25General[[#This Row],[Part of Queens County Vote Results]]</f>
        <v>83</v>
      </c>
      <c r="D7" s="1"/>
    </row>
    <row r="8" spans="1:4" x14ac:dyDescent="0.2">
      <c r="A8" s="5" t="s">
        <v>5</v>
      </c>
      <c r="B8" s="13">
        <v>34</v>
      </c>
      <c r="C8" s="2">
        <f>MemberOfAssemblyAssemblyDistrict25General[[#This Row],[Part of Queens County Vote Results]]</f>
        <v>34</v>
      </c>
      <c r="D8" s="1"/>
    </row>
    <row r="9" spans="1:4" x14ac:dyDescent="0.2">
      <c r="A9" s="4" t="s">
        <v>2</v>
      </c>
      <c r="B9" s="13">
        <f>SUM(MemberOfAssemblyAssemblyDistrict25General[Part of Queens County Vote Results])</f>
        <v>21940</v>
      </c>
      <c r="C9" s="2">
        <f>SUM(MemberOfAssemblyAssemblyDistrict25General[Total Votes by Party])</f>
        <v>21940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803A-C197-4107-96A5-ED2470650819}">
  <sheetPr codeName="Sheet72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7.7109375" customWidth="1"/>
    <col min="2" max="4" width="20.5703125" customWidth="1"/>
    <col min="5" max="6" width="23.5703125" customWidth="1"/>
  </cols>
  <sheetData>
    <row r="1" spans="1:4" ht="18.75" x14ac:dyDescent="0.2">
      <c r="A1" s="11" t="s">
        <v>156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630</v>
      </c>
      <c r="B3" s="19">
        <v>18590</v>
      </c>
      <c r="C3" s="2">
        <f>MemberOfAssemblyAssemblyDistrict26General[[#This Row],[Part of Queens County Vote Results]]</f>
        <v>18590</v>
      </c>
      <c r="D3" s="7">
        <f>C3</f>
        <v>18590</v>
      </c>
    </row>
    <row r="4" spans="1:4" x14ac:dyDescent="0.2">
      <c r="A4" s="6" t="s">
        <v>155</v>
      </c>
      <c r="B4" s="19">
        <v>14274</v>
      </c>
      <c r="C4" s="2">
        <f>MemberOfAssemblyAssemblyDistrict26General[[#This Row],[Part of Queens County Vote Results]]</f>
        <v>14274</v>
      </c>
      <c r="D4" s="7">
        <f>SUM(C4,C5)</f>
        <v>15551</v>
      </c>
    </row>
    <row r="5" spans="1:4" x14ac:dyDescent="0.2">
      <c r="A5" s="6" t="s">
        <v>154</v>
      </c>
      <c r="B5" s="19">
        <v>1277</v>
      </c>
      <c r="C5" s="2">
        <f>MemberOfAssemblyAssemblyDistrict26General[[#This Row],[Part of Queens County Vote Results]]</f>
        <v>1277</v>
      </c>
      <c r="D5" s="1"/>
    </row>
    <row r="6" spans="1:4" x14ac:dyDescent="0.2">
      <c r="A6" s="5" t="s">
        <v>0</v>
      </c>
      <c r="B6" s="13">
        <v>1274</v>
      </c>
      <c r="C6" s="2">
        <f>MemberOfAssemblyAssemblyDistrict26General[[#This Row],[Part of Queens County Vote Results]]</f>
        <v>1274</v>
      </c>
      <c r="D6" s="1"/>
    </row>
    <row r="7" spans="1:4" x14ac:dyDescent="0.2">
      <c r="A7" s="5" t="s">
        <v>1</v>
      </c>
      <c r="B7" s="13">
        <v>92</v>
      </c>
      <c r="C7" s="2">
        <f>MemberOfAssemblyAssemblyDistrict26General[[#This Row],[Part of Queens County Vote Results]]</f>
        <v>92</v>
      </c>
      <c r="D7" s="1"/>
    </row>
    <row r="8" spans="1:4" x14ac:dyDescent="0.2">
      <c r="A8" s="5" t="s">
        <v>5</v>
      </c>
      <c r="B8" s="13">
        <v>26</v>
      </c>
      <c r="C8" s="2">
        <f>MemberOfAssemblyAssemblyDistrict26General[[#This Row],[Part of Queens County Vote Results]]</f>
        <v>26</v>
      </c>
      <c r="D8" s="1"/>
    </row>
    <row r="9" spans="1:4" x14ac:dyDescent="0.2">
      <c r="A9" s="4" t="s">
        <v>2</v>
      </c>
      <c r="B9" s="13">
        <f>SUM(MemberOfAssemblyAssemblyDistrict26General[Part of Queens County Vote Results])</f>
        <v>35533</v>
      </c>
      <c r="C9" s="2">
        <f>SUM(MemberOfAssemblyAssemblyDistrict26General[Total Votes by Party])</f>
        <v>35533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1F36-83E5-4EAB-AED2-1BD02E187DC0}">
  <sheetPr codeName="Sheet73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158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157</v>
      </c>
      <c r="B3" s="19">
        <v>13763</v>
      </c>
      <c r="C3" s="2">
        <f>MemberOfAssemblyAssemblyDistrict27General[[#This Row],[Part of Queens County Vote Results]]</f>
        <v>13763</v>
      </c>
      <c r="D3" s="7">
        <f>C3</f>
        <v>13763</v>
      </c>
    </row>
    <row r="4" spans="1:4" x14ac:dyDescent="0.2">
      <c r="A4" s="6" t="s">
        <v>631</v>
      </c>
      <c r="B4" s="13">
        <v>9286</v>
      </c>
      <c r="C4" s="2">
        <f>MemberOfAssemblyAssemblyDistrict27General[[#This Row],[Part of Queens County Vote Results]]</f>
        <v>9286</v>
      </c>
      <c r="D4" s="7">
        <f>SUM(C4,C5)</f>
        <v>9937</v>
      </c>
    </row>
    <row r="5" spans="1:4" x14ac:dyDescent="0.2">
      <c r="A5" s="6" t="s">
        <v>632</v>
      </c>
      <c r="B5" s="13">
        <v>651</v>
      </c>
      <c r="C5" s="2">
        <f>MemberOfAssemblyAssemblyDistrict27General[[#This Row],[Part of Queens County Vote Results]]</f>
        <v>651</v>
      </c>
      <c r="D5" s="1"/>
    </row>
    <row r="6" spans="1:4" x14ac:dyDescent="0.2">
      <c r="A6" s="5" t="s">
        <v>0</v>
      </c>
      <c r="B6" s="13">
        <v>1077</v>
      </c>
      <c r="C6" s="2">
        <f>MemberOfAssemblyAssemblyDistrict27General[[#This Row],[Part of Queens County Vote Results]]</f>
        <v>1077</v>
      </c>
      <c r="D6" s="1"/>
    </row>
    <row r="7" spans="1:4" x14ac:dyDescent="0.2">
      <c r="A7" s="5" t="s">
        <v>1</v>
      </c>
      <c r="B7" s="13">
        <v>105</v>
      </c>
      <c r="C7" s="2">
        <f>MemberOfAssemblyAssemblyDistrict27General[[#This Row],[Part of Queens County Vote Results]]</f>
        <v>105</v>
      </c>
      <c r="D7" s="1"/>
    </row>
    <row r="8" spans="1:4" x14ac:dyDescent="0.2">
      <c r="A8" s="5" t="s">
        <v>5</v>
      </c>
      <c r="B8" s="13">
        <v>26</v>
      </c>
      <c r="C8" s="2">
        <f>MemberOfAssemblyAssemblyDistrict27General[[#This Row],[Part of Queens County Vote Results]]</f>
        <v>26</v>
      </c>
      <c r="D8" s="1"/>
    </row>
    <row r="9" spans="1:4" x14ac:dyDescent="0.2">
      <c r="A9" s="4" t="s">
        <v>2</v>
      </c>
      <c r="B9" s="13">
        <f>SUM(MemberOfAssemblyAssemblyDistrict27General[Part of Queens County Vote Results])</f>
        <v>24908</v>
      </c>
      <c r="C9" s="2">
        <f>SUM(MemberOfAssemblyAssemblyDistrict27General[Total Votes by Party])</f>
        <v>24908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C83D-2E0C-47DA-98CC-2435477642D7}">
  <sheetPr codeName="Sheet74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7.42578125" customWidth="1"/>
    <col min="2" max="4" width="20.5703125" customWidth="1"/>
    <col min="5" max="6" width="23.5703125" customWidth="1"/>
  </cols>
  <sheetData>
    <row r="1" spans="1:4" ht="18.75" x14ac:dyDescent="0.2">
      <c r="A1" s="11" t="s">
        <v>163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162</v>
      </c>
      <c r="B3" s="19">
        <v>18236</v>
      </c>
      <c r="C3" s="2">
        <f>MemberOfAssemblyAssemblyDistrict28General[[#This Row],[Part of Queens County Vote Results]]</f>
        <v>18236</v>
      </c>
      <c r="D3" s="7">
        <f>SUM(C3,C6)</f>
        <v>20550</v>
      </c>
    </row>
    <row r="4" spans="1:4" x14ac:dyDescent="0.2">
      <c r="A4" s="6" t="s">
        <v>161</v>
      </c>
      <c r="B4" s="13">
        <v>13611</v>
      </c>
      <c r="C4" s="2">
        <f>MemberOfAssemblyAssemblyDistrict28General[[#This Row],[Part of Queens County Vote Results]]</f>
        <v>13611</v>
      </c>
      <c r="D4" s="7">
        <f>SUM(C4,C5)</f>
        <v>14704</v>
      </c>
    </row>
    <row r="5" spans="1:4" x14ac:dyDescent="0.2">
      <c r="A5" s="6" t="s">
        <v>160</v>
      </c>
      <c r="B5" s="13">
        <v>1093</v>
      </c>
      <c r="C5" s="2">
        <f>MemberOfAssemblyAssemblyDistrict28General[[#This Row],[Part of Queens County Vote Results]]</f>
        <v>1093</v>
      </c>
      <c r="D5" s="1"/>
    </row>
    <row r="6" spans="1:4" ht="15" customHeight="1" x14ac:dyDescent="0.2">
      <c r="A6" s="6" t="s">
        <v>159</v>
      </c>
      <c r="B6" s="19">
        <v>2314</v>
      </c>
      <c r="C6" s="2">
        <f>MemberOfAssemblyAssemblyDistrict28General[[#This Row],[Part of Queens County Vote Results]]</f>
        <v>2314</v>
      </c>
      <c r="D6" s="1"/>
    </row>
    <row r="7" spans="1:4" x14ac:dyDescent="0.2">
      <c r="A7" s="5" t="s">
        <v>0</v>
      </c>
      <c r="B7" s="13">
        <v>1053</v>
      </c>
      <c r="C7" s="2">
        <f>MemberOfAssemblyAssemblyDistrict28General[[#This Row],[Part of Queens County Vote Results]]</f>
        <v>1053</v>
      </c>
      <c r="D7" s="1"/>
    </row>
    <row r="8" spans="1:4" x14ac:dyDescent="0.2">
      <c r="A8" s="5" t="s">
        <v>1</v>
      </c>
      <c r="B8" s="13">
        <v>151</v>
      </c>
      <c r="C8" s="2">
        <f>MemberOfAssemblyAssemblyDistrict28General[[#This Row],[Part of Queens County Vote Results]]</f>
        <v>151</v>
      </c>
      <c r="D8" s="1"/>
    </row>
    <row r="9" spans="1:4" x14ac:dyDescent="0.2">
      <c r="A9" s="5" t="s">
        <v>5</v>
      </c>
      <c r="B9" s="13">
        <v>30</v>
      </c>
      <c r="C9" s="2">
        <f>MemberOfAssemblyAssemblyDistrict28General[[#This Row],[Part of Queens County Vote Results]]</f>
        <v>30</v>
      </c>
      <c r="D9" s="1"/>
    </row>
    <row r="10" spans="1:4" x14ac:dyDescent="0.2">
      <c r="A10" s="4" t="s">
        <v>2</v>
      </c>
      <c r="B10" s="13">
        <f>SUM(MemberOfAssemblyAssemblyDistrict28General[Part of Queens County Vote Results])</f>
        <v>36488</v>
      </c>
      <c r="C10" s="2">
        <f>SUM(MemberOfAssemblyAssemblyDistrict28General[Total Votes by Party])</f>
        <v>36488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800A-F8E1-4CEA-ACAB-9E2C852F7378}">
  <sheetPr codeName="Sheet75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165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164</v>
      </c>
      <c r="B3" s="19">
        <v>23124</v>
      </c>
      <c r="C3" s="2">
        <f>MemberOfAssemblyAssemblyDistrict29General[[#This Row],[Part of Queens County Vote Results]]</f>
        <v>23124</v>
      </c>
      <c r="D3" s="7">
        <f>SUM(C3,C4)</f>
        <v>23945</v>
      </c>
    </row>
    <row r="4" spans="1:4" x14ac:dyDescent="0.2">
      <c r="A4" s="6" t="s">
        <v>166</v>
      </c>
      <c r="B4" s="13">
        <v>821</v>
      </c>
      <c r="C4" s="2">
        <f>MemberOfAssemblyAssemblyDistrict29General[[#This Row],[Part of Queens County Vote Results]]</f>
        <v>821</v>
      </c>
      <c r="D4" s="1"/>
    </row>
    <row r="5" spans="1:4" x14ac:dyDescent="0.2">
      <c r="A5" s="5" t="s">
        <v>0</v>
      </c>
      <c r="B5" s="13">
        <v>2579</v>
      </c>
      <c r="C5" s="2">
        <f>MemberOfAssemblyAssemblyDistrict29General[[#This Row],[Part of Queens County Vote Results]]</f>
        <v>2579</v>
      </c>
      <c r="D5" s="1"/>
    </row>
    <row r="6" spans="1:4" x14ac:dyDescent="0.2">
      <c r="A6" s="5" t="s">
        <v>1</v>
      </c>
      <c r="B6" s="13">
        <v>39</v>
      </c>
      <c r="C6" s="2">
        <f>MemberOfAssemblyAssemblyDistrict29General[[#This Row],[Part of Queens County Vote Results]]</f>
        <v>39</v>
      </c>
      <c r="D6" s="1"/>
    </row>
    <row r="7" spans="1:4" x14ac:dyDescent="0.2">
      <c r="A7" s="5" t="s">
        <v>5</v>
      </c>
      <c r="B7" s="13">
        <v>52</v>
      </c>
      <c r="C7" s="2">
        <f>MemberOfAssemblyAssemblyDistrict29General[[#This Row],[Part of Queens County Vote Results]]</f>
        <v>52</v>
      </c>
      <c r="D7" s="1"/>
    </row>
    <row r="8" spans="1:4" x14ac:dyDescent="0.2">
      <c r="A8" s="4" t="s">
        <v>2</v>
      </c>
      <c r="B8" s="13">
        <f>SUM(MemberOfAssemblyAssemblyDistrict29General[Part of Queens County Vote Results])</f>
        <v>26615</v>
      </c>
      <c r="C8" s="2">
        <f>SUM(MemberOfAssemblyAssemblyDistrict29General[Total Votes by Party])</f>
        <v>26615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825CF-564E-49DE-AAFB-F93F38C064B7}">
  <sheetPr codeName="Sheet49"/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64</v>
      </c>
    </row>
    <row r="2" spans="1:4" ht="25.5" x14ac:dyDescent="0.2">
      <c r="A2" s="10" t="s">
        <v>8</v>
      </c>
      <c r="B2" s="55" t="s">
        <v>23</v>
      </c>
      <c r="C2" s="9" t="s">
        <v>3</v>
      </c>
      <c r="D2" s="8" t="s">
        <v>4</v>
      </c>
    </row>
    <row r="3" spans="1:4" x14ac:dyDescent="0.2">
      <c r="A3" s="6" t="s">
        <v>63</v>
      </c>
      <c r="B3" s="3">
        <v>14555</v>
      </c>
      <c r="C3" s="2">
        <f>MemberOfAssemblyAssemblyDistrict3General[[#This Row],[Part of Suffolk County Vote Results]]</f>
        <v>14555</v>
      </c>
      <c r="D3" s="7">
        <f>SUM(C3)</f>
        <v>14555</v>
      </c>
    </row>
    <row r="4" spans="1:4" x14ac:dyDescent="0.2">
      <c r="A4" s="6" t="s">
        <v>62</v>
      </c>
      <c r="B4" s="3">
        <v>22020</v>
      </c>
      <c r="C4" s="2">
        <f>MemberOfAssemblyAssemblyDistrict3General[[#This Row],[Part of Suffolk County Vote Results]]</f>
        <v>22020</v>
      </c>
      <c r="D4" s="7">
        <f>SUM(C4,C5)</f>
        <v>25626</v>
      </c>
    </row>
    <row r="5" spans="1:4" x14ac:dyDescent="0.2">
      <c r="A5" s="6" t="s">
        <v>61</v>
      </c>
      <c r="B5" s="3">
        <v>3606</v>
      </c>
      <c r="C5" s="2">
        <f>MemberOfAssemblyAssemblyDistrict3General[[#This Row],[Part of Suffolk County Vote Results]]</f>
        <v>3606</v>
      </c>
      <c r="D5" s="1"/>
    </row>
    <row r="6" spans="1:4" x14ac:dyDescent="0.2">
      <c r="A6" s="5" t="s">
        <v>0</v>
      </c>
      <c r="B6" s="3">
        <v>1732</v>
      </c>
      <c r="C6" s="2">
        <f>MemberOfAssemblyAssemblyDistrict3General[[#This Row],[Part of Suffolk County Vote Results]]</f>
        <v>1732</v>
      </c>
      <c r="D6" s="1"/>
    </row>
    <row r="7" spans="1:4" x14ac:dyDescent="0.2">
      <c r="A7" s="5" t="s">
        <v>1</v>
      </c>
      <c r="B7" s="3">
        <v>17</v>
      </c>
      <c r="C7" s="2">
        <f>MemberOfAssemblyAssemblyDistrict3General[[#This Row],[Part of Suffolk County Vote Results]]</f>
        <v>17</v>
      </c>
      <c r="D7" s="1"/>
    </row>
    <row r="8" spans="1:4" x14ac:dyDescent="0.2">
      <c r="A8" s="5" t="s">
        <v>5</v>
      </c>
      <c r="B8" s="3">
        <v>6</v>
      </c>
      <c r="C8" s="2">
        <f>MemberOfAssemblyAssemblyDistrict3General[[#This Row],[Part of Suffolk County Vote Results]]</f>
        <v>6</v>
      </c>
      <c r="D8" s="1"/>
    </row>
    <row r="9" spans="1:4" x14ac:dyDescent="0.2">
      <c r="A9" s="4" t="s">
        <v>2</v>
      </c>
      <c r="B9" s="3">
        <f>SUM(MemberOfAssemblyAssemblyDistrict3General[Part of Suffolk County Vote Results])</f>
        <v>41936</v>
      </c>
      <c r="C9" s="2">
        <f>SUM(MemberOfAssemblyAssemblyDistrict3General[Total Votes by Party])</f>
        <v>41936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AD19-27DC-46A8-8057-57A7EC53FACF}">
  <sheetPr codeName="Sheet76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168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167</v>
      </c>
      <c r="B3" s="19">
        <v>11473</v>
      </c>
      <c r="C3" s="2">
        <f>MemberOfAssemblyAssemblyDistrict30General[[#This Row],[Part of Queens County Vote Results]]</f>
        <v>11473</v>
      </c>
      <c r="D3" s="7">
        <f>C3</f>
        <v>11473</v>
      </c>
    </row>
    <row r="4" spans="1:4" x14ac:dyDescent="0.2">
      <c r="A4" s="6" t="s">
        <v>169</v>
      </c>
      <c r="B4" s="48">
        <v>7990</v>
      </c>
      <c r="C4" s="2">
        <f>MemberOfAssemblyAssemblyDistrict30General[[#This Row],[Part of Queens County Vote Results]]</f>
        <v>7990</v>
      </c>
      <c r="D4" s="7">
        <f>SUM(C4,C5)</f>
        <v>8169</v>
      </c>
    </row>
    <row r="5" spans="1:4" x14ac:dyDescent="0.2">
      <c r="A5" s="6" t="s">
        <v>170</v>
      </c>
      <c r="B5" s="48">
        <v>179</v>
      </c>
      <c r="C5" s="2">
        <f>MemberOfAssemblyAssemblyDistrict30General[[#This Row],[Part of Queens County Vote Results]]</f>
        <v>179</v>
      </c>
      <c r="D5" s="1"/>
    </row>
    <row r="6" spans="1:4" x14ac:dyDescent="0.2">
      <c r="A6" s="5" t="s">
        <v>0</v>
      </c>
      <c r="B6" s="13">
        <v>1195</v>
      </c>
      <c r="C6" s="2">
        <f>MemberOfAssemblyAssemblyDistrict30General[[#This Row],[Part of Queens County Vote Results]]</f>
        <v>1195</v>
      </c>
      <c r="D6" s="1"/>
    </row>
    <row r="7" spans="1:4" x14ac:dyDescent="0.2">
      <c r="A7" s="5" t="s">
        <v>1</v>
      </c>
      <c r="B7" s="13">
        <v>68</v>
      </c>
      <c r="C7" s="2">
        <f>MemberOfAssemblyAssemblyDistrict30General[[#This Row],[Part of Queens County Vote Results]]</f>
        <v>68</v>
      </c>
      <c r="D7" s="1"/>
    </row>
    <row r="8" spans="1:4" x14ac:dyDescent="0.2">
      <c r="A8" s="5" t="s">
        <v>5</v>
      </c>
      <c r="B8" s="13">
        <v>28</v>
      </c>
      <c r="C8" s="2">
        <f>MemberOfAssemblyAssemblyDistrict30General[[#This Row],[Part of Queens County Vote Results]]</f>
        <v>28</v>
      </c>
      <c r="D8" s="1"/>
    </row>
    <row r="9" spans="1:4" x14ac:dyDescent="0.2">
      <c r="A9" s="4" t="s">
        <v>2</v>
      </c>
      <c r="B9" s="13">
        <f>SUM(MemberOfAssemblyAssemblyDistrict30General[Part of Queens County Vote Results])</f>
        <v>20933</v>
      </c>
      <c r="C9" s="2">
        <f>SUM(MemberOfAssemblyAssemblyDistrict30General[Total Votes by Party])</f>
        <v>20933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2795-DCCE-4077-8FFA-9D8F4E724AF3}">
  <sheetPr codeName="Sheet77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173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172</v>
      </c>
      <c r="B3" s="19">
        <v>14837</v>
      </c>
      <c r="C3" s="2">
        <f>MemberOfAssemblyAssemblyDistrict31General[[#This Row],[Part of Queens County Vote Results]]</f>
        <v>14837</v>
      </c>
      <c r="D3" s="7">
        <f>SUM(C3:C4)</f>
        <v>15580</v>
      </c>
    </row>
    <row r="4" spans="1:4" x14ac:dyDescent="0.2">
      <c r="A4" s="6" t="s">
        <v>171</v>
      </c>
      <c r="B4" s="19">
        <v>743</v>
      </c>
      <c r="C4" s="2">
        <f>MemberOfAssemblyAssemblyDistrict31General[[#This Row],[Part of Queens County Vote Results]]</f>
        <v>743</v>
      </c>
      <c r="D4" s="1"/>
    </row>
    <row r="5" spans="1:4" x14ac:dyDescent="0.2">
      <c r="A5" s="5" t="s">
        <v>0</v>
      </c>
      <c r="B5" s="13">
        <v>2940</v>
      </c>
      <c r="C5" s="2">
        <f>MemberOfAssemblyAssemblyDistrict31General[[#This Row],[Part of Queens County Vote Results]]</f>
        <v>2940</v>
      </c>
      <c r="D5" s="1"/>
    </row>
    <row r="6" spans="1:4" x14ac:dyDescent="0.2">
      <c r="A6" s="5" t="s">
        <v>1</v>
      </c>
      <c r="B6" s="13">
        <v>27</v>
      </c>
      <c r="C6" s="2">
        <f>MemberOfAssemblyAssemblyDistrict31General[[#This Row],[Part of Queens County Vote Results]]</f>
        <v>27</v>
      </c>
      <c r="D6" s="1"/>
    </row>
    <row r="7" spans="1:4" x14ac:dyDescent="0.2">
      <c r="A7" s="5" t="s">
        <v>5</v>
      </c>
      <c r="B7" s="13">
        <v>96</v>
      </c>
      <c r="C7" s="2">
        <f>MemberOfAssemblyAssemblyDistrict31General[[#This Row],[Part of Queens County Vote Results]]</f>
        <v>96</v>
      </c>
      <c r="D7" s="1"/>
    </row>
    <row r="8" spans="1:4" x14ac:dyDescent="0.2">
      <c r="A8" s="4" t="s">
        <v>2</v>
      </c>
      <c r="B8" s="13">
        <f>SUM(MemberOfAssemblyAssemblyDistrict31General[Part of Queens County Vote Results])</f>
        <v>18643</v>
      </c>
      <c r="C8" s="2">
        <f>SUM(MemberOfAssemblyAssemblyDistrict31General[Total Votes by Party])</f>
        <v>18643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B392-B022-4F73-915A-D06BE180D920}">
  <sheetPr codeName="Sheet78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176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175</v>
      </c>
      <c r="B3" s="19">
        <v>18385</v>
      </c>
      <c r="C3" s="2">
        <f>MemberOfAssemblyAssemblyDistrict32General[[#This Row],[Part of Queens County Vote Results]]</f>
        <v>18385</v>
      </c>
      <c r="D3" s="7">
        <f t="shared" ref="D3:D5" si="0">C3</f>
        <v>18385</v>
      </c>
    </row>
    <row r="4" spans="1:4" x14ac:dyDescent="0.2">
      <c r="A4" s="6" t="s">
        <v>174</v>
      </c>
      <c r="B4" s="13">
        <v>1766</v>
      </c>
      <c r="C4" s="2">
        <f>MemberOfAssemblyAssemblyDistrict32General[[#This Row],[Part of Queens County Vote Results]]</f>
        <v>1766</v>
      </c>
      <c r="D4" s="7">
        <f t="shared" si="0"/>
        <v>1766</v>
      </c>
    </row>
    <row r="5" spans="1:4" x14ac:dyDescent="0.2">
      <c r="A5" s="6" t="s">
        <v>177</v>
      </c>
      <c r="B5" s="13">
        <v>1446</v>
      </c>
      <c r="C5" s="2">
        <f>MemberOfAssemblyAssemblyDistrict32General[[#This Row],[Part of Queens County Vote Results]]</f>
        <v>1446</v>
      </c>
      <c r="D5" s="7">
        <f t="shared" si="0"/>
        <v>1446</v>
      </c>
    </row>
    <row r="6" spans="1:4" x14ac:dyDescent="0.2">
      <c r="A6" s="5" t="s">
        <v>0</v>
      </c>
      <c r="B6" s="13">
        <v>931</v>
      </c>
      <c r="C6" s="2">
        <f>MemberOfAssemblyAssemblyDistrict32General[[#This Row],[Part of Queens County Vote Results]]</f>
        <v>931</v>
      </c>
      <c r="D6" s="1"/>
    </row>
    <row r="7" spans="1:4" x14ac:dyDescent="0.2">
      <c r="A7" s="5" t="s">
        <v>1</v>
      </c>
      <c r="B7" s="13">
        <v>12</v>
      </c>
      <c r="C7" s="2">
        <f>MemberOfAssemblyAssemblyDistrict32General[[#This Row],[Part of Queens County Vote Results]]</f>
        <v>12</v>
      </c>
      <c r="D7" s="1"/>
    </row>
    <row r="8" spans="1:4" x14ac:dyDescent="0.2">
      <c r="A8" s="5" t="s">
        <v>5</v>
      </c>
      <c r="B8" s="13">
        <v>22</v>
      </c>
      <c r="C8" s="2">
        <f>MemberOfAssemblyAssemblyDistrict32General[[#This Row],[Part of Queens County Vote Results]]</f>
        <v>22</v>
      </c>
      <c r="D8" s="1"/>
    </row>
    <row r="9" spans="1:4" x14ac:dyDescent="0.2">
      <c r="A9" s="4" t="s">
        <v>2</v>
      </c>
      <c r="B9" s="13">
        <f>SUM(MemberOfAssemblyAssemblyDistrict32General[Part of Queens County Vote Results])</f>
        <v>22562</v>
      </c>
      <c r="C9" s="2">
        <f>SUM(MemberOfAssemblyAssemblyDistrict32General[Total Votes by Party])</f>
        <v>22562</v>
      </c>
      <c r="D9" s="1"/>
    </row>
    <row r="10" spans="1:4" x14ac:dyDescent="0.2">
      <c r="B10" s="23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06433-98FB-4195-A859-F34CB1E65A4E}">
  <sheetPr codeName="Sheet79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179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178</v>
      </c>
      <c r="B3" s="19">
        <v>24305</v>
      </c>
      <c r="C3" s="2">
        <f>MemberOfAssemblyAssemblyDistrict33General[[#This Row],[Part of Queens County Vote Results]]</f>
        <v>24305</v>
      </c>
      <c r="D3" s="7">
        <f t="shared" ref="D3" si="0">C3</f>
        <v>24305</v>
      </c>
    </row>
    <row r="4" spans="1:4" x14ac:dyDescent="0.2">
      <c r="A4" s="5" t="s">
        <v>0</v>
      </c>
      <c r="B4" s="13">
        <v>5145</v>
      </c>
      <c r="C4" s="2">
        <f>MemberOfAssemblyAssemblyDistrict33General[[#This Row],[Part of Queens County Vote Results]]</f>
        <v>5145</v>
      </c>
      <c r="D4" s="1"/>
    </row>
    <row r="5" spans="1:4" x14ac:dyDescent="0.2">
      <c r="A5" s="5" t="s">
        <v>1</v>
      </c>
      <c r="B5" s="13">
        <v>28</v>
      </c>
      <c r="C5" s="2">
        <f>MemberOfAssemblyAssemblyDistrict33General[[#This Row],[Part of Queens County Vote Results]]</f>
        <v>28</v>
      </c>
      <c r="D5" s="1"/>
    </row>
    <row r="6" spans="1:4" x14ac:dyDescent="0.2">
      <c r="A6" s="5" t="s">
        <v>5</v>
      </c>
      <c r="B6" s="13">
        <v>151</v>
      </c>
      <c r="C6" s="2">
        <f>MemberOfAssemblyAssemblyDistrict33General[[#This Row],[Part of Queens County Vote Results]]</f>
        <v>151</v>
      </c>
      <c r="D6" s="1"/>
    </row>
    <row r="7" spans="1:4" x14ac:dyDescent="0.2">
      <c r="A7" s="4" t="s">
        <v>2</v>
      </c>
      <c r="B7" s="13">
        <f>SUM(MemberOfAssemblyAssemblyDistrict33General[Part of Queens County Vote Results])</f>
        <v>29629</v>
      </c>
      <c r="C7" s="2">
        <f>SUM(MemberOfAssemblyAssemblyDistrict33General[Total Votes by Party])</f>
        <v>29629</v>
      </c>
      <c r="D7" s="1"/>
    </row>
    <row r="8" spans="1:4" x14ac:dyDescent="0.2">
      <c r="B8" s="23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0486-BA04-4A0B-8B23-B7B74CE45A82}">
  <sheetPr codeName="Sheet80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182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181</v>
      </c>
      <c r="B3" s="19">
        <v>13045</v>
      </c>
      <c r="C3" s="2">
        <f>MemberOfAssemblyAssemblyDistrict34General[[#This Row],[Part of Queens County Vote Results]]</f>
        <v>13045</v>
      </c>
      <c r="D3" s="7">
        <f>SUM(C3,C4)</f>
        <v>16451</v>
      </c>
    </row>
    <row r="4" spans="1:4" x14ac:dyDescent="0.2">
      <c r="A4" s="6" t="s">
        <v>180</v>
      </c>
      <c r="B4" s="19">
        <v>3406</v>
      </c>
      <c r="C4" s="2">
        <f>MemberOfAssemblyAssemblyDistrict34General[[#This Row],[Part of Queens County Vote Results]]</f>
        <v>3406</v>
      </c>
      <c r="D4" s="1"/>
    </row>
    <row r="5" spans="1:4" x14ac:dyDescent="0.2">
      <c r="A5" s="5" t="s">
        <v>0</v>
      </c>
      <c r="B5" s="13">
        <v>6032</v>
      </c>
      <c r="C5" s="2">
        <f>MemberOfAssemblyAssemblyDistrict34General[[#This Row],[Part of Queens County Vote Results]]</f>
        <v>6032</v>
      </c>
      <c r="D5" s="1"/>
    </row>
    <row r="6" spans="1:4" x14ac:dyDescent="0.2">
      <c r="A6" s="5" t="s">
        <v>1</v>
      </c>
      <c r="B6" s="13">
        <v>107</v>
      </c>
      <c r="C6" s="2">
        <f>MemberOfAssemblyAssemblyDistrict34General[[#This Row],[Part of Queens County Vote Results]]</f>
        <v>107</v>
      </c>
      <c r="D6" s="1"/>
    </row>
    <row r="7" spans="1:4" ht="12" customHeight="1" x14ac:dyDescent="0.2">
      <c r="A7" s="5" t="s">
        <v>5</v>
      </c>
      <c r="B7" s="13">
        <v>284</v>
      </c>
      <c r="C7" s="2">
        <f>MemberOfAssemblyAssemblyDistrict34General[[#This Row],[Part of Queens County Vote Results]]</f>
        <v>284</v>
      </c>
      <c r="D7" s="1"/>
    </row>
    <row r="8" spans="1:4" x14ac:dyDescent="0.2">
      <c r="A8" s="4" t="s">
        <v>2</v>
      </c>
      <c r="B8" s="13">
        <f>SUM(MemberOfAssemblyAssemblyDistrict34General[Part of Queens County Vote Results])</f>
        <v>22874</v>
      </c>
      <c r="C8" s="2">
        <f>SUM(MemberOfAssemblyAssemblyDistrict34General[Total Votes by Party])</f>
        <v>22874</v>
      </c>
      <c r="D8" s="1"/>
    </row>
    <row r="9" spans="1:4" x14ac:dyDescent="0.2">
      <c r="B9" s="23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1A68-6AAA-43F2-8B29-F66013BDA6E8}">
  <sheetPr codeName="Sheet81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184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12" t="s">
        <v>183</v>
      </c>
      <c r="B3" s="19">
        <v>10168</v>
      </c>
      <c r="C3" s="2">
        <f>MemberOfAssemblyAssemblyDistrict35General[[#This Row],[Part of Queens County Vote Results]]</f>
        <v>10168</v>
      </c>
      <c r="D3" s="7">
        <f t="shared" ref="D3" si="0">C3</f>
        <v>10168</v>
      </c>
    </row>
    <row r="4" spans="1:4" x14ac:dyDescent="0.2">
      <c r="A4" s="5" t="s">
        <v>0</v>
      </c>
      <c r="B4" s="13">
        <v>4659</v>
      </c>
      <c r="C4" s="2">
        <f>MemberOfAssemblyAssemblyDistrict35General[[#This Row],[Part of Queens County Vote Results]]</f>
        <v>4659</v>
      </c>
      <c r="D4" s="1"/>
    </row>
    <row r="5" spans="1:4" x14ac:dyDescent="0.2">
      <c r="A5" s="5" t="s">
        <v>1</v>
      </c>
      <c r="B5" s="13">
        <v>28</v>
      </c>
      <c r="C5" s="2">
        <f>MemberOfAssemblyAssemblyDistrict35General[[#This Row],[Part of Queens County Vote Results]]</f>
        <v>28</v>
      </c>
      <c r="D5" s="1"/>
    </row>
    <row r="6" spans="1:4" x14ac:dyDescent="0.2">
      <c r="A6" s="5" t="s">
        <v>5</v>
      </c>
      <c r="B6" s="13">
        <v>149</v>
      </c>
      <c r="C6" s="2">
        <f>MemberOfAssemblyAssemblyDistrict35General[[#This Row],[Part of Queens County Vote Results]]</f>
        <v>149</v>
      </c>
      <c r="D6" s="1"/>
    </row>
    <row r="7" spans="1:4" x14ac:dyDescent="0.2">
      <c r="A7" s="4" t="s">
        <v>2</v>
      </c>
      <c r="B7" s="13">
        <f>SUM(MemberOfAssemblyAssemblyDistrict35General[Part of Queens County Vote Results])</f>
        <v>15004</v>
      </c>
      <c r="C7" s="2">
        <f>SUM(MemberOfAssemblyAssemblyDistrict35General[Total Votes by Party])</f>
        <v>15004</v>
      </c>
      <c r="D7" s="1"/>
    </row>
    <row r="8" spans="1:4" x14ac:dyDescent="0.2">
      <c r="B8" s="23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AA69-9C3A-4F00-96F0-BF91062181BD}">
  <sheetPr codeName="Sheet82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187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186</v>
      </c>
      <c r="B3" s="19">
        <v>18636</v>
      </c>
      <c r="C3" s="2">
        <f>MemberOfAssemblyAssemblyDistrict36General[[#This Row],[Part of Queens County Vote Results]]</f>
        <v>18636</v>
      </c>
      <c r="D3" s="7">
        <f>SUM(C3,C4)</f>
        <v>24090</v>
      </c>
    </row>
    <row r="4" spans="1:4" x14ac:dyDescent="0.2">
      <c r="A4" s="6" t="s">
        <v>185</v>
      </c>
      <c r="B4" s="13">
        <v>5454</v>
      </c>
      <c r="C4" s="2">
        <f>MemberOfAssemblyAssemblyDistrict36General[[#This Row],[Part of Queens County Vote Results]]</f>
        <v>5454</v>
      </c>
      <c r="D4" s="1"/>
    </row>
    <row r="5" spans="1:4" x14ac:dyDescent="0.2">
      <c r="A5" s="5" t="s">
        <v>0</v>
      </c>
      <c r="B5" s="13">
        <v>5905</v>
      </c>
      <c r="C5" s="2">
        <f>MemberOfAssemblyAssemblyDistrict36General[[#This Row],[Part of Queens County Vote Results]]</f>
        <v>5905</v>
      </c>
      <c r="D5" s="1"/>
    </row>
    <row r="6" spans="1:4" x14ac:dyDescent="0.2">
      <c r="A6" s="5" t="s">
        <v>1</v>
      </c>
      <c r="B6" s="13">
        <v>133</v>
      </c>
      <c r="C6" s="2">
        <f>MemberOfAssemblyAssemblyDistrict36General[[#This Row],[Part of Queens County Vote Results]]</f>
        <v>133</v>
      </c>
      <c r="D6" s="1"/>
    </row>
    <row r="7" spans="1:4" x14ac:dyDescent="0.2">
      <c r="A7" s="5" t="s">
        <v>5</v>
      </c>
      <c r="B7" s="13">
        <v>338</v>
      </c>
      <c r="C7" s="2">
        <f>MemberOfAssemblyAssemblyDistrict36General[[#This Row],[Part of Queens County Vote Results]]</f>
        <v>338</v>
      </c>
      <c r="D7" s="1"/>
    </row>
    <row r="8" spans="1:4" x14ac:dyDescent="0.2">
      <c r="A8" s="4" t="s">
        <v>2</v>
      </c>
      <c r="B8" s="13">
        <f>SUM(MemberOfAssemblyAssemblyDistrict36General[Part of Queens County Vote Results])</f>
        <v>30466</v>
      </c>
      <c r="C8" s="2">
        <f>SUM(MemberOfAssemblyAssemblyDistrict36General[Total Votes by Party])</f>
        <v>30466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B58E-79CA-47DA-BFE8-7EB551A3AD63}">
  <sheetPr codeName="Sheet83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190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189</v>
      </c>
      <c r="B3" s="19">
        <v>16663</v>
      </c>
      <c r="C3" s="2">
        <f>MemberOfAssemblyAssemblyDistrict37General[[#This Row],[Part of Queens County Vote Results]]</f>
        <v>16663</v>
      </c>
      <c r="D3" s="7">
        <f>SUM(C3,C4)</f>
        <v>22214</v>
      </c>
    </row>
    <row r="4" spans="1:4" x14ac:dyDescent="0.2">
      <c r="A4" s="6" t="s">
        <v>188</v>
      </c>
      <c r="B4" s="13">
        <v>5551</v>
      </c>
      <c r="C4" s="2">
        <f>MemberOfAssemblyAssemblyDistrict37General[[#This Row],[Part of Queens County Vote Results]]</f>
        <v>5551</v>
      </c>
      <c r="D4" s="1"/>
    </row>
    <row r="5" spans="1:4" x14ac:dyDescent="0.2">
      <c r="A5" s="5" t="s">
        <v>0</v>
      </c>
      <c r="B5" s="13">
        <v>6640</v>
      </c>
      <c r="C5" s="2">
        <f>MemberOfAssemblyAssemblyDistrict37General[[#This Row],[Part of Queens County Vote Results]]</f>
        <v>6640</v>
      </c>
      <c r="D5" s="1"/>
    </row>
    <row r="6" spans="1:4" x14ac:dyDescent="0.2">
      <c r="A6" s="5" t="s">
        <v>1</v>
      </c>
      <c r="B6" s="13">
        <v>104</v>
      </c>
      <c r="C6" s="2">
        <f>MemberOfAssemblyAssemblyDistrict37General[[#This Row],[Part of Queens County Vote Results]]</f>
        <v>104</v>
      </c>
      <c r="D6" s="1"/>
    </row>
    <row r="7" spans="1:4" x14ac:dyDescent="0.2">
      <c r="A7" s="5" t="s">
        <v>5</v>
      </c>
      <c r="B7" s="13">
        <v>333</v>
      </c>
      <c r="C7" s="2">
        <f>MemberOfAssemblyAssemblyDistrict37General[[#This Row],[Part of Queens County Vote Results]]</f>
        <v>333</v>
      </c>
      <c r="D7" s="1"/>
    </row>
    <row r="8" spans="1:4" x14ac:dyDescent="0.2">
      <c r="A8" s="4" t="s">
        <v>2</v>
      </c>
      <c r="B8" s="13">
        <f>SUM(MemberOfAssemblyAssemblyDistrict37General[Part of Queens County Vote Results])</f>
        <v>29291</v>
      </c>
      <c r="C8" s="2">
        <f>SUM(MemberOfAssemblyAssemblyDistrict37General[Total Votes by Party])</f>
        <v>29291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EBA1-3AE7-43C6-B8EB-124356EED854}">
  <sheetPr codeName="Sheet84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7.7109375" customWidth="1"/>
    <col min="2" max="4" width="20.5703125" customWidth="1"/>
    <col min="5" max="6" width="23.5703125" customWidth="1"/>
  </cols>
  <sheetData>
    <row r="1" spans="1:4" ht="18.75" x14ac:dyDescent="0.2">
      <c r="A1" s="11" t="s">
        <v>192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191</v>
      </c>
      <c r="B3" s="19">
        <v>11662</v>
      </c>
      <c r="C3" s="2">
        <f>MemberOfAssemblyAssemblyDistrict38General[[#This Row],[Part of Queens County Vote Results]]</f>
        <v>11662</v>
      </c>
      <c r="D3" s="7">
        <f t="shared" ref="D3" si="0">C3</f>
        <v>11662</v>
      </c>
    </row>
    <row r="4" spans="1:4" x14ac:dyDescent="0.2">
      <c r="A4" s="5" t="s">
        <v>0</v>
      </c>
      <c r="B4" s="13">
        <v>5604</v>
      </c>
      <c r="C4" s="2">
        <f>MemberOfAssemblyAssemblyDistrict38General[[#This Row],[Part of Queens County Vote Results]]</f>
        <v>5604</v>
      </c>
      <c r="D4" s="1"/>
    </row>
    <row r="5" spans="1:4" x14ac:dyDescent="0.2">
      <c r="A5" s="5" t="s">
        <v>1</v>
      </c>
      <c r="B5" s="13">
        <v>30</v>
      </c>
      <c r="C5" s="2">
        <f>MemberOfAssemblyAssemblyDistrict38General[[#This Row],[Part of Queens County Vote Results]]</f>
        <v>30</v>
      </c>
      <c r="D5" s="1"/>
    </row>
    <row r="6" spans="1:4" x14ac:dyDescent="0.2">
      <c r="A6" s="5" t="s">
        <v>5</v>
      </c>
      <c r="B6" s="13">
        <v>260</v>
      </c>
      <c r="C6" s="2">
        <f>MemberOfAssemblyAssemblyDistrict38General[[#This Row],[Part of Queens County Vote Results]]</f>
        <v>260</v>
      </c>
      <c r="D6" s="1"/>
    </row>
    <row r="7" spans="1:4" x14ac:dyDescent="0.2">
      <c r="A7" s="4" t="s">
        <v>2</v>
      </c>
      <c r="B7" s="13">
        <f>SUM(MemberOfAssemblyAssemblyDistrict38General[Part of Queens County Vote Results])</f>
        <v>17556</v>
      </c>
      <c r="C7" s="2">
        <f>SUM(MemberOfAssemblyAssemblyDistrict38General[Total Votes by Party])</f>
        <v>17556</v>
      </c>
      <c r="D7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4CD2-9574-49A2-883E-67D683A67AAC}">
  <sheetPr codeName="Sheet85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195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194</v>
      </c>
      <c r="B3" s="19">
        <v>9909</v>
      </c>
      <c r="C3" s="2">
        <f>MemberOfAssemblyAssemblyDistrict39General[[#This Row],[Part of Queens County Vote Results]]</f>
        <v>9909</v>
      </c>
      <c r="D3" s="7">
        <f>SUM(C3,C4)</f>
        <v>12309</v>
      </c>
    </row>
    <row r="4" spans="1:4" x14ac:dyDescent="0.2">
      <c r="A4" s="6" t="s">
        <v>193</v>
      </c>
      <c r="B4" s="13">
        <v>2400</v>
      </c>
      <c r="C4" s="2">
        <f>MemberOfAssemblyAssemblyDistrict39General[[#This Row],[Part of Queens County Vote Results]]</f>
        <v>2400</v>
      </c>
      <c r="D4" s="1"/>
    </row>
    <row r="5" spans="1:4" x14ac:dyDescent="0.2">
      <c r="A5" s="5" t="s">
        <v>0</v>
      </c>
      <c r="B5" s="13">
        <v>4926</v>
      </c>
      <c r="C5" s="2">
        <f>MemberOfAssemblyAssemblyDistrict39General[[#This Row],[Part of Queens County Vote Results]]</f>
        <v>4926</v>
      </c>
      <c r="D5" s="1"/>
    </row>
    <row r="6" spans="1:4" x14ac:dyDescent="0.2">
      <c r="A6" s="5" t="s">
        <v>1</v>
      </c>
      <c r="B6" s="13">
        <v>77</v>
      </c>
      <c r="C6" s="2">
        <f>MemberOfAssemblyAssemblyDistrict39General[[#This Row],[Part of Queens County Vote Results]]</f>
        <v>77</v>
      </c>
      <c r="D6" s="1"/>
    </row>
    <row r="7" spans="1:4" x14ac:dyDescent="0.2">
      <c r="A7" s="5" t="s">
        <v>5</v>
      </c>
      <c r="B7" s="13">
        <v>251</v>
      </c>
      <c r="C7" s="2">
        <f>MemberOfAssemblyAssemblyDistrict39General[[#This Row],[Part of Queens County Vote Results]]</f>
        <v>251</v>
      </c>
      <c r="D7" s="1"/>
    </row>
    <row r="8" spans="1:4" x14ac:dyDescent="0.2">
      <c r="A8" s="4" t="s">
        <v>2</v>
      </c>
      <c r="B8" s="13">
        <f>SUM(MemberOfAssemblyAssemblyDistrict39General[Part of Queens County Vote Results])</f>
        <v>17563</v>
      </c>
      <c r="C8" s="2">
        <f>SUM(MemberOfAssemblyAssemblyDistrict39General[Total Votes by Party])</f>
        <v>17563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DA6C-83F6-45C3-A22A-71D4CCA447A6}">
  <sheetPr codeName="Sheet50"/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69</v>
      </c>
    </row>
    <row r="2" spans="1:4" ht="25.5" x14ac:dyDescent="0.2">
      <c r="A2" s="10" t="s">
        <v>8</v>
      </c>
      <c r="B2" s="55" t="s">
        <v>23</v>
      </c>
      <c r="C2" s="9" t="s">
        <v>3</v>
      </c>
      <c r="D2" s="8" t="s">
        <v>4</v>
      </c>
    </row>
    <row r="3" spans="1:4" x14ac:dyDescent="0.2">
      <c r="A3" s="6" t="s">
        <v>68</v>
      </c>
      <c r="B3" s="3">
        <v>22128</v>
      </c>
      <c r="C3" s="2">
        <f>MemberOfAssemblyAssemblyDistrict4General[[#This Row],[Part of Suffolk County Vote Results]]</f>
        <v>22128</v>
      </c>
      <c r="D3" s="7">
        <f>SUM(C3,C6)</f>
        <v>23503</v>
      </c>
    </row>
    <row r="4" spans="1:4" x14ac:dyDescent="0.2">
      <c r="A4" s="6" t="s">
        <v>67</v>
      </c>
      <c r="B4" s="3">
        <v>21038</v>
      </c>
      <c r="C4" s="2">
        <f>MemberOfAssemblyAssemblyDistrict4General[[#This Row],[Part of Suffolk County Vote Results]]</f>
        <v>21038</v>
      </c>
      <c r="D4" s="7">
        <f>SUM(C4,C5)</f>
        <v>24199</v>
      </c>
    </row>
    <row r="5" spans="1:4" x14ac:dyDescent="0.2">
      <c r="A5" s="6" t="s">
        <v>66</v>
      </c>
      <c r="B5" s="3">
        <v>3161</v>
      </c>
      <c r="C5" s="2">
        <f>MemberOfAssemblyAssemblyDistrict4General[[#This Row],[Part of Suffolk County Vote Results]]</f>
        <v>3161</v>
      </c>
      <c r="D5" s="1"/>
    </row>
    <row r="6" spans="1:4" x14ac:dyDescent="0.2">
      <c r="A6" s="6" t="s">
        <v>65</v>
      </c>
      <c r="B6" s="3">
        <v>1375</v>
      </c>
      <c r="C6" s="2">
        <f>MemberOfAssemblyAssemblyDistrict4General[[#This Row],[Part of Suffolk County Vote Results]]</f>
        <v>1375</v>
      </c>
      <c r="D6" s="1"/>
    </row>
    <row r="7" spans="1:4" x14ac:dyDescent="0.2">
      <c r="A7" s="5" t="s">
        <v>0</v>
      </c>
      <c r="B7" s="3">
        <v>1393</v>
      </c>
      <c r="C7" s="2">
        <f>MemberOfAssemblyAssemblyDistrict4General[[#This Row],[Part of Suffolk County Vote Results]]</f>
        <v>1393</v>
      </c>
      <c r="D7" s="1"/>
    </row>
    <row r="8" spans="1:4" x14ac:dyDescent="0.2">
      <c r="A8" s="5" t="s">
        <v>1</v>
      </c>
      <c r="B8" s="3">
        <v>15</v>
      </c>
      <c r="C8" s="2">
        <f>MemberOfAssemblyAssemblyDistrict4General[[#This Row],[Part of Suffolk County Vote Results]]</f>
        <v>15</v>
      </c>
      <c r="D8" s="1"/>
    </row>
    <row r="9" spans="1:4" x14ac:dyDescent="0.2">
      <c r="A9" s="5" t="s">
        <v>5</v>
      </c>
      <c r="B9" s="3">
        <v>7</v>
      </c>
      <c r="C9" s="2">
        <f>MemberOfAssemblyAssemblyDistrict4General[[#This Row],[Part of Suffolk County Vote Results]]</f>
        <v>7</v>
      </c>
      <c r="D9" s="1"/>
    </row>
    <row r="10" spans="1:4" x14ac:dyDescent="0.2">
      <c r="A10" s="4" t="s">
        <v>2</v>
      </c>
      <c r="B10" s="3">
        <f>SUM(MemberOfAssemblyAssemblyDistrict4General[Part of Suffolk County Vote Results])</f>
        <v>49117</v>
      </c>
      <c r="C10" s="2">
        <f>SUM(MemberOfAssemblyAssemblyDistrict4General[Total Votes by Party])</f>
        <v>49117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9E6E-AEE3-4195-A8C4-064D8B3DEF8D}">
  <sheetPr codeName="Sheet86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199</v>
      </c>
    </row>
    <row r="2" spans="1:4" ht="25.5" x14ac:dyDescent="0.2">
      <c r="A2" s="10" t="s">
        <v>8</v>
      </c>
      <c r="B2" s="55" t="s">
        <v>25</v>
      </c>
      <c r="C2" s="9" t="s">
        <v>3</v>
      </c>
      <c r="D2" s="8" t="s">
        <v>4</v>
      </c>
    </row>
    <row r="3" spans="1:4" x14ac:dyDescent="0.2">
      <c r="A3" s="6" t="s">
        <v>200</v>
      </c>
      <c r="B3" s="19">
        <v>7406</v>
      </c>
      <c r="C3" s="2">
        <f>MemberOfAssemblyAssemblyDistrict40General[[#This Row],[Part of Queens County Vote Results]]</f>
        <v>7406</v>
      </c>
      <c r="D3" s="7">
        <f>SUM(C3,C6)</f>
        <v>8051</v>
      </c>
    </row>
    <row r="4" spans="1:4" x14ac:dyDescent="0.2">
      <c r="A4" s="6" t="s">
        <v>198</v>
      </c>
      <c r="B4" s="13">
        <v>7212</v>
      </c>
      <c r="C4" s="2">
        <f>MemberOfAssemblyAssemblyDistrict40General[[#This Row],[Part of Queens County Vote Results]]</f>
        <v>7212</v>
      </c>
      <c r="D4" s="7">
        <f>SUM(C4,C5)</f>
        <v>7695</v>
      </c>
    </row>
    <row r="5" spans="1:4" x14ac:dyDescent="0.2">
      <c r="A5" s="6" t="s">
        <v>197</v>
      </c>
      <c r="B5" s="13">
        <v>483</v>
      </c>
      <c r="C5" s="2">
        <f>MemberOfAssemblyAssemblyDistrict40General[[#This Row],[Part of Queens County Vote Results]]</f>
        <v>483</v>
      </c>
      <c r="D5" s="1"/>
    </row>
    <row r="6" spans="1:4" x14ac:dyDescent="0.2">
      <c r="A6" s="6" t="s">
        <v>196</v>
      </c>
      <c r="B6" s="19">
        <v>645</v>
      </c>
      <c r="C6" s="2">
        <f>MemberOfAssemblyAssemblyDistrict40General[[#This Row],[Part of Queens County Vote Results]]</f>
        <v>645</v>
      </c>
      <c r="D6" s="1"/>
    </row>
    <row r="7" spans="1:4" x14ac:dyDescent="0.2">
      <c r="A7" s="5" t="s">
        <v>0</v>
      </c>
      <c r="B7" s="13">
        <v>881</v>
      </c>
      <c r="C7" s="2">
        <f>MemberOfAssemblyAssemblyDistrict40General[[#This Row],[Part of Queens County Vote Results]]</f>
        <v>881</v>
      </c>
      <c r="D7" s="1"/>
    </row>
    <row r="8" spans="1:4" x14ac:dyDescent="0.2">
      <c r="A8" s="5" t="s">
        <v>1</v>
      </c>
      <c r="B8" s="13">
        <v>54</v>
      </c>
      <c r="C8" s="2">
        <f>MemberOfAssemblyAssemblyDistrict40General[[#This Row],[Part of Queens County Vote Results]]</f>
        <v>54</v>
      </c>
      <c r="D8" s="1"/>
    </row>
    <row r="9" spans="1:4" x14ac:dyDescent="0.2">
      <c r="A9" s="5" t="s">
        <v>5</v>
      </c>
      <c r="B9" s="13">
        <v>20</v>
      </c>
      <c r="C9" s="2">
        <f>MemberOfAssemblyAssemblyDistrict40General[[#This Row],[Part of Queens County Vote Results]]</f>
        <v>20</v>
      </c>
      <c r="D9" s="1"/>
    </row>
    <row r="10" spans="1:4" x14ac:dyDescent="0.2">
      <c r="A10" s="4" t="s">
        <v>2</v>
      </c>
      <c r="B10" s="13">
        <f>SUM(MemberOfAssemblyAssemblyDistrict40General[Part of Queens County Vote Results])</f>
        <v>16701</v>
      </c>
      <c r="C10" s="2">
        <f>SUM(MemberOfAssemblyAssemblyDistrict40General[Total Votes by Party])</f>
        <v>16701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F888-D3F3-4B07-97C2-D66961239DAF}">
  <sheetPr codeName="Sheet87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204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203</v>
      </c>
      <c r="B3" s="19">
        <v>16230</v>
      </c>
      <c r="C3" s="2">
        <f>MemberOfAssemblyAssemblyDistrict41General[[#This Row],[Part of Kings County Vote Results]]</f>
        <v>16230</v>
      </c>
      <c r="D3" s="7">
        <f>SUM(C3,C5)</f>
        <v>17901</v>
      </c>
    </row>
    <row r="4" spans="1:4" x14ac:dyDescent="0.2">
      <c r="A4" s="6" t="s">
        <v>202</v>
      </c>
      <c r="B4" s="19">
        <v>5164</v>
      </c>
      <c r="C4" s="2">
        <f>MemberOfAssemblyAssemblyDistrict41General[[#This Row],[Part of Kings County Vote Results]]</f>
        <v>5164</v>
      </c>
      <c r="D4" s="7">
        <f>C4</f>
        <v>5164</v>
      </c>
    </row>
    <row r="5" spans="1:4" x14ac:dyDescent="0.2">
      <c r="A5" s="6" t="s">
        <v>201</v>
      </c>
      <c r="B5" s="19">
        <v>1671</v>
      </c>
      <c r="C5" s="2">
        <f>MemberOfAssemblyAssemblyDistrict41General[[#This Row],[Part of Kings County Vote Results]]</f>
        <v>1671</v>
      </c>
      <c r="D5" s="1"/>
    </row>
    <row r="6" spans="1:4" x14ac:dyDescent="0.2">
      <c r="A6" s="5" t="s">
        <v>0</v>
      </c>
      <c r="B6" s="19">
        <v>6676</v>
      </c>
      <c r="C6" s="2">
        <f>MemberOfAssemblyAssemblyDistrict41General[[#This Row],[Part of Kings County Vote Results]]</f>
        <v>6676</v>
      </c>
      <c r="D6" s="1"/>
    </row>
    <row r="7" spans="1:4" x14ac:dyDescent="0.2">
      <c r="A7" s="5" t="s">
        <v>1</v>
      </c>
      <c r="B7" s="19">
        <v>62</v>
      </c>
      <c r="C7" s="2">
        <f>MemberOfAssemblyAssemblyDistrict41General[[#This Row],[Part of Kings County Vote Results]]</f>
        <v>62</v>
      </c>
      <c r="D7" s="1"/>
    </row>
    <row r="8" spans="1:4" x14ac:dyDescent="0.2">
      <c r="A8" s="5" t="s">
        <v>5</v>
      </c>
      <c r="B8" s="19">
        <v>99</v>
      </c>
      <c r="C8" s="2">
        <f>MemberOfAssemblyAssemblyDistrict41General[[#This Row],[Part of Kings County Vote Results]]</f>
        <v>99</v>
      </c>
      <c r="D8" s="1"/>
    </row>
    <row r="9" spans="1:4" x14ac:dyDescent="0.2">
      <c r="A9" s="4" t="s">
        <v>2</v>
      </c>
      <c r="B9" s="13">
        <f>SUM(MemberOfAssemblyAssemblyDistrict41General[Part of Kings County Vote Results])</f>
        <v>29902</v>
      </c>
      <c r="C9" s="2">
        <f>SUM(MemberOfAssemblyAssemblyDistrict41General[Total Votes by Party])</f>
        <v>29902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3D7A-599B-4B42-AD40-5893A0586E46}">
  <sheetPr codeName="Sheet88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206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205</v>
      </c>
      <c r="B3" s="19">
        <v>22255</v>
      </c>
      <c r="C3" s="2">
        <f>MemberOfAssemblyAssemblyDistrict42General[[#This Row],[Part of Kings County Vote Results]]</f>
        <v>22255</v>
      </c>
      <c r="D3" s="7">
        <f t="shared" ref="D3" si="0">C3</f>
        <v>22255</v>
      </c>
    </row>
    <row r="4" spans="1:4" x14ac:dyDescent="0.2">
      <c r="A4" s="5" t="s">
        <v>0</v>
      </c>
      <c r="B4" s="19">
        <v>5135</v>
      </c>
      <c r="C4" s="2">
        <f>MemberOfAssemblyAssemblyDistrict42General[[#This Row],[Part of Kings County Vote Results]]</f>
        <v>5135</v>
      </c>
      <c r="D4" s="1"/>
    </row>
    <row r="5" spans="1:4" x14ac:dyDescent="0.2">
      <c r="A5" s="5" t="s">
        <v>1</v>
      </c>
      <c r="B5" s="19">
        <v>39</v>
      </c>
      <c r="C5" s="2">
        <f>MemberOfAssemblyAssemblyDistrict42General[[#This Row],[Part of Kings County Vote Results]]</f>
        <v>39</v>
      </c>
      <c r="D5" s="1"/>
    </row>
    <row r="6" spans="1:4" x14ac:dyDescent="0.2">
      <c r="A6" s="5" t="s">
        <v>5</v>
      </c>
      <c r="B6" s="19">
        <v>326</v>
      </c>
      <c r="C6" s="2">
        <f>MemberOfAssemblyAssemblyDistrict42General[[#This Row],[Part of Kings County Vote Results]]</f>
        <v>326</v>
      </c>
      <c r="D6" s="1"/>
    </row>
    <row r="7" spans="1:4" x14ac:dyDescent="0.2">
      <c r="A7" s="4" t="s">
        <v>2</v>
      </c>
      <c r="B7" s="13">
        <f>SUM(MemberOfAssemblyAssemblyDistrict42General[Part of Kings County Vote Results])</f>
        <v>27755</v>
      </c>
      <c r="C7" s="2">
        <f>SUM(MemberOfAssemblyAssemblyDistrict42General[Total Votes by Party])</f>
        <v>27755</v>
      </c>
      <c r="D7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1DE2-E5FA-4B69-99CC-E987AB49DD04}">
  <sheetPr codeName="Sheet89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209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208</v>
      </c>
      <c r="B3" s="19">
        <v>23997</v>
      </c>
      <c r="C3" s="2">
        <f>MemberOfAssemblyAssemblyDistrict43General[[#This Row],[Part of Kings County Vote Results]]</f>
        <v>23997</v>
      </c>
      <c r="D3" s="7">
        <f>SUM(C3,C4)</f>
        <v>29512</v>
      </c>
    </row>
    <row r="4" spans="1:4" x14ac:dyDescent="0.2">
      <c r="A4" s="6" t="s">
        <v>207</v>
      </c>
      <c r="B4" s="19">
        <v>5515</v>
      </c>
      <c r="C4" s="2">
        <f>MemberOfAssemblyAssemblyDistrict43General[[#This Row],[Part of Kings County Vote Results]]</f>
        <v>5515</v>
      </c>
      <c r="D4" s="1"/>
    </row>
    <row r="5" spans="1:4" x14ac:dyDescent="0.2">
      <c r="A5" s="5" t="s">
        <v>0</v>
      </c>
      <c r="B5" s="19">
        <v>4491</v>
      </c>
      <c r="C5" s="2">
        <f>MemberOfAssemblyAssemblyDistrict43General[[#This Row],[Part of Kings County Vote Results]]</f>
        <v>4491</v>
      </c>
      <c r="D5" s="1"/>
    </row>
    <row r="6" spans="1:4" x14ac:dyDescent="0.2">
      <c r="A6" s="5" t="s">
        <v>1</v>
      </c>
      <c r="B6" s="19">
        <v>66</v>
      </c>
      <c r="C6" s="2">
        <f>MemberOfAssemblyAssemblyDistrict43General[[#This Row],[Part of Kings County Vote Results]]</f>
        <v>66</v>
      </c>
      <c r="D6" s="1"/>
    </row>
    <row r="7" spans="1:4" x14ac:dyDescent="0.2">
      <c r="A7" s="5" t="s">
        <v>5</v>
      </c>
      <c r="B7" s="19">
        <v>156</v>
      </c>
      <c r="C7" s="2">
        <f>MemberOfAssemblyAssemblyDistrict43General[[#This Row],[Part of Kings County Vote Results]]</f>
        <v>156</v>
      </c>
      <c r="D7" s="1"/>
    </row>
    <row r="8" spans="1:4" x14ac:dyDescent="0.2">
      <c r="A8" s="4" t="s">
        <v>2</v>
      </c>
      <c r="B8" s="13">
        <f>SUM(MemberOfAssemblyAssemblyDistrict43General[Part of Kings County Vote Results])</f>
        <v>34225</v>
      </c>
      <c r="C8" s="2">
        <f>SUM(MemberOfAssemblyAssemblyDistrict43General[Total Votes by Party])</f>
        <v>34225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46B4-28E0-4FD7-B4D7-4E5921A97B73}">
  <sheetPr codeName="Sheet90">
    <pageSetUpPr fitToPage="1"/>
  </sheetPr>
  <dimension ref="A1:D11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215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214</v>
      </c>
      <c r="B3" s="19">
        <v>26592</v>
      </c>
      <c r="C3" s="2">
        <f>MemberOfAssemblyAssemblyDistrict44General[[#This Row],[Part of Kings County Vote Results]]</f>
        <v>26592</v>
      </c>
      <c r="D3" s="7">
        <f>SUM(C3,C6)</f>
        <v>37337</v>
      </c>
    </row>
    <row r="4" spans="1:4" x14ac:dyDescent="0.2">
      <c r="A4" s="6" t="s">
        <v>213</v>
      </c>
      <c r="B4" s="19">
        <v>5150</v>
      </c>
      <c r="C4" s="2">
        <f>MemberOfAssemblyAssemblyDistrict44General[[#This Row],[Part of Kings County Vote Results]]</f>
        <v>5150</v>
      </c>
      <c r="D4" s="7">
        <f>SUM(C4,C5)</f>
        <v>5766</v>
      </c>
    </row>
    <row r="5" spans="1:4" x14ac:dyDescent="0.2">
      <c r="A5" s="6" t="s">
        <v>212</v>
      </c>
      <c r="B5" s="19">
        <v>616</v>
      </c>
      <c r="C5" s="2">
        <f>MemberOfAssemblyAssemblyDistrict44General[[#This Row],[Part of Kings County Vote Results]]</f>
        <v>616</v>
      </c>
      <c r="D5" s="1"/>
    </row>
    <row r="6" spans="1:4" x14ac:dyDescent="0.2">
      <c r="A6" s="6" t="s">
        <v>211</v>
      </c>
      <c r="B6" s="19">
        <v>10745</v>
      </c>
      <c r="C6" s="2">
        <f>MemberOfAssemblyAssemblyDistrict44General[[#This Row],[Part of Kings County Vote Results]]</f>
        <v>10745</v>
      </c>
      <c r="D6" s="1"/>
    </row>
    <row r="7" spans="1:4" x14ac:dyDescent="0.2">
      <c r="A7" s="6" t="s">
        <v>210</v>
      </c>
      <c r="B7" s="19">
        <v>269</v>
      </c>
      <c r="C7" s="2">
        <f>MemberOfAssemblyAssemblyDistrict44General[[#This Row],[Part of Kings County Vote Results]]</f>
        <v>269</v>
      </c>
      <c r="D7" s="7">
        <f>C7</f>
        <v>269</v>
      </c>
    </row>
    <row r="8" spans="1:4" x14ac:dyDescent="0.2">
      <c r="A8" s="5" t="s">
        <v>0</v>
      </c>
      <c r="B8" s="19">
        <v>1085</v>
      </c>
      <c r="C8" s="2">
        <f>MemberOfAssemblyAssemblyDistrict44General[[#This Row],[Part of Kings County Vote Results]]</f>
        <v>1085</v>
      </c>
      <c r="D8" s="1"/>
    </row>
    <row r="9" spans="1:4" x14ac:dyDescent="0.2">
      <c r="A9" s="5" t="s">
        <v>1</v>
      </c>
      <c r="B9" s="19">
        <v>214</v>
      </c>
      <c r="C9" s="2">
        <f>MemberOfAssemblyAssemblyDistrict44General[[#This Row],[Part of Kings County Vote Results]]</f>
        <v>214</v>
      </c>
      <c r="D9" s="1"/>
    </row>
    <row r="10" spans="1:4" x14ac:dyDescent="0.2">
      <c r="A10" s="5" t="s">
        <v>5</v>
      </c>
      <c r="B10" s="19">
        <v>74</v>
      </c>
      <c r="C10" s="2">
        <f>MemberOfAssemblyAssemblyDistrict44General[[#This Row],[Part of Kings County Vote Results]]</f>
        <v>74</v>
      </c>
      <c r="D10" s="1"/>
    </row>
    <row r="11" spans="1:4" x14ac:dyDescent="0.2">
      <c r="A11" s="4" t="s">
        <v>2</v>
      </c>
      <c r="B11" s="13">
        <f>SUM(MemberOfAssemblyAssemblyDistrict44General[Part of Kings County Vote Results])</f>
        <v>44745</v>
      </c>
      <c r="C11" s="2">
        <f>SUM(MemberOfAssemblyAssemblyDistrict44General[Total Votes by Party])</f>
        <v>44745</v>
      </c>
      <c r="D11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A5BD-6EC5-4AF1-889E-9FFFD3989DC8}">
  <sheetPr codeName="Sheet91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218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217</v>
      </c>
      <c r="B3" s="19">
        <v>8451</v>
      </c>
      <c r="C3" s="2">
        <f>MemberOfAssemblyAssemblyDistrict45General[[#This Row],[Part of Kings County Vote Results]]</f>
        <v>8451</v>
      </c>
      <c r="D3" s="7">
        <f>SUM(C3,C6)</f>
        <v>9258</v>
      </c>
    </row>
    <row r="4" spans="1:4" x14ac:dyDescent="0.2">
      <c r="A4" s="6" t="s">
        <v>633</v>
      </c>
      <c r="B4" s="19">
        <v>12936</v>
      </c>
      <c r="C4" s="2">
        <f>MemberOfAssemblyAssemblyDistrict45General[[#This Row],[Part of Kings County Vote Results]]</f>
        <v>12936</v>
      </c>
      <c r="D4" s="7">
        <f>SUM(C4,C5)</f>
        <v>13757</v>
      </c>
    </row>
    <row r="5" spans="1:4" x14ac:dyDescent="0.2">
      <c r="A5" s="6" t="s">
        <v>634</v>
      </c>
      <c r="B5" s="19">
        <v>821</v>
      </c>
      <c r="C5" s="2">
        <f>MemberOfAssemblyAssemblyDistrict45General[[#This Row],[Part of Kings County Vote Results]]</f>
        <v>821</v>
      </c>
      <c r="D5" s="1"/>
    </row>
    <row r="6" spans="1:4" x14ac:dyDescent="0.2">
      <c r="A6" s="6" t="s">
        <v>216</v>
      </c>
      <c r="B6" s="19">
        <v>807</v>
      </c>
      <c r="C6" s="2">
        <f>MemberOfAssemblyAssemblyDistrict45General[[#This Row],[Part of Kings County Vote Results]]</f>
        <v>807</v>
      </c>
      <c r="D6" s="1"/>
    </row>
    <row r="7" spans="1:4" x14ac:dyDescent="0.2">
      <c r="A7" s="5" t="s">
        <v>0</v>
      </c>
      <c r="B7" s="20">
        <v>851</v>
      </c>
      <c r="C7" s="2">
        <f>MemberOfAssemblyAssemblyDistrict45General[[#This Row],[Part of Kings County Vote Results]]</f>
        <v>851</v>
      </c>
      <c r="D7" s="1"/>
    </row>
    <row r="8" spans="1:4" x14ac:dyDescent="0.2">
      <c r="A8" s="5" t="s">
        <v>1</v>
      </c>
      <c r="B8" s="20">
        <v>41</v>
      </c>
      <c r="C8" s="2">
        <f>MemberOfAssemblyAssemblyDistrict45General[[#This Row],[Part of Kings County Vote Results]]</f>
        <v>41</v>
      </c>
      <c r="D8" s="1"/>
    </row>
    <row r="9" spans="1:4" x14ac:dyDescent="0.2">
      <c r="A9" s="5" t="s">
        <v>5</v>
      </c>
      <c r="B9" s="20">
        <v>16</v>
      </c>
      <c r="C9" s="2">
        <f>MemberOfAssemblyAssemblyDistrict45General[[#This Row],[Part of Kings County Vote Results]]</f>
        <v>16</v>
      </c>
      <c r="D9" s="1"/>
    </row>
    <row r="10" spans="1:4" x14ac:dyDescent="0.2">
      <c r="A10" s="4" t="s">
        <v>2</v>
      </c>
      <c r="B10" s="13">
        <f>SUM(MemberOfAssemblyAssemblyDistrict45General[Part of Kings County Vote Results])</f>
        <v>23923</v>
      </c>
      <c r="C10" s="2">
        <f>SUM(MemberOfAssemblyAssemblyDistrict45General[Total Votes by Party])</f>
        <v>23923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ignoredErrors>
    <ignoredError sqref="D3:D4" calculatedColumn="1"/>
  </ignoredErrors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83A7C-624B-442A-BAEB-8B7FC56AC095}">
  <sheetPr codeName="Sheet92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223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222</v>
      </c>
      <c r="B3" s="19">
        <v>12757</v>
      </c>
      <c r="C3" s="2">
        <f>MemberOfAssemblyAssemblyDistrict46General[[#This Row],[Part of Kings County Vote Results]]</f>
        <v>12757</v>
      </c>
      <c r="D3" s="7">
        <f>SUM(C3,C6)</f>
        <v>14183</v>
      </c>
    </row>
    <row r="4" spans="1:4" x14ac:dyDescent="0.2">
      <c r="A4" s="6" t="s">
        <v>221</v>
      </c>
      <c r="B4" s="19">
        <v>14310</v>
      </c>
      <c r="C4" s="2">
        <f>MemberOfAssemblyAssemblyDistrict46General[[#This Row],[Part of Kings County Vote Results]]</f>
        <v>14310</v>
      </c>
      <c r="D4" s="7">
        <f>SUM(C4,C5)</f>
        <v>15364</v>
      </c>
    </row>
    <row r="5" spans="1:4" x14ac:dyDescent="0.2">
      <c r="A5" s="6" t="s">
        <v>220</v>
      </c>
      <c r="B5" s="19">
        <v>1054</v>
      </c>
      <c r="C5" s="2">
        <f>MemberOfAssemblyAssemblyDistrict46General[[#This Row],[Part of Kings County Vote Results]]</f>
        <v>1054</v>
      </c>
      <c r="D5" s="1"/>
    </row>
    <row r="6" spans="1:4" x14ac:dyDescent="0.2">
      <c r="A6" s="6" t="s">
        <v>219</v>
      </c>
      <c r="B6" s="19">
        <v>1426</v>
      </c>
      <c r="C6" s="2">
        <f>MemberOfAssemblyAssemblyDistrict46General[[#This Row],[Part of Kings County Vote Results]]</f>
        <v>1426</v>
      </c>
      <c r="D6" s="1"/>
    </row>
    <row r="7" spans="1:4" x14ac:dyDescent="0.2">
      <c r="A7" s="5" t="s">
        <v>0</v>
      </c>
      <c r="B7" s="19">
        <v>1472</v>
      </c>
      <c r="C7" s="2">
        <f>MemberOfAssemblyAssemblyDistrict46General[[#This Row],[Part of Kings County Vote Results]]</f>
        <v>1472</v>
      </c>
      <c r="D7" s="1"/>
    </row>
    <row r="8" spans="1:4" x14ac:dyDescent="0.2">
      <c r="A8" s="5" t="s">
        <v>1</v>
      </c>
      <c r="B8" s="19">
        <v>79</v>
      </c>
      <c r="C8" s="2">
        <f>MemberOfAssemblyAssemblyDistrict46General[[#This Row],[Part of Kings County Vote Results]]</f>
        <v>79</v>
      </c>
      <c r="D8" s="1"/>
    </row>
    <row r="9" spans="1:4" x14ac:dyDescent="0.2">
      <c r="A9" s="5" t="s">
        <v>5</v>
      </c>
      <c r="B9" s="19">
        <v>37</v>
      </c>
      <c r="C9" s="2">
        <f>MemberOfAssemblyAssemblyDistrict46General[[#This Row],[Part of Kings County Vote Results]]</f>
        <v>37</v>
      </c>
      <c r="D9" s="1"/>
    </row>
    <row r="10" spans="1:4" x14ac:dyDescent="0.2">
      <c r="A10" s="4" t="s">
        <v>2</v>
      </c>
      <c r="B10" s="13">
        <f>SUM(MemberOfAssemblyAssemblyDistrict46General[Part of Kings County Vote Results])</f>
        <v>31135</v>
      </c>
      <c r="C10" s="2">
        <f>SUM(MemberOfAssemblyAssemblyDistrict46General[Total Votes by Party])</f>
        <v>31135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E6D9-0768-41FE-B9C3-E1B2454A8CA8}">
  <sheetPr codeName="Sheet93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227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226</v>
      </c>
      <c r="B3" s="19">
        <v>9503</v>
      </c>
      <c r="C3" s="2">
        <f>MemberOfAssemblyAssemblyDistrict47General[[#This Row],[Part of Kings County Vote Results]]</f>
        <v>9503</v>
      </c>
      <c r="D3" s="7">
        <f>C3</f>
        <v>9503</v>
      </c>
    </row>
    <row r="4" spans="1:4" x14ac:dyDescent="0.2">
      <c r="A4" s="6" t="s">
        <v>225</v>
      </c>
      <c r="B4" s="19">
        <v>7329</v>
      </c>
      <c r="C4" s="2">
        <f>MemberOfAssemblyAssemblyDistrict47General[[#This Row],[Part of Kings County Vote Results]]</f>
        <v>7329</v>
      </c>
      <c r="D4" s="7">
        <f>SUM(C4,C5)</f>
        <v>7838</v>
      </c>
    </row>
    <row r="5" spans="1:4" x14ac:dyDescent="0.2">
      <c r="A5" s="6" t="s">
        <v>224</v>
      </c>
      <c r="B5" s="20">
        <v>509</v>
      </c>
      <c r="C5" s="2">
        <f>MemberOfAssemblyAssemblyDistrict47General[[#This Row],[Part of Kings County Vote Results]]</f>
        <v>509</v>
      </c>
      <c r="D5" s="1"/>
    </row>
    <row r="6" spans="1:4" x14ac:dyDescent="0.2">
      <c r="A6" s="5" t="s">
        <v>0</v>
      </c>
      <c r="B6" s="20">
        <v>564</v>
      </c>
      <c r="C6" s="2">
        <f>MemberOfAssemblyAssemblyDistrict47General[[#This Row],[Part of Kings County Vote Results]]</f>
        <v>564</v>
      </c>
      <c r="D6" s="1"/>
    </row>
    <row r="7" spans="1:4" x14ac:dyDescent="0.2">
      <c r="A7" s="5" t="s">
        <v>1</v>
      </c>
      <c r="B7" s="20">
        <v>34</v>
      </c>
      <c r="C7" s="2">
        <f>MemberOfAssemblyAssemblyDistrict47General[[#This Row],[Part of Kings County Vote Results]]</f>
        <v>34</v>
      </c>
      <c r="D7" s="1"/>
    </row>
    <row r="8" spans="1:4" x14ac:dyDescent="0.2">
      <c r="A8" s="5" t="s">
        <v>5</v>
      </c>
      <c r="B8" s="20">
        <v>21</v>
      </c>
      <c r="C8" s="2">
        <f>MemberOfAssemblyAssemblyDistrict47General[[#This Row],[Part of Kings County Vote Results]]</f>
        <v>21</v>
      </c>
      <c r="D8" s="1"/>
    </row>
    <row r="9" spans="1:4" x14ac:dyDescent="0.2">
      <c r="A9" s="4" t="s">
        <v>2</v>
      </c>
      <c r="B9" s="13">
        <f>SUM(MemberOfAssemblyAssemblyDistrict47General[Part of Kings County Vote Results])</f>
        <v>17960</v>
      </c>
      <c r="C9" s="2">
        <f>SUM(MemberOfAssemblyAssemblyDistrict47General[Total Votes by Party])</f>
        <v>17960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886F8-D639-44D8-BE78-7FEBCF2D62FC}">
  <sheetPr codeName="Sheet94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231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230</v>
      </c>
      <c r="B3" s="19">
        <v>11341</v>
      </c>
      <c r="C3" s="2">
        <f>MemberOfAssemblyAssemblyDistrict48General[[#This Row],[Part of Kings County Vote Results]]</f>
        <v>11341</v>
      </c>
      <c r="D3" s="7">
        <f>SUM(C3,C4)</f>
        <v>21311</v>
      </c>
    </row>
    <row r="4" spans="1:4" x14ac:dyDescent="0.2">
      <c r="A4" s="6" t="s">
        <v>229</v>
      </c>
      <c r="B4" s="19">
        <v>9970</v>
      </c>
      <c r="C4" s="2">
        <f>MemberOfAssemblyAssemblyDistrict48General[[#This Row],[Part of Kings County Vote Results]]</f>
        <v>9970</v>
      </c>
      <c r="D4" s="1"/>
    </row>
    <row r="5" spans="1:4" x14ac:dyDescent="0.2">
      <c r="A5" s="6" t="s">
        <v>228</v>
      </c>
      <c r="B5" s="19">
        <v>1056</v>
      </c>
      <c r="C5" s="2">
        <f>MemberOfAssemblyAssemblyDistrict48General[[#This Row],[Part of Kings County Vote Results]]</f>
        <v>1056</v>
      </c>
      <c r="D5" s="7">
        <f>C5</f>
        <v>1056</v>
      </c>
    </row>
    <row r="6" spans="1:4" x14ac:dyDescent="0.2">
      <c r="A6" s="5" t="s">
        <v>0</v>
      </c>
      <c r="B6" s="19">
        <v>5093</v>
      </c>
      <c r="C6" s="2">
        <f>MemberOfAssemblyAssemblyDistrict48General[[#This Row],[Part of Kings County Vote Results]]</f>
        <v>5093</v>
      </c>
      <c r="D6" s="1"/>
    </row>
    <row r="7" spans="1:4" x14ac:dyDescent="0.2">
      <c r="A7" s="5" t="s">
        <v>1</v>
      </c>
      <c r="B7" s="19">
        <v>93</v>
      </c>
      <c r="C7" s="2">
        <f>MemberOfAssemblyAssemblyDistrict48General[[#This Row],[Part of Kings County Vote Results]]</f>
        <v>93</v>
      </c>
      <c r="D7" s="1"/>
    </row>
    <row r="8" spans="1:4" x14ac:dyDescent="0.2">
      <c r="A8" s="5" t="s">
        <v>5</v>
      </c>
      <c r="B8" s="19">
        <v>140</v>
      </c>
      <c r="C8" s="2">
        <f>MemberOfAssemblyAssemblyDistrict48General[[#This Row],[Part of Kings County Vote Results]]</f>
        <v>140</v>
      </c>
      <c r="D8" s="1"/>
    </row>
    <row r="9" spans="1:4" x14ac:dyDescent="0.2">
      <c r="A9" s="4" t="s">
        <v>2</v>
      </c>
      <c r="B9" s="13">
        <f>SUM(MemberOfAssemblyAssemblyDistrict48General[Part of Kings County Vote Results])</f>
        <v>27693</v>
      </c>
      <c r="C9" s="2">
        <f>SUM(MemberOfAssemblyAssemblyDistrict48General[Total Votes by Party])</f>
        <v>27693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9F8C-5A8A-4B4B-9392-A037B6780A84}">
  <sheetPr codeName="Sheet95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234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639</v>
      </c>
      <c r="B3" s="19">
        <v>6842</v>
      </c>
      <c r="C3" s="2">
        <f>MemberOfAssemblyAssemblyDistrict49General[[#This Row],[Part of Kings County Vote Results]]</f>
        <v>6842</v>
      </c>
      <c r="D3" s="7">
        <f>C3</f>
        <v>6842</v>
      </c>
    </row>
    <row r="4" spans="1:4" x14ac:dyDescent="0.2">
      <c r="A4" s="6" t="s">
        <v>233</v>
      </c>
      <c r="B4" s="19">
        <v>6888</v>
      </c>
      <c r="C4" s="2">
        <f>MemberOfAssemblyAssemblyDistrict49General[[#This Row],[Part of Kings County Vote Results]]</f>
        <v>6888</v>
      </c>
      <c r="D4" s="7">
        <f>SUM(C4,C5)</f>
        <v>7424</v>
      </c>
    </row>
    <row r="5" spans="1:4" x14ac:dyDescent="0.2">
      <c r="A5" s="6" t="s">
        <v>232</v>
      </c>
      <c r="B5" s="19">
        <v>536</v>
      </c>
      <c r="C5" s="2">
        <f>MemberOfAssemblyAssemblyDistrict49General[[#This Row],[Part of Kings County Vote Results]]</f>
        <v>536</v>
      </c>
      <c r="D5" s="1"/>
    </row>
    <row r="6" spans="1:4" x14ac:dyDescent="0.2">
      <c r="A6" s="5" t="s">
        <v>0</v>
      </c>
      <c r="B6" s="20">
        <v>606</v>
      </c>
      <c r="C6" s="2">
        <f>MemberOfAssemblyAssemblyDistrict49General[[#This Row],[Part of Kings County Vote Results]]</f>
        <v>606</v>
      </c>
      <c r="D6" s="1"/>
    </row>
    <row r="7" spans="1:4" x14ac:dyDescent="0.2">
      <c r="A7" s="5" t="s">
        <v>1</v>
      </c>
      <c r="B7" s="20">
        <v>31</v>
      </c>
      <c r="C7" s="2">
        <f>MemberOfAssemblyAssemblyDistrict49General[[#This Row],[Part of Kings County Vote Results]]</f>
        <v>31</v>
      </c>
      <c r="D7" s="1"/>
    </row>
    <row r="8" spans="1:4" x14ac:dyDescent="0.2">
      <c r="A8" s="5" t="s">
        <v>5</v>
      </c>
      <c r="B8" s="20">
        <v>21</v>
      </c>
      <c r="C8" s="2">
        <f>MemberOfAssemblyAssemblyDistrict49General[[#This Row],[Part of Kings County Vote Results]]</f>
        <v>21</v>
      </c>
      <c r="D8" s="1"/>
    </row>
    <row r="9" spans="1:4" x14ac:dyDescent="0.2">
      <c r="A9" s="4" t="s">
        <v>2</v>
      </c>
      <c r="B9" s="13">
        <f>SUM(MemberOfAssemblyAssemblyDistrict49General[Part of Kings County Vote Results])</f>
        <v>14924</v>
      </c>
      <c r="C9" s="2">
        <f>SUM(MemberOfAssemblyAssemblyDistrict49General[Total Votes by Party])</f>
        <v>14924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7E91-1B9B-455F-A34F-08D6E95F69BD}">
  <sheetPr codeName="Sheet51"/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73</v>
      </c>
    </row>
    <row r="2" spans="1:4" ht="25.5" x14ac:dyDescent="0.2">
      <c r="A2" s="10" t="s">
        <v>8</v>
      </c>
      <c r="B2" s="55" t="s">
        <v>23</v>
      </c>
      <c r="C2" s="9" t="s">
        <v>3</v>
      </c>
      <c r="D2" s="8" t="s">
        <v>4</v>
      </c>
    </row>
    <row r="3" spans="1:4" x14ac:dyDescent="0.2">
      <c r="A3" s="6" t="s">
        <v>72</v>
      </c>
      <c r="B3" s="3">
        <v>16278</v>
      </c>
      <c r="C3" s="2">
        <f>MemberOfAssemblyAssemblyDistrict5General[[#This Row],[Part of Suffolk County Vote Results]]</f>
        <v>16278</v>
      </c>
      <c r="D3" s="7">
        <f>SUM(C3)</f>
        <v>16278</v>
      </c>
    </row>
    <row r="4" spans="1:4" x14ac:dyDescent="0.2">
      <c r="A4" s="6" t="s">
        <v>71</v>
      </c>
      <c r="B4" s="3">
        <v>28974</v>
      </c>
      <c r="C4" s="2">
        <f>MemberOfAssemblyAssemblyDistrict5General[[#This Row],[Part of Suffolk County Vote Results]]</f>
        <v>28974</v>
      </c>
      <c r="D4" s="7">
        <f>SUM(C4,C5)</f>
        <v>33243</v>
      </c>
    </row>
    <row r="5" spans="1:4" x14ac:dyDescent="0.2">
      <c r="A5" s="6" t="s">
        <v>70</v>
      </c>
      <c r="B5" s="3">
        <v>4269</v>
      </c>
      <c r="C5" s="2">
        <f>MemberOfAssemblyAssemblyDistrict5General[[#This Row],[Part of Suffolk County Vote Results]]</f>
        <v>4269</v>
      </c>
      <c r="D5" s="1"/>
    </row>
    <row r="6" spans="1:4" x14ac:dyDescent="0.2">
      <c r="A6" s="5" t="s">
        <v>0</v>
      </c>
      <c r="B6" s="3">
        <v>2371</v>
      </c>
      <c r="C6" s="2">
        <f>MemberOfAssemblyAssemblyDistrict5General[[#This Row],[Part of Suffolk County Vote Results]]</f>
        <v>2371</v>
      </c>
      <c r="D6" s="1"/>
    </row>
    <row r="7" spans="1:4" x14ac:dyDescent="0.2">
      <c r="A7" s="5" t="s">
        <v>1</v>
      </c>
      <c r="B7" s="3">
        <v>18</v>
      </c>
      <c r="C7" s="2">
        <f>MemberOfAssemblyAssemblyDistrict5General[[#This Row],[Part of Suffolk County Vote Results]]</f>
        <v>18</v>
      </c>
      <c r="D7" s="1"/>
    </row>
    <row r="8" spans="1:4" x14ac:dyDescent="0.2">
      <c r="A8" s="5" t="s">
        <v>5</v>
      </c>
      <c r="B8" s="3">
        <v>5</v>
      </c>
      <c r="C8" s="2">
        <f>MemberOfAssemblyAssemblyDistrict5General[[#This Row],[Part of Suffolk County Vote Results]]</f>
        <v>5</v>
      </c>
      <c r="D8" s="1"/>
    </row>
    <row r="9" spans="1:4" x14ac:dyDescent="0.2">
      <c r="A9" s="4" t="s">
        <v>2</v>
      </c>
      <c r="B9" s="3">
        <f>SUM(MemberOfAssemblyAssemblyDistrict5General[Part of Suffolk County Vote Results])</f>
        <v>51915</v>
      </c>
      <c r="C9" s="2">
        <f>SUM(MemberOfAssemblyAssemblyDistrict5General[Total Votes by Party])</f>
        <v>51915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90E0-E0DD-4E9E-9B78-50BE61E534A8}">
  <sheetPr codeName="Sheet96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237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236</v>
      </c>
      <c r="B3" s="19">
        <v>20724</v>
      </c>
      <c r="C3" s="2">
        <f>MemberOfAssemblyAssemblyDistrict50General[[#This Row],[Part of Kings County Vote Results]]</f>
        <v>20724</v>
      </c>
      <c r="D3" s="7">
        <f>SUM(C3,C4)</f>
        <v>27045</v>
      </c>
    </row>
    <row r="4" spans="1:4" x14ac:dyDescent="0.2">
      <c r="A4" s="6" t="s">
        <v>235</v>
      </c>
      <c r="B4" s="19">
        <v>6321</v>
      </c>
      <c r="C4" s="2">
        <f>MemberOfAssemblyAssemblyDistrict50General[[#This Row],[Part of Kings County Vote Results]]</f>
        <v>6321</v>
      </c>
      <c r="D4" s="1"/>
    </row>
    <row r="5" spans="1:4" x14ac:dyDescent="0.2">
      <c r="A5" s="5" t="s">
        <v>0</v>
      </c>
      <c r="B5" s="19">
        <v>8806</v>
      </c>
      <c r="C5" s="2">
        <f>MemberOfAssemblyAssemblyDistrict50General[[#This Row],[Part of Kings County Vote Results]]</f>
        <v>8806</v>
      </c>
      <c r="D5" s="1"/>
    </row>
    <row r="6" spans="1:4" x14ac:dyDescent="0.2">
      <c r="A6" s="5" t="s">
        <v>1</v>
      </c>
      <c r="B6" s="19">
        <v>103</v>
      </c>
      <c r="C6" s="2">
        <f>MemberOfAssemblyAssemblyDistrict50General[[#This Row],[Part of Kings County Vote Results]]</f>
        <v>103</v>
      </c>
      <c r="D6" s="1"/>
    </row>
    <row r="7" spans="1:4" x14ac:dyDescent="0.2">
      <c r="A7" s="5" t="s">
        <v>5</v>
      </c>
      <c r="B7" s="19">
        <v>636</v>
      </c>
      <c r="C7" s="2">
        <f>MemberOfAssemblyAssemblyDistrict50General[[#This Row],[Part of Kings County Vote Results]]</f>
        <v>636</v>
      </c>
      <c r="D7" s="1"/>
    </row>
    <row r="8" spans="1:4" x14ac:dyDescent="0.2">
      <c r="A8" s="4" t="s">
        <v>2</v>
      </c>
      <c r="B8" s="13">
        <f>SUM(MemberOfAssemblyAssemblyDistrict50General[Part of Kings County Vote Results])</f>
        <v>36590</v>
      </c>
      <c r="C8" s="2">
        <f>SUM(MemberOfAssemblyAssemblyDistrict50General[Total Votes by Party])</f>
        <v>36590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C352-6918-4586-B0D1-744EC9A9FE23}">
  <sheetPr codeName="Sheet97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246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247</v>
      </c>
      <c r="B3" s="19">
        <v>37985</v>
      </c>
      <c r="C3" s="2">
        <f>MemberOfAssemblyAssemblyDistrict52General[[#This Row],[Part of Kings County Vote Results]]</f>
        <v>37985</v>
      </c>
      <c r="D3" s="7">
        <f>SUM(C3,C6)</f>
        <v>48463</v>
      </c>
    </row>
    <row r="4" spans="1:4" x14ac:dyDescent="0.2">
      <c r="A4" s="6" t="s">
        <v>245</v>
      </c>
      <c r="B4" s="19">
        <v>3792</v>
      </c>
      <c r="C4" s="2">
        <f>MemberOfAssemblyAssemblyDistrict52General[[#This Row],[Part of Kings County Vote Results]]</f>
        <v>3792</v>
      </c>
      <c r="D4" s="7">
        <f>SUM(C4,C5)</f>
        <v>4173</v>
      </c>
    </row>
    <row r="5" spans="1:4" x14ac:dyDescent="0.2">
      <c r="A5" s="6" t="s">
        <v>244</v>
      </c>
      <c r="B5" s="19">
        <v>381</v>
      </c>
      <c r="C5" s="2">
        <f>MemberOfAssemblyAssemblyDistrict52General[[#This Row],[Part of Kings County Vote Results]]</f>
        <v>381</v>
      </c>
      <c r="D5" s="1"/>
    </row>
    <row r="6" spans="1:4" x14ac:dyDescent="0.2">
      <c r="A6" s="6" t="s">
        <v>243</v>
      </c>
      <c r="B6" s="19">
        <v>10478</v>
      </c>
      <c r="C6" s="2">
        <f>MemberOfAssemblyAssemblyDistrict52General[[#This Row],[Part of Kings County Vote Results]]</f>
        <v>10478</v>
      </c>
      <c r="D6" s="1"/>
    </row>
    <row r="7" spans="1:4" x14ac:dyDescent="0.2">
      <c r="A7" s="5" t="s">
        <v>0</v>
      </c>
      <c r="B7" s="20">
        <v>1149</v>
      </c>
      <c r="C7" s="2">
        <f>MemberOfAssemblyAssemblyDistrict52General[[#This Row],[Part of Kings County Vote Results]]</f>
        <v>1149</v>
      </c>
      <c r="D7" s="1"/>
    </row>
    <row r="8" spans="1:4" x14ac:dyDescent="0.2">
      <c r="A8" s="5" t="s">
        <v>1</v>
      </c>
      <c r="B8" s="20">
        <v>341</v>
      </c>
      <c r="C8" s="2">
        <f>MemberOfAssemblyAssemblyDistrict52General[[#This Row],[Part of Kings County Vote Results]]</f>
        <v>341</v>
      </c>
      <c r="D8" s="1"/>
    </row>
    <row r="9" spans="1:4" x14ac:dyDescent="0.2">
      <c r="A9" s="5" t="s">
        <v>5</v>
      </c>
      <c r="B9" s="20">
        <v>87</v>
      </c>
      <c r="C9" s="2">
        <f>MemberOfAssemblyAssemblyDistrict52General[[#This Row],[Part of Kings County Vote Results]]</f>
        <v>87</v>
      </c>
      <c r="D9" s="1"/>
    </row>
    <row r="10" spans="1:4" x14ac:dyDescent="0.2">
      <c r="A10" s="4" t="s">
        <v>2</v>
      </c>
      <c r="B10" s="13">
        <f>SUM(MemberOfAssemblyAssemblyDistrict52General[Part of Kings County Vote Results])</f>
        <v>54213</v>
      </c>
      <c r="C10" s="2">
        <f>SUM(MemberOfAssemblyAssemblyDistrict52General[Total Votes by Party])</f>
        <v>54213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ignoredErrors>
    <ignoredError sqref="D3:D4" calculatedColumn="1"/>
  </ignoredErrors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16CD-7E73-438B-8EBA-C3ADD11B180A}">
  <sheetPr codeName="Sheet98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242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241</v>
      </c>
      <c r="B3" s="19">
        <v>11545</v>
      </c>
      <c r="C3" s="2">
        <f>MemberOfAssemblyAssemblyDistrict51General[[#This Row],[Part of Kings County Vote Results]]</f>
        <v>11545</v>
      </c>
      <c r="D3" s="7">
        <f>SUM(C3,C6)</f>
        <v>15174</v>
      </c>
    </row>
    <row r="4" spans="1:4" x14ac:dyDescent="0.2">
      <c r="A4" s="6" t="s">
        <v>240</v>
      </c>
      <c r="B4" s="19">
        <v>3764</v>
      </c>
      <c r="C4" s="2">
        <f>MemberOfAssemblyAssemblyDistrict51General[[#This Row],[Part of Kings County Vote Results]]</f>
        <v>3764</v>
      </c>
      <c r="D4" s="7">
        <f>SUM(C4,C5)</f>
        <v>4114</v>
      </c>
    </row>
    <row r="5" spans="1:4" x14ac:dyDescent="0.2">
      <c r="A5" s="6" t="s">
        <v>239</v>
      </c>
      <c r="B5" s="19">
        <v>350</v>
      </c>
      <c r="C5" s="2">
        <f>MemberOfAssemblyAssemblyDistrict51General[[#This Row],[Part of Kings County Vote Results]]</f>
        <v>350</v>
      </c>
      <c r="D5" s="1"/>
    </row>
    <row r="6" spans="1:4" x14ac:dyDescent="0.2">
      <c r="A6" s="6" t="s">
        <v>238</v>
      </c>
      <c r="B6" s="19">
        <v>3629</v>
      </c>
      <c r="C6" s="2">
        <f>MemberOfAssemblyAssemblyDistrict51General[[#This Row],[Part of Kings County Vote Results]]</f>
        <v>3629</v>
      </c>
      <c r="D6" s="1"/>
    </row>
    <row r="7" spans="1:4" x14ac:dyDescent="0.2">
      <c r="A7" s="5" t="s">
        <v>0</v>
      </c>
      <c r="B7" s="20">
        <v>876</v>
      </c>
      <c r="C7" s="2">
        <f>MemberOfAssemblyAssemblyDistrict51General[[#This Row],[Part of Kings County Vote Results]]</f>
        <v>876</v>
      </c>
      <c r="D7" s="1"/>
    </row>
    <row r="8" spans="1:4" x14ac:dyDescent="0.2">
      <c r="A8" s="5" t="s">
        <v>1</v>
      </c>
      <c r="B8" s="20">
        <v>45</v>
      </c>
      <c r="C8" s="2">
        <f>MemberOfAssemblyAssemblyDistrict51General[[#This Row],[Part of Kings County Vote Results]]</f>
        <v>45</v>
      </c>
      <c r="D8" s="1"/>
    </row>
    <row r="9" spans="1:4" x14ac:dyDescent="0.2">
      <c r="A9" s="5" t="s">
        <v>5</v>
      </c>
      <c r="B9" s="20">
        <v>45</v>
      </c>
      <c r="C9" s="2">
        <f>MemberOfAssemblyAssemblyDistrict51General[[#This Row],[Part of Kings County Vote Results]]</f>
        <v>45</v>
      </c>
      <c r="D9" s="1"/>
    </row>
    <row r="10" spans="1:4" x14ac:dyDescent="0.2">
      <c r="A10" s="4" t="s">
        <v>2</v>
      </c>
      <c r="B10" s="13">
        <f>SUM(MemberOfAssemblyAssemblyDistrict51General[Part of Kings County Vote Results])</f>
        <v>20254</v>
      </c>
      <c r="C10" s="2">
        <f>SUM(MemberOfAssemblyAssemblyDistrict51General[Total Votes by Party])</f>
        <v>20254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E1DB-246D-473F-B5AA-8264C13617C3}">
  <sheetPr codeName="Sheet99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249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248</v>
      </c>
      <c r="B3" s="19">
        <v>20154</v>
      </c>
      <c r="C3" s="2">
        <f>MemberOfAssemblyAssemblyDistrict53General[[#This Row],[Part of Kings County Vote Results]]</f>
        <v>20154</v>
      </c>
      <c r="D3" s="7">
        <f t="shared" ref="D3" si="0">C3</f>
        <v>20154</v>
      </c>
    </row>
    <row r="4" spans="1:4" x14ac:dyDescent="0.2">
      <c r="A4" s="5" t="s">
        <v>0</v>
      </c>
      <c r="B4" s="19">
        <v>4525</v>
      </c>
      <c r="C4" s="2">
        <f>MemberOfAssemblyAssemblyDistrict53General[[#This Row],[Part of Kings County Vote Results]]</f>
        <v>4525</v>
      </c>
      <c r="D4" s="1"/>
    </row>
    <row r="5" spans="1:4" x14ac:dyDescent="0.2">
      <c r="A5" s="5" t="s">
        <v>1</v>
      </c>
      <c r="B5" s="19">
        <v>43</v>
      </c>
      <c r="C5" s="2">
        <f>MemberOfAssemblyAssemblyDistrict53General[[#This Row],[Part of Kings County Vote Results]]</f>
        <v>43</v>
      </c>
      <c r="D5" s="1"/>
    </row>
    <row r="6" spans="1:4" x14ac:dyDescent="0.2">
      <c r="A6" s="5" t="s">
        <v>5</v>
      </c>
      <c r="B6" s="19">
        <v>182</v>
      </c>
      <c r="C6" s="2">
        <f>MemberOfAssemblyAssemblyDistrict53General[[#This Row],[Part of Kings County Vote Results]]</f>
        <v>182</v>
      </c>
      <c r="D6" s="1"/>
    </row>
    <row r="7" spans="1:4" x14ac:dyDescent="0.2">
      <c r="A7" s="4" t="s">
        <v>2</v>
      </c>
      <c r="B7" s="13">
        <f>SUM(MemberOfAssemblyAssemblyDistrict53General[Part of Kings County Vote Results])</f>
        <v>24904</v>
      </c>
      <c r="C7" s="2">
        <f>SUM(MemberOfAssemblyAssemblyDistrict53General[Total Votes by Party])</f>
        <v>24904</v>
      </c>
      <c r="D7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C7B0-386B-457D-B4B0-B88CCC76046E}">
  <sheetPr codeName="Sheet100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252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251</v>
      </c>
      <c r="B3" s="19">
        <v>12163</v>
      </c>
      <c r="C3" s="2">
        <f>MemberOfAssemblyAssemblyDistrict54General[[#This Row],[Part of Kings County Vote Results]]</f>
        <v>12163</v>
      </c>
      <c r="D3" s="7">
        <f>C3</f>
        <v>12163</v>
      </c>
    </row>
    <row r="4" spans="1:4" x14ac:dyDescent="0.2">
      <c r="A4" s="6" t="s">
        <v>250</v>
      </c>
      <c r="B4" s="19">
        <v>1932</v>
      </c>
      <c r="C4" s="2">
        <f>MemberOfAssemblyAssemblyDistrict54General[[#This Row],[Part of Kings County Vote Results]]</f>
        <v>1932</v>
      </c>
      <c r="D4" s="7">
        <f>C4</f>
        <v>1932</v>
      </c>
    </row>
    <row r="5" spans="1:4" x14ac:dyDescent="0.2">
      <c r="A5" s="5" t="s">
        <v>0</v>
      </c>
      <c r="B5" s="20">
        <v>885</v>
      </c>
      <c r="C5" s="2">
        <f>MemberOfAssemblyAssemblyDistrict54General[[#This Row],[Part of Kings County Vote Results]]</f>
        <v>885</v>
      </c>
      <c r="D5" s="1"/>
    </row>
    <row r="6" spans="1:4" x14ac:dyDescent="0.2">
      <c r="A6" s="5" t="s">
        <v>1</v>
      </c>
      <c r="B6" s="20">
        <v>20</v>
      </c>
      <c r="C6" s="2">
        <f>MemberOfAssemblyAssemblyDistrict54General[[#This Row],[Part of Kings County Vote Results]]</f>
        <v>20</v>
      </c>
      <c r="D6" s="1"/>
    </row>
    <row r="7" spans="1:4" x14ac:dyDescent="0.2">
      <c r="A7" s="5" t="s">
        <v>5</v>
      </c>
      <c r="B7" s="20">
        <v>65</v>
      </c>
      <c r="C7" s="2">
        <f>MemberOfAssemblyAssemblyDistrict54General[[#This Row],[Part of Kings County Vote Results]]</f>
        <v>65</v>
      </c>
      <c r="D7" s="1"/>
    </row>
    <row r="8" spans="1:4" x14ac:dyDescent="0.2">
      <c r="A8" s="4" t="s">
        <v>2</v>
      </c>
      <c r="B8" s="13">
        <f>SUM(MemberOfAssemblyAssemblyDistrict54General[Part of Kings County Vote Results])</f>
        <v>15065</v>
      </c>
      <c r="C8" s="2">
        <f>SUM(MemberOfAssemblyAssemblyDistrict54General[Total Votes by Party])</f>
        <v>15065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1F8A-EE2F-490F-BD3A-CF9E740991EF}">
  <sheetPr codeName="Sheet101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256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255</v>
      </c>
      <c r="B3" s="19">
        <v>15687</v>
      </c>
      <c r="C3" s="2">
        <f>MemberOfAssemblyAssemblyDistrict55General[[#This Row],[Part of Kings County Vote Results]]</f>
        <v>15687</v>
      </c>
      <c r="D3" s="7">
        <f>SUM(C3,C5)</f>
        <v>16766</v>
      </c>
    </row>
    <row r="4" spans="1:4" x14ac:dyDescent="0.2">
      <c r="A4" s="6" t="s">
        <v>640</v>
      </c>
      <c r="B4" s="19">
        <v>830</v>
      </c>
      <c r="C4" s="2">
        <f>MemberOfAssemblyAssemblyDistrict55General[[#This Row],[Part of Kings County Vote Results]]</f>
        <v>830</v>
      </c>
      <c r="D4" s="7">
        <f>C4</f>
        <v>830</v>
      </c>
    </row>
    <row r="5" spans="1:4" x14ac:dyDescent="0.2">
      <c r="A5" s="6" t="s">
        <v>254</v>
      </c>
      <c r="B5" s="19">
        <v>1079</v>
      </c>
      <c r="C5" s="2">
        <f>MemberOfAssemblyAssemblyDistrict55General[[#This Row],[Part of Kings County Vote Results]]</f>
        <v>1079</v>
      </c>
      <c r="D5" s="1"/>
    </row>
    <row r="6" spans="1:4" x14ac:dyDescent="0.2">
      <c r="A6" s="6" t="s">
        <v>253</v>
      </c>
      <c r="B6" s="19">
        <v>430</v>
      </c>
      <c r="C6" s="2">
        <f>MemberOfAssemblyAssemblyDistrict55General[[#This Row],[Part of Kings County Vote Results]]</f>
        <v>430</v>
      </c>
      <c r="D6" s="7">
        <f>C6</f>
        <v>430</v>
      </c>
    </row>
    <row r="7" spans="1:4" x14ac:dyDescent="0.2">
      <c r="A7" s="5" t="s">
        <v>0</v>
      </c>
      <c r="B7" s="20">
        <v>538</v>
      </c>
      <c r="C7" s="2">
        <f>MemberOfAssemblyAssemblyDistrict55General[[#This Row],[Part of Kings County Vote Results]]</f>
        <v>538</v>
      </c>
      <c r="D7" s="1"/>
    </row>
    <row r="8" spans="1:4" x14ac:dyDescent="0.2">
      <c r="A8" s="5" t="s">
        <v>1</v>
      </c>
      <c r="B8" s="20">
        <v>9</v>
      </c>
      <c r="C8" s="2">
        <f>MemberOfAssemblyAssemblyDistrict55General[[#This Row],[Part of Kings County Vote Results]]</f>
        <v>9</v>
      </c>
      <c r="D8" s="1"/>
    </row>
    <row r="9" spans="1:4" x14ac:dyDescent="0.2">
      <c r="A9" s="5" t="s">
        <v>5</v>
      </c>
      <c r="B9" s="20">
        <v>13</v>
      </c>
      <c r="C9" s="2">
        <f>MemberOfAssemblyAssemblyDistrict55General[[#This Row],[Part of Kings County Vote Results]]</f>
        <v>13</v>
      </c>
      <c r="D9" s="1"/>
    </row>
    <row r="10" spans="1:4" x14ac:dyDescent="0.2">
      <c r="A10" s="4" t="s">
        <v>2</v>
      </c>
      <c r="B10" s="13">
        <f>SUM(MemberOfAssemblyAssemblyDistrict55General[Part of Kings County Vote Results])</f>
        <v>18586</v>
      </c>
      <c r="C10" s="2">
        <f>SUM(MemberOfAssemblyAssemblyDistrict55General[Total Votes by Party])</f>
        <v>18586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CBB0-80AD-4267-AB3F-98FD0A268866}">
  <sheetPr codeName="Sheet102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258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257</v>
      </c>
      <c r="B3" s="19">
        <v>25154</v>
      </c>
      <c r="C3" s="2">
        <f>MemberOfAssemblyAssemblyDistrict56General[[#This Row],[Part of Kings County Vote Results]]</f>
        <v>25154</v>
      </c>
      <c r="D3" s="7">
        <f>SUM(MemberOfAssemblyAssemblyDistrict56General[[#This Row],[Total Votes by Party]])</f>
        <v>25154</v>
      </c>
    </row>
    <row r="4" spans="1:4" x14ac:dyDescent="0.2">
      <c r="A4" s="5" t="s">
        <v>0</v>
      </c>
      <c r="B4" s="19">
        <v>3207</v>
      </c>
      <c r="C4" s="2">
        <f>MemberOfAssemblyAssemblyDistrict56General[[#This Row],[Part of Kings County Vote Results]]</f>
        <v>3207</v>
      </c>
      <c r="D4" s="1"/>
    </row>
    <row r="5" spans="1:4" x14ac:dyDescent="0.2">
      <c r="A5" s="5" t="s">
        <v>1</v>
      </c>
      <c r="B5" s="19">
        <v>36</v>
      </c>
      <c r="C5" s="2">
        <f>MemberOfAssemblyAssemblyDistrict56General[[#This Row],[Part of Kings County Vote Results]]</f>
        <v>36</v>
      </c>
      <c r="D5" s="1"/>
    </row>
    <row r="6" spans="1:4" x14ac:dyDescent="0.2">
      <c r="A6" s="5" t="s">
        <v>5</v>
      </c>
      <c r="B6" s="19">
        <v>135</v>
      </c>
      <c r="C6" s="2">
        <f>MemberOfAssemblyAssemblyDistrict56General[[#This Row],[Part of Kings County Vote Results]]</f>
        <v>135</v>
      </c>
      <c r="D6" s="1"/>
    </row>
    <row r="7" spans="1:4" x14ac:dyDescent="0.2">
      <c r="A7" s="4" t="s">
        <v>2</v>
      </c>
      <c r="B7" s="13">
        <f>SUM(MemberOfAssemblyAssemblyDistrict56General[Part of Kings County Vote Results])</f>
        <v>28532</v>
      </c>
      <c r="C7" s="2">
        <f>SUM(MemberOfAssemblyAssemblyDistrict56General[Total Votes by Party])</f>
        <v>28532</v>
      </c>
      <c r="D7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8977-8FDC-4DFB-9ACA-1554749D0940}">
  <sheetPr codeName="Sheet103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261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260</v>
      </c>
      <c r="B3" s="19">
        <v>27116</v>
      </c>
      <c r="C3" s="2">
        <f>MemberOfAssemblyAssemblyDistrict57General[[#This Row],[Part of Kings County Vote Results]]</f>
        <v>27116</v>
      </c>
      <c r="D3" s="7">
        <f>SUM(C3,C4)</f>
        <v>36232</v>
      </c>
    </row>
    <row r="4" spans="1:4" x14ac:dyDescent="0.2">
      <c r="A4" s="6" t="s">
        <v>259</v>
      </c>
      <c r="B4" s="19">
        <v>9116</v>
      </c>
      <c r="C4" s="2">
        <f>MemberOfAssemblyAssemblyDistrict57General[[#This Row],[Part of Kings County Vote Results]]</f>
        <v>9116</v>
      </c>
      <c r="D4" s="1"/>
    </row>
    <row r="5" spans="1:4" x14ac:dyDescent="0.2">
      <c r="A5" s="5" t="s">
        <v>0</v>
      </c>
      <c r="B5" s="19">
        <v>3496</v>
      </c>
      <c r="C5" s="2">
        <f>MemberOfAssemblyAssemblyDistrict57General[[#This Row],[Part of Kings County Vote Results]]</f>
        <v>3496</v>
      </c>
      <c r="D5" s="1"/>
    </row>
    <row r="6" spans="1:4" x14ac:dyDescent="0.2">
      <c r="A6" s="5" t="s">
        <v>1</v>
      </c>
      <c r="B6" s="19">
        <v>96</v>
      </c>
      <c r="C6" s="2">
        <f>MemberOfAssemblyAssemblyDistrict57General[[#This Row],[Part of Kings County Vote Results]]</f>
        <v>96</v>
      </c>
      <c r="D6" s="1"/>
    </row>
    <row r="7" spans="1:4" x14ac:dyDescent="0.2">
      <c r="A7" s="5" t="s">
        <v>5</v>
      </c>
      <c r="B7" s="19">
        <v>224</v>
      </c>
      <c r="C7" s="2">
        <f>MemberOfAssemblyAssemblyDistrict57General[[#This Row],[Part of Kings County Vote Results]]</f>
        <v>224</v>
      </c>
      <c r="D7" s="1"/>
    </row>
    <row r="8" spans="1:4" x14ac:dyDescent="0.2">
      <c r="A8" s="4" t="s">
        <v>2</v>
      </c>
      <c r="B8" s="13">
        <f>SUM(MemberOfAssemblyAssemblyDistrict57General[Part of Kings County Vote Results])</f>
        <v>40048</v>
      </c>
      <c r="C8" s="2">
        <f>SUM(MemberOfAssemblyAssemblyDistrict57General[Total Votes by Party])</f>
        <v>40048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B604-28BB-4302-A93A-63F548D87D7A}">
  <sheetPr codeName="Sheet104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31.140625" customWidth="1"/>
    <col min="2" max="4" width="20.5703125" customWidth="1"/>
    <col min="5" max="6" width="23.5703125" customWidth="1"/>
  </cols>
  <sheetData>
    <row r="1" spans="1:4" ht="18.75" x14ac:dyDescent="0.2">
      <c r="A1" s="11" t="s">
        <v>266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265</v>
      </c>
      <c r="B3" s="19">
        <v>21807</v>
      </c>
      <c r="C3" s="2">
        <f>MemberOfAssemblyAssemblyDistrict58General[[#This Row],[Part of Kings County Vote Results]]</f>
        <v>21807</v>
      </c>
      <c r="D3" s="7">
        <f>SUM(MemberOfAssemblyAssemblyDistrict58General[[#This Row],[Total Votes by Party]],C6)</f>
        <v>22565</v>
      </c>
    </row>
    <row r="4" spans="1:4" x14ac:dyDescent="0.2">
      <c r="A4" s="6" t="s">
        <v>264</v>
      </c>
      <c r="B4" s="19">
        <v>1033</v>
      </c>
      <c r="C4" s="2">
        <f>MemberOfAssemblyAssemblyDistrict58General[[#This Row],[Part of Kings County Vote Results]]</f>
        <v>1033</v>
      </c>
      <c r="D4" s="7">
        <f>SUM(C4,C5)</f>
        <v>1178</v>
      </c>
    </row>
    <row r="5" spans="1:4" x14ac:dyDescent="0.2">
      <c r="A5" s="6" t="s">
        <v>263</v>
      </c>
      <c r="B5" s="19">
        <v>145</v>
      </c>
      <c r="C5" s="2">
        <f>MemberOfAssemblyAssemblyDistrict58General[[#This Row],[Part of Kings County Vote Results]]</f>
        <v>145</v>
      </c>
      <c r="D5" s="1"/>
    </row>
    <row r="6" spans="1:4" x14ac:dyDescent="0.2">
      <c r="A6" s="6" t="s">
        <v>262</v>
      </c>
      <c r="B6" s="19">
        <v>758</v>
      </c>
      <c r="C6" s="2">
        <f>MemberOfAssemblyAssemblyDistrict58General[[#This Row],[Part of Kings County Vote Results]]</f>
        <v>758</v>
      </c>
      <c r="D6" s="1"/>
    </row>
    <row r="7" spans="1:4" x14ac:dyDescent="0.2">
      <c r="A7" s="5" t="s">
        <v>0</v>
      </c>
      <c r="B7" s="20">
        <v>775</v>
      </c>
      <c r="C7" s="2">
        <f>MemberOfAssemblyAssemblyDistrict58General[[#This Row],[Part of Kings County Vote Results]]</f>
        <v>775</v>
      </c>
      <c r="D7" s="1"/>
    </row>
    <row r="8" spans="1:4" x14ac:dyDescent="0.2">
      <c r="A8" s="5" t="s">
        <v>1</v>
      </c>
      <c r="B8" s="20">
        <v>21</v>
      </c>
      <c r="C8" s="2">
        <f>MemberOfAssemblyAssemblyDistrict58General[[#This Row],[Part of Kings County Vote Results]]</f>
        <v>21</v>
      </c>
      <c r="D8" s="1"/>
    </row>
    <row r="9" spans="1:4" x14ac:dyDescent="0.2">
      <c r="A9" s="5" t="s">
        <v>5</v>
      </c>
      <c r="B9" s="20">
        <v>19</v>
      </c>
      <c r="C9" s="2">
        <f>MemberOfAssemblyAssemblyDistrict58General[[#This Row],[Part of Kings County Vote Results]]</f>
        <v>19</v>
      </c>
      <c r="D9" s="1"/>
    </row>
    <row r="10" spans="1:4" x14ac:dyDescent="0.2">
      <c r="A10" s="4" t="s">
        <v>2</v>
      </c>
      <c r="B10" s="13">
        <f>SUM(MemberOfAssemblyAssemblyDistrict58General[Part of Kings County Vote Results])</f>
        <v>24558</v>
      </c>
      <c r="C10" s="2">
        <f>SUM(MemberOfAssemblyAssemblyDistrict58General[Total Votes by Party])</f>
        <v>24558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A313-FB20-4C2F-A0FA-1DCA0DE8CD51}">
  <sheetPr codeName="Sheet105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269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6" t="s">
        <v>268</v>
      </c>
      <c r="B3" s="19">
        <v>19456</v>
      </c>
      <c r="C3" s="2">
        <f>MemberOfAssemblyAssemblyDistrict59General[[#This Row],[Part of Kings County Vote Results]]</f>
        <v>19456</v>
      </c>
      <c r="D3" s="7">
        <f>SUM(MemberOfAssemblyAssemblyDistrict59General[[#This Row],[Total Votes by Party]],C4)</f>
        <v>21617</v>
      </c>
    </row>
    <row r="4" spans="1:4" x14ac:dyDescent="0.2">
      <c r="A4" s="6" t="s">
        <v>267</v>
      </c>
      <c r="B4" s="19">
        <v>2161</v>
      </c>
      <c r="C4" s="2">
        <f>MemberOfAssemblyAssemblyDistrict59General[[#This Row],[Part of Kings County Vote Results]]</f>
        <v>2161</v>
      </c>
      <c r="D4" s="1"/>
    </row>
    <row r="5" spans="1:4" x14ac:dyDescent="0.2">
      <c r="A5" s="5" t="s">
        <v>0</v>
      </c>
      <c r="B5" s="19">
        <v>7758</v>
      </c>
      <c r="C5" s="2">
        <f>MemberOfAssemblyAssemblyDistrict59General[[#This Row],[Part of Kings County Vote Results]]</f>
        <v>7758</v>
      </c>
      <c r="D5" s="1"/>
    </row>
    <row r="6" spans="1:4" x14ac:dyDescent="0.2">
      <c r="A6" s="5" t="s">
        <v>1</v>
      </c>
      <c r="B6" s="19">
        <v>22</v>
      </c>
      <c r="C6" s="2">
        <f>MemberOfAssemblyAssemblyDistrict59General[[#This Row],[Part of Kings County Vote Results]]</f>
        <v>22</v>
      </c>
      <c r="D6" s="1"/>
    </row>
    <row r="7" spans="1:4" x14ac:dyDescent="0.2">
      <c r="A7" s="5" t="s">
        <v>5</v>
      </c>
      <c r="B7" s="19">
        <v>286</v>
      </c>
      <c r="C7" s="2">
        <f>MemberOfAssemblyAssemblyDistrict59General[[#This Row],[Part of Kings County Vote Results]]</f>
        <v>286</v>
      </c>
      <c r="D7" s="1"/>
    </row>
    <row r="8" spans="1:4" x14ac:dyDescent="0.2">
      <c r="A8" s="4" t="s">
        <v>2</v>
      </c>
      <c r="B8" s="13">
        <f>SUM(MemberOfAssemblyAssemblyDistrict59General[Part of Kings County Vote Results])</f>
        <v>29683</v>
      </c>
      <c r="C8" s="2">
        <f>SUM(MemberOfAssemblyAssemblyDistrict59General[Total Votes by Party])</f>
        <v>29683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C1B8-405F-4C80-A509-897B7327B032}">
  <sheetPr codeName="Sheet52"/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76</v>
      </c>
    </row>
    <row r="2" spans="1:4" ht="25.5" x14ac:dyDescent="0.2">
      <c r="A2" s="10" t="s">
        <v>8</v>
      </c>
      <c r="B2" s="55" t="s">
        <v>23</v>
      </c>
      <c r="C2" s="9" t="s">
        <v>3</v>
      </c>
      <c r="D2" s="8" t="s">
        <v>4</v>
      </c>
    </row>
    <row r="3" spans="1:4" x14ac:dyDescent="0.2">
      <c r="A3" s="6" t="s">
        <v>75</v>
      </c>
      <c r="B3" s="3">
        <v>12241</v>
      </c>
      <c r="C3" s="2">
        <f>MemberOfAssemblyAssemblyDistrict6General[[#This Row],[Part of Suffolk County Vote Results]]</f>
        <v>12241</v>
      </c>
      <c r="D3" s="7">
        <f>SUM(C3)</f>
        <v>12241</v>
      </c>
    </row>
    <row r="4" spans="1:4" x14ac:dyDescent="0.2">
      <c r="A4" s="6" t="s">
        <v>74</v>
      </c>
      <c r="B4" s="3">
        <v>7071</v>
      </c>
      <c r="C4" s="2">
        <f>MemberOfAssemblyAssemblyDistrict6General[[#This Row],[Part of Suffolk County Vote Results]]</f>
        <v>7071</v>
      </c>
      <c r="D4" s="7">
        <f>SUM(C4,C5)</f>
        <v>8205</v>
      </c>
    </row>
    <row r="5" spans="1:4" x14ac:dyDescent="0.2">
      <c r="A5" s="6" t="s">
        <v>77</v>
      </c>
      <c r="B5" s="3">
        <v>1134</v>
      </c>
      <c r="C5" s="2">
        <f>MemberOfAssemblyAssemblyDistrict6General[[#This Row],[Part of Suffolk County Vote Results]]</f>
        <v>1134</v>
      </c>
      <c r="D5" s="1"/>
    </row>
    <row r="6" spans="1:4" x14ac:dyDescent="0.2">
      <c r="A6" s="5" t="s">
        <v>0</v>
      </c>
      <c r="B6" s="3">
        <v>1017</v>
      </c>
      <c r="C6" s="2">
        <f>MemberOfAssemblyAssemblyDistrict6General[[#This Row],[Part of Suffolk County Vote Results]]</f>
        <v>1017</v>
      </c>
      <c r="D6" s="1"/>
    </row>
    <row r="7" spans="1:4" x14ac:dyDescent="0.2">
      <c r="A7" s="5" t="s">
        <v>1</v>
      </c>
      <c r="B7" s="3">
        <v>7</v>
      </c>
      <c r="C7" s="2">
        <f>MemberOfAssemblyAssemblyDistrict6General[[#This Row],[Part of Suffolk County Vote Results]]</f>
        <v>7</v>
      </c>
      <c r="D7" s="1"/>
    </row>
    <row r="8" spans="1:4" x14ac:dyDescent="0.2">
      <c r="A8" s="5" t="s">
        <v>5</v>
      </c>
      <c r="B8" s="3">
        <v>5</v>
      </c>
      <c r="C8" s="2">
        <f>MemberOfAssemblyAssemblyDistrict6General[[#This Row],[Part of Suffolk County Vote Results]]</f>
        <v>5</v>
      </c>
      <c r="D8" s="1"/>
    </row>
    <row r="9" spans="1:4" x14ac:dyDescent="0.2">
      <c r="A9" s="4" t="s">
        <v>2</v>
      </c>
      <c r="B9" s="3">
        <f>SUM(MemberOfAssemblyAssemblyDistrict6General[Part of Suffolk County Vote Results])</f>
        <v>21475</v>
      </c>
      <c r="C9" s="2">
        <f>SUM(MemberOfAssemblyAssemblyDistrict6General[Total Votes by Party])</f>
        <v>21475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C895-1470-4106-952B-623C3674F113}">
  <sheetPr codeName="Sheet106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272</v>
      </c>
    </row>
    <row r="2" spans="1:4" ht="25.5" x14ac:dyDescent="0.2">
      <c r="A2" s="10" t="s">
        <v>8</v>
      </c>
      <c r="B2" s="55" t="s">
        <v>26</v>
      </c>
      <c r="C2" s="9" t="s">
        <v>3</v>
      </c>
      <c r="D2" s="8" t="s">
        <v>4</v>
      </c>
    </row>
    <row r="3" spans="1:4" x14ac:dyDescent="0.2">
      <c r="A3" s="12" t="s">
        <v>271</v>
      </c>
      <c r="B3" s="49">
        <v>17092</v>
      </c>
      <c r="C3" s="32">
        <f>MemberOfAssemblyAssemblyDistrict60General[[#This Row],[Part of Kings County Vote Results]]</f>
        <v>17092</v>
      </c>
      <c r="D3" s="15">
        <f>C3</f>
        <v>17092</v>
      </c>
    </row>
    <row r="4" spans="1:4" x14ac:dyDescent="0.2">
      <c r="A4" s="6" t="s">
        <v>270</v>
      </c>
      <c r="B4" s="19">
        <v>1139</v>
      </c>
      <c r="C4" s="2">
        <f>MemberOfAssemblyAssemblyDistrict60General[[#This Row],[Part of Kings County Vote Results]]</f>
        <v>1139</v>
      </c>
      <c r="D4" s="7">
        <f>C4</f>
        <v>1139</v>
      </c>
    </row>
    <row r="5" spans="1:4" x14ac:dyDescent="0.2">
      <c r="A5" s="5" t="s">
        <v>0</v>
      </c>
      <c r="B5" s="19">
        <v>2013</v>
      </c>
      <c r="C5" s="2">
        <f>MemberOfAssemblyAssemblyDistrict60General[[#This Row],[Part of Kings County Vote Results]]</f>
        <v>2013</v>
      </c>
      <c r="D5" s="1"/>
    </row>
    <row r="6" spans="1:4" x14ac:dyDescent="0.2">
      <c r="A6" s="5" t="s">
        <v>1</v>
      </c>
      <c r="B6" s="19">
        <v>7</v>
      </c>
      <c r="C6" s="2">
        <f>MemberOfAssemblyAssemblyDistrict60General[[#This Row],[Part of Kings County Vote Results]]</f>
        <v>7</v>
      </c>
      <c r="D6" s="1"/>
    </row>
    <row r="7" spans="1:4" x14ac:dyDescent="0.2">
      <c r="A7" s="5" t="s">
        <v>5</v>
      </c>
      <c r="B7" s="19">
        <v>34</v>
      </c>
      <c r="C7" s="2">
        <f>MemberOfAssemblyAssemblyDistrict60General[[#This Row],[Part of Kings County Vote Results]]</f>
        <v>34</v>
      </c>
      <c r="D7" s="1"/>
    </row>
    <row r="8" spans="1:4" x14ac:dyDescent="0.2">
      <c r="A8" s="4" t="s">
        <v>2</v>
      </c>
      <c r="B8" s="13">
        <f>SUM(MemberOfAssemblyAssemblyDistrict60General[Part of Kings County Vote Results])</f>
        <v>20285</v>
      </c>
      <c r="C8" s="2">
        <f>SUM(MemberOfAssemblyAssemblyDistrict60General[Total Votes by Party])</f>
        <v>20285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B5EE-D69C-489F-A5C8-062184D3220F}">
  <sheetPr codeName="Sheet107">
    <pageSetUpPr fitToPage="1"/>
  </sheetPr>
  <dimension ref="A1:F7"/>
  <sheetViews>
    <sheetView workbookViewId="0">
      <selection activeCell="C2" sqref="C2"/>
    </sheetView>
  </sheetViews>
  <sheetFormatPr defaultColWidth="9.140625" defaultRowHeight="12.75" x14ac:dyDescent="0.2"/>
  <cols>
    <col min="1" max="1" width="25.5703125" style="35" customWidth="1"/>
    <col min="2" max="4" width="20.5703125" style="35" customWidth="1"/>
    <col min="5" max="6" width="23.5703125" style="35" customWidth="1"/>
    <col min="7" max="16384" width="9.140625" style="35"/>
  </cols>
  <sheetData>
    <row r="1" spans="1:6" ht="18.75" x14ac:dyDescent="0.2">
      <c r="A1" s="46" t="s">
        <v>275</v>
      </c>
    </row>
    <row r="2" spans="1:6" ht="25.5" x14ac:dyDescent="0.2">
      <c r="A2" s="45" t="s">
        <v>8</v>
      </c>
      <c r="B2" s="57" t="s">
        <v>274</v>
      </c>
      <c r="C2" s="57" t="s">
        <v>27</v>
      </c>
      <c r="D2" s="57" t="s">
        <v>40</v>
      </c>
      <c r="E2" s="44" t="s">
        <v>3</v>
      </c>
      <c r="F2" s="43" t="s">
        <v>4</v>
      </c>
    </row>
    <row r="3" spans="1:6" x14ac:dyDescent="0.2">
      <c r="A3" s="42" t="s">
        <v>273</v>
      </c>
      <c r="B3" s="38">
        <v>4</v>
      </c>
      <c r="C3" s="38">
        <v>4884</v>
      </c>
      <c r="D3" s="38">
        <v>16304</v>
      </c>
      <c r="E3" s="37">
        <f>SUM(B3,C3,D3)</f>
        <v>21192</v>
      </c>
      <c r="F3" s="41">
        <f>MemberOfAssemblyAssemblyDistrict61General[[#This Row],[Total Votes by Party]]</f>
        <v>21192</v>
      </c>
    </row>
    <row r="4" spans="1:6" x14ac:dyDescent="0.2">
      <c r="A4" s="40" t="s">
        <v>0</v>
      </c>
      <c r="B4" s="38">
        <v>0</v>
      </c>
      <c r="C4" s="38">
        <v>1377</v>
      </c>
      <c r="D4" s="38">
        <v>6994</v>
      </c>
      <c r="E4" s="37">
        <f>SUM(B4,C4,D4)</f>
        <v>8371</v>
      </c>
      <c r="F4" s="36"/>
    </row>
    <row r="5" spans="1:6" x14ac:dyDescent="0.2">
      <c r="A5" s="40" t="s">
        <v>1</v>
      </c>
      <c r="B5" s="38">
        <v>0</v>
      </c>
      <c r="C5" s="38">
        <v>37</v>
      </c>
      <c r="D5" s="38">
        <v>19</v>
      </c>
      <c r="E5" s="37">
        <f>SUM(B5,C5,D5)</f>
        <v>56</v>
      </c>
      <c r="F5" s="36"/>
    </row>
    <row r="6" spans="1:6" x14ac:dyDescent="0.2">
      <c r="A6" s="40" t="s">
        <v>5</v>
      </c>
      <c r="B6" s="38">
        <v>0</v>
      </c>
      <c r="C6" s="38">
        <v>92</v>
      </c>
      <c r="D6" s="38">
        <v>367</v>
      </c>
      <c r="E6" s="37">
        <f>SUM(B6,C6,D6)</f>
        <v>459</v>
      </c>
      <c r="F6" s="36"/>
    </row>
    <row r="7" spans="1:6" x14ac:dyDescent="0.2">
      <c r="A7" s="39" t="s">
        <v>2</v>
      </c>
      <c r="B7" s="38">
        <f>SUM(MemberOfAssemblyAssemblyDistrict61General[Part of Kings County  Vote Results])</f>
        <v>4</v>
      </c>
      <c r="C7" s="38">
        <f>SUM(MemberOfAssemblyAssemblyDistrict61General[Part of New York County Vote Results])</f>
        <v>6390</v>
      </c>
      <c r="D7" s="38">
        <f>SUM(MemberOfAssemblyAssemblyDistrict61General[Part of Richmond County Vote Results])</f>
        <v>23684</v>
      </c>
      <c r="E7" s="37">
        <f>SUM(MemberOfAssemblyAssemblyDistrict61General[Total Votes by Party])</f>
        <v>30078</v>
      </c>
      <c r="F7" s="36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legacyDrawing r:id="rId2"/>
  <tableParts count="1">
    <tablePart r:id="rId3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1BD0-5818-4325-8290-6E18EC727F18}">
  <sheetPr codeName="Sheet108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276</v>
      </c>
    </row>
    <row r="2" spans="1:4" ht="25.5" x14ac:dyDescent="0.2">
      <c r="A2" s="10" t="s">
        <v>8</v>
      </c>
      <c r="B2" s="55" t="s">
        <v>40</v>
      </c>
      <c r="C2" s="9" t="s">
        <v>3</v>
      </c>
      <c r="D2" s="8" t="s">
        <v>4</v>
      </c>
    </row>
    <row r="3" spans="1:4" x14ac:dyDescent="0.2">
      <c r="A3" s="6" t="s">
        <v>637</v>
      </c>
      <c r="B3" s="13">
        <v>39172</v>
      </c>
      <c r="C3" s="2">
        <f>MemberOfAssemblyAssemblyDistrict62General[[#This Row],[Part of Richmond County Vote Results]]</f>
        <v>39172</v>
      </c>
      <c r="D3" s="7">
        <f t="shared" ref="D3" si="0">SUM(C3:C4)</f>
        <v>42270</v>
      </c>
    </row>
    <row r="4" spans="1:4" x14ac:dyDescent="0.2">
      <c r="A4" s="6" t="s">
        <v>638</v>
      </c>
      <c r="B4" s="13">
        <v>3098</v>
      </c>
      <c r="C4" s="2">
        <f>MemberOfAssemblyAssemblyDistrict62General[[#This Row],[Part of Richmond County Vote Results]]</f>
        <v>3098</v>
      </c>
      <c r="D4" s="1"/>
    </row>
    <row r="5" spans="1:4" x14ac:dyDescent="0.2">
      <c r="A5" s="5" t="s">
        <v>0</v>
      </c>
      <c r="B5" s="13">
        <v>6642</v>
      </c>
      <c r="C5" s="2">
        <f>MemberOfAssemblyAssemblyDistrict62General[[#This Row],[Part of Richmond County Vote Results]]</f>
        <v>6642</v>
      </c>
      <c r="D5" s="1"/>
    </row>
    <row r="6" spans="1:4" x14ac:dyDescent="0.2">
      <c r="A6" s="5" t="s">
        <v>1</v>
      </c>
      <c r="B6" s="13">
        <v>12</v>
      </c>
      <c r="C6" s="2">
        <f>MemberOfAssemblyAssemblyDistrict62General[[#This Row],[Part of Richmond County Vote Results]]</f>
        <v>12</v>
      </c>
      <c r="D6" s="1"/>
    </row>
    <row r="7" spans="1:4" x14ac:dyDescent="0.2">
      <c r="A7" s="5" t="s">
        <v>5</v>
      </c>
      <c r="B7" s="13">
        <v>403</v>
      </c>
      <c r="C7" s="2">
        <f>MemberOfAssemblyAssemblyDistrict62General[[#This Row],[Part of Richmond County Vote Results]]</f>
        <v>403</v>
      </c>
      <c r="D7" s="1"/>
    </row>
    <row r="8" spans="1:4" x14ac:dyDescent="0.2">
      <c r="A8" s="4" t="s">
        <v>2</v>
      </c>
      <c r="B8" s="13">
        <f>SUM(MemberOfAssemblyAssemblyDistrict62General[Part of Richmond County Vote Results])</f>
        <v>49327</v>
      </c>
      <c r="C8" s="2">
        <f>SUM(MemberOfAssemblyAssemblyDistrict62General[Total Votes by Party])</f>
        <v>49327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0518-DEE4-4A91-9799-D6E5950AEB6A}">
  <sheetPr codeName="Sheet109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281</v>
      </c>
    </row>
    <row r="2" spans="1:4" ht="25.5" x14ac:dyDescent="0.2">
      <c r="A2" s="10" t="s">
        <v>8</v>
      </c>
      <c r="B2" s="55" t="s">
        <v>40</v>
      </c>
      <c r="C2" s="9" t="s">
        <v>3</v>
      </c>
      <c r="D2" s="8" t="s">
        <v>4</v>
      </c>
    </row>
    <row r="3" spans="1:4" x14ac:dyDescent="0.2">
      <c r="A3" s="6" t="s">
        <v>280</v>
      </c>
      <c r="B3" s="13">
        <v>15424</v>
      </c>
      <c r="C3" s="2">
        <f>MemberOfAssemblyAssemblyDistrict63General[[#This Row],[Part of Richmond County Vote Results]]</f>
        <v>15424</v>
      </c>
      <c r="D3" s="7">
        <f>SUM(MemberOfAssemblyAssemblyDistrict63General[[#This Row],[Total Votes by Party]],C6)</f>
        <v>16254</v>
      </c>
    </row>
    <row r="4" spans="1:4" x14ac:dyDescent="0.2">
      <c r="A4" s="6" t="s">
        <v>279</v>
      </c>
      <c r="B4" s="13">
        <v>18065</v>
      </c>
      <c r="C4" s="2">
        <f>MemberOfAssemblyAssemblyDistrict63General[[#This Row],[Part of Richmond County Vote Results]]</f>
        <v>18065</v>
      </c>
      <c r="D4" s="7">
        <f>SUM(C4:C5)</f>
        <v>19589</v>
      </c>
    </row>
    <row r="5" spans="1:4" x14ac:dyDescent="0.2">
      <c r="A5" s="6" t="s">
        <v>278</v>
      </c>
      <c r="B5" s="13">
        <v>1524</v>
      </c>
      <c r="C5" s="2">
        <f>MemberOfAssemblyAssemblyDistrict63General[[#This Row],[Part of Richmond County Vote Results]]</f>
        <v>1524</v>
      </c>
      <c r="D5" s="1"/>
    </row>
    <row r="6" spans="1:4" x14ac:dyDescent="0.2">
      <c r="A6" s="6" t="s">
        <v>277</v>
      </c>
      <c r="B6" s="13">
        <v>830</v>
      </c>
      <c r="C6" s="2">
        <f>MemberOfAssemblyAssemblyDistrict63General[[#This Row],[Part of Richmond County Vote Results]]</f>
        <v>830</v>
      </c>
      <c r="D6" s="1"/>
    </row>
    <row r="7" spans="1:4" x14ac:dyDescent="0.2">
      <c r="A7" s="5" t="s">
        <v>0</v>
      </c>
      <c r="B7" s="13">
        <v>801</v>
      </c>
      <c r="C7" s="2">
        <f>MemberOfAssemblyAssemblyDistrict63General[[#This Row],[Part of Richmond County Vote Results]]</f>
        <v>801</v>
      </c>
      <c r="D7" s="1"/>
    </row>
    <row r="8" spans="1:4" x14ac:dyDescent="0.2">
      <c r="A8" s="5" t="s">
        <v>1</v>
      </c>
      <c r="B8" s="13">
        <v>24</v>
      </c>
      <c r="C8" s="2">
        <f>MemberOfAssemblyAssemblyDistrict63General[[#This Row],[Part of Richmond County Vote Results]]</f>
        <v>24</v>
      </c>
      <c r="D8" s="1"/>
    </row>
    <row r="9" spans="1:4" x14ac:dyDescent="0.2">
      <c r="A9" s="5" t="s">
        <v>5</v>
      </c>
      <c r="B9" s="13">
        <v>38</v>
      </c>
      <c r="C9" s="2">
        <f>MemberOfAssemblyAssemblyDistrict63General[[#This Row],[Part of Richmond County Vote Results]]</f>
        <v>38</v>
      </c>
      <c r="D9" s="1"/>
    </row>
    <row r="10" spans="1:4" x14ac:dyDescent="0.2">
      <c r="A10" s="4" t="s">
        <v>2</v>
      </c>
      <c r="B10" s="13">
        <f>SUM(MemberOfAssemblyAssemblyDistrict63General[Part of Richmond County Vote Results])</f>
        <v>36706</v>
      </c>
      <c r="C10" s="2">
        <f>SUM(MemberOfAssemblyAssemblyDistrict63General[Total Votes by Party])</f>
        <v>36706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D22F-AF31-43E3-8325-B3A2359D12C0}">
  <sheetPr codeName="Sheet110">
    <pageSetUpPr fitToPage="1"/>
  </sheetPr>
  <dimension ref="A1:E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282</v>
      </c>
    </row>
    <row r="2" spans="1:5" ht="25.5" x14ac:dyDescent="0.2">
      <c r="A2" s="10" t="s">
        <v>8</v>
      </c>
      <c r="B2" s="55" t="s">
        <v>26</v>
      </c>
      <c r="C2" s="55" t="s">
        <v>40</v>
      </c>
      <c r="D2" s="9" t="s">
        <v>3</v>
      </c>
      <c r="E2" s="8" t="s">
        <v>4</v>
      </c>
    </row>
    <row r="3" spans="1:5" x14ac:dyDescent="0.2">
      <c r="A3" s="6" t="s">
        <v>283</v>
      </c>
      <c r="B3" s="24">
        <v>3431</v>
      </c>
      <c r="C3" s="13">
        <v>23259</v>
      </c>
      <c r="D3" s="2">
        <f>SUM(MemberOfAssemblyAssemblyDistrict64General[[#This Row],[Part of Kings County Vote Results]:[Part of Richmond County Vote Results]])</f>
        <v>26690</v>
      </c>
      <c r="E3" s="7">
        <f>SUM(D3,D4)</f>
        <v>29567</v>
      </c>
    </row>
    <row r="4" spans="1:5" x14ac:dyDescent="0.2">
      <c r="A4" s="6" t="s">
        <v>284</v>
      </c>
      <c r="B4" s="25">
        <v>582</v>
      </c>
      <c r="C4" s="13">
        <v>2295</v>
      </c>
      <c r="D4" s="2">
        <f>SUM(MemberOfAssemblyAssemblyDistrict64General[[#This Row],[Part of Kings County Vote Results]:[Part of Richmond County Vote Results]])</f>
        <v>2877</v>
      </c>
      <c r="E4" s="1"/>
    </row>
    <row r="5" spans="1:5" x14ac:dyDescent="0.2">
      <c r="A5" s="5" t="s">
        <v>0</v>
      </c>
      <c r="B5" s="25">
        <v>3302</v>
      </c>
      <c r="C5" s="13">
        <v>6323</v>
      </c>
      <c r="D5" s="2">
        <f>SUM(MemberOfAssemblyAssemblyDistrict64General[[#This Row],[Part of Kings County Vote Results]:[Part of Richmond County Vote Results]])</f>
        <v>9625</v>
      </c>
      <c r="E5" s="1"/>
    </row>
    <row r="6" spans="1:5" x14ac:dyDescent="0.2">
      <c r="A6" s="5" t="s">
        <v>1</v>
      </c>
      <c r="B6" s="25">
        <v>22</v>
      </c>
      <c r="C6" s="13">
        <v>20</v>
      </c>
      <c r="D6" s="2">
        <f>SUM(MemberOfAssemblyAssemblyDistrict64General[[#This Row],[Part of Kings County Vote Results]:[Part of Richmond County Vote Results]])</f>
        <v>42</v>
      </c>
      <c r="E6" s="1"/>
    </row>
    <row r="7" spans="1:5" x14ac:dyDescent="0.2">
      <c r="A7" s="5" t="s">
        <v>5</v>
      </c>
      <c r="B7" s="52">
        <v>274</v>
      </c>
      <c r="C7" s="13">
        <v>361</v>
      </c>
      <c r="D7" s="2">
        <f>SUM(MemberOfAssemblyAssemblyDistrict64General[[#This Row],[Part of Kings County Vote Results]:[Part of Richmond County Vote Results]])</f>
        <v>635</v>
      </c>
      <c r="E7" s="1"/>
    </row>
    <row r="8" spans="1:5" x14ac:dyDescent="0.2">
      <c r="A8" s="4" t="s">
        <v>2</v>
      </c>
      <c r="B8" s="13">
        <f>SUM(MemberOfAssemblyAssemblyDistrict64General[Part of Kings County Vote Results])</f>
        <v>7611</v>
      </c>
      <c r="C8" s="13">
        <f>SUM(MemberOfAssemblyAssemblyDistrict64General[Part of Richmond County Vote Results])</f>
        <v>32258</v>
      </c>
      <c r="D8" s="2">
        <f>SUM(D3:D7)</f>
        <v>39869</v>
      </c>
      <c r="E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8953-B087-49FE-A14F-391484D3A101}">
  <sheetPr codeName="Sheet111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285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286</v>
      </c>
      <c r="B3" s="13">
        <v>20495</v>
      </c>
      <c r="C3" s="2">
        <f>MemberOfAssemblyAssemblyDistrict65General[[#This Row],[Part of New York County Vote Results]]</f>
        <v>20495</v>
      </c>
      <c r="D3" s="7">
        <f>C3</f>
        <v>20495</v>
      </c>
    </row>
    <row r="4" spans="1:4" x14ac:dyDescent="0.2">
      <c r="A4" s="6" t="s">
        <v>287</v>
      </c>
      <c r="B4" s="13">
        <v>6381</v>
      </c>
      <c r="C4" s="2">
        <f>MemberOfAssemblyAssemblyDistrict65General[[#This Row],[Part of New York County Vote Results]]</f>
        <v>6381</v>
      </c>
      <c r="D4" s="7">
        <f>C4</f>
        <v>6381</v>
      </c>
    </row>
    <row r="5" spans="1:4" x14ac:dyDescent="0.2">
      <c r="A5" s="5" t="s">
        <v>0</v>
      </c>
      <c r="B5" s="13">
        <v>1779</v>
      </c>
      <c r="C5" s="2">
        <f>MemberOfAssemblyAssemblyDistrict65General[[#This Row],[Part of New York County Vote Results]]</f>
        <v>1779</v>
      </c>
      <c r="D5" s="1"/>
    </row>
    <row r="6" spans="1:4" x14ac:dyDescent="0.2">
      <c r="A6" s="5" t="s">
        <v>1</v>
      </c>
      <c r="B6" s="13">
        <v>128</v>
      </c>
      <c r="C6" s="2">
        <f>MemberOfAssemblyAssemblyDistrict65General[[#This Row],[Part of New York County Vote Results]]</f>
        <v>128</v>
      </c>
      <c r="D6" s="1"/>
    </row>
    <row r="7" spans="1:4" x14ac:dyDescent="0.2">
      <c r="A7" s="5" t="s">
        <v>5</v>
      </c>
      <c r="B7" s="13">
        <v>83</v>
      </c>
      <c r="C7" s="2">
        <f>MemberOfAssemblyAssemblyDistrict65General[[#This Row],[Part of New York County Vote Results]]</f>
        <v>83</v>
      </c>
      <c r="D7" s="1"/>
    </row>
    <row r="8" spans="1:4" x14ac:dyDescent="0.2">
      <c r="A8" s="4" t="s">
        <v>2</v>
      </c>
      <c r="B8" s="13">
        <f>SUM(MemberOfAssemblyAssemblyDistrict65General[Part of New York County Vote Results])</f>
        <v>28866</v>
      </c>
      <c r="C8" s="2">
        <f>SUM(MemberOfAssemblyAssemblyDistrict65General[Total Votes by Party])</f>
        <v>28866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ignoredErrors>
    <ignoredError sqref="D3:D4" calculatedColumn="1"/>
  </ignoredErrors>
  <tableParts count="1">
    <tablePart r:id="rId2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8683-B6E2-42CC-8395-A606A565203E}">
  <sheetPr codeName="Sheet112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288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289</v>
      </c>
      <c r="B3" s="13">
        <v>34283</v>
      </c>
      <c r="C3" s="2">
        <f>MemberOfAssemblyAssemblyDistrict66General2[[#This Row],[Part of New York County Vote Results]]</f>
        <v>34283</v>
      </c>
      <c r="D3" s="7">
        <f>SUM(C3,C4)</f>
        <v>37666</v>
      </c>
    </row>
    <row r="4" spans="1:4" x14ac:dyDescent="0.2">
      <c r="A4" s="6" t="s">
        <v>290</v>
      </c>
      <c r="B4" s="13">
        <v>3383</v>
      </c>
      <c r="C4" s="2">
        <f>MemberOfAssemblyAssemblyDistrict66General2[[#This Row],[Part of New York County Vote Results]]</f>
        <v>3383</v>
      </c>
      <c r="D4" s="1"/>
    </row>
    <row r="5" spans="1:4" x14ac:dyDescent="0.2">
      <c r="A5" s="5" t="s">
        <v>0</v>
      </c>
      <c r="B5" s="13">
        <v>5594</v>
      </c>
      <c r="C5" s="2">
        <f>MemberOfAssemblyAssemblyDistrict66General2[[#This Row],[Part of New York County Vote Results]]</f>
        <v>5594</v>
      </c>
      <c r="D5" s="1"/>
    </row>
    <row r="6" spans="1:4" x14ac:dyDescent="0.2">
      <c r="A6" s="5" t="s">
        <v>1</v>
      </c>
      <c r="B6" s="13">
        <v>504</v>
      </c>
      <c r="C6" s="2">
        <f>MemberOfAssemblyAssemblyDistrict66General2[[#This Row],[Part of New York County Vote Results]]</f>
        <v>504</v>
      </c>
      <c r="D6" s="1"/>
    </row>
    <row r="7" spans="1:4" x14ac:dyDescent="0.2">
      <c r="A7" s="5" t="s">
        <v>5</v>
      </c>
      <c r="B7" s="13">
        <v>338</v>
      </c>
      <c r="C7" s="2">
        <f>MemberOfAssemblyAssemblyDistrict66General2[[#This Row],[Part of New York County Vote Results]]</f>
        <v>338</v>
      </c>
      <c r="D7" s="1"/>
    </row>
    <row r="8" spans="1:4" x14ac:dyDescent="0.2">
      <c r="A8" s="4" t="s">
        <v>2</v>
      </c>
      <c r="B8" s="13">
        <f>SUM(MemberOfAssemblyAssemblyDistrict66General2[Part of New York County Vote Results])</f>
        <v>44102</v>
      </c>
      <c r="C8" s="2">
        <f>SUM(MemberOfAssemblyAssemblyDistrict66General2[Total Votes by Party])</f>
        <v>44102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C496-B369-4BCA-96B4-FC7AFB7C703E}">
  <sheetPr codeName="Sheet113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291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292</v>
      </c>
      <c r="B3" s="13">
        <v>36947</v>
      </c>
      <c r="C3" s="2">
        <f>MemberOfAssemblyAssemblyDistrict67General[[#This Row],[Part of New York County Vote Results]]</f>
        <v>36947</v>
      </c>
      <c r="D3" s="7">
        <f>SUM(MemberOfAssemblyAssemblyDistrict67General[[#This Row],[Total Votes by Party]],C4)</f>
        <v>40824</v>
      </c>
    </row>
    <row r="4" spans="1:4" x14ac:dyDescent="0.2">
      <c r="A4" s="6" t="s">
        <v>293</v>
      </c>
      <c r="B4" s="13">
        <v>3877</v>
      </c>
      <c r="C4" s="2">
        <f>MemberOfAssemblyAssemblyDistrict67General[[#This Row],[Part of New York County Vote Results]]</f>
        <v>3877</v>
      </c>
      <c r="D4" s="1"/>
    </row>
    <row r="5" spans="1:4" x14ac:dyDescent="0.2">
      <c r="A5" s="5" t="s">
        <v>0</v>
      </c>
      <c r="B5" s="13">
        <v>6413</v>
      </c>
      <c r="C5" s="2">
        <f>MemberOfAssemblyAssemblyDistrict67General[[#This Row],[Part of New York County Vote Results]]</f>
        <v>6413</v>
      </c>
      <c r="D5" s="1"/>
    </row>
    <row r="6" spans="1:4" x14ac:dyDescent="0.2">
      <c r="A6" s="5" t="s">
        <v>1</v>
      </c>
      <c r="B6" s="13">
        <v>421</v>
      </c>
      <c r="C6" s="2">
        <f>MemberOfAssemblyAssemblyDistrict67General[[#This Row],[Part of New York County Vote Results]]</f>
        <v>421</v>
      </c>
      <c r="D6" s="1"/>
    </row>
    <row r="7" spans="1:4" x14ac:dyDescent="0.2">
      <c r="A7" s="5" t="s">
        <v>5</v>
      </c>
      <c r="B7" s="13">
        <v>514</v>
      </c>
      <c r="C7" s="2">
        <f>MemberOfAssemblyAssemblyDistrict67General[[#This Row],[Part of New York County Vote Results]]</f>
        <v>514</v>
      </c>
      <c r="D7" s="1"/>
    </row>
    <row r="8" spans="1:4" x14ac:dyDescent="0.2">
      <c r="A8" s="4" t="s">
        <v>2</v>
      </c>
      <c r="B8" s="13">
        <f>SUM(MemberOfAssemblyAssemblyDistrict67General[Part of New York County Vote Results])</f>
        <v>48172</v>
      </c>
      <c r="C8" s="2">
        <f>SUM(MemberOfAssemblyAssemblyDistrict67General[Total Votes by Party])</f>
        <v>48172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531B-D49A-4765-9E02-71BB752BB72F}">
  <sheetPr codeName="Sheet114">
    <pageSetUpPr fitToPage="1"/>
  </sheetPr>
  <dimension ref="A1:D9"/>
  <sheetViews>
    <sheetView workbookViewId="0">
      <selection activeCell="E8" sqref="E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294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295</v>
      </c>
      <c r="B3" s="13">
        <v>20278</v>
      </c>
      <c r="C3" s="2">
        <f>MemberOfAssemblyAssemblyDistrict68General[[#This Row],[Part of New York County Vote Results]]</f>
        <v>20278</v>
      </c>
      <c r="D3" s="7">
        <f>SUM(C3,C5)</f>
        <v>22187</v>
      </c>
    </row>
    <row r="4" spans="1:4" x14ac:dyDescent="0.2">
      <c r="A4" s="6" t="s">
        <v>296</v>
      </c>
      <c r="B4" s="50">
        <v>3369</v>
      </c>
      <c r="C4" s="2">
        <f>MemberOfAssemblyAssemblyDistrict68General[[#This Row],[Part of New York County Vote Results]]</f>
        <v>3369</v>
      </c>
      <c r="D4" s="7">
        <f>SUM(MemberOfAssemblyAssemblyDistrict68General[[#This Row],[Total Votes by Party]])</f>
        <v>3369</v>
      </c>
    </row>
    <row r="5" spans="1:4" x14ac:dyDescent="0.2">
      <c r="A5" s="6" t="s">
        <v>297</v>
      </c>
      <c r="B5" s="13">
        <v>1909</v>
      </c>
      <c r="C5" s="2">
        <f>MemberOfAssemblyAssemblyDistrict68General[[#This Row],[Part of New York County Vote Results]]</f>
        <v>1909</v>
      </c>
      <c r="D5" s="1"/>
    </row>
    <row r="6" spans="1:4" x14ac:dyDescent="0.2">
      <c r="A6" s="5" t="s">
        <v>0</v>
      </c>
      <c r="B6" s="13">
        <v>2408</v>
      </c>
      <c r="C6" s="2">
        <f>MemberOfAssemblyAssemblyDistrict68General[[#This Row],[Part of New York County Vote Results]]</f>
        <v>2408</v>
      </c>
      <c r="D6" s="1"/>
    </row>
    <row r="7" spans="1:4" x14ac:dyDescent="0.2">
      <c r="A7" s="5" t="s">
        <v>1</v>
      </c>
      <c r="B7" s="13">
        <v>97</v>
      </c>
      <c r="C7" s="2">
        <f>MemberOfAssemblyAssemblyDistrict68General[[#This Row],[Part of New York County Vote Results]]</f>
        <v>97</v>
      </c>
      <c r="D7" s="1"/>
    </row>
    <row r="8" spans="1:4" x14ac:dyDescent="0.2">
      <c r="A8" s="5" t="s">
        <v>5</v>
      </c>
      <c r="B8" s="13">
        <v>66</v>
      </c>
      <c r="C8" s="2">
        <f>MemberOfAssemblyAssemblyDistrict68General[[#This Row],[Part of New York County Vote Results]]</f>
        <v>66</v>
      </c>
      <c r="D8" s="1"/>
    </row>
    <row r="9" spans="1:4" x14ac:dyDescent="0.2">
      <c r="A9" s="4" t="s">
        <v>2</v>
      </c>
      <c r="B9" s="13">
        <f>SUM(MemberOfAssemblyAssemblyDistrict68General[Part of New York County Vote Results])</f>
        <v>28127</v>
      </c>
      <c r="C9" s="2">
        <f>SUM(MemberOfAssemblyAssemblyDistrict68General[Total Votes by Party])</f>
        <v>28127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575B-2423-4670-BEAE-D69F69B499C7}">
  <sheetPr codeName="Sheet115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300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299</v>
      </c>
      <c r="B3" s="13">
        <v>39239</v>
      </c>
      <c r="C3" s="2">
        <f>SUM(MemberOfAssemblyAssemblyDistrict69General[[#This Row],[Part of New York County Vote Results]])</f>
        <v>39239</v>
      </c>
      <c r="D3" s="7">
        <f>SUM(MemberOfAssemblyAssemblyDistrict69General[[#This Row],[Total Votes by Party]])</f>
        <v>39239</v>
      </c>
    </row>
    <row r="4" spans="1:4" x14ac:dyDescent="0.2">
      <c r="A4" s="6" t="s">
        <v>298</v>
      </c>
      <c r="B4" s="50">
        <v>4219</v>
      </c>
      <c r="C4" s="2">
        <f>MemberOfAssemblyAssemblyDistrict69General[[#This Row],[Part of New York County Vote Results]]</f>
        <v>4219</v>
      </c>
      <c r="D4" s="7">
        <f>SUM(MemberOfAssemblyAssemblyDistrict69General[[#This Row],[Total Votes by Party]])</f>
        <v>4219</v>
      </c>
    </row>
    <row r="5" spans="1:4" x14ac:dyDescent="0.2">
      <c r="A5" s="5" t="s">
        <v>0</v>
      </c>
      <c r="B5" s="13">
        <v>2602</v>
      </c>
      <c r="C5" s="2">
        <f>MemberOfAssemblyAssemblyDistrict69General[[#This Row],[Part of New York County Vote Results]]</f>
        <v>2602</v>
      </c>
      <c r="D5" s="1"/>
    </row>
    <row r="6" spans="1:4" x14ac:dyDescent="0.2">
      <c r="A6" s="5" t="s">
        <v>1</v>
      </c>
      <c r="B6" s="13">
        <v>447</v>
      </c>
      <c r="C6" s="2">
        <f>MemberOfAssemblyAssemblyDistrict69General[[#This Row],[Part of New York County Vote Results]]</f>
        <v>447</v>
      </c>
      <c r="D6" s="1"/>
    </row>
    <row r="7" spans="1:4" x14ac:dyDescent="0.2">
      <c r="A7" s="5" t="s">
        <v>5</v>
      </c>
      <c r="B7" s="13">
        <v>73</v>
      </c>
      <c r="C7" s="2">
        <f>MemberOfAssemblyAssemblyDistrict69General[[#This Row],[Part of New York County Vote Results]]</f>
        <v>73</v>
      </c>
      <c r="D7" s="1"/>
    </row>
    <row r="8" spans="1:4" x14ac:dyDescent="0.2">
      <c r="A8" s="4" t="s">
        <v>2</v>
      </c>
      <c r="B8" s="13">
        <f>SUM(MemberOfAssemblyAssemblyDistrict69General[Part of New York County Vote Results])</f>
        <v>46580</v>
      </c>
      <c r="C8" s="2">
        <f>SUM(MemberOfAssemblyAssemblyDistrict69General[Total Votes by Party])</f>
        <v>46580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FFDF-B807-4AB0-B5A4-DA38DE98E048}">
  <sheetPr codeName="Sheet53"/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81</v>
      </c>
    </row>
    <row r="2" spans="1:4" ht="25.5" x14ac:dyDescent="0.2">
      <c r="A2" s="10" t="s">
        <v>8</v>
      </c>
      <c r="B2" s="55" t="s">
        <v>23</v>
      </c>
      <c r="C2" s="9" t="s">
        <v>3</v>
      </c>
      <c r="D2" s="8" t="s">
        <v>4</v>
      </c>
    </row>
    <row r="3" spans="1:4" x14ac:dyDescent="0.2">
      <c r="A3" s="6" t="s">
        <v>80</v>
      </c>
      <c r="B3" s="3">
        <v>18842</v>
      </c>
      <c r="C3" s="2">
        <f>MemberOfAssemblyAssemblyDistrict7General[[#This Row],[Part of Suffolk County Vote Results]]</f>
        <v>18842</v>
      </c>
      <c r="D3" s="7">
        <f>C3</f>
        <v>18842</v>
      </c>
    </row>
    <row r="4" spans="1:4" x14ac:dyDescent="0.2">
      <c r="A4" s="6" t="s">
        <v>79</v>
      </c>
      <c r="B4" s="3">
        <v>28768</v>
      </c>
      <c r="C4" s="2">
        <f>MemberOfAssemblyAssemblyDistrict7General[[#This Row],[Part of Suffolk County Vote Results]]</f>
        <v>28768</v>
      </c>
      <c r="D4" s="7">
        <f>SUM(C4,C5)</f>
        <v>34938</v>
      </c>
    </row>
    <row r="5" spans="1:4" x14ac:dyDescent="0.2">
      <c r="A5" s="6" t="s">
        <v>78</v>
      </c>
      <c r="B5" s="3">
        <v>6170</v>
      </c>
      <c r="C5" s="2">
        <f>MemberOfAssemblyAssemblyDistrict7General[[#This Row],[Part of Suffolk County Vote Results]]</f>
        <v>6170</v>
      </c>
      <c r="D5" s="1"/>
    </row>
    <row r="6" spans="1:4" x14ac:dyDescent="0.2">
      <c r="A6" s="5" t="s">
        <v>0</v>
      </c>
      <c r="B6" s="3">
        <v>2449</v>
      </c>
      <c r="C6" s="2">
        <f>MemberOfAssemblyAssemblyDistrict7General[[#This Row],[Part of Suffolk County Vote Results]]</f>
        <v>2449</v>
      </c>
      <c r="D6" s="1"/>
    </row>
    <row r="7" spans="1:4" x14ac:dyDescent="0.2">
      <c r="A7" s="5" t="s">
        <v>1</v>
      </c>
      <c r="B7" s="3">
        <v>3</v>
      </c>
      <c r="C7" s="2">
        <f>MemberOfAssemblyAssemblyDistrict7General[[#This Row],[Part of Suffolk County Vote Results]]</f>
        <v>3</v>
      </c>
      <c r="D7" s="1"/>
    </row>
    <row r="8" spans="1:4" x14ac:dyDescent="0.2">
      <c r="A8" s="5" t="s">
        <v>5</v>
      </c>
      <c r="B8" s="3">
        <v>7</v>
      </c>
      <c r="C8" s="2">
        <f>MemberOfAssemblyAssemblyDistrict7General[[#This Row],[Part of Suffolk County Vote Results]]</f>
        <v>7</v>
      </c>
      <c r="D8" s="1"/>
    </row>
    <row r="9" spans="1:4" x14ac:dyDescent="0.2">
      <c r="A9" s="4" t="s">
        <v>2</v>
      </c>
      <c r="B9" s="3">
        <f>SUM(MemberOfAssemblyAssemblyDistrict7General[Part of Suffolk County Vote Results])</f>
        <v>56239</v>
      </c>
      <c r="C9" s="2">
        <f>SUM(MemberOfAssemblyAssemblyDistrict7General[Total Votes by Party])</f>
        <v>56239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7111-E67C-4F2E-8C20-67273BEF09D8}">
  <sheetPr codeName="Sheet116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301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12" t="s">
        <v>302</v>
      </c>
      <c r="B3" s="13">
        <v>27501</v>
      </c>
      <c r="C3" s="2">
        <f>MemberOfAssemblyAssemblyDistrict70General[[#This Row],[Part of New York County Vote Results]]</f>
        <v>27501</v>
      </c>
      <c r="D3" s="7">
        <f>SUM(MemberOfAssemblyAssemblyDistrict70General[[#This Row],[Total Votes by Party]])</f>
        <v>27501</v>
      </c>
    </row>
    <row r="4" spans="1:4" x14ac:dyDescent="0.2">
      <c r="A4" s="12" t="s">
        <v>303</v>
      </c>
      <c r="B4" s="50">
        <v>2124</v>
      </c>
      <c r="C4" s="2">
        <f>MemberOfAssemblyAssemblyDistrict70General[[#This Row],[Part of New York County Vote Results]]</f>
        <v>2124</v>
      </c>
      <c r="D4" s="7">
        <f>SUM(MemberOfAssemblyAssemblyDistrict70General[[#This Row],[Total Votes by Party]])</f>
        <v>2124</v>
      </c>
    </row>
    <row r="5" spans="1:4" x14ac:dyDescent="0.2">
      <c r="A5" s="5" t="s">
        <v>0</v>
      </c>
      <c r="B5" s="13">
        <v>2204</v>
      </c>
      <c r="C5" s="2">
        <f>MemberOfAssemblyAssemblyDistrict70General[[#This Row],[Part of New York County Vote Results]]</f>
        <v>2204</v>
      </c>
      <c r="D5" s="1"/>
    </row>
    <row r="6" spans="1:4" x14ac:dyDescent="0.2">
      <c r="A6" s="5" t="s">
        <v>1</v>
      </c>
      <c r="B6" s="13">
        <v>78</v>
      </c>
      <c r="C6" s="2">
        <f>MemberOfAssemblyAssemblyDistrict70General[[#This Row],[Part of New York County Vote Results]]</f>
        <v>78</v>
      </c>
      <c r="D6" s="1"/>
    </row>
    <row r="7" spans="1:4" x14ac:dyDescent="0.2">
      <c r="A7" s="5" t="s">
        <v>5</v>
      </c>
      <c r="B7" s="13">
        <v>139</v>
      </c>
      <c r="C7" s="2">
        <f>MemberOfAssemblyAssemblyDistrict70General[[#This Row],[Part of New York County Vote Results]]</f>
        <v>139</v>
      </c>
      <c r="D7" s="1"/>
    </row>
    <row r="8" spans="1:4" x14ac:dyDescent="0.2">
      <c r="A8" s="4" t="s">
        <v>2</v>
      </c>
      <c r="B8" s="13">
        <f>SUM(MemberOfAssemblyAssemblyDistrict70General[Part of New York County Vote Results])</f>
        <v>32046</v>
      </c>
      <c r="C8" s="2">
        <f>SUM(MemberOfAssemblyAssemblyDistrict70General[Total Votes by Party])</f>
        <v>32046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2DE5-D9C7-457E-AAB5-74E69267DBE4}">
  <sheetPr codeName="Sheet117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305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304</v>
      </c>
      <c r="B3" s="13">
        <v>26081</v>
      </c>
      <c r="C3" s="2">
        <f>SUM(MemberOfAssemblyAssemblyDistrict71General[[#This Row],[Part of New York County Vote Results]])</f>
        <v>26081</v>
      </c>
      <c r="D3" s="7">
        <f t="shared" ref="D3" si="0">C3</f>
        <v>26081</v>
      </c>
    </row>
    <row r="4" spans="1:4" x14ac:dyDescent="0.2">
      <c r="A4" s="5" t="s">
        <v>0</v>
      </c>
      <c r="B4" s="13">
        <v>5210</v>
      </c>
      <c r="C4" s="2">
        <f>MemberOfAssemblyAssemblyDistrict71General[[#This Row],[Part of New York County Vote Results]]</f>
        <v>5210</v>
      </c>
      <c r="D4" s="1"/>
    </row>
    <row r="5" spans="1:4" x14ac:dyDescent="0.2">
      <c r="A5" s="5" t="s">
        <v>1</v>
      </c>
      <c r="B5" s="13">
        <v>99</v>
      </c>
      <c r="C5" s="2">
        <f>MemberOfAssemblyAssemblyDistrict71General[[#This Row],[Part of New York County Vote Results]]</f>
        <v>99</v>
      </c>
      <c r="D5" s="1"/>
    </row>
    <row r="6" spans="1:4" x14ac:dyDescent="0.2">
      <c r="A6" s="5" t="s">
        <v>5</v>
      </c>
      <c r="B6" s="13">
        <v>199</v>
      </c>
      <c r="C6" s="2">
        <f>MemberOfAssemblyAssemblyDistrict71General[[#This Row],[Part of New York County Vote Results]]</f>
        <v>199</v>
      </c>
      <c r="D6" s="1"/>
    </row>
    <row r="7" spans="1:4" x14ac:dyDescent="0.2">
      <c r="A7" s="4" t="s">
        <v>2</v>
      </c>
      <c r="B7" s="13">
        <f>SUM(MemberOfAssemblyAssemblyDistrict71General[Part of New York County Vote Results])</f>
        <v>31589</v>
      </c>
      <c r="C7" s="2">
        <f>SUM(MemberOfAssemblyAssemblyDistrict71General[Total Votes by Party])</f>
        <v>31589</v>
      </c>
      <c r="D7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EC40-5507-4F6A-A7C3-37E0E4348154}">
  <sheetPr codeName="Sheet118">
    <pageSetUpPr fitToPage="1"/>
  </sheetPr>
  <dimension ref="A1:D7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307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306</v>
      </c>
      <c r="B3" s="13">
        <v>17260</v>
      </c>
      <c r="C3" s="2">
        <f>MemberOfAssemblyAssemblyDistrict72General[[#This Row],[Part of New York County Vote Results]]</f>
        <v>17260</v>
      </c>
      <c r="D3" s="7">
        <f>SUM(MemberOfAssemblyAssemblyDistrict72General[[#This Row],[Total Votes by Party]])</f>
        <v>17260</v>
      </c>
    </row>
    <row r="4" spans="1:4" x14ac:dyDescent="0.2">
      <c r="A4" s="5" t="s">
        <v>0</v>
      </c>
      <c r="B4" s="13">
        <v>5009</v>
      </c>
      <c r="C4" s="2">
        <f>MemberOfAssemblyAssemblyDistrict72General[[#This Row],[Part of New York County Vote Results]]</f>
        <v>5009</v>
      </c>
      <c r="D4" s="1"/>
    </row>
    <row r="5" spans="1:4" x14ac:dyDescent="0.2">
      <c r="A5" s="5" t="s">
        <v>1</v>
      </c>
      <c r="B5" s="13">
        <v>95</v>
      </c>
      <c r="C5" s="2">
        <f>MemberOfAssemblyAssemblyDistrict72General[[#This Row],[Part of New York County Vote Results]]</f>
        <v>95</v>
      </c>
      <c r="D5" s="1"/>
    </row>
    <row r="6" spans="1:4" x14ac:dyDescent="0.2">
      <c r="A6" s="5" t="s">
        <v>5</v>
      </c>
      <c r="B6" s="13">
        <v>232</v>
      </c>
      <c r="C6" s="2">
        <f>MemberOfAssemblyAssemblyDistrict72General[[#This Row],[Part of New York County Vote Results]]</f>
        <v>232</v>
      </c>
      <c r="D6" s="1"/>
    </row>
    <row r="7" spans="1:4" x14ac:dyDescent="0.2">
      <c r="A7" s="4" t="s">
        <v>2</v>
      </c>
      <c r="B7" s="13">
        <f>SUM(MemberOfAssemblyAssemblyDistrict72General[Part of New York County Vote Results])</f>
        <v>22596</v>
      </c>
      <c r="C7" s="2">
        <f>SUM(MemberOfAssemblyAssemblyDistrict72General[Total Votes by Party])</f>
        <v>22596</v>
      </c>
      <c r="D7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BEB6-E7BE-4C1D-A384-537851693855}">
  <sheetPr codeName="Sheet119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311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310</v>
      </c>
      <c r="B3" s="13">
        <v>31190</v>
      </c>
      <c r="C3" s="2">
        <f>MemberOfAssemblyAssemblyDistrict73General[[#This Row],[Part of New York County Vote Results]]</f>
        <v>31190</v>
      </c>
      <c r="D3" s="7">
        <f>SUM(MemberOfAssemblyAssemblyDistrict73General[[#This Row],[Total Votes by Party]],C5)</f>
        <v>32938</v>
      </c>
    </row>
    <row r="4" spans="1:4" x14ac:dyDescent="0.2">
      <c r="A4" s="6" t="s">
        <v>309</v>
      </c>
      <c r="B4" s="13">
        <v>11747</v>
      </c>
      <c r="C4" s="2">
        <f>MemberOfAssemblyAssemblyDistrict73General[[#This Row],[Part of New York County Vote Results]]</f>
        <v>11747</v>
      </c>
      <c r="D4" s="7">
        <f>SUM(MemberOfAssemblyAssemblyDistrict73General[[#This Row],[Total Votes by Party]])</f>
        <v>11747</v>
      </c>
    </row>
    <row r="5" spans="1:4" x14ac:dyDescent="0.2">
      <c r="A5" s="6" t="s">
        <v>308</v>
      </c>
      <c r="B5" s="13">
        <v>1748</v>
      </c>
      <c r="C5" s="2">
        <f>MemberOfAssemblyAssemblyDistrict73General[[#This Row],[Part of New York County Vote Results]]</f>
        <v>1748</v>
      </c>
      <c r="D5" s="1"/>
    </row>
    <row r="6" spans="1:4" x14ac:dyDescent="0.2">
      <c r="A6" s="5" t="s">
        <v>0</v>
      </c>
      <c r="B6" s="13">
        <v>1855</v>
      </c>
      <c r="C6" s="2">
        <f>MemberOfAssemblyAssemblyDistrict73General[[#This Row],[Part of New York County Vote Results]]</f>
        <v>1855</v>
      </c>
      <c r="D6" s="1"/>
    </row>
    <row r="7" spans="1:4" x14ac:dyDescent="0.2">
      <c r="A7" s="5" t="s">
        <v>1</v>
      </c>
      <c r="B7" s="13">
        <v>457</v>
      </c>
      <c r="C7" s="2">
        <f>MemberOfAssemblyAssemblyDistrict73General[[#This Row],[Part of New York County Vote Results]]</f>
        <v>457</v>
      </c>
      <c r="D7" s="1"/>
    </row>
    <row r="8" spans="1:4" x14ac:dyDescent="0.2">
      <c r="A8" s="5" t="s">
        <v>5</v>
      </c>
      <c r="B8" s="13">
        <v>19</v>
      </c>
      <c r="C8" s="2">
        <f>MemberOfAssemblyAssemblyDistrict73General[[#This Row],[Part of New York County Vote Results]]</f>
        <v>19</v>
      </c>
      <c r="D8" s="1"/>
    </row>
    <row r="9" spans="1:4" x14ac:dyDescent="0.2">
      <c r="A9" s="4" t="s">
        <v>2</v>
      </c>
      <c r="B9" s="13">
        <f>SUM(MemberOfAssemblyAssemblyDistrict73General[Part of New York County Vote Results])</f>
        <v>47016</v>
      </c>
      <c r="C9" s="2">
        <f>SUM(MemberOfAssemblyAssemblyDistrict73General[Total Votes by Party])</f>
        <v>47016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5629-D717-4AA4-91D9-385E74ECB08D}">
  <sheetPr codeName="Sheet120">
    <pageSetUpPr fitToPage="1"/>
  </sheetPr>
  <dimension ref="A1:D9"/>
  <sheetViews>
    <sheetView workbookViewId="0">
      <selection activeCell="D5" sqref="D5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315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314</v>
      </c>
      <c r="B3" s="13">
        <v>26820</v>
      </c>
      <c r="C3" s="2">
        <f>MemberOfAssemblyAssemblyDistrict74General[[#This Row],[Part of New York County Vote Results]]</f>
        <v>26820</v>
      </c>
      <c r="D3" s="7">
        <f>SUM(MemberOfAssemblyAssemblyDistrict74General[[#This Row],[Total Votes by Party]],C5)</f>
        <v>30173</v>
      </c>
    </row>
    <row r="4" spans="1:4" x14ac:dyDescent="0.2">
      <c r="A4" s="6" t="s">
        <v>313</v>
      </c>
      <c r="B4" s="50">
        <v>6138</v>
      </c>
      <c r="C4" s="2">
        <f>MemberOfAssemblyAssemblyDistrict74General[[#This Row],[Part of New York County Vote Results]]</f>
        <v>6138</v>
      </c>
      <c r="D4" s="7">
        <f>SUM(MemberOfAssemblyAssemblyDistrict74General[[#This Row],[Total Votes by Party]])</f>
        <v>6138</v>
      </c>
    </row>
    <row r="5" spans="1:4" x14ac:dyDescent="0.2">
      <c r="A5" s="6" t="s">
        <v>312</v>
      </c>
      <c r="B5" s="13">
        <v>3353</v>
      </c>
      <c r="C5" s="2">
        <f>MemberOfAssemblyAssemblyDistrict74General[[#This Row],[Part of New York County Vote Results]]</f>
        <v>3353</v>
      </c>
      <c r="D5" s="1"/>
    </row>
    <row r="6" spans="1:4" x14ac:dyDescent="0.2">
      <c r="A6" s="5" t="s">
        <v>0</v>
      </c>
      <c r="B6" s="13">
        <v>1815</v>
      </c>
      <c r="C6" s="2">
        <f>MemberOfAssemblyAssemblyDistrict74General[[#This Row],[Part of New York County Vote Results]]</f>
        <v>1815</v>
      </c>
      <c r="D6" s="1"/>
    </row>
    <row r="7" spans="1:4" x14ac:dyDescent="0.2">
      <c r="A7" s="5" t="s">
        <v>1</v>
      </c>
      <c r="B7" s="13">
        <v>293</v>
      </c>
      <c r="C7" s="2">
        <f>MemberOfAssemblyAssemblyDistrict74General[[#This Row],[Part of New York County Vote Results]]</f>
        <v>293</v>
      </c>
      <c r="D7" s="1"/>
    </row>
    <row r="8" spans="1:4" x14ac:dyDescent="0.2">
      <c r="A8" s="5" t="s">
        <v>5</v>
      </c>
      <c r="B8" s="13">
        <v>66</v>
      </c>
      <c r="C8" s="2">
        <f>MemberOfAssemblyAssemblyDistrict74General[[#This Row],[Part of New York County Vote Results]]</f>
        <v>66</v>
      </c>
      <c r="D8" s="1"/>
    </row>
    <row r="9" spans="1:4" x14ac:dyDescent="0.2">
      <c r="A9" s="4" t="s">
        <v>2</v>
      </c>
      <c r="B9" s="13">
        <f>SUM(MemberOfAssemblyAssemblyDistrict74General[Part of New York County Vote Results])</f>
        <v>38485</v>
      </c>
      <c r="C9" s="2">
        <f>SUM(MemberOfAssemblyAssemblyDistrict74General[Total Votes by Party])</f>
        <v>38485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8E0B-BB9D-48C1-806F-817540CF4934}">
  <sheetPr codeName="Sheet121">
    <pageSetUpPr fitToPage="1"/>
  </sheetPr>
  <dimension ref="A1:D9"/>
  <sheetViews>
    <sheetView workbookViewId="0">
      <selection activeCell="D4" sqref="D4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319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318</v>
      </c>
      <c r="B3" s="13">
        <v>30036</v>
      </c>
      <c r="C3" s="2">
        <f>MemberOfAssemblyAssemblyDistrict75General[[#This Row],[Part of New York County Vote Results]]</f>
        <v>30036</v>
      </c>
      <c r="D3" s="7">
        <f>SUM(MemberOfAssemblyAssemblyDistrict75General[[#This Row],[Total Votes by Party]])</f>
        <v>30036</v>
      </c>
    </row>
    <row r="4" spans="1:4" x14ac:dyDescent="0.2">
      <c r="A4" s="6" t="s">
        <v>317</v>
      </c>
      <c r="B4" s="13">
        <v>6003</v>
      </c>
      <c r="C4" s="2">
        <f>MemberOfAssemblyAssemblyDistrict75General[[#This Row],[Part of New York County Vote Results]]</f>
        <v>6003</v>
      </c>
      <c r="D4" s="7">
        <f t="shared" ref="D4" si="0">SUM(C4,C5)</f>
        <v>6453</v>
      </c>
    </row>
    <row r="5" spans="1:4" x14ac:dyDescent="0.2">
      <c r="A5" s="6" t="s">
        <v>316</v>
      </c>
      <c r="B5" s="50">
        <v>450</v>
      </c>
      <c r="C5" s="2">
        <f>MemberOfAssemblyAssemblyDistrict75General[[#This Row],[Part of New York County Vote Results]]</f>
        <v>450</v>
      </c>
      <c r="D5" s="1"/>
    </row>
    <row r="6" spans="1:4" x14ac:dyDescent="0.2">
      <c r="A6" s="5" t="s">
        <v>0</v>
      </c>
      <c r="B6" s="13">
        <v>1590</v>
      </c>
      <c r="C6" s="2">
        <f>MemberOfAssemblyAssemblyDistrict75General[[#This Row],[Part of New York County Vote Results]]</f>
        <v>1590</v>
      </c>
      <c r="D6" s="1"/>
    </row>
    <row r="7" spans="1:4" x14ac:dyDescent="0.2">
      <c r="A7" s="5" t="s">
        <v>1</v>
      </c>
      <c r="B7" s="13">
        <v>330</v>
      </c>
      <c r="C7" s="2">
        <f>MemberOfAssemblyAssemblyDistrict75General[[#This Row],[Part of New York County Vote Results]]</f>
        <v>330</v>
      </c>
      <c r="D7" s="1"/>
    </row>
    <row r="8" spans="1:4" x14ac:dyDescent="0.2">
      <c r="A8" s="5" t="s">
        <v>5</v>
      </c>
      <c r="B8" s="13">
        <v>78</v>
      </c>
      <c r="C8" s="2">
        <f>MemberOfAssemblyAssemblyDistrict75General[[#This Row],[Part of New York County Vote Results]]</f>
        <v>78</v>
      </c>
      <c r="D8" s="1"/>
    </row>
    <row r="9" spans="1:4" x14ac:dyDescent="0.2">
      <c r="A9" s="4" t="s">
        <v>2</v>
      </c>
      <c r="B9" s="13">
        <f>SUM(MemberOfAssemblyAssemblyDistrict75General[Part of New York County Vote Results])</f>
        <v>38487</v>
      </c>
      <c r="C9" s="2">
        <f>SUM(MemberOfAssemblyAssemblyDistrict75General[Total Votes by Party])</f>
        <v>38487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DF7E-9584-4356-A7A8-4F285AB148FD}">
  <sheetPr codeName="Sheet122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7.42578125" customWidth="1"/>
    <col min="2" max="4" width="20.5703125" customWidth="1"/>
    <col min="5" max="6" width="23.5703125" customWidth="1"/>
  </cols>
  <sheetData>
    <row r="1" spans="1:4" ht="18.75" x14ac:dyDescent="0.2">
      <c r="A1" s="11" t="s">
        <v>322</v>
      </c>
    </row>
    <row r="2" spans="1:4" ht="25.5" x14ac:dyDescent="0.2">
      <c r="A2" s="10" t="s">
        <v>8</v>
      </c>
      <c r="B2" s="55" t="s">
        <v>27</v>
      </c>
      <c r="C2" s="9" t="s">
        <v>3</v>
      </c>
      <c r="D2" s="8" t="s">
        <v>4</v>
      </c>
    </row>
    <row r="3" spans="1:4" x14ac:dyDescent="0.2">
      <c r="A3" s="6" t="s">
        <v>321</v>
      </c>
      <c r="B3" s="13">
        <v>35053</v>
      </c>
      <c r="C3" s="2">
        <f>MemberOfAssemblyAssemblyDistrict76General[[#This Row],[Part of New York County Vote Results]]</f>
        <v>35053</v>
      </c>
      <c r="D3" s="7">
        <f>SUM(C3,C4)</f>
        <v>38043</v>
      </c>
    </row>
    <row r="4" spans="1:4" x14ac:dyDescent="0.2">
      <c r="A4" s="6" t="s">
        <v>320</v>
      </c>
      <c r="B4" s="13">
        <v>2990</v>
      </c>
      <c r="C4" s="2">
        <f>MemberOfAssemblyAssemblyDistrict76General[[#This Row],[Part of New York County Vote Results]]</f>
        <v>2990</v>
      </c>
      <c r="D4" s="1"/>
    </row>
    <row r="5" spans="1:4" x14ac:dyDescent="0.2">
      <c r="A5" s="5" t="s">
        <v>0</v>
      </c>
      <c r="B5" s="13">
        <v>8384</v>
      </c>
      <c r="C5" s="2">
        <f>MemberOfAssemblyAssemblyDistrict76General[[#This Row],[Part of New York County Vote Results]]</f>
        <v>8384</v>
      </c>
      <c r="D5" s="1"/>
    </row>
    <row r="6" spans="1:4" x14ac:dyDescent="0.2">
      <c r="A6" s="5" t="s">
        <v>1</v>
      </c>
      <c r="B6" s="13">
        <v>403</v>
      </c>
      <c r="C6" s="2">
        <f>MemberOfAssemblyAssemblyDistrict76General[[#This Row],[Part of New York County Vote Results]]</f>
        <v>403</v>
      </c>
      <c r="D6" s="1"/>
    </row>
    <row r="7" spans="1:4" x14ac:dyDescent="0.2">
      <c r="A7" s="5" t="s">
        <v>5</v>
      </c>
      <c r="B7" s="13">
        <v>461</v>
      </c>
      <c r="C7" s="2">
        <f>MemberOfAssemblyAssemblyDistrict76General[[#This Row],[Part of New York County Vote Results]]</f>
        <v>461</v>
      </c>
      <c r="D7" s="1"/>
    </row>
    <row r="8" spans="1:4" x14ac:dyDescent="0.2">
      <c r="A8" s="4" t="s">
        <v>2</v>
      </c>
      <c r="B8" s="13">
        <f>SUM(MemberOfAssemblyAssemblyDistrict76General[Part of New York County Vote Results])</f>
        <v>47291</v>
      </c>
      <c r="C8" s="2">
        <f>SUM(MemberOfAssemblyAssemblyDistrict76General[Total Votes by Party])</f>
        <v>47291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3E7D-7175-405B-BD8F-FC945C4812A9}">
  <sheetPr codeName="Sheet123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325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324</v>
      </c>
      <c r="B3" s="13">
        <v>11284</v>
      </c>
      <c r="C3" s="2">
        <f>MemberOfAssemblyAssemblyDistrict77General[[#This Row],[Part of Bronx County Vote Results]]</f>
        <v>11284</v>
      </c>
      <c r="D3" s="7">
        <f>SUM(MemberOfAssemblyAssemblyDistrict77General[[#This Row],[Total Votes by Party]])</f>
        <v>11284</v>
      </c>
    </row>
    <row r="4" spans="1:4" x14ac:dyDescent="0.2">
      <c r="A4" s="6" t="s">
        <v>323</v>
      </c>
      <c r="B4" s="13">
        <v>1777</v>
      </c>
      <c r="C4" s="2">
        <f>MemberOfAssemblyAssemblyDistrict77General[[#This Row],[Part of Bronx County Vote Results]]</f>
        <v>1777</v>
      </c>
      <c r="D4" s="7">
        <f>SUM(MemberOfAssemblyAssemblyDistrict77General[[#This Row],[Total Votes by Party]])</f>
        <v>1777</v>
      </c>
    </row>
    <row r="5" spans="1:4" x14ac:dyDescent="0.2">
      <c r="A5" s="5" t="s">
        <v>0</v>
      </c>
      <c r="B5" s="13">
        <v>1421</v>
      </c>
      <c r="C5" s="2">
        <f>MemberOfAssemblyAssemblyDistrict77General[[#This Row],[Part of Bronx County Vote Results]]</f>
        <v>1421</v>
      </c>
      <c r="D5" s="1"/>
    </row>
    <row r="6" spans="1:4" x14ac:dyDescent="0.2">
      <c r="A6" s="5" t="s">
        <v>1</v>
      </c>
      <c r="B6" s="13">
        <v>14</v>
      </c>
      <c r="C6" s="2">
        <f>MemberOfAssemblyAssemblyDistrict77General[[#This Row],[Part of Bronx County Vote Results]]</f>
        <v>14</v>
      </c>
      <c r="D6" s="1"/>
    </row>
    <row r="7" spans="1:4" x14ac:dyDescent="0.2">
      <c r="A7" s="5" t="s">
        <v>5</v>
      </c>
      <c r="B7" s="13">
        <v>7</v>
      </c>
      <c r="C7" s="2">
        <f>MemberOfAssemblyAssemblyDistrict77General[[#This Row],[Part of Bronx County Vote Results]]</f>
        <v>7</v>
      </c>
      <c r="D7" s="1"/>
    </row>
    <row r="8" spans="1:4" x14ac:dyDescent="0.2">
      <c r="A8" s="4" t="s">
        <v>2</v>
      </c>
      <c r="B8" s="13">
        <f>SUM(MemberOfAssemblyAssemblyDistrict77General[Part of Bronx County Vote Results])</f>
        <v>14503</v>
      </c>
      <c r="C8" s="2">
        <f>SUM(MemberOfAssemblyAssemblyDistrict77General[Total Votes by Party])</f>
        <v>14503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8B91-F825-4AE9-9365-C35F71D038EB}">
  <sheetPr codeName="Sheet124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328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327</v>
      </c>
      <c r="B3" s="13">
        <v>9059</v>
      </c>
      <c r="C3" s="2">
        <f>MemberOfAssemblyAssemblyDistrict78General[[#This Row],[Part of Bronx County Vote Results]]</f>
        <v>9059</v>
      </c>
      <c r="D3" s="7">
        <f>SUM(MemberOfAssemblyAssemblyDistrict78General[[#This Row],[Total Votes by Party]])</f>
        <v>9059</v>
      </c>
    </row>
    <row r="4" spans="1:4" x14ac:dyDescent="0.2">
      <c r="A4" s="6" t="s">
        <v>326</v>
      </c>
      <c r="B4" s="13">
        <v>2140</v>
      </c>
      <c r="C4" s="2">
        <f>MemberOfAssemblyAssemblyDistrict78General[[#This Row],[Part of Bronx County Vote Results]]</f>
        <v>2140</v>
      </c>
      <c r="D4" s="7">
        <f>SUM(MemberOfAssemblyAssemblyDistrict78General[[#This Row],[Total Votes by Party]])</f>
        <v>2140</v>
      </c>
    </row>
    <row r="5" spans="1:4" x14ac:dyDescent="0.2">
      <c r="A5" s="5" t="s">
        <v>0</v>
      </c>
      <c r="B5" s="13">
        <v>1828</v>
      </c>
      <c r="C5" s="2">
        <f>MemberOfAssemblyAssemblyDistrict78General[[#This Row],[Part of Bronx County Vote Results]]</f>
        <v>1828</v>
      </c>
      <c r="D5" s="1"/>
    </row>
    <row r="6" spans="1:4" x14ac:dyDescent="0.2">
      <c r="A6" s="5" t="s">
        <v>1</v>
      </c>
      <c r="B6" s="13">
        <v>25</v>
      </c>
      <c r="C6" s="2">
        <f>MemberOfAssemblyAssemblyDistrict78General[[#This Row],[Part of Bronx County Vote Results]]</f>
        <v>25</v>
      </c>
      <c r="D6" s="1"/>
    </row>
    <row r="7" spans="1:4" x14ac:dyDescent="0.2">
      <c r="A7" s="5" t="s">
        <v>5</v>
      </c>
      <c r="B7" s="13">
        <v>17</v>
      </c>
      <c r="C7" s="2">
        <f>MemberOfAssemblyAssemblyDistrict78General[[#This Row],[Part of Bronx County Vote Results]]</f>
        <v>17</v>
      </c>
      <c r="D7" s="1"/>
    </row>
    <row r="8" spans="1:4" x14ac:dyDescent="0.2">
      <c r="A8" s="4" t="s">
        <v>2</v>
      </c>
      <c r="B8" s="13">
        <f>SUM(MemberOfAssemblyAssemblyDistrict78General[Part of Bronx County Vote Results])</f>
        <v>13069</v>
      </c>
      <c r="C8" s="2">
        <f>SUM(MemberOfAssemblyAssemblyDistrict78General[Total Votes by Party])</f>
        <v>13069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3739-080B-4B94-A864-BB23F52CE07D}">
  <sheetPr codeName="Sheet125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331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330</v>
      </c>
      <c r="B3" s="13">
        <v>10957</v>
      </c>
      <c r="C3" s="2">
        <f>MemberOfAssemblyAssemblyDistrict79General[[#This Row],[Part of Bronx County Vote Results]]</f>
        <v>10957</v>
      </c>
      <c r="D3" s="7">
        <f>SUM(MemberOfAssemblyAssemblyDistrict79General[[#This Row],[Total Votes by Party]])</f>
        <v>10957</v>
      </c>
    </row>
    <row r="4" spans="1:4" x14ac:dyDescent="0.2">
      <c r="A4" s="6" t="s">
        <v>329</v>
      </c>
      <c r="B4" s="13">
        <v>1616</v>
      </c>
      <c r="C4" s="2">
        <f>MemberOfAssemblyAssemblyDistrict79General[[#This Row],[Part of Bronx County Vote Results]]</f>
        <v>1616</v>
      </c>
      <c r="D4" s="7">
        <f>SUM(MemberOfAssemblyAssemblyDistrict79General[[#This Row],[Total Votes by Party]])</f>
        <v>1616</v>
      </c>
    </row>
    <row r="5" spans="1:4" x14ac:dyDescent="0.2">
      <c r="A5" s="5" t="s">
        <v>0</v>
      </c>
      <c r="B5" s="13">
        <v>1770</v>
      </c>
      <c r="C5" s="2">
        <f>MemberOfAssemblyAssemblyDistrict79General[[#This Row],[Part of Bronx County Vote Results]]</f>
        <v>1770</v>
      </c>
      <c r="D5" s="1"/>
    </row>
    <row r="6" spans="1:4" x14ac:dyDescent="0.2">
      <c r="A6" s="5" t="s">
        <v>1</v>
      </c>
      <c r="B6" s="13">
        <v>8</v>
      </c>
      <c r="C6" s="2">
        <f>MemberOfAssemblyAssemblyDistrict79General[[#This Row],[Part of Bronx County Vote Results]]</f>
        <v>8</v>
      </c>
      <c r="D6" s="1"/>
    </row>
    <row r="7" spans="1:4" x14ac:dyDescent="0.2">
      <c r="A7" s="5" t="s">
        <v>5</v>
      </c>
      <c r="B7" s="13">
        <v>12</v>
      </c>
      <c r="C7" s="2">
        <f>MemberOfAssemblyAssemblyDistrict79General[[#This Row],[Part of Bronx County Vote Results]]</f>
        <v>12</v>
      </c>
      <c r="D7" s="1"/>
    </row>
    <row r="8" spans="1:4" x14ac:dyDescent="0.2">
      <c r="A8" s="4" t="s">
        <v>2</v>
      </c>
      <c r="B8" s="13">
        <f>SUM(MemberOfAssemblyAssemblyDistrict79General[Part of Bronx County Vote Results])</f>
        <v>14363</v>
      </c>
      <c r="C8" s="2">
        <f>SUM(MemberOfAssemblyAssemblyDistrict79General[Total Votes by Party])</f>
        <v>14363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7DBE-507F-4773-B843-E9FF538875EC}">
  <sheetPr codeName="Sheet54"/>
  <dimension ref="A1:D9"/>
  <sheetViews>
    <sheetView workbookViewId="0">
      <selection activeCell="B2" sqref="B2"/>
    </sheetView>
  </sheetViews>
  <sheetFormatPr defaultRowHeight="12.75" x14ac:dyDescent="0.2"/>
  <cols>
    <col min="1" max="1" width="27.7109375" customWidth="1"/>
    <col min="2" max="4" width="20.5703125" customWidth="1"/>
    <col min="5" max="6" width="23.5703125" customWidth="1"/>
  </cols>
  <sheetData>
    <row r="1" spans="1:4" ht="18.75" x14ac:dyDescent="0.2">
      <c r="A1" s="11" t="s">
        <v>85</v>
      </c>
    </row>
    <row r="2" spans="1:4" ht="25.5" x14ac:dyDescent="0.2">
      <c r="A2" s="10" t="s">
        <v>8</v>
      </c>
      <c r="B2" s="55" t="s">
        <v>23</v>
      </c>
      <c r="C2" s="9" t="s">
        <v>3</v>
      </c>
      <c r="D2" s="8" t="s">
        <v>4</v>
      </c>
    </row>
    <row r="3" spans="1:4" x14ac:dyDescent="0.2">
      <c r="A3" s="6" t="s">
        <v>84</v>
      </c>
      <c r="B3" s="3">
        <v>19376</v>
      </c>
      <c r="C3" s="2">
        <f>MemberOfAssemblyAssemblyDistrict8General[[#This Row],[Part of Suffolk County Vote Results]]</f>
        <v>19376</v>
      </c>
      <c r="D3" s="7">
        <f>C3</f>
        <v>19376</v>
      </c>
    </row>
    <row r="4" spans="1:4" x14ac:dyDescent="0.2">
      <c r="A4" s="6" t="s">
        <v>83</v>
      </c>
      <c r="B4" s="3">
        <v>36555</v>
      </c>
      <c r="C4" s="2">
        <f>MemberOfAssemblyAssemblyDistrict8General[[#This Row],[Part of Suffolk County Vote Results]]</f>
        <v>36555</v>
      </c>
      <c r="D4" s="7">
        <f>SUM(C4,C5)</f>
        <v>41748</v>
      </c>
    </row>
    <row r="5" spans="1:4" x14ac:dyDescent="0.2">
      <c r="A5" s="6" t="s">
        <v>82</v>
      </c>
      <c r="B5" s="3">
        <v>5193</v>
      </c>
      <c r="C5" s="2">
        <f>MemberOfAssemblyAssemblyDistrict8General[[#This Row],[Part of Suffolk County Vote Results]]</f>
        <v>5193</v>
      </c>
      <c r="D5" s="1"/>
    </row>
    <row r="6" spans="1:4" x14ac:dyDescent="0.2">
      <c r="A6" s="5" t="s">
        <v>0</v>
      </c>
      <c r="B6" s="3">
        <v>2222</v>
      </c>
      <c r="C6" s="2">
        <f>MemberOfAssemblyAssemblyDistrict8General[[#This Row],[Part of Suffolk County Vote Results]]</f>
        <v>2222</v>
      </c>
      <c r="D6" s="1"/>
    </row>
    <row r="7" spans="1:4" x14ac:dyDescent="0.2">
      <c r="A7" s="5" t="s">
        <v>1</v>
      </c>
      <c r="B7" s="3">
        <v>2</v>
      </c>
      <c r="C7" s="2">
        <f>MemberOfAssemblyAssemblyDistrict8General[[#This Row],[Part of Suffolk County Vote Results]]</f>
        <v>2</v>
      </c>
      <c r="D7" s="1"/>
    </row>
    <row r="8" spans="1:4" x14ac:dyDescent="0.2">
      <c r="A8" s="5" t="s">
        <v>5</v>
      </c>
      <c r="B8" s="3">
        <v>12</v>
      </c>
      <c r="C8" s="2">
        <f>MemberOfAssemblyAssemblyDistrict8General[[#This Row],[Part of Suffolk County Vote Results]]</f>
        <v>12</v>
      </c>
      <c r="D8" s="1"/>
    </row>
    <row r="9" spans="1:4" x14ac:dyDescent="0.2">
      <c r="A9" s="4" t="s">
        <v>2</v>
      </c>
      <c r="B9" s="3">
        <f>SUM(MemberOfAssemblyAssemblyDistrict8General[Part of Suffolk County Vote Results])</f>
        <v>63360</v>
      </c>
      <c r="C9" s="2">
        <f>SUM(MemberOfAssemblyAssemblyDistrict8General[Total Votes by Party])</f>
        <v>63360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921F-EB81-454B-AB7A-A3F3FD975052}">
  <sheetPr codeName="Sheet126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334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335</v>
      </c>
      <c r="B3" s="13">
        <v>12212</v>
      </c>
      <c r="C3" s="2">
        <f>MemberOfAssemblyAssemblyDistrict80General[[#This Row],[Part of Bronx County Vote Results]]</f>
        <v>12212</v>
      </c>
      <c r="D3" s="7">
        <f>C3</f>
        <v>12212</v>
      </c>
    </row>
    <row r="4" spans="1:4" x14ac:dyDescent="0.2">
      <c r="A4" s="6" t="s">
        <v>333</v>
      </c>
      <c r="B4" s="50">
        <v>4948</v>
      </c>
      <c r="C4" s="2">
        <f>MemberOfAssemblyAssemblyDistrict80General[[#This Row],[Part of Bronx County Vote Results]]</f>
        <v>4948</v>
      </c>
      <c r="D4" s="7">
        <f>SUM(C4,C5)</f>
        <v>5350</v>
      </c>
    </row>
    <row r="5" spans="1:4" x14ac:dyDescent="0.2">
      <c r="A5" s="6" t="s">
        <v>332</v>
      </c>
      <c r="B5" s="13">
        <v>402</v>
      </c>
      <c r="C5" s="2">
        <f>MemberOfAssemblyAssemblyDistrict80General[[#This Row],[Part of Bronx County Vote Results]]</f>
        <v>402</v>
      </c>
      <c r="D5" s="1"/>
    </row>
    <row r="6" spans="1:4" x14ac:dyDescent="0.2">
      <c r="A6" s="5" t="s">
        <v>0</v>
      </c>
      <c r="B6" s="13">
        <v>2095</v>
      </c>
      <c r="C6" s="2">
        <f>MemberOfAssemblyAssemblyDistrict80General[[#This Row],[Part of Bronx County Vote Results]]</f>
        <v>2095</v>
      </c>
      <c r="D6" s="1"/>
    </row>
    <row r="7" spans="1:4" x14ac:dyDescent="0.2">
      <c r="A7" s="5" t="s">
        <v>1</v>
      </c>
      <c r="B7" s="13">
        <v>40</v>
      </c>
      <c r="C7" s="2">
        <f>MemberOfAssemblyAssemblyDistrict80General[[#This Row],[Part of Bronx County Vote Results]]</f>
        <v>40</v>
      </c>
      <c r="D7" s="1"/>
    </row>
    <row r="8" spans="1:4" x14ac:dyDescent="0.2">
      <c r="A8" s="5" t="s">
        <v>5</v>
      </c>
      <c r="B8" s="13">
        <v>17</v>
      </c>
      <c r="C8" s="2">
        <f>MemberOfAssemblyAssemblyDistrict80General[[#This Row],[Part of Bronx County Vote Results]]</f>
        <v>17</v>
      </c>
      <c r="D8" s="1"/>
    </row>
    <row r="9" spans="1:4" x14ac:dyDescent="0.2">
      <c r="A9" s="4" t="s">
        <v>2</v>
      </c>
      <c r="B9" s="13">
        <f>SUM(MemberOfAssemblyAssemblyDistrict80General[Part of Bronx County Vote Results])</f>
        <v>19714</v>
      </c>
      <c r="C9" s="2">
        <f>SUM(MemberOfAssemblyAssemblyDistrict80General[Total Votes by Party])</f>
        <v>19714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CDD8-644C-4CB1-8A31-2BE130F2D76B}">
  <sheetPr codeName="Sheet127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7.42578125" customWidth="1"/>
    <col min="2" max="4" width="20.5703125" customWidth="1"/>
    <col min="5" max="6" width="23.5703125" customWidth="1"/>
  </cols>
  <sheetData>
    <row r="1" spans="1:4" ht="18.75" x14ac:dyDescent="0.2">
      <c r="A1" s="11" t="s">
        <v>339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338</v>
      </c>
      <c r="B3" s="13">
        <v>18750</v>
      </c>
      <c r="C3" s="2">
        <f>MemberOfAssemblyAssemblyDistrict81General[[#This Row],[Part of Bronx County Vote Results]]</f>
        <v>18750</v>
      </c>
      <c r="D3" s="7">
        <f>SUM(MemberOfAssemblyAssemblyDistrict81General[[#This Row],[Total Votes by Party]])</f>
        <v>18750</v>
      </c>
    </row>
    <row r="4" spans="1:4" x14ac:dyDescent="0.2">
      <c r="A4" s="6" t="s">
        <v>337</v>
      </c>
      <c r="B4" s="13">
        <v>2516</v>
      </c>
      <c r="C4" s="2">
        <f>MemberOfAssemblyAssemblyDistrict81General[[#This Row],[Part of Bronx County Vote Results]]</f>
        <v>2516</v>
      </c>
      <c r="D4" s="7">
        <f>SUM(MemberOfAssemblyAssemblyDistrict81General[[#This Row],[Total Votes by Party]])</f>
        <v>2516</v>
      </c>
    </row>
    <row r="5" spans="1:4" x14ac:dyDescent="0.2">
      <c r="A5" s="6" t="s">
        <v>336</v>
      </c>
      <c r="B5" s="13">
        <v>3518</v>
      </c>
      <c r="C5" s="2">
        <f>MemberOfAssemblyAssemblyDistrict81General[[#This Row],[Part of Bronx County Vote Results]]</f>
        <v>3518</v>
      </c>
      <c r="D5" s="7">
        <f>SUM(MemberOfAssemblyAssemblyDistrict81General[[#This Row],[Total Votes by Party]])</f>
        <v>3518</v>
      </c>
    </row>
    <row r="6" spans="1:4" x14ac:dyDescent="0.2">
      <c r="A6" s="5" t="s">
        <v>0</v>
      </c>
      <c r="B6" s="13">
        <v>4179</v>
      </c>
      <c r="C6" s="2">
        <f>MemberOfAssemblyAssemblyDistrict81General[[#This Row],[Part of Bronx County Vote Results]]</f>
        <v>4179</v>
      </c>
      <c r="D6" s="1"/>
    </row>
    <row r="7" spans="1:4" x14ac:dyDescent="0.2">
      <c r="A7" s="5" t="s">
        <v>1</v>
      </c>
      <c r="B7" s="13">
        <v>142</v>
      </c>
      <c r="C7" s="2">
        <f>MemberOfAssemblyAssemblyDistrict81General[[#This Row],[Part of Bronx County Vote Results]]</f>
        <v>142</v>
      </c>
      <c r="D7" s="1"/>
    </row>
    <row r="8" spans="1:4" x14ac:dyDescent="0.2">
      <c r="A8" s="5" t="s">
        <v>5</v>
      </c>
      <c r="B8" s="13">
        <v>24</v>
      </c>
      <c r="C8" s="2">
        <f>MemberOfAssemblyAssemblyDistrict81General[[#This Row],[Part of Bronx County Vote Results]]</f>
        <v>24</v>
      </c>
      <c r="D8" s="1"/>
    </row>
    <row r="9" spans="1:4" x14ac:dyDescent="0.2">
      <c r="A9" s="4" t="s">
        <v>2</v>
      </c>
      <c r="B9" s="13">
        <f>SUM(MemberOfAssemblyAssemblyDistrict81General[Part of Bronx County Vote Results])</f>
        <v>29129</v>
      </c>
      <c r="C9" s="2">
        <f>SUM(MemberOfAssemblyAssemblyDistrict81General[Total Votes by Party])</f>
        <v>29129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3551-77EF-422E-8919-7F0AD81437E7}">
  <sheetPr codeName="Sheet128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341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340</v>
      </c>
      <c r="B3" s="13">
        <v>19197</v>
      </c>
      <c r="C3" s="2">
        <f>MemberOfAssemblyAssemblyDistrict82General[[#This Row],[Part of Bronx County Vote Results]]</f>
        <v>19197</v>
      </c>
      <c r="D3" s="7">
        <f>SUM(MemberOfAssemblyAssemblyDistrict82General[[#This Row],[Total Votes by Party]])</f>
        <v>19197</v>
      </c>
    </row>
    <row r="4" spans="1:4" x14ac:dyDescent="0.2">
      <c r="A4" s="6" t="s">
        <v>635</v>
      </c>
      <c r="B4" s="50">
        <v>9080</v>
      </c>
      <c r="C4" s="2">
        <f>MemberOfAssemblyAssemblyDistrict82General[[#This Row],[Part of Bronx County Vote Results]]</f>
        <v>9080</v>
      </c>
      <c r="D4" s="7">
        <f>SUM(MemberOfAssemblyAssemblyDistrict82General[[#This Row],[Total Votes by Party]],C5)</f>
        <v>9775</v>
      </c>
    </row>
    <row r="5" spans="1:4" x14ac:dyDescent="0.2">
      <c r="A5" s="6" t="s">
        <v>636</v>
      </c>
      <c r="B5" s="13">
        <v>695</v>
      </c>
      <c r="C5" s="2">
        <f>MemberOfAssemblyAssemblyDistrict82General[[#This Row],[Part of Bronx County Vote Results]]</f>
        <v>695</v>
      </c>
      <c r="D5" s="1"/>
    </row>
    <row r="6" spans="1:4" x14ac:dyDescent="0.2">
      <c r="A6" s="5" t="s">
        <v>0</v>
      </c>
      <c r="B6" s="13">
        <v>1958</v>
      </c>
      <c r="C6" s="2">
        <f>MemberOfAssemblyAssemblyDistrict82General[[#This Row],[Part of Bronx County Vote Results]]</f>
        <v>1958</v>
      </c>
      <c r="D6" s="1"/>
    </row>
    <row r="7" spans="1:4" x14ac:dyDescent="0.2">
      <c r="A7" s="5" t="s">
        <v>1</v>
      </c>
      <c r="B7" s="13">
        <v>26</v>
      </c>
      <c r="C7" s="2">
        <f>MemberOfAssemblyAssemblyDistrict82General[[#This Row],[Part of Bronx County Vote Results]]</f>
        <v>26</v>
      </c>
      <c r="D7" s="1"/>
    </row>
    <row r="8" spans="1:4" x14ac:dyDescent="0.2">
      <c r="A8" s="5" t="s">
        <v>5</v>
      </c>
      <c r="B8" s="13">
        <v>19</v>
      </c>
      <c r="C8" s="2">
        <f>MemberOfAssemblyAssemblyDistrict82General[[#This Row],[Part of Bronx County Vote Results]]</f>
        <v>19</v>
      </c>
      <c r="D8" s="1"/>
    </row>
    <row r="9" spans="1:4" x14ac:dyDescent="0.2">
      <c r="A9" s="4" t="s">
        <v>2</v>
      </c>
      <c r="B9" s="13">
        <f>SUM(MemberOfAssemblyAssemblyDistrict82General[Part of Bronx County Vote Results])</f>
        <v>30975</v>
      </c>
      <c r="C9" s="2">
        <f>SUM(MemberOfAssemblyAssemblyDistrict82General[Total Votes by Party])</f>
        <v>30975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32B9-D345-41B7-B9F3-510B2CF011A1}">
  <sheetPr codeName="Sheet129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344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343</v>
      </c>
      <c r="B3" s="13">
        <v>18496</v>
      </c>
      <c r="C3" s="2">
        <f>MemberOfAssemblyAssemblyDistrict83General[[#This Row],[Part of Bronx County Vote Results]]</f>
        <v>18496</v>
      </c>
      <c r="D3" s="7">
        <f>SUM(MemberOfAssemblyAssemblyDistrict83General[[#This Row],[Total Votes by Party]])</f>
        <v>18496</v>
      </c>
    </row>
    <row r="4" spans="1:4" x14ac:dyDescent="0.2">
      <c r="A4" s="6" t="s">
        <v>342</v>
      </c>
      <c r="B4" s="13">
        <v>1466</v>
      </c>
      <c r="C4" s="2">
        <f>MemberOfAssemblyAssemblyDistrict83General[[#This Row],[Part of Bronx County Vote Results]]</f>
        <v>1466</v>
      </c>
      <c r="D4" s="7">
        <f>SUM(MemberOfAssemblyAssemblyDistrict83General[[#This Row],[Total Votes by Party]])</f>
        <v>1466</v>
      </c>
    </row>
    <row r="5" spans="1:4" x14ac:dyDescent="0.2">
      <c r="A5" s="5" t="s">
        <v>0</v>
      </c>
      <c r="B5" s="13">
        <v>1548</v>
      </c>
      <c r="C5" s="2">
        <f>MemberOfAssemblyAssemblyDistrict83General[[#This Row],[Part of Bronx County Vote Results]]</f>
        <v>1548</v>
      </c>
      <c r="D5" s="1"/>
    </row>
    <row r="6" spans="1:4" x14ac:dyDescent="0.2">
      <c r="A6" s="5" t="s">
        <v>1</v>
      </c>
      <c r="B6" s="13">
        <v>20</v>
      </c>
      <c r="C6" s="2">
        <f>MemberOfAssemblyAssemblyDistrict83General[[#This Row],[Part of Bronx County Vote Results]]</f>
        <v>20</v>
      </c>
      <c r="D6" s="1"/>
    </row>
    <row r="7" spans="1:4" x14ac:dyDescent="0.2">
      <c r="A7" s="5" t="s">
        <v>5</v>
      </c>
      <c r="B7" s="13">
        <v>15</v>
      </c>
      <c r="C7" s="2">
        <f>MemberOfAssemblyAssemblyDistrict83General[[#This Row],[Part of Bronx County Vote Results]]</f>
        <v>15</v>
      </c>
      <c r="D7" s="1"/>
    </row>
    <row r="8" spans="1:4" x14ac:dyDescent="0.2">
      <c r="A8" s="4" t="s">
        <v>2</v>
      </c>
      <c r="B8" s="13">
        <f>SUM(MemberOfAssemblyAssemblyDistrict83General[Part of Bronx County Vote Results])</f>
        <v>21545</v>
      </c>
      <c r="C8" s="2">
        <f>SUM(MemberOfAssemblyAssemblyDistrict83General[Total Votes by Party])</f>
        <v>21545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3FDC-3428-4D93-B655-661AE752E7E1}">
  <sheetPr codeName="Sheet130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7.85546875" customWidth="1"/>
    <col min="2" max="4" width="20.5703125" customWidth="1"/>
    <col min="5" max="6" width="23.5703125" customWidth="1"/>
  </cols>
  <sheetData>
    <row r="1" spans="1:4" ht="18.75" x14ac:dyDescent="0.2">
      <c r="A1" s="11" t="s">
        <v>348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347</v>
      </c>
      <c r="B3" s="13">
        <v>9683</v>
      </c>
      <c r="C3" s="2">
        <f>MemberOfAssemblyAssemblyDistrict84General[[#This Row],[Part of Bronx County Vote Results]]</f>
        <v>9683</v>
      </c>
      <c r="D3" s="7">
        <f>SUM(MemberOfAssemblyAssemblyDistrict84General[[#This Row],[Total Votes by Party]],C5)</f>
        <v>10188</v>
      </c>
    </row>
    <row r="4" spans="1:4" x14ac:dyDescent="0.2">
      <c r="A4" s="6" t="s">
        <v>346</v>
      </c>
      <c r="B4" s="13">
        <v>2017</v>
      </c>
      <c r="C4" s="2">
        <f>MemberOfAssemblyAssemblyDistrict84General[[#This Row],[Part of Bronx County Vote Results]]</f>
        <v>2017</v>
      </c>
      <c r="D4" s="7">
        <f>SUM(MemberOfAssemblyAssemblyDistrict84General[[#This Row],[Total Votes by Party]])</f>
        <v>2017</v>
      </c>
    </row>
    <row r="5" spans="1:4" x14ac:dyDescent="0.2">
      <c r="A5" s="6" t="s">
        <v>345</v>
      </c>
      <c r="B5" s="13">
        <v>505</v>
      </c>
      <c r="C5" s="2">
        <f>MemberOfAssemblyAssemblyDistrict84General[[#This Row],[Part of Bronx County Vote Results]]</f>
        <v>505</v>
      </c>
      <c r="D5" s="1"/>
    </row>
    <row r="6" spans="1:4" x14ac:dyDescent="0.2">
      <c r="A6" s="5" t="s">
        <v>0</v>
      </c>
      <c r="B6" s="13">
        <v>2154</v>
      </c>
      <c r="C6" s="2">
        <f>MemberOfAssemblyAssemblyDistrict84General[[#This Row],[Part of Bronx County Vote Results]]</f>
        <v>2154</v>
      </c>
      <c r="D6" s="1"/>
    </row>
    <row r="7" spans="1:4" x14ac:dyDescent="0.2">
      <c r="A7" s="5" t="s">
        <v>1</v>
      </c>
      <c r="B7" s="13">
        <v>17</v>
      </c>
      <c r="C7" s="2">
        <f>MemberOfAssemblyAssemblyDistrict84General[[#This Row],[Part of Bronx County Vote Results]]</f>
        <v>17</v>
      </c>
      <c r="D7" s="1"/>
    </row>
    <row r="8" spans="1:4" x14ac:dyDescent="0.2">
      <c r="A8" s="5" t="s">
        <v>5</v>
      </c>
      <c r="B8" s="13">
        <v>10</v>
      </c>
      <c r="C8" s="2">
        <f>MemberOfAssemblyAssemblyDistrict84General[[#This Row],[Part of Bronx County Vote Results]]</f>
        <v>10</v>
      </c>
      <c r="D8" s="1"/>
    </row>
    <row r="9" spans="1:4" x14ac:dyDescent="0.2">
      <c r="A9" s="4" t="s">
        <v>2</v>
      </c>
      <c r="B9" s="13">
        <f>SUM(MemberOfAssemblyAssemblyDistrict84General[Part of Bronx County Vote Results])</f>
        <v>14386</v>
      </c>
      <c r="C9" s="2">
        <f>SUM(MemberOfAssemblyAssemblyDistrict84General[Total Votes by Party])</f>
        <v>14386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B336-5F4E-4144-BA34-6607F7D24578}">
  <sheetPr codeName="Sheet131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352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351</v>
      </c>
      <c r="B3" s="13">
        <v>10859</v>
      </c>
      <c r="C3" s="2">
        <f>MemberOfAssemblyAssemblyDistrict85General[[#This Row],[Part of Bronx County Vote Results]]</f>
        <v>10859</v>
      </c>
      <c r="D3" s="7">
        <f>SUM(MemberOfAssemblyAssemblyDistrict85General[[#This Row],[Total Votes by Party]],C5)</f>
        <v>11378</v>
      </c>
    </row>
    <row r="4" spans="1:4" x14ac:dyDescent="0.2">
      <c r="A4" s="6" t="s">
        <v>350</v>
      </c>
      <c r="B4" s="13">
        <v>2062</v>
      </c>
      <c r="C4" s="2">
        <f>MemberOfAssemblyAssemblyDistrict85General[[#This Row],[Part of Bronx County Vote Results]]</f>
        <v>2062</v>
      </c>
      <c r="D4" s="7">
        <f>SUM(MemberOfAssemblyAssemblyDistrict85General[[#This Row],[Total Votes by Party]])</f>
        <v>2062</v>
      </c>
    </row>
    <row r="5" spans="1:4" x14ac:dyDescent="0.2">
      <c r="A5" s="6" t="s">
        <v>349</v>
      </c>
      <c r="B5" s="13">
        <v>519</v>
      </c>
      <c r="C5" s="2">
        <f>MemberOfAssemblyAssemblyDistrict85General[[#This Row],[Part of Bronx County Vote Results]]</f>
        <v>519</v>
      </c>
      <c r="D5" s="1"/>
    </row>
    <row r="6" spans="1:4" x14ac:dyDescent="0.2">
      <c r="A6" s="5" t="s">
        <v>0</v>
      </c>
      <c r="B6" s="13">
        <v>1933</v>
      </c>
      <c r="C6" s="2">
        <f>MemberOfAssemblyAssemblyDistrict85General[[#This Row],[Part of Bronx County Vote Results]]</f>
        <v>1933</v>
      </c>
      <c r="D6" s="1"/>
    </row>
    <row r="7" spans="1:4" x14ac:dyDescent="0.2">
      <c r="A7" s="5" t="s">
        <v>1</v>
      </c>
      <c r="B7" s="13">
        <v>16</v>
      </c>
      <c r="C7" s="2">
        <f>MemberOfAssemblyAssemblyDistrict85General[[#This Row],[Part of Bronx County Vote Results]]</f>
        <v>16</v>
      </c>
      <c r="D7" s="1"/>
    </row>
    <row r="8" spans="1:4" x14ac:dyDescent="0.2">
      <c r="A8" s="5" t="s">
        <v>5</v>
      </c>
      <c r="B8" s="13">
        <v>11</v>
      </c>
      <c r="C8" s="2">
        <f>MemberOfAssemblyAssemblyDistrict85General[[#This Row],[Part of Bronx County Vote Results]]</f>
        <v>11</v>
      </c>
      <c r="D8" s="1"/>
    </row>
    <row r="9" spans="1:4" x14ac:dyDescent="0.2">
      <c r="A9" s="4" t="s">
        <v>2</v>
      </c>
      <c r="B9" s="13">
        <f>SUM(MemberOfAssemblyAssemblyDistrict85General[Part of Bronx County Vote Results])</f>
        <v>15400</v>
      </c>
      <c r="C9" s="2">
        <f>SUM(MemberOfAssemblyAssemblyDistrict85General[Total Votes by Party])</f>
        <v>15400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41F1-67E4-4E99-BCD1-B300CB22F608}">
  <sheetPr codeName="Sheet132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356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355</v>
      </c>
      <c r="B3" s="13">
        <v>8425</v>
      </c>
      <c r="C3" s="2">
        <f>MemberOfAssemblyAssemblyDistrict86General[[#This Row],[Part of Bronx County Vote Results]]</f>
        <v>8425</v>
      </c>
      <c r="D3" s="7">
        <f>SUM(MemberOfAssemblyAssemblyDistrict86General[[#This Row],[Total Votes by Party]],C5)</f>
        <v>8774</v>
      </c>
    </row>
    <row r="4" spans="1:4" x14ac:dyDescent="0.2">
      <c r="A4" s="6" t="s">
        <v>354</v>
      </c>
      <c r="B4" s="13">
        <v>1793</v>
      </c>
      <c r="C4" s="2">
        <f>MemberOfAssemblyAssemblyDistrict86General[[#This Row],[Part of Bronx County Vote Results]]</f>
        <v>1793</v>
      </c>
      <c r="D4" s="7">
        <f>SUM(MemberOfAssemblyAssemblyDistrict86General[[#This Row],[Total Votes by Party]])</f>
        <v>1793</v>
      </c>
    </row>
    <row r="5" spans="1:4" x14ac:dyDescent="0.2">
      <c r="A5" s="6" t="s">
        <v>353</v>
      </c>
      <c r="B5" s="13">
        <v>349</v>
      </c>
      <c r="C5" s="2">
        <f>MemberOfAssemblyAssemblyDistrict86General[[#This Row],[Part of Bronx County Vote Results]]</f>
        <v>349</v>
      </c>
      <c r="D5" s="1"/>
    </row>
    <row r="6" spans="1:4" x14ac:dyDescent="0.2">
      <c r="A6" s="5" t="s">
        <v>0</v>
      </c>
      <c r="B6" s="13">
        <v>1735</v>
      </c>
      <c r="C6" s="2">
        <f>MemberOfAssemblyAssemblyDistrict86General[[#This Row],[Part of Bronx County Vote Results]]</f>
        <v>1735</v>
      </c>
      <c r="D6" s="1"/>
    </row>
    <row r="7" spans="1:4" x14ac:dyDescent="0.2">
      <c r="A7" s="5" t="s">
        <v>1</v>
      </c>
      <c r="B7" s="13">
        <v>7</v>
      </c>
      <c r="C7" s="2">
        <f>MemberOfAssemblyAssemblyDistrict86General[[#This Row],[Part of Bronx County Vote Results]]</f>
        <v>7</v>
      </c>
      <c r="D7" s="1"/>
    </row>
    <row r="8" spans="1:4" x14ac:dyDescent="0.2">
      <c r="A8" s="5" t="s">
        <v>5</v>
      </c>
      <c r="B8" s="13">
        <v>10</v>
      </c>
      <c r="C8" s="2">
        <f>MemberOfAssemblyAssemblyDistrict86General[[#This Row],[Part of Bronx County Vote Results]]</f>
        <v>10</v>
      </c>
      <c r="D8" s="1"/>
    </row>
    <row r="9" spans="1:4" x14ac:dyDescent="0.2">
      <c r="A9" s="4" t="s">
        <v>2</v>
      </c>
      <c r="B9" s="13">
        <f>SUM(MemberOfAssemblyAssemblyDistrict86General[Part of Bronx County Vote Results])</f>
        <v>12319</v>
      </c>
      <c r="C9" s="2">
        <f>SUM(MemberOfAssemblyAssemblyDistrict86General[Total Votes by Party])</f>
        <v>12319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5637-C2D3-42E1-99DB-181A056DE138}">
  <sheetPr codeName="Sheet133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359</v>
      </c>
    </row>
    <row r="2" spans="1:4" ht="25.5" x14ac:dyDescent="0.2">
      <c r="A2" s="10" t="s">
        <v>8</v>
      </c>
      <c r="B2" s="55" t="s">
        <v>28</v>
      </c>
      <c r="C2" s="9" t="s">
        <v>3</v>
      </c>
      <c r="D2" s="8" t="s">
        <v>4</v>
      </c>
    </row>
    <row r="3" spans="1:4" x14ac:dyDescent="0.2">
      <c r="A3" s="6" t="s">
        <v>358</v>
      </c>
      <c r="B3" s="13">
        <v>12981</v>
      </c>
      <c r="C3" s="2">
        <f>MemberOfAssemblyAssemblyDistrict87General[[#This Row],[Part of Bronx County Vote Results]]</f>
        <v>12981</v>
      </c>
      <c r="D3" s="7">
        <f>SUM(MemberOfAssemblyAssemblyDistrict87General[[#This Row],[Total Votes by Party]],C5)</f>
        <v>13609</v>
      </c>
    </row>
    <row r="4" spans="1:4" x14ac:dyDescent="0.2">
      <c r="A4" s="6" t="s">
        <v>360</v>
      </c>
      <c r="B4" s="13">
        <v>2804</v>
      </c>
      <c r="C4" s="2">
        <f>MemberOfAssemblyAssemblyDistrict87General[[#This Row],[Part of Bronx County Vote Results]]</f>
        <v>2804</v>
      </c>
      <c r="D4" s="7">
        <f>SUM(MemberOfAssemblyAssemblyDistrict87General[[#This Row],[Total Votes by Party]])</f>
        <v>2804</v>
      </c>
    </row>
    <row r="5" spans="1:4" x14ac:dyDescent="0.2">
      <c r="A5" s="6" t="s">
        <v>357</v>
      </c>
      <c r="B5" s="13">
        <v>628</v>
      </c>
      <c r="C5" s="2">
        <f>MemberOfAssemblyAssemblyDistrict87General[[#This Row],[Part of Bronx County Vote Results]]</f>
        <v>628</v>
      </c>
      <c r="D5" s="1"/>
    </row>
    <row r="6" spans="1:4" x14ac:dyDescent="0.2">
      <c r="A6" s="5" t="s">
        <v>0</v>
      </c>
      <c r="B6" s="13">
        <v>1551</v>
      </c>
      <c r="C6" s="2">
        <f>MemberOfAssemblyAssemblyDistrict87General[[#This Row],[Part of Bronx County Vote Results]]</f>
        <v>1551</v>
      </c>
      <c r="D6" s="1"/>
    </row>
    <row r="7" spans="1:4" x14ac:dyDescent="0.2">
      <c r="A7" s="5" t="s">
        <v>1</v>
      </c>
      <c r="B7" s="13">
        <v>24</v>
      </c>
      <c r="C7" s="2">
        <f>MemberOfAssemblyAssemblyDistrict87General[[#This Row],[Part of Bronx County Vote Results]]</f>
        <v>24</v>
      </c>
      <c r="D7" s="1"/>
    </row>
    <row r="8" spans="1:4" x14ac:dyDescent="0.2">
      <c r="A8" s="5" t="s">
        <v>5</v>
      </c>
      <c r="B8" s="13">
        <v>11</v>
      </c>
      <c r="C8" s="2">
        <f>MemberOfAssemblyAssemblyDistrict87General[[#This Row],[Part of Bronx County Vote Results]]</f>
        <v>11</v>
      </c>
      <c r="D8" s="1"/>
    </row>
    <row r="9" spans="1:4" x14ac:dyDescent="0.2">
      <c r="A9" s="4" t="s">
        <v>2</v>
      </c>
      <c r="B9" s="13">
        <f>SUM(MemberOfAssemblyAssemblyDistrict87General[Part of Bronx County Vote Results])</f>
        <v>17999</v>
      </c>
      <c r="C9" s="2">
        <f>SUM(MemberOfAssemblyAssemblyDistrict87General[Total Votes by Party])</f>
        <v>17999</v>
      </c>
      <c r="D9" s="1"/>
    </row>
    <row r="10" spans="1:4" x14ac:dyDescent="0.2">
      <c r="B10" s="23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7BD1-5835-4874-9BF8-6BEEF3073134}">
  <sheetPr codeName="Sheet134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364</v>
      </c>
    </row>
    <row r="2" spans="1:4" ht="25.5" x14ac:dyDescent="0.2">
      <c r="A2" s="10" t="s">
        <v>8</v>
      </c>
      <c r="B2" s="55" t="s">
        <v>29</v>
      </c>
      <c r="C2" s="9" t="s">
        <v>3</v>
      </c>
      <c r="D2" s="8" t="s">
        <v>4</v>
      </c>
    </row>
    <row r="3" spans="1:4" x14ac:dyDescent="0.2">
      <c r="A3" s="12" t="s">
        <v>365</v>
      </c>
      <c r="B3" s="14">
        <v>32609</v>
      </c>
      <c r="C3" s="32">
        <f>MemberOfAssemblyAssemblyDistrict88General[[#This Row],[Part of Westchester County Vote Results]]</f>
        <v>32609</v>
      </c>
      <c r="D3" s="15">
        <f>SUM(MemberOfAssemblyAssemblyDistrict88General[[#This Row],[Total Votes by Party]],C6)</f>
        <v>34340</v>
      </c>
    </row>
    <row r="4" spans="1:4" x14ac:dyDescent="0.2">
      <c r="A4" s="6" t="s">
        <v>363</v>
      </c>
      <c r="B4" s="13">
        <v>17942</v>
      </c>
      <c r="C4" s="2">
        <f>MemberOfAssemblyAssemblyDistrict88General[[#This Row],[Part of Westchester County Vote Results]]</f>
        <v>17942</v>
      </c>
      <c r="D4" s="7">
        <f>SUM(MemberOfAssemblyAssemblyDistrict88General[[#This Row],[Total Votes by Party]],C5)</f>
        <v>19185</v>
      </c>
    </row>
    <row r="5" spans="1:4" x14ac:dyDescent="0.2">
      <c r="A5" s="6" t="s">
        <v>362</v>
      </c>
      <c r="B5" s="13">
        <v>1243</v>
      </c>
      <c r="C5" s="2">
        <f>MemberOfAssemblyAssemblyDistrict88General[[#This Row],[Part of Westchester County Vote Results]]</f>
        <v>1243</v>
      </c>
      <c r="D5" s="1"/>
    </row>
    <row r="6" spans="1:4" x14ac:dyDescent="0.2">
      <c r="A6" s="6" t="s">
        <v>361</v>
      </c>
      <c r="B6" s="13">
        <v>1731</v>
      </c>
      <c r="C6" s="2">
        <f>MemberOfAssemblyAssemblyDistrict88General[[#This Row],[Part of Westchester County Vote Results]]</f>
        <v>1731</v>
      </c>
      <c r="D6" s="1"/>
    </row>
    <row r="7" spans="1:4" x14ac:dyDescent="0.2">
      <c r="A7" s="5" t="s">
        <v>0</v>
      </c>
      <c r="B7" s="13">
        <v>2240</v>
      </c>
      <c r="C7" s="2">
        <f>MemberOfAssemblyAssemblyDistrict88General[[#This Row],[Part of Westchester County Vote Results]]</f>
        <v>2240</v>
      </c>
      <c r="D7" s="1"/>
    </row>
    <row r="8" spans="1:4" x14ac:dyDescent="0.2">
      <c r="A8" s="5" t="s">
        <v>1</v>
      </c>
      <c r="B8" s="13"/>
      <c r="C8" s="2">
        <f>MemberOfAssemblyAssemblyDistrict88General[[#This Row],[Part of Westchester County Vote Results]]</f>
        <v>0</v>
      </c>
      <c r="D8" s="1"/>
    </row>
    <row r="9" spans="1:4" x14ac:dyDescent="0.2">
      <c r="A9" s="5" t="s">
        <v>5</v>
      </c>
      <c r="B9" s="13">
        <v>15</v>
      </c>
      <c r="C9" s="2">
        <f>MemberOfAssemblyAssemblyDistrict88General[[#This Row],[Part of Westchester County Vote Results]]</f>
        <v>15</v>
      </c>
      <c r="D9" s="1"/>
    </row>
    <row r="10" spans="1:4" x14ac:dyDescent="0.2">
      <c r="A10" s="4" t="s">
        <v>2</v>
      </c>
      <c r="B10" s="13">
        <f>SUM(MemberOfAssemblyAssemblyDistrict88General[Part of Westchester County Vote Results])</f>
        <v>55780</v>
      </c>
      <c r="C10" s="2">
        <f>SUM(MemberOfAssemblyAssemblyDistrict88General[Total Votes by Party])</f>
        <v>55780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8838-04D1-4CD8-BBEE-22003D35679E}">
  <sheetPr codeName="Sheet135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368</v>
      </c>
    </row>
    <row r="2" spans="1:4" ht="25.5" x14ac:dyDescent="0.2">
      <c r="A2" s="10" t="s">
        <v>8</v>
      </c>
      <c r="B2" s="55" t="s">
        <v>29</v>
      </c>
      <c r="C2" s="9" t="s">
        <v>3</v>
      </c>
      <c r="D2" s="8" t="s">
        <v>4</v>
      </c>
    </row>
    <row r="3" spans="1:4" x14ac:dyDescent="0.2">
      <c r="A3" s="5" t="s">
        <v>367</v>
      </c>
      <c r="B3" s="14">
        <v>18652</v>
      </c>
      <c r="C3" s="2">
        <f>MemberOfAssemblyAssemblyDistrict89General[[#This Row],[Part of Westchester County Vote Results]]</f>
        <v>18652</v>
      </c>
      <c r="D3" s="7">
        <f t="shared" ref="D3" si="0">C3</f>
        <v>18652</v>
      </c>
    </row>
    <row r="4" spans="1:4" x14ac:dyDescent="0.2">
      <c r="A4" s="5" t="s">
        <v>366</v>
      </c>
      <c r="B4" s="13">
        <v>1824</v>
      </c>
      <c r="C4" s="2">
        <f>MemberOfAssemblyAssemblyDistrict89General[[#This Row],[Part of Westchester County Vote Results]]</f>
        <v>1824</v>
      </c>
      <c r="D4" s="7">
        <f>C4</f>
        <v>1824</v>
      </c>
    </row>
    <row r="5" spans="1:4" x14ac:dyDescent="0.2">
      <c r="A5" s="5" t="s">
        <v>0</v>
      </c>
      <c r="B5" s="13">
        <v>6180</v>
      </c>
      <c r="C5" s="2">
        <f>MemberOfAssemblyAssemblyDistrict89General[[#This Row],[Part of Westchester County Vote Results]]</f>
        <v>6180</v>
      </c>
      <c r="D5" s="1"/>
    </row>
    <row r="6" spans="1:4" x14ac:dyDescent="0.2">
      <c r="A6" s="5" t="s">
        <v>1</v>
      </c>
      <c r="B6" s="13"/>
      <c r="C6" s="2">
        <f>MemberOfAssemblyAssemblyDistrict89General[[#This Row],[Part of Westchester County Vote Results]]</f>
        <v>0</v>
      </c>
      <c r="D6" s="1"/>
    </row>
    <row r="7" spans="1:4" x14ac:dyDescent="0.2">
      <c r="A7" s="5" t="s">
        <v>5</v>
      </c>
      <c r="B7" s="13">
        <v>55</v>
      </c>
      <c r="C7" s="2">
        <f>MemberOfAssemblyAssemblyDistrict89General[[#This Row],[Part of Westchester County Vote Results]]</f>
        <v>55</v>
      </c>
      <c r="D7" s="1"/>
    </row>
    <row r="8" spans="1:4" x14ac:dyDescent="0.2">
      <c r="A8" s="4" t="s">
        <v>2</v>
      </c>
      <c r="B8" s="13">
        <f>SUM(MemberOfAssemblyAssemblyDistrict89General[Part of Westchester County Vote Results])</f>
        <v>26711</v>
      </c>
      <c r="C8" s="2">
        <f>SUM(MemberOfAssemblyAssemblyDistrict89General[Total Votes by Party])</f>
        <v>26711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9CA8C-3DDD-432D-9E2B-34FF4B4D51C7}">
  <sheetPr codeName="Sheet55"/>
  <dimension ref="A1:E9"/>
  <sheetViews>
    <sheetView workbookViewId="0">
      <selection activeCell="A5" sqref="A5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87</v>
      </c>
    </row>
    <row r="2" spans="1:5" ht="25.5" x14ac:dyDescent="0.2">
      <c r="A2" s="10" t="s">
        <v>8</v>
      </c>
      <c r="B2" s="55" t="s">
        <v>24</v>
      </c>
      <c r="C2" s="55" t="s">
        <v>23</v>
      </c>
      <c r="D2" s="9" t="s">
        <v>3</v>
      </c>
      <c r="E2" s="8" t="s">
        <v>4</v>
      </c>
    </row>
    <row r="3" spans="1:5" x14ac:dyDescent="0.2">
      <c r="A3" s="6" t="s">
        <v>86</v>
      </c>
      <c r="B3" s="13">
        <v>4877</v>
      </c>
      <c r="C3" s="3">
        <v>11439</v>
      </c>
      <c r="D3" s="2">
        <f>SUM(MemberOfAssemblyAssemblyDistrict9General[[#This Row],[Part of Nassau County Vote Results]:[Part of Suffolk County Vote Results]])</f>
        <v>16316</v>
      </c>
      <c r="E3" s="7">
        <f>D3</f>
        <v>16316</v>
      </c>
    </row>
    <row r="4" spans="1:5" x14ac:dyDescent="0.2">
      <c r="A4" s="6" t="s">
        <v>645</v>
      </c>
      <c r="B4" s="13">
        <v>13319</v>
      </c>
      <c r="C4" s="3">
        <v>19710</v>
      </c>
      <c r="D4" s="2">
        <f>SUM(MemberOfAssemblyAssemblyDistrict9General[[#This Row],[Part of Nassau County Vote Results]:[Part of Suffolk County Vote Results]])</f>
        <v>33029</v>
      </c>
      <c r="E4" s="7">
        <f>SUM(D4,D5)</f>
        <v>37173</v>
      </c>
    </row>
    <row r="5" spans="1:5" x14ac:dyDescent="0.2">
      <c r="A5" s="6" t="s">
        <v>646</v>
      </c>
      <c r="B5" s="13">
        <v>1255</v>
      </c>
      <c r="C5" s="3">
        <v>2889</v>
      </c>
      <c r="D5" s="2">
        <f>SUM(MemberOfAssemblyAssemblyDistrict9General[[#This Row],[Part of Nassau County Vote Results]:[Part of Suffolk County Vote Results]])</f>
        <v>4144</v>
      </c>
      <c r="E5" s="1"/>
    </row>
    <row r="6" spans="1:5" x14ac:dyDescent="0.2">
      <c r="A6" s="5" t="s">
        <v>0</v>
      </c>
      <c r="B6" s="13">
        <v>617</v>
      </c>
      <c r="C6" s="3">
        <v>1484</v>
      </c>
      <c r="D6" s="2">
        <f>SUM(MemberOfAssemblyAssemblyDistrict9General[[#This Row],[Part of Nassau County Vote Results]:[Part of Suffolk County Vote Results]])</f>
        <v>2101</v>
      </c>
      <c r="E6" s="1"/>
    </row>
    <row r="7" spans="1:5" x14ac:dyDescent="0.2">
      <c r="A7" s="5" t="s">
        <v>1</v>
      </c>
      <c r="B7" s="13">
        <v>2</v>
      </c>
      <c r="C7" s="3">
        <v>10</v>
      </c>
      <c r="D7" s="2">
        <f>SUM(MemberOfAssemblyAssemblyDistrict9General[[#This Row],[Part of Nassau County Vote Results]:[Part of Suffolk County Vote Results]])</f>
        <v>12</v>
      </c>
      <c r="E7" s="1"/>
    </row>
    <row r="8" spans="1:5" x14ac:dyDescent="0.2">
      <c r="A8" s="5" t="s">
        <v>5</v>
      </c>
      <c r="B8" s="22">
        <v>7</v>
      </c>
      <c r="C8" s="21">
        <v>6</v>
      </c>
      <c r="D8" s="2">
        <f>SUM(MemberOfAssemblyAssemblyDistrict9General[[#This Row],[Part of Nassau County Vote Results]:[Part of Suffolk County Vote Results]])</f>
        <v>13</v>
      </c>
      <c r="E8" s="1"/>
    </row>
    <row r="9" spans="1:5" x14ac:dyDescent="0.2">
      <c r="A9" s="4" t="s">
        <v>2</v>
      </c>
      <c r="B9" s="13">
        <f>SUM(MemberOfAssemblyAssemblyDistrict9General[Part of Nassau County Vote Results])</f>
        <v>20077</v>
      </c>
      <c r="C9" s="3">
        <f>SUM(MemberOfAssemblyAssemblyDistrict9General[Part of Suffolk County Vote Results])</f>
        <v>35538</v>
      </c>
      <c r="D9" s="2">
        <f>SUM(MemberOfAssemblyAssemblyDistrict9General[Total Votes by Party])</f>
        <v>55615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2D7B-B60B-44FF-98B6-EAB561FE25D8}">
  <sheetPr codeName="Sheet136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373</v>
      </c>
    </row>
    <row r="2" spans="1:4" ht="25.5" x14ac:dyDescent="0.2">
      <c r="A2" s="10" t="s">
        <v>8</v>
      </c>
      <c r="B2" s="55" t="s">
        <v>29</v>
      </c>
      <c r="C2" s="9" t="s">
        <v>3</v>
      </c>
      <c r="D2" s="8" t="s">
        <v>4</v>
      </c>
    </row>
    <row r="3" spans="1:4" x14ac:dyDescent="0.2">
      <c r="A3" s="26" t="s">
        <v>372</v>
      </c>
      <c r="B3" s="14">
        <v>16934</v>
      </c>
      <c r="C3" s="32">
        <f>MemberOfAssemblyAssemblyDistrict90General[[#This Row],[Part of Westchester County Vote Results]]</f>
        <v>16934</v>
      </c>
      <c r="D3" s="7">
        <f>SUM(MemberOfAssemblyAssemblyDistrict90General[[#This Row],[Total Votes by Party]],C6)</f>
        <v>17228</v>
      </c>
    </row>
    <row r="4" spans="1:4" x14ac:dyDescent="0.2">
      <c r="A4" s="12" t="s">
        <v>371</v>
      </c>
      <c r="B4" s="14">
        <v>14152</v>
      </c>
      <c r="C4" s="32">
        <f>MemberOfAssemblyAssemblyDistrict90General[[#This Row],[Part of Westchester County Vote Results]]</f>
        <v>14152</v>
      </c>
      <c r="D4" s="7">
        <f>SUM(MemberOfAssemblyAssemblyDistrict90General[[#This Row],[Total Votes by Party]],C5)</f>
        <v>15422</v>
      </c>
    </row>
    <row r="5" spans="1:4" x14ac:dyDescent="0.2">
      <c r="A5" s="12" t="s">
        <v>370</v>
      </c>
      <c r="B5" s="13">
        <v>1270</v>
      </c>
      <c r="C5" s="2">
        <f>MemberOfAssemblyAssemblyDistrict90General[[#This Row],[Part of Westchester County Vote Results]]</f>
        <v>1270</v>
      </c>
      <c r="D5" s="1"/>
    </row>
    <row r="6" spans="1:4" x14ac:dyDescent="0.2">
      <c r="A6" s="6" t="s">
        <v>369</v>
      </c>
      <c r="B6" s="13">
        <v>294</v>
      </c>
      <c r="C6" s="2">
        <f>MemberOfAssemblyAssemblyDistrict90General[[#This Row],[Part of Westchester County Vote Results]]</f>
        <v>294</v>
      </c>
      <c r="D6" s="1"/>
    </row>
    <row r="7" spans="1:4" x14ac:dyDescent="0.2">
      <c r="A7" s="5" t="s">
        <v>0</v>
      </c>
      <c r="B7" s="13">
        <v>1802</v>
      </c>
      <c r="C7" s="2">
        <f>MemberOfAssemblyAssemblyDistrict90General[[#This Row],[Part of Westchester County Vote Results]]</f>
        <v>1802</v>
      </c>
      <c r="D7" s="1"/>
    </row>
    <row r="8" spans="1:4" x14ac:dyDescent="0.2">
      <c r="A8" s="5" t="s">
        <v>1</v>
      </c>
      <c r="B8" s="13"/>
      <c r="C8" s="2">
        <f>MemberOfAssemblyAssemblyDistrict90General[[#This Row],[Part of Westchester County Vote Results]]</f>
        <v>0</v>
      </c>
      <c r="D8" s="1"/>
    </row>
    <row r="9" spans="1:4" x14ac:dyDescent="0.2">
      <c r="A9" s="5" t="s">
        <v>5</v>
      </c>
      <c r="B9" s="13">
        <v>14</v>
      </c>
      <c r="C9" s="2">
        <f>MemberOfAssemblyAssemblyDistrict90General[[#This Row],[Part of Westchester County Vote Results]]</f>
        <v>14</v>
      </c>
      <c r="D9" s="1"/>
    </row>
    <row r="10" spans="1:4" x14ac:dyDescent="0.2">
      <c r="A10" s="4" t="s">
        <v>2</v>
      </c>
      <c r="B10" s="13">
        <f>SUM(MemberOfAssemblyAssemblyDistrict90General[Part of Westchester County Vote Results])</f>
        <v>34466</v>
      </c>
      <c r="C10" s="2">
        <f>SUM(MemberOfAssemblyAssemblyDistrict90General[Total Votes by Party])</f>
        <v>34466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6220-CD61-4700-B3D5-DF9975D51C22}">
  <sheetPr codeName="Sheet137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376</v>
      </c>
    </row>
    <row r="2" spans="1:4" ht="25.5" x14ac:dyDescent="0.2">
      <c r="A2" s="10" t="s">
        <v>8</v>
      </c>
      <c r="B2" s="55" t="s">
        <v>29</v>
      </c>
      <c r="C2" s="9" t="s">
        <v>3</v>
      </c>
      <c r="D2" s="8" t="s">
        <v>4</v>
      </c>
    </row>
    <row r="3" spans="1:4" x14ac:dyDescent="0.2">
      <c r="A3" s="6" t="s">
        <v>375</v>
      </c>
      <c r="B3" s="13">
        <v>24931</v>
      </c>
      <c r="C3" s="2">
        <f>MemberOfAssemblyAssemblyDistrict91General[[#This Row],[Part of Westchester County Vote Results]]</f>
        <v>24931</v>
      </c>
      <c r="D3" s="7">
        <f>SUM(MemberOfAssemblyAssemblyDistrict91General[[#This Row],[Total Votes by Party]],C4)</f>
        <v>26877</v>
      </c>
    </row>
    <row r="4" spans="1:4" x14ac:dyDescent="0.2">
      <c r="A4" s="6" t="s">
        <v>374</v>
      </c>
      <c r="B4" s="13">
        <v>1946</v>
      </c>
      <c r="C4" s="2">
        <f>MemberOfAssemblyAssemblyDistrict91General[[#This Row],[Part of Westchester County Vote Results]]</f>
        <v>1946</v>
      </c>
      <c r="D4" s="1"/>
    </row>
    <row r="5" spans="1:4" x14ac:dyDescent="0.2">
      <c r="A5" s="5" t="s">
        <v>0</v>
      </c>
      <c r="B5" s="13">
        <v>13438</v>
      </c>
      <c r="C5" s="2">
        <f>MemberOfAssemblyAssemblyDistrict91General[[#This Row],[Part of Westchester County Vote Results]]</f>
        <v>13438</v>
      </c>
      <c r="D5" s="1"/>
    </row>
    <row r="6" spans="1:4" x14ac:dyDescent="0.2">
      <c r="A6" s="5" t="s">
        <v>1</v>
      </c>
      <c r="B6" s="13"/>
      <c r="C6" s="2">
        <f>MemberOfAssemblyAssemblyDistrict91General[[#This Row],[Part of Westchester County Vote Results]]</f>
        <v>0</v>
      </c>
      <c r="D6" s="1"/>
    </row>
    <row r="7" spans="1:4" x14ac:dyDescent="0.2">
      <c r="A7" s="5" t="s">
        <v>5</v>
      </c>
      <c r="B7" s="13">
        <v>103</v>
      </c>
      <c r="C7" s="2">
        <f>MemberOfAssemblyAssemblyDistrict91General[[#This Row],[Part of Westchester County Vote Results]]</f>
        <v>103</v>
      </c>
      <c r="D7" s="1"/>
    </row>
    <row r="8" spans="1:4" x14ac:dyDescent="0.2">
      <c r="A8" s="4" t="s">
        <v>2</v>
      </c>
      <c r="B8" s="13">
        <f>SUM(MemberOfAssemblyAssemblyDistrict91General[Part of Westchester County Vote Results])</f>
        <v>40418</v>
      </c>
      <c r="C8" s="2">
        <f>SUM(MemberOfAssemblyAssemblyDistrict91General[Total Votes by Party])</f>
        <v>40418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EB32-0FBB-4EE1-AB85-456712535B85}">
  <sheetPr codeName="Sheet138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381</v>
      </c>
    </row>
    <row r="2" spans="1:4" ht="25.5" x14ac:dyDescent="0.2">
      <c r="A2" s="10" t="s">
        <v>8</v>
      </c>
      <c r="B2" s="55" t="s">
        <v>29</v>
      </c>
      <c r="C2" s="9" t="s">
        <v>3</v>
      </c>
      <c r="D2" s="8" t="s">
        <v>4</v>
      </c>
    </row>
    <row r="3" spans="1:4" x14ac:dyDescent="0.2">
      <c r="A3" s="6" t="s">
        <v>380</v>
      </c>
      <c r="B3" s="13">
        <v>31894</v>
      </c>
      <c r="C3" s="2">
        <f>MemberOfAssemblyAssemblyDistrict92General[[#This Row],[Part of Westchester County Vote Results]]</f>
        <v>31894</v>
      </c>
      <c r="D3" s="7">
        <f>SUM(MemberOfAssemblyAssemblyDistrict92General[[#This Row],[Total Votes by Party]],C6)</f>
        <v>34298</v>
      </c>
    </row>
    <row r="4" spans="1:4" x14ac:dyDescent="0.2">
      <c r="A4" s="6" t="s">
        <v>379</v>
      </c>
      <c r="B4" s="13">
        <v>16296</v>
      </c>
      <c r="C4" s="2">
        <f>MemberOfAssemblyAssemblyDistrict92General[[#This Row],[Part of Westchester County Vote Results]]</f>
        <v>16296</v>
      </c>
      <c r="D4" s="7">
        <f>SUM(MemberOfAssemblyAssemblyDistrict92General[[#This Row],[Total Votes by Party]],C5)</f>
        <v>17639</v>
      </c>
    </row>
    <row r="5" spans="1:4" x14ac:dyDescent="0.2">
      <c r="A5" s="6" t="s">
        <v>378</v>
      </c>
      <c r="B5" s="13">
        <v>1343</v>
      </c>
      <c r="C5" s="2">
        <f>MemberOfAssemblyAssemblyDistrict92General[[#This Row],[Part of Westchester County Vote Results]]</f>
        <v>1343</v>
      </c>
      <c r="D5" s="1"/>
    </row>
    <row r="6" spans="1:4" x14ac:dyDescent="0.2">
      <c r="A6" s="6" t="s">
        <v>377</v>
      </c>
      <c r="B6" s="13">
        <v>2404</v>
      </c>
      <c r="C6" s="2">
        <f>MemberOfAssemblyAssemblyDistrict92General[[#This Row],[Part of Westchester County Vote Results]]</f>
        <v>2404</v>
      </c>
      <c r="D6" s="1"/>
    </row>
    <row r="7" spans="1:4" x14ac:dyDescent="0.2">
      <c r="A7" s="5" t="s">
        <v>0</v>
      </c>
      <c r="B7" s="13">
        <v>2628</v>
      </c>
      <c r="C7" s="2">
        <f>MemberOfAssemblyAssemblyDistrict92General[[#This Row],[Part of Westchester County Vote Results]]</f>
        <v>2628</v>
      </c>
      <c r="D7" s="1"/>
    </row>
    <row r="8" spans="1:4" x14ac:dyDescent="0.2">
      <c r="A8" s="5" t="s">
        <v>1</v>
      </c>
      <c r="B8" s="13"/>
      <c r="C8" s="2">
        <f>MemberOfAssemblyAssemblyDistrict92General[[#This Row],[Part of Westchester County Vote Results]]</f>
        <v>0</v>
      </c>
      <c r="D8" s="1"/>
    </row>
    <row r="9" spans="1:4" x14ac:dyDescent="0.2">
      <c r="A9" s="5" t="s">
        <v>5</v>
      </c>
      <c r="B9" s="13">
        <v>17</v>
      </c>
      <c r="C9" s="2">
        <f>MemberOfAssemblyAssemblyDistrict92General[[#This Row],[Part of Westchester County Vote Results]]</f>
        <v>17</v>
      </c>
      <c r="D9" s="1"/>
    </row>
    <row r="10" spans="1:4" x14ac:dyDescent="0.2">
      <c r="A10" s="4" t="s">
        <v>2</v>
      </c>
      <c r="B10" s="13">
        <f>SUM(MemberOfAssemblyAssemblyDistrict92General[Part of Westchester County Vote Results])</f>
        <v>54582</v>
      </c>
      <c r="C10" s="2">
        <f>SUM(MemberOfAssemblyAssemblyDistrict92General[Total Votes by Party])</f>
        <v>54582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433A5-7123-47B8-AFE7-CB571EC6A7CD}">
  <sheetPr codeName="Sheet139">
    <pageSetUpPr fitToPage="1"/>
  </sheetPr>
  <dimension ref="A1:D10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384</v>
      </c>
    </row>
    <row r="2" spans="1:4" ht="25.5" x14ac:dyDescent="0.2">
      <c r="A2" s="10" t="s">
        <v>8</v>
      </c>
      <c r="B2" s="55" t="s">
        <v>29</v>
      </c>
      <c r="C2" s="9" t="s">
        <v>3</v>
      </c>
      <c r="D2" s="8" t="s">
        <v>4</v>
      </c>
    </row>
    <row r="3" spans="1:4" x14ac:dyDescent="0.2">
      <c r="A3" s="6" t="s">
        <v>385</v>
      </c>
      <c r="B3" s="13">
        <v>31428</v>
      </c>
      <c r="C3" s="2">
        <f>MemberOfAssemblyAssemblyDistrict93General[[#This Row],[Part of Westchester County Vote Results]]</f>
        <v>31428</v>
      </c>
      <c r="D3" s="7">
        <f>SUM(MemberOfAssemblyAssemblyDistrict93General[[#This Row],[Total Votes by Party]],C6)</f>
        <v>33162</v>
      </c>
    </row>
    <row r="4" spans="1:4" x14ac:dyDescent="0.2">
      <c r="A4" s="6" t="s">
        <v>383</v>
      </c>
      <c r="B4" s="13">
        <v>17897</v>
      </c>
      <c r="C4" s="2">
        <f>MemberOfAssemblyAssemblyDistrict93General[[#This Row],[Part of Westchester County Vote Results]]</f>
        <v>17897</v>
      </c>
      <c r="D4" s="7">
        <f>SUM(MemberOfAssemblyAssemblyDistrict93General[[#This Row],[Total Votes by Party]],C5)</f>
        <v>19337</v>
      </c>
    </row>
    <row r="5" spans="1:4" x14ac:dyDescent="0.2">
      <c r="A5" s="6" t="s">
        <v>382</v>
      </c>
      <c r="B5" s="13">
        <v>1440</v>
      </c>
      <c r="C5" s="2">
        <f>MemberOfAssemblyAssemblyDistrict93General[[#This Row],[Part of Westchester County Vote Results]]</f>
        <v>1440</v>
      </c>
      <c r="D5" s="1"/>
    </row>
    <row r="6" spans="1:4" x14ac:dyDescent="0.2">
      <c r="A6" s="6" t="s">
        <v>386</v>
      </c>
      <c r="B6" s="13">
        <v>1734</v>
      </c>
      <c r="C6" s="2">
        <f>MemberOfAssemblyAssemblyDistrict93General[[#This Row],[Part of Westchester County Vote Results]]</f>
        <v>1734</v>
      </c>
      <c r="D6" s="1"/>
    </row>
    <row r="7" spans="1:4" x14ac:dyDescent="0.2">
      <c r="A7" s="5" t="s">
        <v>0</v>
      </c>
      <c r="B7" s="13">
        <v>2571</v>
      </c>
      <c r="C7" s="2">
        <f>MemberOfAssemblyAssemblyDistrict93General[[#This Row],[Part of Westchester County Vote Results]]</f>
        <v>2571</v>
      </c>
      <c r="D7" s="1"/>
    </row>
    <row r="8" spans="1:4" x14ac:dyDescent="0.2">
      <c r="A8" s="5" t="s">
        <v>1</v>
      </c>
      <c r="B8" s="13"/>
      <c r="C8" s="2">
        <f>MemberOfAssemblyAssemblyDistrict93General[[#This Row],[Part of Westchester County Vote Results]]</f>
        <v>0</v>
      </c>
      <c r="D8" s="1"/>
    </row>
    <row r="9" spans="1:4" x14ac:dyDescent="0.2">
      <c r="A9" s="5" t="s">
        <v>5</v>
      </c>
      <c r="B9" s="13">
        <v>13</v>
      </c>
      <c r="C9" s="2">
        <f>MemberOfAssemblyAssemblyDistrict93General[[#This Row],[Part of Westchester County Vote Results]]</f>
        <v>13</v>
      </c>
      <c r="D9" s="1"/>
    </row>
    <row r="10" spans="1:4" x14ac:dyDescent="0.2">
      <c r="A10" s="4" t="s">
        <v>2</v>
      </c>
      <c r="B10" s="13">
        <f>SUM(MemberOfAssemblyAssemblyDistrict93General[Part of Westchester County Vote Results])</f>
        <v>55083</v>
      </c>
      <c r="C10" s="2">
        <f>SUM(MemberOfAssemblyAssemblyDistrict93General[Total Votes by Party])</f>
        <v>55083</v>
      </c>
      <c r="D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36CD-B626-45DD-ADE3-3FD2C03C1B7C}">
  <sheetPr codeName="Sheet140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6.5703125" customWidth="1"/>
    <col min="2" max="5" width="20.5703125" customWidth="1"/>
    <col min="6" max="7" width="23.5703125" customWidth="1"/>
  </cols>
  <sheetData>
    <row r="1" spans="1:5" ht="18.75" x14ac:dyDescent="0.2">
      <c r="A1" s="11" t="s">
        <v>390</v>
      </c>
    </row>
    <row r="2" spans="1:5" ht="25.5" x14ac:dyDescent="0.2">
      <c r="A2" s="10" t="s">
        <v>8</v>
      </c>
      <c r="B2" s="55" t="s">
        <v>43</v>
      </c>
      <c r="C2" s="55" t="s">
        <v>29</v>
      </c>
      <c r="D2" s="9" t="s">
        <v>3</v>
      </c>
      <c r="E2" s="8" t="s">
        <v>4</v>
      </c>
    </row>
    <row r="3" spans="1:5" x14ac:dyDescent="0.2">
      <c r="A3" s="6" t="s">
        <v>389</v>
      </c>
      <c r="B3" s="13">
        <v>12741</v>
      </c>
      <c r="C3" s="13">
        <v>8489</v>
      </c>
      <c r="D3" s="2">
        <f>SUM(MemberOfAssemblyAssemblyDistrict94General[[#This Row],[Part of Putnam County Vote Results]:[Part of Westchester County Vote Results]])</f>
        <v>21230</v>
      </c>
      <c r="E3" s="7">
        <f>SUM(MemberOfAssemblyAssemblyDistrict94General[[#This Row],[Total Votes by Party]])</f>
        <v>21230</v>
      </c>
    </row>
    <row r="4" spans="1:5" x14ac:dyDescent="0.2">
      <c r="A4" s="6" t="s">
        <v>388</v>
      </c>
      <c r="B4" s="13">
        <v>20167</v>
      </c>
      <c r="C4" s="13">
        <v>11923</v>
      </c>
      <c r="D4" s="2">
        <f>SUM(MemberOfAssemblyAssemblyDistrict94General[[#This Row],[Part of Putnam County Vote Results]:[Part of Westchester County Vote Results]])</f>
        <v>32090</v>
      </c>
      <c r="E4" s="7">
        <f>SUM(MemberOfAssemblyAssemblyDistrict94General[[#This Row],[Total Votes by Party]],D5)</f>
        <v>35618</v>
      </c>
    </row>
    <row r="5" spans="1:5" x14ac:dyDescent="0.2">
      <c r="A5" s="6" t="s">
        <v>387</v>
      </c>
      <c r="B5" s="13">
        <v>2387</v>
      </c>
      <c r="C5" s="13">
        <v>1141</v>
      </c>
      <c r="D5" s="2">
        <f>SUM(MemberOfAssemblyAssemblyDistrict94General[[#This Row],[Part of Putnam County Vote Results]:[Part of Westchester County Vote Results]])</f>
        <v>3528</v>
      </c>
      <c r="E5" s="1"/>
    </row>
    <row r="6" spans="1:5" x14ac:dyDescent="0.2">
      <c r="A6" s="5" t="s">
        <v>0</v>
      </c>
      <c r="B6" s="13">
        <v>1173</v>
      </c>
      <c r="C6" s="13">
        <v>660</v>
      </c>
      <c r="D6" s="2">
        <f>SUM(MemberOfAssemblyAssemblyDistrict94General[[#This Row],[Part of Putnam County Vote Results]:[Part of Westchester County Vote Results]])</f>
        <v>1833</v>
      </c>
      <c r="E6" s="1"/>
    </row>
    <row r="7" spans="1:5" x14ac:dyDescent="0.2">
      <c r="A7" s="5" t="s">
        <v>1</v>
      </c>
      <c r="B7" s="13">
        <v>0</v>
      </c>
      <c r="C7" s="13"/>
      <c r="D7" s="2">
        <f>SUM(MemberOfAssemblyAssemblyDistrict94General[[#This Row],[Part of Putnam County Vote Results]:[Part of Westchester County Vote Results]])</f>
        <v>0</v>
      </c>
      <c r="E7" s="1"/>
    </row>
    <row r="8" spans="1:5" x14ac:dyDescent="0.2">
      <c r="A8" s="5" t="s">
        <v>5</v>
      </c>
      <c r="B8" s="13">
        <v>9</v>
      </c>
      <c r="C8" s="13">
        <v>4</v>
      </c>
      <c r="D8" s="2">
        <f>SUM(MemberOfAssemblyAssemblyDistrict94General[[#This Row],[Part of Putnam County Vote Results]:[Part of Westchester County Vote Results]])</f>
        <v>13</v>
      </c>
      <c r="E8" s="1"/>
    </row>
    <row r="9" spans="1:5" x14ac:dyDescent="0.2">
      <c r="A9" s="4" t="s">
        <v>2</v>
      </c>
      <c r="B9" s="13">
        <f>SUM(MemberOfAssemblyAssemblyDistrict94General[Part of Putnam County Vote Results])</f>
        <v>36477</v>
      </c>
      <c r="C9" s="13">
        <f>SUM(MemberOfAssemblyAssemblyDistrict94General[Part of Westchester County Vote Results])</f>
        <v>22217</v>
      </c>
      <c r="D9" s="2">
        <f>SUM(MemberOfAssemblyAssemblyDistrict94General[Total Votes by Party])</f>
        <v>58694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79ED-D41D-4B47-A274-FF17185F4F8B}">
  <sheetPr codeName="Sheet141">
    <pageSetUpPr fitToPage="1"/>
  </sheetPr>
  <dimension ref="A1:E10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393</v>
      </c>
    </row>
    <row r="2" spans="1:5" ht="25.5" x14ac:dyDescent="0.2">
      <c r="A2" s="10" t="s">
        <v>8</v>
      </c>
      <c r="B2" s="55" t="s">
        <v>43</v>
      </c>
      <c r="C2" s="55" t="s">
        <v>29</v>
      </c>
      <c r="D2" s="9" t="s">
        <v>3</v>
      </c>
      <c r="E2" s="8" t="s">
        <v>4</v>
      </c>
    </row>
    <row r="3" spans="1:5" x14ac:dyDescent="0.2">
      <c r="A3" s="6" t="s">
        <v>392</v>
      </c>
      <c r="B3" s="13">
        <v>2847</v>
      </c>
      <c r="C3" s="13">
        <v>23254</v>
      </c>
      <c r="D3" s="2">
        <f>SUM(MemberOfAssemblyAssemblyDistrict95General[[#This Row],[Part of Putnam County Vote Results]:[Part of Westchester County Vote Results]])</f>
        <v>26101</v>
      </c>
      <c r="E3" s="7">
        <f>SUM(MemberOfAssemblyAssemblyDistrict95General[[#This Row],[Total Votes by Party]],D6)</f>
        <v>28495</v>
      </c>
    </row>
    <row r="4" spans="1:5" x14ac:dyDescent="0.2">
      <c r="A4" s="6" t="s">
        <v>394</v>
      </c>
      <c r="B4" s="13">
        <v>1579</v>
      </c>
      <c r="C4" s="13">
        <v>13868</v>
      </c>
      <c r="D4" s="2">
        <f>SUM(MemberOfAssemblyAssemblyDistrict95General[[#This Row],[Part of Putnam County Vote Results]:[Part of Westchester County Vote Results]])</f>
        <v>15447</v>
      </c>
      <c r="E4" s="7">
        <f>SUM(MemberOfAssemblyAssemblyDistrict95General[[#This Row],[Total Votes by Party]],D5)</f>
        <v>17150</v>
      </c>
    </row>
    <row r="5" spans="1:5" x14ac:dyDescent="0.2">
      <c r="A5" s="5" t="s">
        <v>395</v>
      </c>
      <c r="B5" s="13">
        <v>254</v>
      </c>
      <c r="C5" s="13">
        <v>1449</v>
      </c>
      <c r="D5" s="2">
        <f>SUM(MemberOfAssemblyAssemblyDistrict95General[[#This Row],[Part of Putnam County Vote Results]:[Part of Westchester County Vote Results]])</f>
        <v>1703</v>
      </c>
      <c r="E5" s="16"/>
    </row>
    <row r="6" spans="1:5" x14ac:dyDescent="0.2">
      <c r="A6" s="6" t="s">
        <v>391</v>
      </c>
      <c r="B6" s="13">
        <v>343</v>
      </c>
      <c r="C6" s="13">
        <v>2051</v>
      </c>
      <c r="D6" s="2">
        <f>SUM(MemberOfAssemblyAssemblyDistrict95General[[#This Row],[Part of Putnam County Vote Results]:[Part of Westchester County Vote Results]])</f>
        <v>2394</v>
      </c>
      <c r="E6" s="1"/>
    </row>
    <row r="7" spans="1:5" x14ac:dyDescent="0.2">
      <c r="A7" s="5" t="s">
        <v>0</v>
      </c>
      <c r="B7" s="13">
        <v>177</v>
      </c>
      <c r="C7" s="13">
        <v>1698</v>
      </c>
      <c r="D7" s="2">
        <f>SUM(MemberOfAssemblyAssemblyDistrict95General[[#This Row],[Part of Putnam County Vote Results]:[Part of Westchester County Vote Results]])</f>
        <v>1875</v>
      </c>
      <c r="E7" s="1"/>
    </row>
    <row r="8" spans="1:5" x14ac:dyDescent="0.2">
      <c r="A8" s="5" t="s">
        <v>1</v>
      </c>
      <c r="B8" s="13">
        <v>0</v>
      </c>
      <c r="C8" s="13"/>
      <c r="D8" s="2">
        <f>SUM(MemberOfAssemblyAssemblyDistrict95General[[#This Row],[Part of Putnam County Vote Results]:[Part of Westchester County Vote Results]])</f>
        <v>0</v>
      </c>
      <c r="E8" s="1"/>
    </row>
    <row r="9" spans="1:5" x14ac:dyDescent="0.2">
      <c r="A9" s="5" t="s">
        <v>5</v>
      </c>
      <c r="B9" s="13">
        <v>2</v>
      </c>
      <c r="C9" s="13">
        <v>9</v>
      </c>
      <c r="D9" s="2">
        <f>SUM(MemberOfAssemblyAssemblyDistrict95General[[#This Row],[Part of Putnam County Vote Results]:[Part of Westchester County Vote Results]])</f>
        <v>11</v>
      </c>
      <c r="E9" s="1"/>
    </row>
    <row r="10" spans="1:5" x14ac:dyDescent="0.2">
      <c r="A10" s="4" t="s">
        <v>2</v>
      </c>
      <c r="B10" s="13">
        <f>SUM(MemberOfAssemblyAssemblyDistrict95General[Part of Putnam County Vote Results])</f>
        <v>5202</v>
      </c>
      <c r="C10" s="13">
        <f>SUM(MemberOfAssemblyAssemblyDistrict95General[Part of Westchester County Vote Results])</f>
        <v>42329</v>
      </c>
      <c r="D10" s="2">
        <f>SUM(MemberOfAssemblyAssemblyDistrict95General[Total Votes by Party])</f>
        <v>47531</v>
      </c>
      <c r="E10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CDFC-572E-4088-99B9-FE8730593834}">
  <sheetPr codeName="Sheet142">
    <pageSetUpPr fitToPage="1"/>
  </sheetPr>
  <dimension ref="A1:D8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397</v>
      </c>
    </row>
    <row r="2" spans="1:4" ht="25.5" x14ac:dyDescent="0.2">
      <c r="A2" s="10" t="s">
        <v>8</v>
      </c>
      <c r="B2" s="55" t="s">
        <v>41</v>
      </c>
      <c r="C2" s="9" t="s">
        <v>3</v>
      </c>
      <c r="D2" s="8" t="s">
        <v>4</v>
      </c>
    </row>
    <row r="3" spans="1:4" x14ac:dyDescent="0.2">
      <c r="A3" s="6" t="s">
        <v>396</v>
      </c>
      <c r="B3" s="13">
        <v>26222</v>
      </c>
      <c r="C3" s="2">
        <f>MemberOfAssemblyAssemblyDistrict96General[[#This Row],[Part of Rockland County Vote Results]]</f>
        <v>26222</v>
      </c>
      <c r="D3" s="7">
        <f>SUM(MemberOfAssemblyAssemblyDistrict96General[[#This Row],[Total Votes by Party]])</f>
        <v>26222</v>
      </c>
    </row>
    <row r="4" spans="1:4" x14ac:dyDescent="0.2">
      <c r="A4" s="6" t="s">
        <v>398</v>
      </c>
      <c r="B4" s="13">
        <v>18640</v>
      </c>
      <c r="C4" s="2">
        <f>MemberOfAssemblyAssemblyDistrict96General[[#This Row],[Part of Rockland County Vote Results]]</f>
        <v>18640</v>
      </c>
      <c r="D4" s="7">
        <f>SUM(MemberOfAssemblyAssemblyDistrict96General[[#This Row],[Total Votes by Party]])</f>
        <v>18640</v>
      </c>
    </row>
    <row r="5" spans="1:4" x14ac:dyDescent="0.2">
      <c r="A5" s="5" t="s">
        <v>0</v>
      </c>
      <c r="B5" s="13">
        <v>2470</v>
      </c>
      <c r="C5" s="2">
        <f>MemberOfAssemblyAssemblyDistrict96General[[#This Row],[Part of Rockland County Vote Results]]</f>
        <v>2470</v>
      </c>
      <c r="D5" s="1"/>
    </row>
    <row r="6" spans="1:4" x14ac:dyDescent="0.2">
      <c r="A6" s="5" t="s">
        <v>1</v>
      </c>
      <c r="B6" s="13">
        <v>17</v>
      </c>
      <c r="C6" s="2">
        <f>MemberOfAssemblyAssemblyDistrict96General[[#This Row],[Part of Rockland County Vote Results]]</f>
        <v>17</v>
      </c>
      <c r="D6" s="1"/>
    </row>
    <row r="7" spans="1:4" x14ac:dyDescent="0.2">
      <c r="A7" s="5" t="s">
        <v>5</v>
      </c>
      <c r="B7" s="13">
        <v>58</v>
      </c>
      <c r="C7" s="2">
        <f>MemberOfAssemblyAssemblyDistrict96General[[#This Row],[Part of Rockland County Vote Results]]</f>
        <v>58</v>
      </c>
      <c r="D7" s="1"/>
    </row>
    <row r="8" spans="1:4" x14ac:dyDescent="0.2">
      <c r="A8" s="4" t="s">
        <v>2</v>
      </c>
      <c r="B8" s="13">
        <f>SUM(MemberOfAssemblyAssemblyDistrict96General[Part of Rockland County Vote Results])</f>
        <v>47407</v>
      </c>
      <c r="C8" s="2">
        <f>SUM(MemberOfAssemblyAssemblyDistrict96General[Total Votes by Party])</f>
        <v>47407</v>
      </c>
      <c r="D8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26B6-310E-48EB-957F-4BA02176EC30}">
  <sheetPr codeName="Sheet143">
    <pageSetUpPr fitToPage="1"/>
  </sheetPr>
  <dimension ref="A1:D9"/>
  <sheetViews>
    <sheetView workbookViewId="0">
      <selection activeCell="B2" sqref="B2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18.75" x14ac:dyDescent="0.2">
      <c r="A1" s="11" t="s">
        <v>400</v>
      </c>
    </row>
    <row r="2" spans="1:4" ht="25.5" x14ac:dyDescent="0.2">
      <c r="A2" s="10" t="s">
        <v>8</v>
      </c>
      <c r="B2" s="55" t="s">
        <v>41</v>
      </c>
      <c r="C2" s="9" t="s">
        <v>3</v>
      </c>
      <c r="D2" s="8" t="s">
        <v>4</v>
      </c>
    </row>
    <row r="3" spans="1:4" x14ac:dyDescent="0.2">
      <c r="A3" s="6" t="s">
        <v>399</v>
      </c>
      <c r="B3" s="13">
        <v>11945</v>
      </c>
      <c r="C3" s="2">
        <f>MemberOfAssemblyAssemblyDistrict97General[[#This Row],[Part of Rockland County Vote Results]]</f>
        <v>11945</v>
      </c>
      <c r="D3" s="7">
        <f>SUM(MemberOfAssemblyAssemblyDistrict97General[[#This Row],[Total Votes by Party]])</f>
        <v>11945</v>
      </c>
    </row>
    <row r="4" spans="1:4" x14ac:dyDescent="0.2">
      <c r="A4" s="6" t="s">
        <v>402</v>
      </c>
      <c r="B4" s="13">
        <v>19635</v>
      </c>
      <c r="C4" s="2">
        <f>MemberOfAssemblyAssemblyDistrict97General[[#This Row],[Part of Rockland County Vote Results]]</f>
        <v>19635</v>
      </c>
      <c r="D4" s="7">
        <f>SUM(MemberOfAssemblyAssemblyDistrict97General[[#This Row],[Total Votes by Party]],C5)</f>
        <v>24259</v>
      </c>
    </row>
    <row r="5" spans="1:4" x14ac:dyDescent="0.2">
      <c r="A5" s="6" t="s">
        <v>401</v>
      </c>
      <c r="B5" s="13">
        <v>4624</v>
      </c>
      <c r="C5" s="2">
        <f>MemberOfAssemblyAssemblyDistrict97General[[#This Row],[Part of Rockland County Vote Results]]</f>
        <v>4624</v>
      </c>
      <c r="D5" s="1"/>
    </row>
    <row r="6" spans="1:4" x14ac:dyDescent="0.2">
      <c r="A6" s="5" t="s">
        <v>0</v>
      </c>
      <c r="B6" s="13">
        <v>3220</v>
      </c>
      <c r="C6" s="2">
        <f>MemberOfAssemblyAssemblyDistrict97General[[#This Row],[Part of Rockland County Vote Results]]</f>
        <v>3220</v>
      </c>
      <c r="D6" s="1"/>
    </row>
    <row r="7" spans="1:4" x14ac:dyDescent="0.2">
      <c r="A7" s="5" t="s">
        <v>1</v>
      </c>
      <c r="B7" s="13">
        <v>33</v>
      </c>
      <c r="C7" s="2">
        <f>MemberOfAssemblyAssemblyDistrict97General[[#This Row],[Part of Rockland County Vote Results]]</f>
        <v>33</v>
      </c>
      <c r="D7" s="1"/>
    </row>
    <row r="8" spans="1:4" x14ac:dyDescent="0.2">
      <c r="A8" s="5" t="s">
        <v>5</v>
      </c>
      <c r="B8" s="13">
        <v>62</v>
      </c>
      <c r="C8" s="2">
        <f>MemberOfAssemblyAssemblyDistrict97General[[#This Row],[Part of Rockland County Vote Results]]</f>
        <v>62</v>
      </c>
      <c r="D8" s="1"/>
    </row>
    <row r="9" spans="1:4" x14ac:dyDescent="0.2">
      <c r="A9" s="4" t="s">
        <v>2</v>
      </c>
      <c r="B9" s="13">
        <f>SUM(MemberOfAssemblyAssemblyDistrict97General[Part of Rockland County Vote Results])</f>
        <v>39519</v>
      </c>
      <c r="C9" s="2">
        <f>SUM(MemberOfAssemblyAssemblyDistrict97General[Total Votes by Party])</f>
        <v>39519</v>
      </c>
      <c r="D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71E2-98E2-4F38-B28E-73E7E829B8E5}">
  <sheetPr codeName="Sheet144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406</v>
      </c>
    </row>
    <row r="2" spans="1:5" ht="25.5" x14ac:dyDescent="0.2">
      <c r="A2" s="10" t="s">
        <v>8</v>
      </c>
      <c r="B2" s="55" t="s">
        <v>42</v>
      </c>
      <c r="C2" s="55" t="s">
        <v>41</v>
      </c>
      <c r="D2" s="9" t="s">
        <v>3</v>
      </c>
      <c r="E2" s="8" t="s">
        <v>4</v>
      </c>
    </row>
    <row r="3" spans="1:5" x14ac:dyDescent="0.2">
      <c r="A3" s="6" t="s">
        <v>405</v>
      </c>
      <c r="B3" s="13">
        <v>11369</v>
      </c>
      <c r="C3" s="13">
        <v>5644</v>
      </c>
      <c r="D3" s="2">
        <f>SUM(MemberOfAssemblyAssemblyDistrict98General[[#This Row],[Part of Orange County Vote Results]:[Part of Rockland County Vote Results]])</f>
        <v>17013</v>
      </c>
      <c r="E3" s="7">
        <f>D3</f>
        <v>17013</v>
      </c>
    </row>
    <row r="4" spans="1:5" x14ac:dyDescent="0.2">
      <c r="A4" s="5" t="s">
        <v>404</v>
      </c>
      <c r="B4" s="13">
        <v>18631</v>
      </c>
      <c r="C4" s="13">
        <v>7844</v>
      </c>
      <c r="D4" s="2">
        <f>SUM(MemberOfAssemblyAssemblyDistrict98General[[#This Row],[Part of Orange County Vote Results]:[Part of Rockland County Vote Results]])</f>
        <v>26475</v>
      </c>
      <c r="E4" s="27">
        <f>SUM(D4,D5)</f>
        <v>30178</v>
      </c>
    </row>
    <row r="5" spans="1:5" x14ac:dyDescent="0.2">
      <c r="A5" s="5" t="s">
        <v>403</v>
      </c>
      <c r="B5" s="13">
        <v>2015</v>
      </c>
      <c r="C5" s="13">
        <v>1688</v>
      </c>
      <c r="D5" s="2">
        <f>SUM(MemberOfAssemblyAssemblyDistrict98General[[#This Row],[Part of Orange County Vote Results]:[Part of Rockland County Vote Results]])</f>
        <v>3703</v>
      </c>
      <c r="E5" s="16"/>
    </row>
    <row r="6" spans="1:5" x14ac:dyDescent="0.2">
      <c r="A6" s="5" t="s">
        <v>0</v>
      </c>
      <c r="B6" s="13">
        <v>1187</v>
      </c>
      <c r="C6" s="13">
        <v>2011</v>
      </c>
      <c r="D6" s="2">
        <f>SUM(MemberOfAssemblyAssemblyDistrict98General[[#This Row],[Part of Orange County Vote Results]:[Part of Rockland County Vote Results]])</f>
        <v>3198</v>
      </c>
      <c r="E6" s="1"/>
    </row>
    <row r="7" spans="1:5" x14ac:dyDescent="0.2">
      <c r="A7" s="5" t="s">
        <v>1</v>
      </c>
      <c r="B7" s="13">
        <v>7</v>
      </c>
      <c r="C7" s="13">
        <v>4</v>
      </c>
      <c r="D7" s="2">
        <f>SUM(MemberOfAssemblyAssemblyDistrict98General[[#This Row],[Part of Orange County Vote Results]:[Part of Rockland County Vote Results]])</f>
        <v>11</v>
      </c>
      <c r="E7" s="1"/>
    </row>
    <row r="8" spans="1:5" x14ac:dyDescent="0.2">
      <c r="A8" s="5" t="s">
        <v>5</v>
      </c>
      <c r="B8" s="13">
        <v>12</v>
      </c>
      <c r="C8" s="13">
        <v>48</v>
      </c>
      <c r="D8" s="2">
        <f>SUM(MemberOfAssemblyAssemblyDistrict98General[[#This Row],[Part of Orange County Vote Results]:[Part of Rockland County Vote Results]])</f>
        <v>60</v>
      </c>
      <c r="E8" s="1"/>
    </row>
    <row r="9" spans="1:5" x14ac:dyDescent="0.2">
      <c r="A9" s="4" t="s">
        <v>2</v>
      </c>
      <c r="B9" s="13">
        <f>SUM(MemberOfAssemblyAssemblyDistrict98General[Part of Orange County Vote Results])</f>
        <v>33221</v>
      </c>
      <c r="C9" s="13">
        <f>SUM(MemberOfAssemblyAssemblyDistrict98General[Part of Rockland County Vote Results])</f>
        <v>17239</v>
      </c>
      <c r="D9" s="2">
        <f>SUM(MemberOfAssemblyAssemblyDistrict98General[Total Votes by Party])</f>
        <v>50460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C248-499D-4239-B05D-58B565754384}">
  <sheetPr codeName="Sheet145">
    <pageSetUpPr fitToPage="1"/>
  </sheetPr>
  <dimension ref="A1:E9"/>
  <sheetViews>
    <sheetView workbookViewId="0">
      <selection activeCell="C2" sqref="C2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18.75" x14ac:dyDescent="0.2">
      <c r="A1" s="11" t="s">
        <v>410</v>
      </c>
    </row>
    <row r="2" spans="1:5" ht="25.5" x14ac:dyDescent="0.2">
      <c r="A2" s="10" t="s">
        <v>8</v>
      </c>
      <c r="B2" s="55" t="s">
        <v>42</v>
      </c>
      <c r="C2" s="55" t="s">
        <v>41</v>
      </c>
      <c r="D2" s="9" t="s">
        <v>3</v>
      </c>
      <c r="E2" s="8" t="s">
        <v>4</v>
      </c>
    </row>
    <row r="3" spans="1:5" x14ac:dyDescent="0.2">
      <c r="A3" s="6" t="s">
        <v>409</v>
      </c>
      <c r="B3" s="13">
        <v>16650</v>
      </c>
      <c r="C3" s="13">
        <v>1889</v>
      </c>
      <c r="D3" s="2">
        <f>SUM(MemberOfAssemblyAssemblyDistrict99General[[#This Row],[Part of Orange County Vote Results]:[Part of Rockland County Vote Results]])</f>
        <v>18539</v>
      </c>
      <c r="E3" s="7">
        <f>D3</f>
        <v>18539</v>
      </c>
    </row>
    <row r="4" spans="1:5" x14ac:dyDescent="0.2">
      <c r="A4" s="6" t="s">
        <v>408</v>
      </c>
      <c r="B4" s="13">
        <v>13043</v>
      </c>
      <c r="C4" s="13">
        <v>3571</v>
      </c>
      <c r="D4" s="2">
        <f>SUM(MemberOfAssemblyAssemblyDistrict99General[[#This Row],[Part of Orange County Vote Results]:[Part of Rockland County Vote Results]])</f>
        <v>16614</v>
      </c>
      <c r="E4" s="7">
        <f>SUM(D4,D5)</f>
        <v>18531</v>
      </c>
    </row>
    <row r="5" spans="1:5" x14ac:dyDescent="0.2">
      <c r="A5" s="6" t="s">
        <v>407</v>
      </c>
      <c r="B5" s="13">
        <v>1548</v>
      </c>
      <c r="C5" s="13">
        <v>369</v>
      </c>
      <c r="D5" s="2">
        <f>SUM(MemberOfAssemblyAssemblyDistrict99General[[#This Row],[Part of Orange County Vote Results]:[Part of Rockland County Vote Results]])</f>
        <v>1917</v>
      </c>
      <c r="E5" s="1"/>
    </row>
    <row r="6" spans="1:5" x14ac:dyDescent="0.2">
      <c r="A6" s="5" t="s">
        <v>0</v>
      </c>
      <c r="B6" s="13">
        <v>1654</v>
      </c>
      <c r="C6" s="13">
        <v>270</v>
      </c>
      <c r="D6" s="2">
        <f>SUM(MemberOfAssemblyAssemblyDistrict99General[[#This Row],[Part of Orange County Vote Results]:[Part of Rockland County Vote Results]])</f>
        <v>1924</v>
      </c>
      <c r="E6" s="1"/>
    </row>
    <row r="7" spans="1:5" x14ac:dyDescent="0.2">
      <c r="A7" s="5" t="s">
        <v>1</v>
      </c>
      <c r="B7" s="13">
        <v>2</v>
      </c>
      <c r="C7" s="13">
        <v>2</v>
      </c>
      <c r="D7" s="2">
        <f>SUM(MemberOfAssemblyAssemblyDistrict99General[[#This Row],[Part of Orange County Vote Results]:[Part of Rockland County Vote Results]])</f>
        <v>4</v>
      </c>
      <c r="E7" s="1"/>
    </row>
    <row r="8" spans="1:5" x14ac:dyDescent="0.2">
      <c r="A8" s="5" t="s">
        <v>5</v>
      </c>
      <c r="B8" s="13">
        <v>8</v>
      </c>
      <c r="C8" s="13">
        <v>2</v>
      </c>
      <c r="D8" s="2">
        <f>SUM(MemberOfAssemblyAssemblyDistrict99General[[#This Row],[Part of Orange County Vote Results]:[Part of Rockland County Vote Results]])</f>
        <v>10</v>
      </c>
      <c r="E8" s="1"/>
    </row>
    <row r="9" spans="1:5" x14ac:dyDescent="0.2">
      <c r="A9" s="4" t="s">
        <v>2</v>
      </c>
      <c r="B9" s="13">
        <f>SUM(MemberOfAssemblyAssemblyDistrict99General[Part of Orange County Vote Results])</f>
        <v>32905</v>
      </c>
      <c r="C9" s="13">
        <f>SUM(MemberOfAssemblyAssemblyDistrict99General[Part of Rockland County Vote Results])</f>
        <v>6103</v>
      </c>
      <c r="D9" s="2">
        <f>SUM(MemberOfAssemblyAssemblyDistrict99General[Total Votes by Party])</f>
        <v>39008</v>
      </c>
      <c r="E9" s="1"/>
    </row>
  </sheetData>
  <pageMargins left="0.25" right="0.25" top="0.25" bottom="0.25" header="0.25" footer="0.25"/>
  <pageSetup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150</vt:i4>
      </vt:variant>
      <vt:variant>
        <vt:lpstr>Named Ranges</vt:lpstr>
      </vt:variant>
      <vt:variant>
        <vt:i4>1</vt:i4>
      </vt:variant>
    </vt:vector>
  </HeadingPairs>
  <TitlesOfParts>
    <vt:vector size="151" baseType="lpstr">
      <vt:lpstr>1st AD</vt:lpstr>
      <vt:lpstr>2nd AD</vt:lpstr>
      <vt:lpstr>3rd AD</vt:lpstr>
      <vt:lpstr>4th AD</vt:lpstr>
      <vt:lpstr>5th AD</vt:lpstr>
      <vt:lpstr>6th AD</vt:lpstr>
      <vt:lpstr>7th AD</vt:lpstr>
      <vt:lpstr>8th AD</vt:lpstr>
      <vt:lpstr>9th AD</vt:lpstr>
      <vt:lpstr>10th AD</vt:lpstr>
      <vt:lpstr>11th AD</vt:lpstr>
      <vt:lpstr>12th AD</vt:lpstr>
      <vt:lpstr>13th AD</vt:lpstr>
      <vt:lpstr>14th AD</vt:lpstr>
      <vt:lpstr>15th AD</vt:lpstr>
      <vt:lpstr>16th AD</vt:lpstr>
      <vt:lpstr>17th AD</vt:lpstr>
      <vt:lpstr>18th AD</vt:lpstr>
      <vt:lpstr>19th AD</vt:lpstr>
      <vt:lpstr>20th AD</vt:lpstr>
      <vt:lpstr>21st AD</vt:lpstr>
      <vt:lpstr>22nd AD</vt:lpstr>
      <vt:lpstr>23rd AD</vt:lpstr>
      <vt:lpstr>24th AD</vt:lpstr>
      <vt:lpstr>25th AD</vt:lpstr>
      <vt:lpstr>26th AD</vt:lpstr>
      <vt:lpstr>27th AD</vt:lpstr>
      <vt:lpstr>28th AD</vt:lpstr>
      <vt:lpstr>29th AD</vt:lpstr>
      <vt:lpstr>30th AD</vt:lpstr>
      <vt:lpstr>31st AD</vt:lpstr>
      <vt:lpstr>32nd AD</vt:lpstr>
      <vt:lpstr>33rd AD</vt:lpstr>
      <vt:lpstr>34th AD</vt:lpstr>
      <vt:lpstr>35th AD</vt:lpstr>
      <vt:lpstr>36th AD</vt:lpstr>
      <vt:lpstr>37th AD</vt:lpstr>
      <vt:lpstr>38th AD</vt:lpstr>
      <vt:lpstr>39th AD</vt:lpstr>
      <vt:lpstr>40th AD</vt:lpstr>
      <vt:lpstr>41st AD</vt:lpstr>
      <vt:lpstr>42nd AD</vt:lpstr>
      <vt:lpstr>43rd AD</vt:lpstr>
      <vt:lpstr>44th AD</vt:lpstr>
      <vt:lpstr>45th AD</vt:lpstr>
      <vt:lpstr>46th AD</vt:lpstr>
      <vt:lpstr>47th AD</vt:lpstr>
      <vt:lpstr>48th AD</vt:lpstr>
      <vt:lpstr>49th AD</vt:lpstr>
      <vt:lpstr>50th AD</vt:lpstr>
      <vt:lpstr>52nd AD</vt:lpstr>
      <vt:lpstr>51st AD</vt:lpstr>
      <vt:lpstr>53rd AD</vt:lpstr>
      <vt:lpstr>54th AD</vt:lpstr>
      <vt:lpstr>55th AD</vt:lpstr>
      <vt:lpstr>56th AD</vt:lpstr>
      <vt:lpstr>57th AD</vt:lpstr>
      <vt:lpstr>58th AD</vt:lpstr>
      <vt:lpstr>59th AD</vt:lpstr>
      <vt:lpstr>60th AD</vt:lpstr>
      <vt:lpstr>61st AD</vt:lpstr>
      <vt:lpstr>62nd AD</vt:lpstr>
      <vt:lpstr>63rd AD</vt:lpstr>
      <vt:lpstr>64th AD</vt:lpstr>
      <vt:lpstr>65th AD</vt:lpstr>
      <vt:lpstr>66th AD</vt:lpstr>
      <vt:lpstr>67th AD</vt:lpstr>
      <vt:lpstr>68th AD</vt:lpstr>
      <vt:lpstr>69th AD</vt:lpstr>
      <vt:lpstr>70th AD</vt:lpstr>
      <vt:lpstr>71st AD</vt:lpstr>
      <vt:lpstr>72nd AD</vt:lpstr>
      <vt:lpstr>73rd AD</vt:lpstr>
      <vt:lpstr>74th AD</vt:lpstr>
      <vt:lpstr>75th AD</vt:lpstr>
      <vt:lpstr>76th AD</vt:lpstr>
      <vt:lpstr>77th AD</vt:lpstr>
      <vt:lpstr>78th AD</vt:lpstr>
      <vt:lpstr>79th AD</vt:lpstr>
      <vt:lpstr>80th AD</vt:lpstr>
      <vt:lpstr>81st AD</vt:lpstr>
      <vt:lpstr>82nd AD</vt:lpstr>
      <vt:lpstr>83rd AD</vt:lpstr>
      <vt:lpstr>84th AD</vt:lpstr>
      <vt:lpstr>85th AD</vt:lpstr>
      <vt:lpstr>86th AD</vt:lpstr>
      <vt:lpstr>87th AD</vt:lpstr>
      <vt:lpstr>88th AD</vt:lpstr>
      <vt:lpstr>89th AD</vt:lpstr>
      <vt:lpstr>90th AD</vt:lpstr>
      <vt:lpstr>91st AD</vt:lpstr>
      <vt:lpstr>92nd AD</vt:lpstr>
      <vt:lpstr>93rd AD</vt:lpstr>
      <vt:lpstr>94th AD</vt:lpstr>
      <vt:lpstr>95th AD</vt:lpstr>
      <vt:lpstr>96th AD</vt:lpstr>
      <vt:lpstr>97th AD</vt:lpstr>
      <vt:lpstr>98th AD</vt:lpstr>
      <vt:lpstr>99th AD</vt:lpstr>
      <vt:lpstr>100th AD</vt:lpstr>
      <vt:lpstr>101st AD</vt:lpstr>
      <vt:lpstr>102nd AD</vt:lpstr>
      <vt:lpstr>103rd AD</vt:lpstr>
      <vt:lpstr>104th AD</vt:lpstr>
      <vt:lpstr>105th AD</vt:lpstr>
      <vt:lpstr>106th AD</vt:lpstr>
      <vt:lpstr>107th AD</vt:lpstr>
      <vt:lpstr>108th AD</vt:lpstr>
      <vt:lpstr>109th AD</vt:lpstr>
      <vt:lpstr>110th AD</vt:lpstr>
      <vt:lpstr>111th AD</vt:lpstr>
      <vt:lpstr>112th AD</vt:lpstr>
      <vt:lpstr>113th AD</vt:lpstr>
      <vt:lpstr>114th AD</vt:lpstr>
      <vt:lpstr>115th AD</vt:lpstr>
      <vt:lpstr>116th AD</vt:lpstr>
      <vt:lpstr>117th AD</vt:lpstr>
      <vt:lpstr>118th AD</vt:lpstr>
      <vt:lpstr>119th AD</vt:lpstr>
      <vt:lpstr>120th AD</vt:lpstr>
      <vt:lpstr>121st AD</vt:lpstr>
      <vt:lpstr>122nd AD</vt:lpstr>
      <vt:lpstr>123rd AD</vt:lpstr>
      <vt:lpstr>124th AD</vt:lpstr>
      <vt:lpstr>125th AD</vt:lpstr>
      <vt:lpstr>126th AD</vt:lpstr>
      <vt:lpstr>127th AD</vt:lpstr>
      <vt:lpstr>128th AD</vt:lpstr>
      <vt:lpstr>129th AD</vt:lpstr>
      <vt:lpstr>130th AD</vt:lpstr>
      <vt:lpstr>131st AD</vt:lpstr>
      <vt:lpstr>132nd AD</vt:lpstr>
      <vt:lpstr>133rd AD</vt:lpstr>
      <vt:lpstr>134th AD</vt:lpstr>
      <vt:lpstr>135th AD</vt:lpstr>
      <vt:lpstr>136th AD</vt:lpstr>
      <vt:lpstr>137th AD</vt:lpstr>
      <vt:lpstr>138th AD</vt:lpstr>
      <vt:lpstr>139th AD</vt:lpstr>
      <vt:lpstr>140th AD</vt:lpstr>
      <vt:lpstr>141st AD</vt:lpstr>
      <vt:lpstr>142nd AD</vt:lpstr>
      <vt:lpstr>143rd AD</vt:lpstr>
      <vt:lpstr>144th AD</vt:lpstr>
      <vt:lpstr>145th AD</vt:lpstr>
      <vt:lpstr>146th AD</vt:lpstr>
      <vt:lpstr>147th AD</vt:lpstr>
      <vt:lpstr>148th AD</vt:lpstr>
      <vt:lpstr>149th AD</vt:lpstr>
      <vt:lpstr>150th AD</vt:lpstr>
      <vt:lpstr>'1st AD'!Print_Area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2022-12-14T19:30:38Z</cp:lastPrinted>
  <dcterms:created xsi:type="dcterms:W3CDTF">2008-10-28T18:22:21Z</dcterms:created>
  <dcterms:modified xsi:type="dcterms:W3CDTF">2023-02-14T19:05:24Z</dcterms:modified>
  <cp:category/>
  <cp:contentStatus/>
</cp:coreProperties>
</file>