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y WebStuff\WebFormsAndAccessibility\"/>
    </mc:Choice>
  </mc:AlternateContent>
  <xr:revisionPtr revIDLastSave="0" documentId="8_{3D0835CE-2878-4CF6-91DA-C243B79AC60B}" xr6:coauthVersionLast="47" xr6:coauthVersionMax="47" xr10:uidLastSave="{00000000-0000-0000-0000-000000000000}"/>
  <bookViews>
    <workbookView xWindow="23880" yWindow="-120" windowWidth="21840" windowHeight="13140" tabRatio="672" xr2:uid="{00000000-000D-0000-FFFF-FFFF00000000}"/>
  </bookViews>
  <sheets>
    <sheet name="Gov by 1st SD" sheetId="549" r:id="rId1"/>
    <sheet name="Gov by 2nd SD" sheetId="550" r:id="rId2"/>
    <sheet name="Gov by 3rd SD" sheetId="551" r:id="rId3"/>
    <sheet name="Gov by 4th SD" sheetId="552" r:id="rId4"/>
    <sheet name="Gov by 5th SD" sheetId="553" r:id="rId5"/>
    <sheet name="Gov by 6th SD" sheetId="554" r:id="rId6"/>
    <sheet name="Gov by 7th SD" sheetId="555" r:id="rId7"/>
    <sheet name="Gov by 8th SD" sheetId="556" r:id="rId8"/>
    <sheet name="Gov by 9th SD" sheetId="557" r:id="rId9"/>
    <sheet name="Gov by 10th SD" sheetId="558" r:id="rId10"/>
    <sheet name="Gov by 11th SD" sheetId="559" r:id="rId11"/>
    <sheet name="Gov by 12th SD" sheetId="560" r:id="rId12"/>
    <sheet name="Gov by 13th SD" sheetId="561" r:id="rId13"/>
    <sheet name="Gov by 14th SD" sheetId="562" r:id="rId14"/>
    <sheet name="Gov by 15th SD" sheetId="563" r:id="rId15"/>
    <sheet name="Gov by 16th SD" sheetId="564" r:id="rId16"/>
    <sheet name="Gov by 17th SD" sheetId="565" r:id="rId17"/>
    <sheet name="Gov by 18th SD" sheetId="566" r:id="rId18"/>
    <sheet name="Gov by 19th SD" sheetId="567" r:id="rId19"/>
    <sheet name="Gov by 20th SD" sheetId="568" r:id="rId20"/>
    <sheet name="Gov by 21st SD" sheetId="569" r:id="rId21"/>
    <sheet name="Gov by 22nd SD" sheetId="570" r:id="rId22"/>
    <sheet name="Gov by 23rd SD" sheetId="571" r:id="rId23"/>
    <sheet name="Gov by 24th SD" sheetId="572" r:id="rId24"/>
    <sheet name="Gov by 25th SD" sheetId="573" r:id="rId25"/>
    <sheet name="Gov by 26th SD" sheetId="574" r:id="rId26"/>
    <sheet name="Gov by 27th SD" sheetId="575" r:id="rId27"/>
    <sheet name="Gov by 28th SD" sheetId="576" r:id="rId28"/>
    <sheet name="Gov by 29th SD" sheetId="577" r:id="rId29"/>
    <sheet name="Gov by 30th SD" sheetId="578" r:id="rId30"/>
    <sheet name="Gov by 31st SD" sheetId="579" r:id="rId31"/>
    <sheet name="Gov by 32nd SD" sheetId="580" r:id="rId32"/>
    <sheet name="Gov by 33rd SD" sheetId="581" r:id="rId33"/>
    <sheet name="Gov by 34th SD" sheetId="582" r:id="rId34"/>
    <sheet name="Gov by 35th SD" sheetId="583" r:id="rId35"/>
    <sheet name="Gov by 36th SD" sheetId="584" r:id="rId36"/>
    <sheet name="Gov by 37th SD" sheetId="585" r:id="rId37"/>
    <sheet name="Gov by 38th SD" sheetId="586" r:id="rId38"/>
    <sheet name="Gov by 39th SD" sheetId="587" r:id="rId39"/>
    <sheet name="Gov by 40th SD" sheetId="588" r:id="rId40"/>
    <sheet name="Gov by 41st SD" sheetId="589" r:id="rId41"/>
    <sheet name="Gov by 42nd SD" sheetId="590" r:id="rId42"/>
    <sheet name="Gov by 43rd SD" sheetId="591" r:id="rId43"/>
    <sheet name="Gov by 44th SD" sheetId="592" r:id="rId44"/>
    <sheet name="Gov by 45th SD" sheetId="593" r:id="rId45"/>
    <sheet name="Gov by 46th SD" sheetId="594" r:id="rId46"/>
    <sheet name="Gov by 47th SD" sheetId="595" r:id="rId47"/>
    <sheet name="Gov by 48th SD" sheetId="596" r:id="rId48"/>
    <sheet name="Gov by 49th SD" sheetId="597" r:id="rId49"/>
    <sheet name="Gov by 50th SD" sheetId="598" r:id="rId50"/>
    <sheet name="Gov by 51st SD" sheetId="599" r:id="rId51"/>
    <sheet name="Gov by 52nd SD" sheetId="600" r:id="rId52"/>
    <sheet name="Gov by 53rd SD" sheetId="601" r:id="rId53"/>
    <sheet name="Gov by 54th SD" sheetId="602" r:id="rId54"/>
    <sheet name="Gov by 55th SD" sheetId="603" r:id="rId55"/>
    <sheet name="Gov by 56th SD" sheetId="604" r:id="rId56"/>
    <sheet name="Gov by 57th SD" sheetId="605" r:id="rId57"/>
    <sheet name="Gov by 58th SD" sheetId="606" r:id="rId58"/>
    <sheet name="Gov by 59th SD" sheetId="607" r:id="rId59"/>
    <sheet name="Gov by 60th SD" sheetId="608" r:id="rId60"/>
    <sheet name="Gov by 61st SD" sheetId="609" r:id="rId61"/>
    <sheet name="Gov by 62nd SD" sheetId="610" r:id="rId62"/>
    <sheet name="Gov by 63rd SD" sheetId="611" r:id="rId63"/>
  </sheets>
  <definedNames>
    <definedName name="_xlnm.Print_Area" localSheetId="0">'Gov by 1st SD'!$A$1:$D$10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563" l="1"/>
  <c r="D5" i="563"/>
  <c r="D6" i="563"/>
  <c r="D7" i="563"/>
  <c r="D8" i="563"/>
  <c r="D9" i="563"/>
  <c r="D3" i="563"/>
  <c r="B10" i="563"/>
  <c r="D10" i="563" l="1"/>
  <c r="B10" i="559"/>
  <c r="I4" i="599" l="1"/>
  <c r="I5" i="599"/>
  <c r="I6" i="599"/>
  <c r="I7" i="599"/>
  <c r="I8" i="599"/>
  <c r="I9" i="599"/>
  <c r="I3" i="599"/>
  <c r="B10" i="606" l="1"/>
  <c r="J3" i="599" l="1"/>
  <c r="C9" i="611"/>
  <c r="E8" i="610"/>
  <c r="E9" i="610"/>
  <c r="C8" i="608"/>
  <c r="C9" i="608"/>
  <c r="E8" i="607"/>
  <c r="E9" i="607"/>
  <c r="I8" i="606"/>
  <c r="I9" i="606"/>
  <c r="I3" i="606"/>
  <c r="I4" i="606"/>
  <c r="I5" i="606"/>
  <c r="I6" i="606"/>
  <c r="I7" i="606"/>
  <c r="G9" i="605"/>
  <c r="F9" i="602"/>
  <c r="F8" i="601"/>
  <c r="F9" i="601"/>
  <c r="I8" i="597"/>
  <c r="I9" i="597"/>
  <c r="H9" i="593"/>
  <c r="J4" i="606" l="1"/>
  <c r="J3" i="606"/>
  <c r="C10" i="563"/>
  <c r="E9" i="588"/>
  <c r="E9" i="587"/>
  <c r="C3" i="586"/>
  <c r="C4" i="586"/>
  <c r="C5" i="586"/>
  <c r="C6" i="586"/>
  <c r="C7" i="586"/>
  <c r="C8" i="586"/>
  <c r="C9" i="586"/>
  <c r="B10" i="586"/>
  <c r="C9" i="585"/>
  <c r="D7" i="584"/>
  <c r="D8" i="584"/>
  <c r="D9" i="584"/>
  <c r="C9" i="583"/>
  <c r="D9" i="582"/>
  <c r="C8" i="581"/>
  <c r="C9" i="581"/>
  <c r="C9" i="580"/>
  <c r="D9" i="579"/>
  <c r="D3" i="579"/>
  <c r="D4" i="579"/>
  <c r="D5" i="579"/>
  <c r="D6" i="579"/>
  <c r="D7" i="579"/>
  <c r="D8" i="579"/>
  <c r="C8" i="578"/>
  <c r="C9" i="578"/>
  <c r="D8" i="577"/>
  <c r="D9" i="577"/>
  <c r="C9" i="576"/>
  <c r="C8" i="575"/>
  <c r="C9" i="575"/>
  <c r="C8" i="573"/>
  <c r="C9" i="573"/>
  <c r="C8" i="572"/>
  <c r="C9" i="572"/>
  <c r="D9" i="571"/>
  <c r="D10" i="571"/>
  <c r="C8" i="569"/>
  <c r="C9" i="569"/>
  <c r="C8" i="568"/>
  <c r="C9" i="568"/>
  <c r="D7" i="567"/>
  <c r="D8" i="567"/>
  <c r="D9" i="567"/>
  <c r="D8" i="566"/>
  <c r="D9" i="566"/>
  <c r="C7" i="562"/>
  <c r="C8" i="562"/>
  <c r="C9" i="562"/>
  <c r="C7" i="561"/>
  <c r="C8" i="561"/>
  <c r="C9" i="561"/>
  <c r="C8" i="560"/>
  <c r="C9" i="560"/>
  <c r="C7" i="558"/>
  <c r="C8" i="558"/>
  <c r="C9" i="558"/>
  <c r="D9" i="556"/>
  <c r="C9" i="551"/>
  <c r="E3" i="579" l="1"/>
  <c r="D4" i="586"/>
  <c r="E4" i="579"/>
  <c r="D3" i="586"/>
  <c r="C10" i="586"/>
  <c r="D5" i="596" l="1"/>
  <c r="C3" i="611" l="1"/>
  <c r="C4" i="611"/>
  <c r="C5" i="611"/>
  <c r="C6" i="611"/>
  <c r="C7" i="611"/>
  <c r="C8" i="611"/>
  <c r="B10" i="611"/>
  <c r="E3" i="610"/>
  <c r="E4" i="610"/>
  <c r="E5" i="610"/>
  <c r="E6" i="610"/>
  <c r="E7" i="610"/>
  <c r="B10" i="610"/>
  <c r="C10" i="610"/>
  <c r="D10" i="610"/>
  <c r="C3" i="609"/>
  <c r="C4" i="609"/>
  <c r="C5" i="609"/>
  <c r="C6" i="609"/>
  <c r="C7" i="609"/>
  <c r="C8" i="609"/>
  <c r="C9" i="609"/>
  <c r="B10" i="609"/>
  <c r="C3" i="608"/>
  <c r="C4" i="608"/>
  <c r="C5" i="608"/>
  <c r="C6" i="608"/>
  <c r="C7" i="608"/>
  <c r="B10" i="608"/>
  <c r="E3" i="607"/>
  <c r="E4" i="607"/>
  <c r="E5" i="607"/>
  <c r="E6" i="607"/>
  <c r="E7" i="607"/>
  <c r="B10" i="607"/>
  <c r="C10" i="607"/>
  <c r="D10" i="607"/>
  <c r="C10" i="606"/>
  <c r="D10" i="606"/>
  <c r="E10" i="606"/>
  <c r="F10" i="606"/>
  <c r="G10" i="606"/>
  <c r="H10" i="606"/>
  <c r="G3" i="605"/>
  <c r="G4" i="605"/>
  <c r="G5" i="605"/>
  <c r="G6" i="605"/>
  <c r="G7" i="605"/>
  <c r="G8" i="605"/>
  <c r="B10" i="605"/>
  <c r="C10" i="605"/>
  <c r="D10" i="605"/>
  <c r="E10" i="605"/>
  <c r="F10" i="605"/>
  <c r="C3" i="604"/>
  <c r="C4" i="604"/>
  <c r="C5" i="604"/>
  <c r="C6" i="604"/>
  <c r="C7" i="604"/>
  <c r="C8" i="604"/>
  <c r="C9" i="604"/>
  <c r="B10" i="604"/>
  <c r="C3" i="603"/>
  <c r="C4" i="603"/>
  <c r="C5" i="603"/>
  <c r="C6" i="603"/>
  <c r="C7" i="603"/>
  <c r="C8" i="603"/>
  <c r="C9" i="603"/>
  <c r="B10" i="603"/>
  <c r="F3" i="602"/>
  <c r="F4" i="602"/>
  <c r="F5" i="602"/>
  <c r="F6" i="602"/>
  <c r="F7" i="602"/>
  <c r="F8" i="602"/>
  <c r="B10" i="602"/>
  <c r="C10" i="602"/>
  <c r="D10" i="602"/>
  <c r="E10" i="602"/>
  <c r="F3" i="601"/>
  <c r="F4" i="601"/>
  <c r="F5" i="601"/>
  <c r="F6" i="601"/>
  <c r="F7" i="601"/>
  <c r="B10" i="601"/>
  <c r="C10" i="601"/>
  <c r="D10" i="601"/>
  <c r="E10" i="601"/>
  <c r="E3" i="600"/>
  <c r="E4" i="600"/>
  <c r="E5" i="600"/>
  <c r="E6" i="600"/>
  <c r="E7" i="600"/>
  <c r="E8" i="600"/>
  <c r="E9" i="600"/>
  <c r="B10" i="600"/>
  <c r="C10" i="600"/>
  <c r="D10" i="600"/>
  <c r="B10" i="599"/>
  <c r="C10" i="599"/>
  <c r="D10" i="599"/>
  <c r="E10" i="599"/>
  <c r="F10" i="599"/>
  <c r="G10" i="599"/>
  <c r="H10" i="599"/>
  <c r="D3" i="598"/>
  <c r="D4" i="598"/>
  <c r="D5" i="598"/>
  <c r="D6" i="598"/>
  <c r="D7" i="598"/>
  <c r="D8" i="598"/>
  <c r="D9" i="598"/>
  <c r="B10" i="598"/>
  <c r="C10" i="598"/>
  <c r="D4" i="604" l="1"/>
  <c r="G4" i="601"/>
  <c r="F4" i="607"/>
  <c r="F3" i="607"/>
  <c r="G3" i="602"/>
  <c r="D3" i="608"/>
  <c r="F3" i="610"/>
  <c r="G3" i="601"/>
  <c r="D4" i="611"/>
  <c r="H3" i="605"/>
  <c r="D4" i="608"/>
  <c r="F4" i="610"/>
  <c r="D3" i="611"/>
  <c r="D4" i="603"/>
  <c r="F3" i="600"/>
  <c r="H4" i="605"/>
  <c r="D3" i="604"/>
  <c r="D3" i="603"/>
  <c r="D3" i="609"/>
  <c r="G4" i="602"/>
  <c r="D4" i="609"/>
  <c r="F4" i="600"/>
  <c r="C10" i="604"/>
  <c r="E4" i="598"/>
  <c r="E3" i="598"/>
  <c r="J4" i="599"/>
  <c r="C10" i="608"/>
  <c r="C10" i="611"/>
  <c r="E10" i="610"/>
  <c r="C10" i="609"/>
  <c r="E10" i="607"/>
  <c r="I10" i="606"/>
  <c r="G10" i="605"/>
  <c r="C10" i="603"/>
  <c r="F10" i="602"/>
  <c r="F10" i="601"/>
  <c r="E10" i="600"/>
  <c r="I10" i="599"/>
  <c r="D10" i="598"/>
  <c r="I3" i="597" l="1"/>
  <c r="I4" i="597"/>
  <c r="I5" i="597"/>
  <c r="I6" i="597"/>
  <c r="I7" i="597"/>
  <c r="B10" i="597"/>
  <c r="C10" i="597"/>
  <c r="D10" i="597"/>
  <c r="E10" i="597"/>
  <c r="F10" i="597"/>
  <c r="G10" i="597"/>
  <c r="H10" i="597"/>
  <c r="D3" i="596"/>
  <c r="D4" i="596"/>
  <c r="E4" i="596" s="1"/>
  <c r="D6" i="596"/>
  <c r="D7" i="596"/>
  <c r="D8" i="596"/>
  <c r="D9" i="596"/>
  <c r="B10" i="596"/>
  <c r="C10" i="596"/>
  <c r="C4" i="595"/>
  <c r="C5" i="595"/>
  <c r="C6" i="595"/>
  <c r="C7" i="595"/>
  <c r="C8" i="595"/>
  <c r="C9" i="595"/>
  <c r="C3" i="595"/>
  <c r="D3" i="595" s="1"/>
  <c r="B10" i="595"/>
  <c r="E3" i="594"/>
  <c r="E4" i="594"/>
  <c r="E5" i="594"/>
  <c r="E6" i="594"/>
  <c r="E7" i="594"/>
  <c r="E8" i="594"/>
  <c r="E9" i="594"/>
  <c r="B10" i="594"/>
  <c r="C10" i="594"/>
  <c r="D10" i="594"/>
  <c r="H3" i="593"/>
  <c r="H4" i="593"/>
  <c r="H5" i="593"/>
  <c r="H6" i="593"/>
  <c r="H7" i="593"/>
  <c r="H8" i="593"/>
  <c r="B10" i="593"/>
  <c r="C10" i="593"/>
  <c r="D10" i="593"/>
  <c r="E10" i="593"/>
  <c r="F10" i="593"/>
  <c r="G10" i="593"/>
  <c r="D3" i="592"/>
  <c r="D4" i="592"/>
  <c r="D5" i="592"/>
  <c r="D6" i="592"/>
  <c r="D7" i="592"/>
  <c r="D8" i="592"/>
  <c r="D9" i="592"/>
  <c r="B10" i="592"/>
  <c r="C10" i="592"/>
  <c r="E3" i="591"/>
  <c r="E4" i="591"/>
  <c r="E5" i="591"/>
  <c r="E6" i="591"/>
  <c r="E7" i="591"/>
  <c r="E8" i="591"/>
  <c r="E9" i="591"/>
  <c r="B10" i="591"/>
  <c r="C10" i="591"/>
  <c r="D10" i="591"/>
  <c r="C3" i="590"/>
  <c r="C4" i="590"/>
  <c r="C5" i="590"/>
  <c r="C6" i="590"/>
  <c r="C7" i="590"/>
  <c r="C8" i="590"/>
  <c r="C9" i="590"/>
  <c r="B10" i="590"/>
  <c r="F3" i="589"/>
  <c r="F4" i="589"/>
  <c r="F5" i="589"/>
  <c r="F6" i="589"/>
  <c r="F7" i="589"/>
  <c r="F8" i="589"/>
  <c r="F9" i="589"/>
  <c r="B10" i="589"/>
  <c r="C10" i="589"/>
  <c r="D10" i="589"/>
  <c r="E10" i="589"/>
  <c r="E3" i="588"/>
  <c r="E4" i="588"/>
  <c r="E5" i="588"/>
  <c r="E6" i="588"/>
  <c r="E7" i="588"/>
  <c r="E8" i="588"/>
  <c r="B10" i="588"/>
  <c r="C10" i="588"/>
  <c r="D10" i="588"/>
  <c r="E3" i="587"/>
  <c r="E4" i="587"/>
  <c r="E5" i="587"/>
  <c r="E6" i="587"/>
  <c r="E7" i="587"/>
  <c r="E8" i="587"/>
  <c r="B10" i="587"/>
  <c r="C10" i="587"/>
  <c r="D10" i="587"/>
  <c r="C3" i="585"/>
  <c r="C4" i="585"/>
  <c r="C5" i="585"/>
  <c r="C6" i="585"/>
  <c r="C7" i="585"/>
  <c r="C8" i="585"/>
  <c r="B10" i="585"/>
  <c r="D3" i="584"/>
  <c r="D4" i="584"/>
  <c r="D5" i="584"/>
  <c r="D6" i="584"/>
  <c r="B10" i="584"/>
  <c r="C10" i="584"/>
  <c r="C4" i="583"/>
  <c r="C3" i="583"/>
  <c r="C5" i="583"/>
  <c r="C6" i="583"/>
  <c r="C7" i="583"/>
  <c r="C8" i="583"/>
  <c r="B10" i="583"/>
  <c r="D3" i="582"/>
  <c r="D4" i="582"/>
  <c r="D5" i="582"/>
  <c r="D6" i="582"/>
  <c r="D7" i="582"/>
  <c r="D8" i="582"/>
  <c r="B10" i="582"/>
  <c r="C10" i="582"/>
  <c r="C3" i="581"/>
  <c r="C4" i="581"/>
  <c r="C5" i="581"/>
  <c r="C6" i="581"/>
  <c r="C7" i="581"/>
  <c r="B10" i="581"/>
  <c r="C4" i="580"/>
  <c r="C3" i="580"/>
  <c r="C5" i="580"/>
  <c r="C6" i="580"/>
  <c r="C7" i="580"/>
  <c r="C8" i="580"/>
  <c r="B10" i="580"/>
  <c r="B10" i="579"/>
  <c r="C10" i="579"/>
  <c r="C3" i="578"/>
  <c r="C4" i="578"/>
  <c r="C5" i="578"/>
  <c r="C6" i="578"/>
  <c r="C7" i="578"/>
  <c r="B10" i="578"/>
  <c r="D3" i="577"/>
  <c r="D4" i="577"/>
  <c r="D5" i="577"/>
  <c r="D6" i="577"/>
  <c r="D7" i="577"/>
  <c r="B10" i="577"/>
  <c r="C10" i="577"/>
  <c r="C3" i="576"/>
  <c r="C4" i="576"/>
  <c r="C5" i="576"/>
  <c r="C6" i="576"/>
  <c r="C7" i="576"/>
  <c r="C8" i="576"/>
  <c r="B10" i="576"/>
  <c r="C3" i="575"/>
  <c r="C4" i="575"/>
  <c r="C5" i="575"/>
  <c r="C6" i="575"/>
  <c r="C7" i="575"/>
  <c r="B10" i="575"/>
  <c r="D5" i="574"/>
  <c r="D4" i="574"/>
  <c r="D6" i="574"/>
  <c r="D3" i="574"/>
  <c r="D7" i="574"/>
  <c r="D8" i="574"/>
  <c r="D9" i="574"/>
  <c r="B10" i="574"/>
  <c r="C10" i="574"/>
  <c r="C3" i="573"/>
  <c r="C4" i="573"/>
  <c r="C5" i="573"/>
  <c r="C6" i="573"/>
  <c r="C7" i="573"/>
  <c r="B10" i="573"/>
  <c r="C3" i="572"/>
  <c r="C4" i="572"/>
  <c r="C5" i="572"/>
  <c r="C6" i="572"/>
  <c r="C7" i="572"/>
  <c r="B10" i="572"/>
  <c r="D3" i="571"/>
  <c r="D4" i="571"/>
  <c r="D5" i="571"/>
  <c r="D6" i="571"/>
  <c r="D7" i="571"/>
  <c r="D8" i="571"/>
  <c r="B11" i="571"/>
  <c r="C11" i="571"/>
  <c r="C3" i="570"/>
  <c r="C4" i="570"/>
  <c r="C5" i="570"/>
  <c r="C6" i="570"/>
  <c r="C7" i="570"/>
  <c r="C8" i="570"/>
  <c r="C9" i="570"/>
  <c r="B10" i="570"/>
  <c r="C4" i="569"/>
  <c r="C3" i="569"/>
  <c r="D3" i="569" s="1"/>
  <c r="C5" i="569"/>
  <c r="C6" i="569"/>
  <c r="C7" i="569"/>
  <c r="B10" i="569"/>
  <c r="C3" i="568"/>
  <c r="C4" i="568"/>
  <c r="C5" i="568"/>
  <c r="C6" i="568"/>
  <c r="C7" i="568"/>
  <c r="B10" i="568"/>
  <c r="D3" i="567"/>
  <c r="E3" i="567" s="1"/>
  <c r="D4" i="567"/>
  <c r="E4" i="567" s="1"/>
  <c r="D5" i="567"/>
  <c r="D6" i="567"/>
  <c r="B10" i="567"/>
  <c r="C10" i="567"/>
  <c r="D3" i="566"/>
  <c r="D4" i="566"/>
  <c r="D5" i="566"/>
  <c r="D6" i="566"/>
  <c r="D7" i="566"/>
  <c r="B10" i="566"/>
  <c r="C10" i="566"/>
  <c r="C5" i="565"/>
  <c r="C3" i="565"/>
  <c r="C4" i="565"/>
  <c r="C6" i="565"/>
  <c r="C7" i="565"/>
  <c r="C8" i="565"/>
  <c r="C9" i="565"/>
  <c r="B10" i="565"/>
  <c r="C4" i="564"/>
  <c r="D4" i="564" s="1"/>
  <c r="C5" i="564"/>
  <c r="C6" i="564"/>
  <c r="C7" i="564"/>
  <c r="C3" i="564"/>
  <c r="C8" i="564"/>
  <c r="C9" i="564"/>
  <c r="B10" i="564"/>
  <c r="C3" i="562"/>
  <c r="C4" i="562"/>
  <c r="C5" i="562"/>
  <c r="C6" i="562"/>
  <c r="B10" i="562"/>
  <c r="C3" i="561"/>
  <c r="C4" i="561"/>
  <c r="C5" i="561"/>
  <c r="C6" i="561"/>
  <c r="B10" i="561"/>
  <c r="C3" i="560"/>
  <c r="C4" i="560"/>
  <c r="C5" i="560"/>
  <c r="C6" i="560"/>
  <c r="C7" i="560"/>
  <c r="D3" i="573" l="1"/>
  <c r="I3" i="593"/>
  <c r="D4" i="562"/>
  <c r="D4" i="573"/>
  <c r="E3" i="571"/>
  <c r="D3" i="570"/>
  <c r="D4" i="570"/>
  <c r="D4" i="569"/>
  <c r="D4" i="580"/>
  <c r="F4" i="587"/>
  <c r="E3" i="577"/>
  <c r="D4" i="585"/>
  <c r="E4" i="584"/>
  <c r="D3" i="580"/>
  <c r="F3" i="587"/>
  <c r="F3" i="588"/>
  <c r="G4" i="589"/>
  <c r="D3" i="560"/>
  <c r="E4" i="566"/>
  <c r="D4" i="568"/>
  <c r="D4" i="572"/>
  <c r="D4" i="576"/>
  <c r="D4" i="581"/>
  <c r="D4" i="583"/>
  <c r="D3" i="561"/>
  <c r="E3" i="566"/>
  <c r="D3" i="568"/>
  <c r="D3" i="572"/>
  <c r="D4" i="575"/>
  <c r="D3" i="576"/>
  <c r="D3" i="581"/>
  <c r="E3" i="582"/>
  <c r="D3" i="585"/>
  <c r="D3" i="562"/>
  <c r="D3" i="575"/>
  <c r="D3" i="578"/>
  <c r="E3" i="584"/>
  <c r="J4" i="597"/>
  <c r="D4" i="560"/>
  <c r="D4" i="595"/>
  <c r="J3" i="597"/>
  <c r="F4" i="588"/>
  <c r="D3" i="583"/>
  <c r="D4" i="578"/>
  <c r="E4" i="577"/>
  <c r="D4" i="561"/>
  <c r="D3" i="565"/>
  <c r="D4" i="565"/>
  <c r="E4" i="582"/>
  <c r="D3" i="590"/>
  <c r="E3" i="563"/>
  <c r="D3" i="564"/>
  <c r="E3" i="592"/>
  <c r="E3" i="596"/>
  <c r="E4" i="574"/>
  <c r="D4" i="590"/>
  <c r="F4" i="594"/>
  <c r="F3" i="594"/>
  <c r="I10" i="597"/>
  <c r="E4" i="563"/>
  <c r="C10" i="573"/>
  <c r="D10" i="567"/>
  <c r="E3" i="574"/>
  <c r="F4" i="591"/>
  <c r="D10" i="596"/>
  <c r="C10" i="570"/>
  <c r="E4" i="571"/>
  <c r="F3" i="591"/>
  <c r="E4" i="592"/>
  <c r="I4" i="593"/>
  <c r="C10" i="562"/>
  <c r="C10" i="575"/>
  <c r="C10" i="568"/>
  <c r="C10" i="578"/>
  <c r="C10" i="583"/>
  <c r="C10" i="585"/>
  <c r="G3" i="589"/>
  <c r="C10" i="595"/>
  <c r="E10" i="594"/>
  <c r="H10" i="593"/>
  <c r="D10" i="592"/>
  <c r="E10" i="591"/>
  <c r="C10" i="590"/>
  <c r="F10" i="589"/>
  <c r="E10" i="588"/>
  <c r="E10" i="587"/>
  <c r="D10" i="584"/>
  <c r="D10" i="582"/>
  <c r="C10" i="581"/>
  <c r="C10" i="580"/>
  <c r="D10" i="579"/>
  <c r="D10" i="577"/>
  <c r="C10" i="576"/>
  <c r="D10" i="574"/>
  <c r="C10" i="572"/>
  <c r="D11" i="571"/>
  <c r="C10" i="569"/>
  <c r="D10" i="566"/>
  <c r="C10" i="565"/>
  <c r="C10" i="564"/>
  <c r="C10" i="561"/>
  <c r="B10" i="560"/>
  <c r="C10" i="560"/>
  <c r="D3" i="559"/>
  <c r="D4" i="559"/>
  <c r="D5" i="559"/>
  <c r="D6" i="559"/>
  <c r="D7" i="559"/>
  <c r="D8" i="559"/>
  <c r="D9" i="559"/>
  <c r="C10" i="559"/>
  <c r="C3" i="558"/>
  <c r="C4" i="558"/>
  <c r="C5" i="558"/>
  <c r="C6" i="558"/>
  <c r="B10" i="558"/>
  <c r="C3" i="557"/>
  <c r="C4" i="557"/>
  <c r="C5" i="557"/>
  <c r="C6" i="557"/>
  <c r="C7" i="557"/>
  <c r="C8" i="557"/>
  <c r="C9" i="557"/>
  <c r="B10" i="557"/>
  <c r="D3" i="556"/>
  <c r="D4" i="556"/>
  <c r="D5" i="556"/>
  <c r="D6" i="556"/>
  <c r="D7" i="556"/>
  <c r="D8" i="556"/>
  <c r="B10" i="556"/>
  <c r="C10" i="556"/>
  <c r="C3" i="555"/>
  <c r="C4" i="555"/>
  <c r="C5" i="555"/>
  <c r="C6" i="555"/>
  <c r="C7" i="555"/>
  <c r="C8" i="555"/>
  <c r="C9" i="555"/>
  <c r="B10" i="555"/>
  <c r="C3" i="554"/>
  <c r="C4" i="554"/>
  <c r="C5" i="554"/>
  <c r="C6" i="554"/>
  <c r="C7" i="554"/>
  <c r="C8" i="554"/>
  <c r="C9" i="554"/>
  <c r="B10" i="554"/>
  <c r="C3" i="553"/>
  <c r="C4" i="553"/>
  <c r="C5" i="553"/>
  <c r="C6" i="553"/>
  <c r="C7" i="553"/>
  <c r="C8" i="553"/>
  <c r="C9" i="553"/>
  <c r="B10" i="553"/>
  <c r="C3" i="552"/>
  <c r="C4" i="552"/>
  <c r="C5" i="552"/>
  <c r="C6" i="552"/>
  <c r="C7" i="552"/>
  <c r="C8" i="552"/>
  <c r="C9" i="552"/>
  <c r="B10" i="552"/>
  <c r="C3" i="551"/>
  <c r="C4" i="551"/>
  <c r="C5" i="551"/>
  <c r="C6" i="551"/>
  <c r="C7" i="551"/>
  <c r="C8" i="551"/>
  <c r="B10" i="551"/>
  <c r="C3" i="550"/>
  <c r="C4" i="550"/>
  <c r="C5" i="550"/>
  <c r="C6" i="550"/>
  <c r="C7" i="550"/>
  <c r="C8" i="550"/>
  <c r="C9" i="550"/>
  <c r="B10" i="550"/>
  <c r="C3" i="549"/>
  <c r="C4" i="549"/>
  <c r="C5" i="549"/>
  <c r="C6" i="549"/>
  <c r="C7" i="549"/>
  <c r="C8" i="549"/>
  <c r="C9" i="549"/>
  <c r="B10" i="549"/>
  <c r="D3" i="551" l="1"/>
  <c r="D4" i="558"/>
  <c r="E3" i="556"/>
  <c r="D3" i="558"/>
  <c r="D3" i="549"/>
  <c r="D4" i="551"/>
  <c r="D4" i="552"/>
  <c r="D4" i="553"/>
  <c r="D3" i="550"/>
  <c r="D4" i="554"/>
  <c r="D4" i="555"/>
  <c r="E4" i="556"/>
  <c r="D3" i="552"/>
  <c r="D3" i="553"/>
  <c r="D3" i="554"/>
  <c r="D3" i="555"/>
  <c r="D3" i="557"/>
  <c r="E3" i="559"/>
  <c r="C10" i="557"/>
  <c r="D4" i="557"/>
  <c r="D4" i="549"/>
  <c r="C10" i="550"/>
  <c r="D4" i="550"/>
  <c r="E4" i="559"/>
  <c r="C10" i="549"/>
  <c r="C10" i="553"/>
  <c r="D10" i="559"/>
  <c r="C10" i="558"/>
  <c r="D10" i="556"/>
  <c r="C10" i="555"/>
  <c r="C10" i="554"/>
  <c r="C10" i="552"/>
  <c r="C10" i="551"/>
</calcChain>
</file>

<file path=xl/sharedStrings.xml><?xml version="1.0" encoding="utf-8"?>
<sst xmlns="http://schemas.openxmlformats.org/spreadsheetml/2006/main" count="884" uniqueCount="137">
  <si>
    <t>Blank</t>
  </si>
  <si>
    <t>Void</t>
  </si>
  <si>
    <t>Total Votes by County</t>
  </si>
  <si>
    <t>Total Votes by Party</t>
  </si>
  <si>
    <t>Total Votes by Candidate</t>
  </si>
  <si>
    <t>Scattering</t>
  </si>
  <si>
    <t>Sullivan County Vote Results</t>
  </si>
  <si>
    <t>Schoharie County Vote Results</t>
  </si>
  <si>
    <t>Candidate Name (Party)</t>
  </si>
  <si>
    <t>Warren County Vote Results</t>
  </si>
  <si>
    <t>Montgomery County Vote Results</t>
  </si>
  <si>
    <t>Hamilton County Vote Results</t>
  </si>
  <si>
    <t>Fulton County Vote Results</t>
  </si>
  <si>
    <t>Franklin County Vote Results</t>
  </si>
  <si>
    <t>Essex County Vote Results</t>
  </si>
  <si>
    <t>Clinton County Vote Results</t>
  </si>
  <si>
    <t>Jefferson County Vote Results</t>
  </si>
  <si>
    <t>Yates County Vote Results</t>
  </si>
  <si>
    <t>Wayne County Vote Results</t>
  </si>
  <si>
    <t>Steuben County Vote Results</t>
  </si>
  <si>
    <t>Seneca County Vote Results</t>
  </si>
  <si>
    <t>Ontario County Vote Results</t>
  </si>
  <si>
    <t>Livingston County Vote Results</t>
  </si>
  <si>
    <t>Cayuga County Vote Results</t>
  </si>
  <si>
    <t>Wyoming County Vote Results</t>
  </si>
  <si>
    <t>Orleans County Vote Results</t>
  </si>
  <si>
    <t>Niagara County Vote Results</t>
  </si>
  <si>
    <t>Genesee County Vote Results</t>
  </si>
  <si>
    <t>Cattaraugus County Vote Results</t>
  </si>
  <si>
    <t>Part of Suffolk County Vote Results</t>
  </si>
  <si>
    <t>Part of Nassau County Vote Results</t>
  </si>
  <si>
    <t>Part of Queens County Vote Results</t>
  </si>
  <si>
    <t>Part of Kings County Vote Results</t>
  </si>
  <si>
    <t>Part of New York County Vote Results</t>
  </si>
  <si>
    <t>Part of Bronx County Vote Results</t>
  </si>
  <si>
    <t>Part of Westchester County Vote Results</t>
  </si>
  <si>
    <t>Part of Dutchess County Vote Results</t>
  </si>
  <si>
    <t>Part of Ulster County Vote Results</t>
  </si>
  <si>
    <t>Cortland County Vote Results</t>
  </si>
  <si>
    <t>Delaware County Vote Results</t>
  </si>
  <si>
    <t>Tioga County Vote Results</t>
  </si>
  <si>
    <t>Tompkins County Vote Results</t>
  </si>
  <si>
    <t>Madison County Vote Results</t>
  </si>
  <si>
    <t>Part of Oswego County Vote Results</t>
  </si>
  <si>
    <t>Chemung County Vote Results</t>
  </si>
  <si>
    <t>Part of Erie County Vote Results</t>
  </si>
  <si>
    <t>Part of Richmond County Vote Results</t>
  </si>
  <si>
    <t>Part of Rockland County Vote Results</t>
  </si>
  <si>
    <t>Part of Orange County Vote Results</t>
  </si>
  <si>
    <t>Part of Putnam County Vote Results</t>
  </si>
  <si>
    <t>Columbia County
Vote Results</t>
  </si>
  <si>
    <t>Part of Washington County Vote Results</t>
  </si>
  <si>
    <t xml:space="preserve"> Rensselaer County 
Vote Results</t>
  </si>
  <si>
    <t>Part of Albany County Vote Results</t>
  </si>
  <si>
    <t>Part of Schenectady County Vote Results</t>
  </si>
  <si>
    <t>Saratoga County 
Vote Results</t>
  </si>
  <si>
    <t>Part of St. Lawrence County Vote Results</t>
  </si>
  <si>
    <t>Part of Onondaga County Vote Results</t>
  </si>
  <si>
    <t>Lewis County
Vote Results</t>
  </si>
  <si>
    <t>Part of Herkimer County Vote Results</t>
  </si>
  <si>
    <t>Part of Onondago County Vote Results</t>
  </si>
  <si>
    <t>Part of Chenango County Vote Results</t>
  </si>
  <si>
    <t>Part of Broome County Vote Results</t>
  </si>
  <si>
    <t>Otsego County Vote Results</t>
  </si>
  <si>
    <t>Part of Oneida County Vote Results</t>
  </si>
  <si>
    <t>Part of Monroe County Vote Results</t>
  </si>
  <si>
    <t>Part of Allegany County Vote Results</t>
  </si>
  <si>
    <t xml:space="preserve"> Chautauqua County Vote Results</t>
  </si>
  <si>
    <t>Schuyler County Vote Results</t>
  </si>
  <si>
    <t>Kathy C. Hochul/Antonio Delgado (DEM)</t>
  </si>
  <si>
    <t>Lee Zeldin/Alison Esposito (REP)</t>
  </si>
  <si>
    <t>Lee Zeldin/Alison Esposito (CON)</t>
  </si>
  <si>
    <t>Kathy C. Hochul/Antonio Delgado (WOR)</t>
  </si>
  <si>
    <t>Green County Vote Results</t>
  </si>
  <si>
    <t xml:space="preserve">
Governor Vote by  1st Senate District - General Election - November 8, 2022</t>
  </si>
  <si>
    <t xml:space="preserve">
Governor Vote by 2nd Senate District - General Election - November 8, 2022</t>
  </si>
  <si>
    <t xml:space="preserve">
Governor Vote by 3rd Senate District - General Election - November 8, 2022</t>
  </si>
  <si>
    <t xml:space="preserve">
Governor Vote by 4th Senate District - General Election - November 8, 2022</t>
  </si>
  <si>
    <t xml:space="preserve">
Governor Vote by 5th Senate District - General Election - November 8, 2022</t>
  </si>
  <si>
    <t xml:space="preserve">
Governor Vote by 6th Senate District - General Election - November 8, 2022</t>
  </si>
  <si>
    <t xml:space="preserve">
Governor Vote by  7th Senate District - General Election - November 8, 2022</t>
  </si>
  <si>
    <t xml:space="preserve">
Governor Vote by 8th Senate District - General Election - November 8, 2022</t>
  </si>
  <si>
    <t xml:space="preserve">
Governor Vote by 9th Senate District - General Election - November 8, 2022</t>
  </si>
  <si>
    <t xml:space="preserve">
Governor Vote by 10th Senate District - General Election - November 8, 2022</t>
  </si>
  <si>
    <t xml:space="preserve">
Governor Vote by 11th Senate District - General Election - November 8, 2022</t>
  </si>
  <si>
    <t xml:space="preserve">
Governor Vote by 12th Senate District - General Election - November 8, 2022</t>
  </si>
  <si>
    <t xml:space="preserve">
Governor Vote by 13th Senate District - General Election - November 8, 2022</t>
  </si>
  <si>
    <t xml:space="preserve">
Governor Vote by 14th Senate District - General Election - November 8, 2022</t>
  </si>
  <si>
    <t xml:space="preserve">
Governor Vote by 15th Senate District - General Election - November 8, 2022</t>
  </si>
  <si>
    <t xml:space="preserve">
Governor Vote by 16th Senate District - General Election - November 8, 2022</t>
  </si>
  <si>
    <t xml:space="preserve">
Governor Vote by 17th Senate District - General Election - November 8, 2022</t>
  </si>
  <si>
    <t xml:space="preserve">
Governor Vote by  18th Senate District - General Election - November 8, 2022</t>
  </si>
  <si>
    <t xml:space="preserve">
Governor Vote by  19th Senate District - General Election - November 8, 2022</t>
  </si>
  <si>
    <t xml:space="preserve">
Governor Vote by 20th Senate District - General Election - November 8, 2022</t>
  </si>
  <si>
    <t xml:space="preserve">
Governor Vote by 21st Senate District - General Election - November 8, 2022</t>
  </si>
  <si>
    <t xml:space="preserve">
Governor Vote by 22nd Senate District - General Election - November 8, 2022</t>
  </si>
  <si>
    <t xml:space="preserve">
Governor Vote by 23rd Senate District - General Election - November 8, 2022</t>
  </si>
  <si>
    <t xml:space="preserve">
Governor Vote by 24th Senate District - General Election - November 8, 2022</t>
  </si>
  <si>
    <t xml:space="preserve">
Governor Vote by 25th Senate District - General Election - November 8, 2022</t>
  </si>
  <si>
    <t xml:space="preserve">
Governor Vote by 26th Senate District - General Election - November 8, 2022</t>
  </si>
  <si>
    <t xml:space="preserve">
Governor Vote by  27th Senate District - General Election - November 8, 2022</t>
  </si>
  <si>
    <t xml:space="preserve">
Governor Vote by 28th Senate District - General Election - November 8, 2022</t>
  </si>
  <si>
    <t xml:space="preserve">
Governor Vote by 29th Senate District - General Election - November 8, 2022</t>
  </si>
  <si>
    <t xml:space="preserve">
Governor Vote by 30th Senate District - General Election - November 8, 2022</t>
  </si>
  <si>
    <t xml:space="preserve">
Governor Vote by 31st Senate District - General Election - November 8, 2022</t>
  </si>
  <si>
    <t xml:space="preserve">
Governor Vote by 32nd Senate District - General Election - November 8, 2022</t>
  </si>
  <si>
    <t xml:space="preserve">
Governor Vote by  33rd Senate District - General Election - November 8, 2022</t>
  </si>
  <si>
    <t xml:space="preserve">
Governor Vote by 34th Senate District - General Election - November 8, 2022</t>
  </si>
  <si>
    <t xml:space="preserve">
Governor Vote by  35th Senate District - General Election - November 8, 2022</t>
  </si>
  <si>
    <t xml:space="preserve">
Governor Vote by  36th Senate District - General Election - November 8, 2022</t>
  </si>
  <si>
    <t xml:space="preserve">
Governor Vote by 37th Senate District - General Election - November 8, 2022</t>
  </si>
  <si>
    <t xml:space="preserve">
Governor Vote by 38th Senate District - General Election - November 8, 2022</t>
  </si>
  <si>
    <t xml:space="preserve">
Governor Vote by 39th Senate District - General Election - November 8, 2022</t>
  </si>
  <si>
    <t xml:space="preserve">
Governor Vote by  40th Senate District - General Election - November 8, 2022</t>
  </si>
  <si>
    <t xml:space="preserve">
Governor Vote by  41st Senate District - General Election - November 8, 2022</t>
  </si>
  <si>
    <t xml:space="preserve">
Governor Vote by  42nd Senate District - General Election - November 8, 2022</t>
  </si>
  <si>
    <t xml:space="preserve">
Governor Vote by  43rd Senate District - General Election - November 8, 2022</t>
  </si>
  <si>
    <t xml:space="preserve">
Governor Vote by 44th Senate District - General Election - November 8, 2022</t>
  </si>
  <si>
    <t xml:space="preserve">
Governor Vote by 45th Senate District - General Election - November 8, 2022</t>
  </si>
  <si>
    <t xml:space="preserve">
Governor Vote by  46th Senate District - General Election - November 8, 2022</t>
  </si>
  <si>
    <t xml:space="preserve">
Governor Vote by 47th Senate District - General Election - November 8, 2022</t>
  </si>
  <si>
    <t xml:space="preserve">
Governor Vote by  48th Senate District - General Election - November 8, 2022</t>
  </si>
  <si>
    <t xml:space="preserve">
Governor Vote by  49th Senate District - General Election - November 8, 2022</t>
  </si>
  <si>
    <t xml:space="preserve">
Governor Vote by  50th Senate District - General Election - November 8, 2022</t>
  </si>
  <si>
    <t xml:space="preserve">
Governor Vote by  51st Senate District - General Election - November 8, 2022</t>
  </si>
  <si>
    <t xml:space="preserve">
Governor Vote by  52nd Senate District - General Election - November 8, 2022</t>
  </si>
  <si>
    <t xml:space="preserve">
Governor Vote by  53rd Senate District - General Election - November 8, 2022</t>
  </si>
  <si>
    <t xml:space="preserve">
Governor Vote by  54th Senate District - General Election - November 8, 2022</t>
  </si>
  <si>
    <t xml:space="preserve">
Governor Vote by 55th Senate District - General Election - November 8, 2022</t>
  </si>
  <si>
    <t xml:space="preserve">
Governor Vote by  56th Senate District - General Election - November 8, 2022</t>
  </si>
  <si>
    <t xml:space="preserve">
Governor Vote by 57th Senate District - General Election - November 8, 2022</t>
  </si>
  <si>
    <t xml:space="preserve">
Governor Vote by  58th Senate District - General Election - November 8, 2022</t>
  </si>
  <si>
    <t xml:space="preserve">
Governor Vote by 59th Senate District - General Election - November 8, 2022</t>
  </si>
  <si>
    <t xml:space="preserve">
Governor Vote by  60th Senate District - General Election - November 8, 2022</t>
  </si>
  <si>
    <t xml:space="preserve">
Governor Vote by  61st Senate District - General Election - November 8, 2022</t>
  </si>
  <si>
    <t xml:space="preserve">
Governor Vote by  62nd Senate District - General Election - November 8, 2022</t>
  </si>
  <si>
    <t xml:space="preserve">
Governor Vote by 63rd Senate District - General Election - November 8,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</si>
</sst>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4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name val="Arial"/>
      <family val="2"/>
    </font>
    <font>
      <sz val="10"/>
      <color indexed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95B3D7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4">
    <xf numFmtId="0" fontId="0" fillId="0" borderId="0" xfId="0"/>
    <xf numFmtId="0" fontId="0" fillId="0" borderId="0" xfId="0" applyAlignment="1">
      <alignment horizontal="left"/>
    </xf>
    <xf numFmtId="3" fontId="3" fillId="5" borderId="1" xfId="0" applyNumberFormat="1" applyFont="1" applyFill="1" applyBorder="1"/>
    <xf numFmtId="3" fontId="3" fillId="4" borderId="1" xfId="0" applyNumberFormat="1" applyFont="1" applyFill="1" applyBorder="1"/>
    <xf numFmtId="3" fontId="3" fillId="8" borderId="1" xfId="0" applyNumberFormat="1" applyFont="1" applyFill="1" applyBorder="1"/>
    <xf numFmtId="0" fontId="4" fillId="3" borderId="1" xfId="0" applyFont="1" applyFill="1" applyBorder="1"/>
    <xf numFmtId="3" fontId="3" fillId="7" borderId="1" xfId="0" applyNumberFormat="1" applyFont="1" applyFill="1" applyBorder="1"/>
    <xf numFmtId="0" fontId="4" fillId="6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3" fontId="3" fillId="0" borderId="1" xfId="0" applyNumberFormat="1" applyFont="1" applyBorder="1"/>
    <xf numFmtId="3" fontId="4" fillId="5" borderId="1" xfId="0" applyNumberFormat="1" applyFont="1" applyFill="1" applyBorder="1"/>
    <xf numFmtId="3" fontId="4" fillId="4" borderId="1" xfId="0" applyNumberFormat="1" applyFont="1" applyFill="1" applyBorder="1"/>
    <xf numFmtId="3" fontId="3" fillId="0" borderId="1" xfId="0" applyNumberFormat="1" applyFont="1" applyFill="1" applyBorder="1"/>
    <xf numFmtId="3" fontId="5" fillId="0" borderId="1" xfId="0" applyNumberFormat="1" applyFont="1" applyBorder="1"/>
    <xf numFmtId="0" fontId="4" fillId="0" borderId="5" xfId="0" applyFont="1" applyBorder="1"/>
    <xf numFmtId="0" fontId="5" fillId="0" borderId="1" xfId="0" applyFont="1" applyBorder="1"/>
    <xf numFmtId="0" fontId="4" fillId="0" borderId="4" xfId="0" applyFont="1" applyBorder="1"/>
    <xf numFmtId="0" fontId="4" fillId="0" borderId="4" xfId="0" applyFont="1" applyBorder="1" applyAlignment="1">
      <alignment wrapText="1"/>
    </xf>
    <xf numFmtId="3" fontId="4" fillId="9" borderId="1" xfId="0" applyNumberFormat="1" applyFont="1" applyFill="1" applyBorder="1"/>
    <xf numFmtId="3" fontId="3" fillId="10" borderId="1" xfId="0" applyNumberFormat="1" applyFont="1" applyFill="1" applyBorder="1"/>
    <xf numFmtId="0" fontId="6" fillId="0" borderId="1" xfId="0" applyFont="1" applyBorder="1"/>
    <xf numFmtId="3" fontId="6" fillId="0" borderId="1" xfId="0" applyNumberFormat="1" applyFont="1" applyBorder="1"/>
    <xf numFmtId="3" fontId="6" fillId="0" borderId="7" xfId="0" applyNumberFormat="1" applyFont="1" applyBorder="1"/>
    <xf numFmtId="0" fontId="4" fillId="2" borderId="2" xfId="0" applyFont="1" applyFill="1" applyBorder="1" applyAlignment="1">
      <alignment horizontal="right" vertical="center" wrapText="1"/>
    </xf>
    <xf numFmtId="3" fontId="4" fillId="0" borderId="1" xfId="0" applyNumberFormat="1" applyFont="1" applyFill="1" applyBorder="1"/>
    <xf numFmtId="3" fontId="4" fillId="0" borderId="3" xfId="0" applyNumberFormat="1" applyFont="1" applyFill="1" applyBorder="1"/>
    <xf numFmtId="0" fontId="5" fillId="0" borderId="1" xfId="0" applyFont="1" applyFill="1" applyBorder="1" applyAlignment="1"/>
    <xf numFmtId="0" fontId="2" fillId="3" borderId="2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6" fillId="0" borderId="3" xfId="0" applyFont="1" applyBorder="1"/>
    <xf numFmtId="0" fontId="0" fillId="0" borderId="1" xfId="0" applyBorder="1"/>
    <xf numFmtId="0" fontId="2" fillId="3" borderId="2" xfId="0" applyFont="1" applyFill="1" applyBorder="1" applyAlignment="1">
      <alignment vertical="center" wrapText="1"/>
    </xf>
    <xf numFmtId="0" fontId="4" fillId="3" borderId="5" xfId="0" applyFont="1" applyFill="1" applyBorder="1" applyAlignment="1"/>
    <xf numFmtId="0" fontId="4" fillId="4" borderId="2" xfId="0" applyFont="1" applyFill="1" applyBorder="1" applyAlignment="1">
      <alignment horizontal="right" vertical="center" wrapText="1"/>
    </xf>
    <xf numFmtId="0" fontId="4" fillId="4" borderId="6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/>
    </xf>
    <xf numFmtId="0" fontId="1" fillId="0" borderId="0" xfId="0" applyFont="1" applyAlignment="1">
      <alignment vertical="center"/>
    </xf>
    <xf numFmtId="0" fontId="0" fillId="0" borderId="0" xfId="0" applyAlignment="1"/>
  </cellXfs>
  <cellStyles count="2">
    <cellStyle name="Normal" xfId="0" builtinId="0"/>
    <cellStyle name="Normal 2" xfId="1" xr:uid="{2B212D93-90E7-4867-B12F-C2CA1705CBA1}"/>
  </cellStyles>
  <dxfs count="100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9F454674-10A5-4750-81EB-FCA6B074CE52}" name="StateSenatorSenateDistrict1General40" displayName="StateSenatorSenateDistrict1General40" ref="A2:D10" totalsRowCount="1" headerRowDxfId="1008" dataDxfId="1006" totalsRowDxfId="1004" headerRowBorderDxfId="1007" tableBorderDxfId="1005" totalsRowBorderDxfId="1003">
  <autoFilter ref="A2:D9" xr:uid="{46E63F8E-8A2F-421C-B164-9C94A0596A45}">
    <filterColumn colId="0" hiddenButton="1"/>
    <filterColumn colId="1" hiddenButton="1"/>
    <filterColumn colId="2" hiddenButton="1"/>
    <filterColumn colId="3" hiddenButton="1"/>
  </autoFilter>
  <tableColumns count="4">
    <tableColumn id="1" xr3:uid="{0DC13088-07B1-4484-9837-16A749E7ADCD}" name="Candidate Name (Party)" totalsRowLabel="Total Votes by County" dataDxfId="1002" totalsRowDxfId="1001"/>
    <tableColumn id="4" xr3:uid="{28D1396B-6422-478E-B714-2E6021CA56AB}" name="Part of Suffolk County Vote Results" totalsRowFunction="custom" dataDxfId="1000" totalsRowDxfId="999">
      <totalsRowFormula>SUM(StateSenatorSenateDistrict1General40[Part of Suffolk County Vote Results])</totalsRowFormula>
    </tableColumn>
    <tableColumn id="3" xr3:uid="{DAC1F272-2DBE-4477-8EDF-312147E6ABDD}" name="Total Votes by Party" totalsRowFunction="custom" dataDxfId="998" totalsRowDxfId="997">
      <calculatedColumnFormula>StateSenatorSenateDistrict1General40[[#This Row],[Part of Suffolk County Vote Results]]</calculatedColumnFormula>
      <totalsRowFormula>SUM(StateSenatorSenateDistrict1General40[Total Votes by Party])</totalsRowFormula>
    </tableColumn>
    <tableColumn id="2" xr3:uid="{5BE9899B-A094-45B7-A70A-384ECC8109FC}" name="Total Votes by Candidate" dataDxfId="996" totalsRowDxfId="995"/>
  </tableColumns>
  <tableStyleInfo name="TableStyleMedium2"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B83ACAC1-EF4E-4EF5-A97D-360CB3194BE5}" name="StateSenatorSenateDistrict10General" displayName="StateSenatorSenateDistrict10General" ref="A2:D10" totalsRowCount="1" headerRowDxfId="880" dataDxfId="878" totalsRowDxfId="876" headerRowBorderDxfId="879" tableBorderDxfId="877" totalsRowBorderDxfId="875">
  <autoFilter ref="A2:D9" xr:uid="{8D07F028-8319-42B9-960D-9E5BBF698127}">
    <filterColumn colId="0" hiddenButton="1"/>
    <filterColumn colId="1" hiddenButton="1"/>
    <filterColumn colId="2" hiddenButton="1"/>
    <filterColumn colId="3" hiddenButton="1"/>
  </autoFilter>
  <tableColumns count="4">
    <tableColumn id="1" xr3:uid="{4B639279-092A-407A-9346-5C7D44CEC4B8}" name="Candidate Name (Party)" totalsRowLabel="Total Votes by County" dataDxfId="874" totalsRowDxfId="873"/>
    <tableColumn id="4" xr3:uid="{9EDE2330-85B6-4962-93BA-998CEF978449}" name="Part of Queens County Vote Results" totalsRowFunction="custom" dataDxfId="872" totalsRowDxfId="871">
      <totalsRowFormula>SUM(StateSenatorSenateDistrict10General[Part of Queens County Vote Results])</totalsRowFormula>
    </tableColumn>
    <tableColumn id="3" xr3:uid="{F7B54FDD-9A7F-4136-91C0-4B5A830E74D8}" name="Total Votes by Party" totalsRowFunction="custom" dataDxfId="870" totalsRowDxfId="869">
      <calculatedColumnFormula>StateSenatorSenateDistrict10General[[#This Row],[Part of Queens County Vote Results]]</calculatedColumnFormula>
      <totalsRowFormula>SUM(StateSenatorSenateDistrict10General[Total Votes by Party])</totalsRowFormula>
    </tableColumn>
    <tableColumn id="2" xr3:uid="{39DD0023-7FED-4BFA-82C1-7D2EACDBB398}" name="Total Votes by Candidate" dataDxfId="868" totalsRowDxfId="867">
      <calculatedColumnFormula>SUM(C3,C4)</calculatedColumnFormula>
    </tableColumn>
  </tableColumns>
  <tableStyleInfo name="TableStyleMedium2" showFirstColumn="0" showLastColumn="0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D2992874-3532-4A42-AC52-96D77D3C04E9}" name="StateSenatorSenateDistrict11General" displayName="StateSenatorSenateDistrict11General" ref="A2:E10" totalsRowCount="1" headerRowDxfId="866" dataDxfId="864" totalsRowDxfId="862" headerRowBorderDxfId="865" tableBorderDxfId="863" totalsRowBorderDxfId="861">
  <autoFilter ref="A2:E9" xr:uid="{86DC72B7-AC4C-460E-9130-5838C9BCBACD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F7E072B-FC63-4E98-8980-51788CA9E0D8}" name="Candidate Name (Party)" totalsRowLabel="Total Votes by County" dataDxfId="860" totalsRowDxfId="859"/>
    <tableColumn id="6" xr3:uid="{5740C3DB-2EED-4A6D-A6E0-EDF76C55F84B}" name="Part of Bronx County Vote Results" totalsRowFunction="custom" dataDxfId="858" totalsRowDxfId="857">
      <totalsRowFormula>SUM(StateSenatorSenateDistrict11General[Part of Bronx County Vote Results])</totalsRowFormula>
    </tableColumn>
    <tableColumn id="4" xr3:uid="{D0087190-3F76-4C00-97C1-DE6F572D98DC}" name="Part of Queens County Vote Results" totalsRowFunction="custom" dataDxfId="856" totalsRowDxfId="855">
      <totalsRowFormula>SUM(StateSenatorSenateDistrict11General[Part of Queens County Vote Results])</totalsRowFormula>
    </tableColumn>
    <tableColumn id="3" xr3:uid="{F49A81F3-D376-4E5A-B5A9-FA325676F1AE}" name="Total Votes by Party" totalsRowFunction="custom" dataDxfId="854" totalsRowDxfId="853">
      <calculatedColumnFormula>SUM(StateSenatorSenateDistrict11General[[#This Row],[Part of Bronx County Vote Results]:[Part of Queens County Vote Results]])</calculatedColumnFormula>
      <totalsRowFormula>SUM(StateSenatorSenateDistrict11General[Total Votes by Party])</totalsRowFormula>
    </tableColumn>
    <tableColumn id="2" xr3:uid="{DB3FC48D-675E-4FCB-A714-1DAA2FD4ADFD}" name="Total Votes by Candidate" dataDxfId="852" totalsRowDxfId="851">
      <calculatedColumnFormula>SUM(StateSenatorSenateDistrict11General[[#This Row],[Total Votes by Party]],D3,D4)</calculatedColumnFormula>
    </tableColumn>
  </tableColumns>
  <tableStyleInfo name="TableStyleMedium2" showFirstColumn="0" showLastColumn="0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738A8CAC-93DC-4219-B3B3-61188BA4199D}" name="StateSenatorSenateDistrict12General" displayName="StateSenatorSenateDistrict12General" ref="A2:D10" totalsRowCount="1" headerRowDxfId="850" dataDxfId="848" totalsRowDxfId="846" headerRowBorderDxfId="849" tableBorderDxfId="847" totalsRowBorderDxfId="845">
  <autoFilter ref="A2:D9" xr:uid="{2CE300DD-8912-442E-850C-3B4D930DBB13}">
    <filterColumn colId="0" hiddenButton="1"/>
    <filterColumn colId="1" hiddenButton="1"/>
    <filterColumn colId="2" hiddenButton="1"/>
    <filterColumn colId="3" hiddenButton="1"/>
  </autoFilter>
  <tableColumns count="4">
    <tableColumn id="1" xr3:uid="{79F83BBF-4040-482F-9B86-F883FD487E64}" name="Candidate Name (Party)" totalsRowLabel="Total Votes by County" dataDxfId="844" totalsRowDxfId="843"/>
    <tableColumn id="4" xr3:uid="{86CCB9F8-CD23-4E82-AD9C-CAAC73CA18BD}" name="Part of Queens County Vote Results" totalsRowFunction="custom" dataDxfId="842" totalsRowDxfId="841">
      <totalsRowFormula>SUM(StateSenatorSenateDistrict12General[Part of Queens County Vote Results])</totalsRowFormula>
    </tableColumn>
    <tableColumn id="3" xr3:uid="{70312B20-3F77-4FED-B212-C4405D88EF47}" name="Total Votes by Party" totalsRowFunction="custom" dataDxfId="840" totalsRowDxfId="839">
      <calculatedColumnFormula>SUM(B3)</calculatedColumnFormula>
      <totalsRowFormula>SUM(StateSenatorSenateDistrict12General[Total Votes by Party])</totalsRowFormula>
    </tableColumn>
    <tableColumn id="2" xr3:uid="{3DA2748C-7A6C-4AA3-BE57-C90D10B78F16}" name="Total Votes by Candidate" dataDxfId="838" totalsRowDxfId="837">
      <calculatedColumnFormula>SUM(C3,C4)</calculatedColumnFormula>
    </tableColumn>
  </tableColumns>
  <tableStyleInfo name="TableStyleMedium2" showFirstColumn="0" showLastColumn="0" showRowStripes="0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BE4E7ED1-2221-46E3-A951-24A39037098F}" name="StateSenatorSenateDistrict13General" displayName="StateSenatorSenateDistrict13General" ref="A2:D10" totalsRowCount="1" headerRowDxfId="836" dataDxfId="834" totalsRowDxfId="832" headerRowBorderDxfId="835" tableBorderDxfId="833" totalsRowBorderDxfId="831">
  <autoFilter ref="A2:D9" xr:uid="{7D329055-02FA-4249-9564-3F326CBE70EC}">
    <filterColumn colId="0" hiddenButton="1"/>
    <filterColumn colId="1" hiddenButton="1"/>
    <filterColumn colId="2" hiddenButton="1"/>
    <filterColumn colId="3" hiddenButton="1"/>
  </autoFilter>
  <tableColumns count="4">
    <tableColumn id="1" xr3:uid="{D6373A46-7753-4B08-AEBF-45947038E492}" name="Candidate Name (Party)" totalsRowLabel="Total Votes by County" dataDxfId="830" totalsRowDxfId="829"/>
    <tableColumn id="4" xr3:uid="{CCC52DE1-635B-434C-82B0-1EE2C8F90CAC}" name="Part of Queens County Vote Results" totalsRowFunction="custom" dataDxfId="828" totalsRowDxfId="827">
      <totalsRowFormula>SUM(StateSenatorSenateDistrict13General[Part of Queens County Vote Results])</totalsRowFormula>
    </tableColumn>
    <tableColumn id="3" xr3:uid="{1E47D8C5-531A-4FB6-BD55-B2A81D4748C3}" name="Total Votes by Party" totalsRowFunction="custom" dataDxfId="826" totalsRowDxfId="825">
      <calculatedColumnFormula>StateSenatorSenateDistrict13General[[#This Row],[Part of Queens County Vote Results]]</calculatedColumnFormula>
      <totalsRowFormula>SUM(StateSenatorSenateDistrict13General[Total Votes by Party])</totalsRowFormula>
    </tableColumn>
    <tableColumn id="2" xr3:uid="{F06C64D5-F7AB-46A7-9C43-08AF593BAC0A}" name="Total Votes by Candidate" dataDxfId="824" totalsRowDxfId="823">
      <calculatedColumnFormula>SUM(C3,C4)</calculatedColumnFormula>
    </tableColumn>
  </tableColumns>
  <tableStyleInfo name="TableStyleMedium2" showFirstColumn="0" showLastColumn="0" showRowStripes="0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C5C570BD-6956-4A91-A946-5746140DB014}" name="StateSenatorSenateDistrict14General" displayName="StateSenatorSenateDistrict14General" ref="A2:D10" totalsRowCount="1" headerRowDxfId="822" dataDxfId="820" totalsRowDxfId="818" headerRowBorderDxfId="821" tableBorderDxfId="819" totalsRowBorderDxfId="817">
  <autoFilter ref="A2:D9" xr:uid="{C9AD50FF-F416-4E1D-9F65-21BDCFC384B4}">
    <filterColumn colId="0" hiddenButton="1"/>
    <filterColumn colId="1" hiddenButton="1"/>
    <filterColumn colId="2" hiddenButton="1"/>
    <filterColumn colId="3" hiddenButton="1"/>
  </autoFilter>
  <tableColumns count="4">
    <tableColumn id="1" xr3:uid="{C13ACF98-AA85-402B-940F-DA9B57937D39}" name="Candidate Name (Party)" totalsRowLabel="Total Votes by County" dataDxfId="816" totalsRowDxfId="815"/>
    <tableColumn id="4" xr3:uid="{5FCB8EEF-877E-412A-8C6F-506D415CB591}" name="Part of Queens County Vote Results" totalsRowFunction="custom" dataDxfId="814" totalsRowDxfId="813">
      <totalsRowFormula>SUM(StateSenatorSenateDistrict14General[Part of Queens County Vote Results])</totalsRowFormula>
    </tableColumn>
    <tableColumn id="3" xr3:uid="{BA07879A-6B54-48DA-8E34-93BE83F909B1}" name="Total Votes by Party" totalsRowFunction="custom" dataDxfId="812" totalsRowDxfId="811">
      <calculatedColumnFormula>StateSenatorSenateDistrict14General[[#This Row],[Part of Queens County Vote Results]]</calculatedColumnFormula>
      <totalsRowFormula>SUM(StateSenatorSenateDistrict14General[Total Votes by Party])</totalsRowFormula>
    </tableColumn>
    <tableColumn id="2" xr3:uid="{899656E7-60F2-4801-AF8E-A8E0FD1DB934}" name="Total Votes by Candidate" dataDxfId="810" totalsRowDxfId="809">
      <calculatedColumnFormula>SUM(StateSenatorSenateDistrict14General[[#This Row],[Total Votes by Party]])</calculatedColumnFormula>
    </tableColumn>
  </tableColumns>
  <tableStyleInfo name="TableStyleMedium2" showFirstColumn="0" showLastColumn="0" showRowStripes="0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1E2AF633-7E69-4668-8F0B-13897A558F3F}" name="StateSenatorSenateDistrict15General" displayName="StateSenatorSenateDistrict15General" ref="A2:E10" totalsRowShown="0" headerRowDxfId="808" dataDxfId="806" totalsRowDxfId="804" headerRowBorderDxfId="807" tableBorderDxfId="805" totalsRowBorderDxfId="803">
  <autoFilter ref="A2:E10" xr:uid="{631AFF6B-E30D-4A6D-A286-BC64D492E01E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5EE53CA9-EE49-44A0-A0A0-5D3FED53B13D}" name="Candidate Name (Party)" dataDxfId="802" totalsRowDxfId="801"/>
    <tableColumn id="6" xr3:uid="{085DEF34-B281-41BB-B2D7-4FCB7D3D1344}" name="Part of Kings County Vote Results" dataDxfId="800" totalsRowDxfId="799"/>
    <tableColumn id="4" xr3:uid="{E10CB04F-DD26-472B-AD44-253A30685A61}" name="Part of Queens County Vote Results" dataDxfId="798" totalsRowDxfId="797"/>
    <tableColumn id="3" xr3:uid="{87A509E7-C158-4152-AD57-94E746C804DF}" name="Total Votes by Party" dataDxfId="796" totalsRowDxfId="795">
      <calculatedColumnFormula>SUM(B3:C3)</calculatedColumnFormula>
    </tableColumn>
    <tableColumn id="2" xr3:uid="{51AC2374-C352-493B-889E-0F994A5482EB}" name="Total Votes by Candidate" dataDxfId="794" totalsRowDxfId="793"/>
  </tableColumns>
  <tableStyleInfo name="TableStyleMedium2" showFirstColumn="0" showLastColumn="0" showRowStripes="0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23B59A7E-B348-4987-B4C9-62FCDDEA37E1}" name="StateSenatorSenateDistrict16General" displayName="StateSenatorSenateDistrict16General" ref="A2:D10" totalsRowCount="1" headerRowDxfId="792" dataDxfId="790" totalsRowDxfId="788" headerRowBorderDxfId="791" tableBorderDxfId="789" totalsRowBorderDxfId="787">
  <autoFilter ref="A2:D9" xr:uid="{0488B77E-D79A-4C06-8B6B-DBBE145F442E}">
    <filterColumn colId="0" hiddenButton="1"/>
    <filterColumn colId="1" hiddenButton="1"/>
    <filterColumn colId="2" hiddenButton="1"/>
    <filterColumn colId="3" hiddenButton="1"/>
  </autoFilter>
  <tableColumns count="4">
    <tableColumn id="1" xr3:uid="{916D966B-587F-422E-9021-0935EA8938DC}" name="Candidate Name (Party)" totalsRowLabel="Total Votes by County" dataDxfId="786" totalsRowDxfId="785"/>
    <tableColumn id="4" xr3:uid="{4313B6F6-DD17-4048-A34C-B3C3DB75D5BD}" name="Part of Queens County Vote Results" totalsRowFunction="custom" dataDxfId="784" totalsRowDxfId="783">
      <totalsRowFormula>SUM(StateSenatorSenateDistrict16General[Part of Queens County Vote Results])</totalsRowFormula>
    </tableColumn>
    <tableColumn id="3" xr3:uid="{28954DF4-5A24-4403-A435-8C3F0CF51A67}" name="Total Votes by Party" totalsRowFunction="custom" dataDxfId="782" totalsRowDxfId="781">
      <calculatedColumnFormula>StateSenatorSenateDistrict16General[[#This Row],[Part of Queens County Vote Results]]</calculatedColumnFormula>
      <totalsRowFormula>SUM(StateSenatorSenateDistrict16General[Total Votes by Party])</totalsRowFormula>
    </tableColumn>
    <tableColumn id="2" xr3:uid="{5AC42F22-228A-4582-A223-107964DCD2FE}" name="Total Votes by Candidate" dataDxfId="780" totalsRowDxfId="779">
      <calculatedColumnFormula>SUM(StateSenatorSenateDistrict16General[[#This Row],[Total Votes by Party]])</calculatedColumnFormula>
    </tableColumn>
  </tableColumns>
  <tableStyleInfo name="TableStyleMedium2" showFirstColumn="0" showLastColumn="0" showRowStripes="0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9CA151A2-4B33-45E3-AF03-47B3FC2DB392}" name="StateSenatorSenateDistrict17General" displayName="StateSenatorSenateDistrict17General" ref="A2:D10" totalsRowCount="1" headerRowDxfId="778" dataDxfId="776" totalsRowDxfId="774" headerRowBorderDxfId="777" tableBorderDxfId="775" totalsRowBorderDxfId="773">
  <autoFilter ref="A2:D9" xr:uid="{45F123F9-3139-434A-A980-672DFB1A6DC4}">
    <filterColumn colId="0" hiddenButton="1"/>
    <filterColumn colId="1" hiddenButton="1"/>
    <filterColumn colId="2" hiddenButton="1"/>
    <filterColumn colId="3" hiddenButton="1"/>
  </autoFilter>
  <tableColumns count="4">
    <tableColumn id="1" xr3:uid="{E7A3270F-C430-4ADC-9357-A75CD7D6B2DE}" name="Candidate Name (Party)" totalsRowLabel="Total Votes by County" dataDxfId="772" totalsRowDxfId="771"/>
    <tableColumn id="4" xr3:uid="{34A7D066-FF42-4726-A350-4154F41FC052}" name="Part of Kings County Vote Results" totalsRowFunction="custom" dataDxfId="770" totalsRowDxfId="769">
      <totalsRowFormula>SUM(StateSenatorSenateDistrict17General[Part of Kings County Vote Results])</totalsRowFormula>
    </tableColumn>
    <tableColumn id="3" xr3:uid="{A2B2EE79-E0C6-4218-98B3-17C4569052D7}" name="Total Votes by Party" totalsRowFunction="custom" dataDxfId="768" totalsRowDxfId="767">
      <calculatedColumnFormula>StateSenatorSenateDistrict17General[[#This Row],[Part of Kings County Vote Results]]</calculatedColumnFormula>
      <totalsRowFormula>SUM(StateSenatorSenateDistrict17General[Total Votes by Party])</totalsRowFormula>
    </tableColumn>
    <tableColumn id="2" xr3:uid="{AD770CAB-82FA-49A5-9849-003A96D235A4}" name="Total Votes by Candidate" dataDxfId="766" totalsRowDxfId="765">
      <calculatedColumnFormula>SUM(StateSenatorSenateDistrict17General[[#This Row],[Total Votes by Party]],C4,C6)</calculatedColumnFormula>
    </tableColumn>
  </tableColumns>
  <tableStyleInfo name="TableStyleMedium2" showFirstColumn="0" showLastColumn="0" showRowStripes="0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659EA4D2-A04C-4BD5-9BCB-A6FA86BC4A3C}" name="StateSenatorSenateDistrict18General" displayName="StateSenatorSenateDistrict18General" ref="A2:E10" totalsRowCount="1" headerRowDxfId="764" dataDxfId="762" totalsRowDxfId="760" headerRowBorderDxfId="763" tableBorderDxfId="761" totalsRowBorderDxfId="759">
  <autoFilter ref="A2:E9" xr:uid="{692F44BD-1A6E-4A38-91AF-DFC990DFB886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F807E9EC-A216-415B-9F08-FBCC282BF10F}" name="Candidate Name (Party)" totalsRowLabel="Total Votes by County" dataDxfId="758" totalsRowDxfId="757"/>
    <tableColumn id="4" xr3:uid="{74707177-E778-47FA-B7FD-CB86DF6626F1}" name="Part of Kings County Vote Results" totalsRowFunction="custom" dataDxfId="756" totalsRowDxfId="755">
      <totalsRowFormula>SUM(StateSenatorSenateDistrict18General[Part of Kings County Vote Results])</totalsRowFormula>
    </tableColumn>
    <tableColumn id="5" xr3:uid="{545B8C2D-A4E2-43EC-9BC6-5B44EB7A786F}" name="Part of Queens County Vote Results" totalsRowFunction="custom" dataDxfId="754" totalsRowDxfId="753">
      <totalsRowFormula>SUM(StateSenatorSenateDistrict18General[Part of Queens County Vote Results])</totalsRowFormula>
    </tableColumn>
    <tableColumn id="3" xr3:uid="{85C951E8-08CF-4691-B845-C00EC58CF289}" name="Total Votes by Party" totalsRowFunction="custom" dataDxfId="752" totalsRowDxfId="751">
      <calculatedColumnFormula>SUM(StateSenatorSenateDistrict18General[[#This Row],[Part of Kings County Vote Results]:[Part of Queens County Vote Results]])</calculatedColumnFormula>
      <totalsRowFormula>SUM(StateSenatorSenateDistrict18General[Total Votes by Party])</totalsRowFormula>
    </tableColumn>
    <tableColumn id="2" xr3:uid="{08FBDB7D-46B4-4302-AFF5-20738B9C7283}" name="Total Votes by Candidate" dataDxfId="750" totalsRowDxfId="749">
      <calculatedColumnFormula>SUM(D3,D4)</calculatedColumnFormula>
    </tableColumn>
  </tableColumns>
  <tableStyleInfo name="TableStyleMedium2" showFirstColumn="0" showLastColumn="0" showRowStripes="0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53F9F724-8653-41E2-87C4-67F49F137478}" name="StateSenatorSenateDistrict19General" displayName="StateSenatorSenateDistrict19General" ref="A2:E10" totalsRowCount="1" headerRowDxfId="748" dataDxfId="746" totalsRowDxfId="744" headerRowBorderDxfId="747" tableBorderDxfId="745" totalsRowBorderDxfId="743">
  <autoFilter ref="A2:E9" xr:uid="{EAE3EA0E-DD60-4EDC-8BF9-94D731AF78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AF6983F1-7AD0-4132-B368-34D5DA226627}" name="Candidate Name (Party)" totalsRowLabel="Total Votes by County" dataDxfId="742" totalsRowDxfId="741"/>
    <tableColumn id="4" xr3:uid="{9BBBF8B3-8312-4A90-8DBD-E43FDB68A3A8}" name="Part of Kings County Vote Results" totalsRowFunction="custom" dataDxfId="740" totalsRowDxfId="739">
      <totalsRowFormula>SUM(StateSenatorSenateDistrict19General[Part of Kings County Vote Results])</totalsRowFormula>
    </tableColumn>
    <tableColumn id="5" xr3:uid="{5EAEA62D-01EA-4E64-AEF1-A111A68491B8}" name="Part of Queens County Vote Results" totalsRowFunction="custom" dataDxfId="738" totalsRowDxfId="737">
      <totalsRowFormula>SUM(StateSenatorSenateDistrict19General[Part of Queens County Vote Results])</totalsRowFormula>
    </tableColumn>
    <tableColumn id="3" xr3:uid="{66AB3EE7-92FE-4820-9E33-45BB0AA37FAD}" name="Total Votes by Party" totalsRowFunction="custom" dataDxfId="736" totalsRowDxfId="735">
      <calculatedColumnFormula>SUM(StateSenatorSenateDistrict19General[[#This Row],[Part of Kings County Vote Results]:[Part of Queens County Vote Results]])</calculatedColumnFormula>
      <totalsRowFormula>SUM(StateSenatorSenateDistrict19General[Total Votes by Party])</totalsRowFormula>
    </tableColumn>
    <tableColumn id="2" xr3:uid="{B3FC3B9F-6443-414C-B248-9BBC79DFE5F2}" name="Total Votes by Candidate" dataDxfId="734" totalsRowDxfId="733">
      <calculatedColumnFormula>SUM(StateSenatorSenateDistrict19General[[#This Row],[Total Votes by Party]])</calculatedColumnFormula>
    </tableColumn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62471CA4-975C-4441-9637-FF7D77715D7C}" name="StateSenatorSenateDistrict2General41" displayName="StateSenatorSenateDistrict2General41" ref="A2:D10" totalsRowCount="1" headerRowDxfId="994" dataDxfId="992" totalsRowDxfId="990" headerRowBorderDxfId="993" tableBorderDxfId="991" totalsRowBorderDxfId="989">
  <autoFilter ref="A2:D9" xr:uid="{08EE2516-64DC-4852-8812-2027C5D0EC6D}">
    <filterColumn colId="0" hiddenButton="1"/>
    <filterColumn colId="1" hiddenButton="1"/>
    <filterColumn colId="2" hiddenButton="1"/>
    <filterColumn colId="3" hiddenButton="1"/>
  </autoFilter>
  <tableColumns count="4">
    <tableColumn id="1" xr3:uid="{B419B2F2-642B-4785-8C7C-58C70147674B}" name="Candidate Name (Party)" totalsRowLabel="Total Votes by County" dataDxfId="988" totalsRowDxfId="987"/>
    <tableColumn id="4" xr3:uid="{E8E7A0BD-A13B-4C62-870E-24C42A83C155}" name="Part of Suffolk County Vote Results" totalsRowFunction="custom" dataDxfId="986" totalsRowDxfId="985">
      <totalsRowFormula>SUM(StateSenatorSenateDistrict2General41[Part of Suffolk County Vote Results])</totalsRowFormula>
    </tableColumn>
    <tableColumn id="3" xr3:uid="{1F0A925F-66A0-46B6-B871-EC81EE22306B}" name="Total Votes by Party" totalsRowFunction="custom" dataDxfId="984" totalsRowDxfId="983">
      <calculatedColumnFormula>StateSenatorSenateDistrict2General41[[#This Row],[Part of Suffolk County Vote Results]]</calculatedColumnFormula>
      <totalsRowFormula>SUM(StateSenatorSenateDistrict2General41[Total Votes by Party])</totalsRowFormula>
    </tableColumn>
    <tableColumn id="2" xr3:uid="{28EA66D1-8D77-4463-96F8-382C8B4D6386}" name="Total Votes by Candidate" dataDxfId="982" totalsRowDxfId="981"/>
  </tableColumns>
  <tableStyleInfo name="TableStyleMedium2" showFirstColumn="0" showLastColumn="0" showRowStripes="0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BF964031-A50C-4572-9C9F-B8CDC4006378}" name="StateSenatorSenateDistrict20General" displayName="StateSenatorSenateDistrict20General" ref="A2:D10" totalsRowCount="1" headerRowDxfId="732" dataDxfId="730" totalsRowDxfId="728" headerRowBorderDxfId="731" tableBorderDxfId="729" totalsRowBorderDxfId="727">
  <autoFilter ref="A2:D9" xr:uid="{AFA44E0C-7A77-4DA9-BCC6-62ECEEFCFD7E}">
    <filterColumn colId="0" hiddenButton="1"/>
    <filterColumn colId="1" hiddenButton="1"/>
    <filterColumn colId="2" hiddenButton="1"/>
    <filterColumn colId="3" hiddenButton="1"/>
  </autoFilter>
  <tableColumns count="4">
    <tableColumn id="1" xr3:uid="{9E2AB23F-E4CA-443B-8684-D3F53B51CCE2}" name="Candidate Name (Party)" totalsRowLabel="Total Votes by County" dataDxfId="726" totalsRowDxfId="725"/>
    <tableColumn id="4" xr3:uid="{0296B53D-5B97-466A-8158-50AE2B42F8AB}" name="Part of Kings County Vote Results" totalsRowFunction="custom" dataDxfId="724" totalsRowDxfId="723">
      <totalsRowFormula>SUM(StateSenatorSenateDistrict20General[Part of Kings County Vote Results])</totalsRowFormula>
    </tableColumn>
    <tableColumn id="3" xr3:uid="{E3202887-99A5-4847-A0AC-5BAEA93D45A2}" name="Total Votes by Party" totalsRowFunction="custom" dataDxfId="722" totalsRowDxfId="721">
      <calculatedColumnFormula>StateSenatorSenateDistrict20General[[#This Row],[Part of Kings County Vote Results]]</calculatedColumnFormula>
      <totalsRowFormula>SUM(StateSenatorSenateDistrict20General[Total Votes by Party])</totalsRowFormula>
    </tableColumn>
    <tableColumn id="2" xr3:uid="{412C8628-B699-4AFD-8F1B-E86BC3143FFE}" name="Total Votes by Candidate" dataDxfId="720" totalsRowDxfId="719">
      <calculatedColumnFormula>SUM(C3,C4)</calculatedColumnFormula>
    </tableColumn>
  </tableColumns>
  <tableStyleInfo name="TableStyleMedium2" showFirstColumn="0" showLastColumn="0" showRowStripes="0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CD6FF1F7-A93A-417E-B9B8-D966DE826302}" name="StateSenatorSenateDistrict21General" displayName="StateSenatorSenateDistrict21General" ref="A2:D10" totalsRowCount="1" headerRowDxfId="718" dataDxfId="716" totalsRowDxfId="714" headerRowBorderDxfId="717" tableBorderDxfId="715" totalsRowBorderDxfId="713">
  <autoFilter ref="A2:D9" xr:uid="{8BDB381A-505B-4556-9F70-C3008AC9457E}">
    <filterColumn colId="0" hiddenButton="1"/>
    <filterColumn colId="1" hiddenButton="1"/>
    <filterColumn colId="2" hiddenButton="1"/>
    <filterColumn colId="3" hiddenButton="1"/>
  </autoFilter>
  <tableColumns count="4">
    <tableColumn id="1" xr3:uid="{FCFC048E-3DA2-4459-A30C-2FC790F5EE7A}" name="Candidate Name (Party)" totalsRowLabel="Total Votes by County" dataDxfId="712" totalsRowDxfId="711"/>
    <tableColumn id="4" xr3:uid="{80E3BBF1-E97C-4F41-9382-D30A3C590F60}" name="Part of Kings County Vote Results" totalsRowFunction="custom" dataDxfId="710" totalsRowDxfId="709">
      <totalsRowFormula>SUM(StateSenatorSenateDistrict21General[Part of Kings County Vote Results])</totalsRowFormula>
    </tableColumn>
    <tableColumn id="3" xr3:uid="{627D2382-ED99-4BA5-BE21-0FB35613A437}" name="Total Votes by Party" totalsRowFunction="custom" dataDxfId="708" totalsRowDxfId="707">
      <calculatedColumnFormula>StateSenatorSenateDistrict21General[[#This Row],[Part of Kings County Vote Results]]</calculatedColumnFormula>
      <totalsRowFormula>SUM(StateSenatorSenateDistrict21General[Total Votes by Party])</totalsRowFormula>
    </tableColumn>
    <tableColumn id="2" xr3:uid="{21BE7E47-63EB-42AA-A7F5-2468674A4B0E}" name="Total Votes by Candidate" dataDxfId="706" totalsRowDxfId="705">
      <calculatedColumnFormula>SUM(StateSenatorSenateDistrict21General[[#This Row],[Total Votes by Party]])</calculatedColumnFormula>
    </tableColumn>
  </tableColumns>
  <tableStyleInfo name="TableStyleMedium2" showFirstColumn="0" showLastColumn="0" showRowStripes="0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513CC537-2416-44AE-A40A-A9322B090EC7}" name="StateSenatorSenateDistrict22General" displayName="StateSenatorSenateDistrict22General" ref="A2:D10" totalsRowCount="1" headerRowDxfId="704" dataDxfId="702" totalsRowDxfId="700" headerRowBorderDxfId="703" tableBorderDxfId="701" totalsRowBorderDxfId="699">
  <autoFilter ref="A2:D9" xr:uid="{44108E97-03E6-4A5D-A27C-003B5E8A5A04}">
    <filterColumn colId="0" hiddenButton="1"/>
    <filterColumn colId="1" hiddenButton="1"/>
    <filterColumn colId="2" hiddenButton="1"/>
    <filterColumn colId="3" hiddenButton="1"/>
  </autoFilter>
  <tableColumns count="4">
    <tableColumn id="1" xr3:uid="{4A276932-0401-4FD1-A803-6ACE8FC74144}" name="Candidate Name (Party)" totalsRowLabel="Total Votes by County" dataDxfId="698" totalsRowDxfId="697"/>
    <tableColumn id="4" xr3:uid="{5EF4017B-A5C9-4B47-A22A-8A3894A0103F}" name="Part of Kings County Vote Results" totalsRowFunction="custom" dataDxfId="696" totalsRowDxfId="695">
      <totalsRowFormula>SUM(StateSenatorSenateDistrict22General[Part of Kings County Vote Results])</totalsRowFormula>
    </tableColumn>
    <tableColumn id="3" xr3:uid="{73035AD1-C6B7-429A-9783-6FC878B35087}" name="Total Votes by Party" totalsRowFunction="custom" dataDxfId="694" totalsRowDxfId="693">
      <calculatedColumnFormula>StateSenatorSenateDistrict22General[[#This Row],[Part of Kings County Vote Results]]</calculatedColumnFormula>
      <totalsRowFormula>SUM(StateSenatorSenateDistrict22General[Total Votes by Party])</totalsRowFormula>
    </tableColumn>
    <tableColumn id="2" xr3:uid="{2194FF64-080E-4E02-AD41-2FAAF4881B82}" name="Total Votes by Candidate" dataDxfId="692" totalsRowDxfId="691"/>
  </tableColumns>
  <tableStyleInfo name="TableStyleMedium2" showFirstColumn="0" showLastColumn="0" showRowStripes="0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71C643E6-FFF9-48DD-AB10-A52C7D953144}" name="StateSenatorSenateDistrict23General" displayName="StateSenatorSenateDistrict23General" ref="A2:E11" totalsRowCount="1" headerRowDxfId="690" dataDxfId="688" totalsRowDxfId="686" headerRowBorderDxfId="689" tableBorderDxfId="687" totalsRowBorderDxfId="685">
  <autoFilter ref="A2:E10" xr:uid="{54126B05-CA63-458B-A224-2EA9D7AFEEA2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8967728-54BE-4F8B-BF07-775A2FF4CD27}" name="Candidate Name (Party)" totalsRowLabel="Total Votes by County" dataDxfId="684" totalsRowDxfId="683"/>
    <tableColumn id="2" xr3:uid="{E3D95C31-11C0-47C7-AE22-626994B71021}" name="Part of Kings County Vote Results" totalsRowFunction="custom" dataDxfId="682" totalsRowDxfId="681">
      <totalsRowFormula>SUM(StateSenatorSenateDistrict23General[Part of Kings County Vote Results])</totalsRowFormula>
    </tableColumn>
    <tableColumn id="4" xr3:uid="{B237B4F8-2565-4E73-8157-72EC53C4E5A7}" name="Part of Richmond County Vote Results" totalsRowFunction="custom" dataDxfId="680" totalsRowDxfId="679">
      <totalsRowFormula>SUM(StateSenatorSenateDistrict23General[Part of Richmond County Vote Results])</totalsRowFormula>
    </tableColumn>
    <tableColumn id="3" xr3:uid="{B1ED71AA-BCCD-4AD7-80C2-CE04A8DBED6F}" name="Total Votes by Party" totalsRowFunction="custom" dataDxfId="678" totalsRowDxfId="677">
      <calculatedColumnFormula>SUM(StateSenatorSenateDistrict23General[[#This Row],[Part of Kings County Vote Results]:[Part of Richmond County Vote Results]])</calculatedColumnFormula>
      <totalsRowFormula>SUM(StateSenatorSenateDistrict23General[Total Votes by Party])</totalsRowFormula>
    </tableColumn>
    <tableColumn id="5" xr3:uid="{257233A4-DB46-40D6-B3AD-018690F36DCD}" name="Total Votes by Candidate" dataDxfId="676" totalsRowDxfId="675"/>
  </tableColumns>
  <tableStyleInfo name="TableStyleMedium2" showFirstColumn="0" showLastColumn="0" showRowStripes="0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BF185F66-53DC-4FAD-8F51-81D04DAC7695}" name="StateSenatorSenateDistrict24General" displayName="StateSenatorSenateDistrict24General" ref="A2:D10" totalsRowCount="1" headerRowDxfId="674" dataDxfId="672" totalsRowDxfId="670" headerRowBorderDxfId="673" tableBorderDxfId="671" totalsRowBorderDxfId="669">
  <autoFilter ref="A2:D9" xr:uid="{E197A7CC-BC9F-46C0-9F14-E8C9E98C1D89}">
    <filterColumn colId="0" hiddenButton="1"/>
    <filterColumn colId="1" hiddenButton="1"/>
    <filterColumn colId="2" hiddenButton="1"/>
    <filterColumn colId="3" hiddenButton="1"/>
  </autoFilter>
  <tableColumns count="4">
    <tableColumn id="1" xr3:uid="{C6B16D30-F24E-483F-9003-47147775065A}" name="Candidate Name (Party)" totalsRowLabel="Total Votes by County" dataDxfId="668" totalsRowDxfId="667"/>
    <tableColumn id="4" xr3:uid="{A7B4C9D8-B42A-48A3-9FB9-C53DABEC6BA5}" name="Part of Richmond County Vote Results" totalsRowFunction="custom" dataDxfId="666" totalsRowDxfId="665">
      <totalsRowFormula>SUM(StateSenatorSenateDistrict24General[Part of Richmond County Vote Results])</totalsRowFormula>
    </tableColumn>
    <tableColumn id="3" xr3:uid="{1651C4A3-49E3-47CB-88EA-1624F4EC41DF}" name="Total Votes by Party" totalsRowFunction="custom" dataDxfId="664" totalsRowDxfId="663">
      <calculatedColumnFormula>StateSenatorSenateDistrict24General[[#This Row],[Part of Richmond County Vote Results]]</calculatedColumnFormula>
      <totalsRowFormula>SUM(StateSenatorSenateDistrict24General[Total Votes by Party])</totalsRowFormula>
    </tableColumn>
    <tableColumn id="2" xr3:uid="{4224B959-75CD-4943-96C9-822E9D9A0A20}" name="Total Votes by Candidate" dataDxfId="662" totalsRowDxfId="661">
      <calculatedColumnFormula>SUM(C3,C4)</calculatedColumnFormula>
    </tableColumn>
  </tableColumns>
  <tableStyleInfo name="TableStyleMedium2" showFirstColumn="0" showLastColumn="0" showRowStripes="0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D08CE0A3-74DF-473B-80E0-06CFB3BE0553}" name="StateSenatorSenateDistrict25General" displayName="StateSenatorSenateDistrict25General" ref="A2:D10" totalsRowCount="1" headerRowDxfId="660" dataDxfId="658" totalsRowDxfId="656" headerRowBorderDxfId="659" tableBorderDxfId="657" totalsRowBorderDxfId="655">
  <autoFilter ref="A2:D9" xr:uid="{06ECA87C-D4FC-4637-A821-A249C3AF945C}">
    <filterColumn colId="0" hiddenButton="1"/>
    <filterColumn colId="1" hiddenButton="1"/>
    <filterColumn colId="2" hiddenButton="1"/>
    <filterColumn colId="3" hiddenButton="1"/>
  </autoFilter>
  <tableColumns count="4">
    <tableColumn id="1" xr3:uid="{2A179DFD-D1C6-4209-A57D-B1CCC272133E}" name="Candidate Name (Party)" totalsRowLabel="Total Votes by County" dataDxfId="654" totalsRowDxfId="653"/>
    <tableColumn id="4" xr3:uid="{00D725EA-B740-4593-8FBC-DEE1AD19025F}" name="Part of Kings County Vote Results" totalsRowFunction="custom" dataDxfId="652" totalsRowDxfId="651">
      <totalsRowFormula>SUM(StateSenatorSenateDistrict25General[Part of Kings County Vote Results])</totalsRowFormula>
    </tableColumn>
    <tableColumn id="3" xr3:uid="{A5CED6C1-F723-4771-AC3A-904D8B4B43B8}" name="Total Votes by Party" totalsRowFunction="custom" dataDxfId="650" totalsRowDxfId="649">
      <calculatedColumnFormula>StateSenatorSenateDistrict25General[[#This Row],[Part of Kings County Vote Results]]</calculatedColumnFormula>
      <totalsRowFormula>SUM(StateSenatorSenateDistrict25General[Total Votes by Party])</totalsRowFormula>
    </tableColumn>
    <tableColumn id="2" xr3:uid="{953C56E6-3151-4656-9CF8-154E952BC644}" name="Total Votes by Candidate" dataDxfId="648" totalsRowDxfId="647">
      <calculatedColumnFormula>SUM(C3,C4)</calculatedColumnFormula>
    </tableColumn>
  </tableColumns>
  <tableStyleInfo name="TableStyleMedium2" showFirstColumn="0" showLastColumn="0" showRowStripes="0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952B609D-88DD-4672-9A04-53DED6B2FFC6}" name="StateSenatorSenateDistrict26General" displayName="StateSenatorSenateDistrict26General" ref="A2:E10" totalsRowCount="1" headerRowDxfId="646" dataDxfId="644" totalsRowDxfId="642" headerRowBorderDxfId="645" tableBorderDxfId="643" totalsRowBorderDxfId="641">
  <autoFilter ref="A2:E9" xr:uid="{8B8E72CF-749E-40B9-9100-BF3DC73FCED1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A4698E86-8093-4B24-8534-51C12A50475E}" name="Candidate Name (Party)" totalsRowLabel="Total Votes by County" dataDxfId="640" totalsRowDxfId="639"/>
    <tableColumn id="2" xr3:uid="{E9DEED1B-4F96-4E35-96CA-C3C90A1680D5}" name="Part of Kings County Vote Results" totalsRowFunction="custom" dataDxfId="638" totalsRowDxfId="637">
      <totalsRowFormula>SUM(StateSenatorSenateDistrict26General[Part of Kings County Vote Results])</totalsRowFormula>
    </tableColumn>
    <tableColumn id="4" xr3:uid="{97F5A015-A203-4681-AD73-2DD0083CFC24}" name="Part of New York County Vote Results" totalsRowFunction="custom" dataDxfId="636" totalsRowDxfId="635">
      <totalsRowFormula>SUM(StateSenatorSenateDistrict26General[Part of New York County Vote Results])</totalsRowFormula>
    </tableColumn>
    <tableColumn id="3" xr3:uid="{09D3060B-17E7-465A-A565-EBA78657DE86}" name="Total Votes by Party" totalsRowFunction="custom" dataDxfId="634" totalsRowDxfId="633">
      <calculatedColumnFormula>SUM(StateSenatorSenateDistrict26General[[#This Row],[Part of Kings County Vote Results]:[Part of New York County Vote Results]])</calculatedColumnFormula>
      <totalsRowFormula>SUM(StateSenatorSenateDistrict26General[Total Votes by Party])</totalsRowFormula>
    </tableColumn>
    <tableColumn id="5" xr3:uid="{BF649100-9930-46CF-B7E6-F047CEDD0492}" name="Total Votes by Candidate" dataDxfId="632" totalsRowDxfId="631"/>
  </tableColumns>
  <tableStyleInfo name="TableStyleMedium2" showFirstColumn="0" showLastColumn="0" showRowStripes="0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57EF1626-CDAB-47FB-9F3A-72CD1174EB09}" name="StateSenatorSenateDistrict27General" displayName="StateSenatorSenateDistrict27General" ref="A2:D10" totalsRowCount="1" headerRowDxfId="630" dataDxfId="628" totalsRowDxfId="626" headerRowBorderDxfId="629" tableBorderDxfId="627" totalsRowBorderDxfId="625">
  <autoFilter ref="A2:D9" xr:uid="{62C311E0-B033-4133-8CC3-8FB9FA631EE3}">
    <filterColumn colId="0" hiddenButton="1"/>
    <filterColumn colId="1" hiddenButton="1"/>
    <filterColumn colId="2" hiddenButton="1"/>
    <filterColumn colId="3" hiddenButton="1"/>
  </autoFilter>
  <tableColumns count="4">
    <tableColumn id="1" xr3:uid="{C8C60E63-2994-4D26-AADD-778B5C1BD07B}" name="Candidate Name (Party)" totalsRowLabel="Total Votes by County" dataDxfId="624" totalsRowDxfId="623"/>
    <tableColumn id="4" xr3:uid="{9BD34521-68DB-480E-A2DC-208FD82C9B70}" name="Part of New York County Vote Results" totalsRowFunction="custom" dataDxfId="622" totalsRowDxfId="621">
      <totalsRowFormula>SUM(StateSenatorSenateDistrict27General[Part of New York County Vote Results])</totalsRowFormula>
    </tableColumn>
    <tableColumn id="3" xr3:uid="{681341D9-29D0-4A26-B16F-781A1E7DAB0A}" name="Total Votes by Party" totalsRowFunction="custom" dataDxfId="620" totalsRowDxfId="619">
      <calculatedColumnFormula>StateSenatorSenateDistrict27General[[#This Row],[Part of New York County Vote Results]]</calculatedColumnFormula>
      <totalsRowFormula>SUM(StateSenatorSenateDistrict27General[Total Votes by Party])</totalsRowFormula>
    </tableColumn>
    <tableColumn id="2" xr3:uid="{9305F792-F1AD-46DF-AE88-0F2676F342C4}" name="Total Votes by Candidate" dataDxfId="618" totalsRowDxfId="617">
      <calculatedColumnFormula>SUM(StateSenatorSenateDistrict27General[[#This Row],[Total Votes by Party]],C4)</calculatedColumnFormula>
    </tableColumn>
  </tableColumns>
  <tableStyleInfo name="TableStyleMedium2" showFirstColumn="0" showLastColumn="0" showRowStripes="0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469F73E1-6B9F-47D1-A706-9CE3B1249046}" name="StateSenatorSenateDistrict28General" displayName="StateSenatorSenateDistrict28General" ref="A2:D10" totalsRowCount="1" headerRowDxfId="616" dataDxfId="614" totalsRowDxfId="612" headerRowBorderDxfId="615" tableBorderDxfId="613" totalsRowBorderDxfId="611">
  <autoFilter ref="A2:D9" xr:uid="{4369AD02-EED6-41FF-98B0-674AF9E33135}">
    <filterColumn colId="0" hiddenButton="1"/>
    <filterColumn colId="1" hiddenButton="1"/>
    <filterColumn colId="2" hiddenButton="1"/>
    <filterColumn colId="3" hiddenButton="1"/>
  </autoFilter>
  <tableColumns count="4">
    <tableColumn id="1" xr3:uid="{E8C054F2-AF01-4A0D-9A63-81CBDF6795D3}" name="Candidate Name (Party)" totalsRowLabel="Total Votes by County" dataDxfId="610" totalsRowDxfId="609"/>
    <tableColumn id="4" xr3:uid="{7979D094-596C-42AB-8EC7-3A29760E5F1D}" name="Part of New York County Vote Results" totalsRowFunction="custom" dataDxfId="608" totalsRowDxfId="607">
      <totalsRowFormula>SUM(StateSenatorSenateDistrict28General[Part of New York County Vote Results])</totalsRowFormula>
    </tableColumn>
    <tableColumn id="3" xr3:uid="{9C01749F-51EC-439C-9DEF-9ADE98E5E079}" name="Total Votes by Party" totalsRowFunction="custom" dataDxfId="606" totalsRowDxfId="605">
      <calculatedColumnFormula>StateSenatorSenateDistrict28General[[#This Row],[Part of New York County Vote Results]]</calculatedColumnFormula>
      <totalsRowFormula>SUM(StateSenatorSenateDistrict28General[Total Votes by Party])</totalsRowFormula>
    </tableColumn>
    <tableColumn id="2" xr3:uid="{9A353C9B-F60E-48C4-9790-FD39B64B2D4C}" name="Total Votes by Candidate" dataDxfId="604" totalsRowDxfId="603"/>
  </tableColumns>
  <tableStyleInfo name="TableStyleMedium2" showFirstColumn="0" showLastColumn="0" showRowStripes="0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A09C33D4-BC17-4B08-AC1F-339B59B2C5A0}" name="StateSenatorSenateDistrict29General" displayName="StateSenatorSenateDistrict29General" ref="A2:E10" totalsRowCount="1" headerRowDxfId="602" dataDxfId="600" totalsRowDxfId="598" headerRowBorderDxfId="601" tableBorderDxfId="599" totalsRowBorderDxfId="597">
  <autoFilter ref="A2:E9" xr:uid="{391D07F9-7643-47D4-8D64-70A4F00BAFE1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8FD055B-1C46-4A63-ACBE-B84041AB7E66}" name="Candidate Name (Party)" totalsRowLabel="Total Votes by County" dataDxfId="596" totalsRowDxfId="595"/>
    <tableColumn id="2" xr3:uid="{DFC8B4A3-16A7-4D85-8FD8-409349C8C652}" name="Part of Bronx County Vote Results" totalsRowFunction="custom" dataDxfId="594" totalsRowDxfId="593">
      <totalsRowFormula>SUM(StateSenatorSenateDistrict29General[Part of Bronx County Vote Results])</totalsRowFormula>
    </tableColumn>
    <tableColumn id="4" xr3:uid="{C61B4064-53EE-477F-8E6D-4F0D55695925}" name="Part of New York County Vote Results" totalsRowFunction="custom" dataDxfId="592" totalsRowDxfId="591">
      <totalsRowFormula>SUM(StateSenatorSenateDistrict29General[Part of New York County Vote Results])</totalsRowFormula>
    </tableColumn>
    <tableColumn id="3" xr3:uid="{18951F8C-1F2C-42EA-869B-1E1FB4739ED7}" name="Total Votes by Party" totalsRowFunction="custom" dataDxfId="590" totalsRowDxfId="589">
      <calculatedColumnFormula>SUM(StateSenatorSenateDistrict29General[[#This Row],[Part of Bronx County Vote Results]:[Part of New York County Vote Results]])</calculatedColumnFormula>
      <totalsRowFormula>SUM(StateSenatorSenateDistrict29General[Total Votes by Party])</totalsRowFormula>
    </tableColumn>
    <tableColumn id="5" xr3:uid="{5F6D2622-264F-46FC-95B5-49F2542C88B7}" name="Total Votes by Candidate" dataDxfId="588" totalsRowDxfId="587">
      <calculatedColumnFormula>SUM(D3,D4)</calculatedColumnFormula>
    </tableColumn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B3D7857-1819-4B34-A1D9-85A9861697EF}" name="StateSenatorSenateDistrict3General42" displayName="StateSenatorSenateDistrict3General42" ref="A2:D10" totalsRowCount="1" headerRowDxfId="980" dataDxfId="978" totalsRowDxfId="976" headerRowBorderDxfId="979" tableBorderDxfId="977" totalsRowBorderDxfId="975">
  <autoFilter ref="A2:D9" xr:uid="{E849A2E2-D466-4FEE-AC0E-07449222D724}">
    <filterColumn colId="0" hiddenButton="1"/>
    <filterColumn colId="1" hiddenButton="1"/>
    <filterColumn colId="2" hiddenButton="1"/>
    <filterColumn colId="3" hiddenButton="1"/>
  </autoFilter>
  <tableColumns count="4">
    <tableColumn id="1" xr3:uid="{47C31D8F-8820-429B-AFDC-6A1A12EC577F}" name="Candidate Name (Party)" totalsRowLabel="Total Votes by County" dataDxfId="974" totalsRowDxfId="973"/>
    <tableColumn id="4" xr3:uid="{C671D879-E29C-46B0-BBDC-CF0791FF18FC}" name="Part of Suffolk County Vote Results" totalsRowFunction="custom" dataDxfId="972" totalsRowDxfId="971">
      <totalsRowFormula>SUM(StateSenatorSenateDistrict3General42[Part of Suffolk County Vote Results])</totalsRowFormula>
    </tableColumn>
    <tableColumn id="3" xr3:uid="{6CC0C525-F3EA-4BDC-9BDF-0564602583EA}" name="Total Votes by Party" totalsRowFunction="custom" dataDxfId="970" totalsRowDxfId="969">
      <calculatedColumnFormula>StateSenatorSenateDistrict3General42[[#This Row],[Part of Suffolk County Vote Results]]</calculatedColumnFormula>
      <totalsRowFormula>SUM(StateSenatorSenateDistrict3General42[Total Votes by Party])</totalsRowFormula>
    </tableColumn>
    <tableColumn id="2" xr3:uid="{6682A752-3D95-4654-927E-B58D06DFCA00}" name="Total Votes by Candidate" dataDxfId="968" totalsRowDxfId="967"/>
  </tableColumns>
  <tableStyleInfo name="TableStyleMedium2" showFirstColumn="0" showLastColumn="0" showRowStripes="0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85DBE707-93E3-4326-A270-71FF7A9B087D}" name="StateSenatorSenateDistrict30General" displayName="StateSenatorSenateDistrict30General" ref="A2:D10" totalsRowCount="1" headerRowDxfId="586" dataDxfId="584" totalsRowDxfId="582" headerRowBorderDxfId="585" tableBorderDxfId="583" totalsRowBorderDxfId="581">
  <autoFilter ref="A2:D9" xr:uid="{CCCA2082-346E-4E28-81FE-E416EE035169}">
    <filterColumn colId="0" hiddenButton="1"/>
    <filterColumn colId="1" hiddenButton="1"/>
    <filterColumn colId="2" hiddenButton="1"/>
    <filterColumn colId="3" hiddenButton="1"/>
  </autoFilter>
  <tableColumns count="4">
    <tableColumn id="1" xr3:uid="{F528DD78-8E0B-4CC0-98EE-9E78A51D5B91}" name="Candidate Name (Party)" totalsRowLabel="Total Votes by County" dataDxfId="580" totalsRowDxfId="579"/>
    <tableColumn id="4" xr3:uid="{A04A1007-DF83-44DC-9FC8-35A77D90F729}" name="Part of New York County Vote Results" totalsRowFunction="custom" dataDxfId="578" totalsRowDxfId="577">
      <totalsRowFormula>SUM(StateSenatorSenateDistrict30General[Part of New York County Vote Results])</totalsRowFormula>
    </tableColumn>
    <tableColumn id="3" xr3:uid="{4CC4CCBB-17B9-4558-9148-E6BC2B90ED4E}" name="Total Votes by Party" totalsRowFunction="custom" dataDxfId="576" totalsRowDxfId="575">
      <calculatedColumnFormula>StateSenatorSenateDistrict30General[[#This Row],[Part of New York County Vote Results]]</calculatedColumnFormula>
      <totalsRowFormula>SUM(StateSenatorSenateDistrict30General[Total Votes by Party])</totalsRowFormula>
    </tableColumn>
    <tableColumn id="2" xr3:uid="{81E6DED4-2202-4EF8-9835-00A30234F6A0}" name="Total Votes by Candidate" dataDxfId="574" totalsRowDxfId="573">
      <calculatedColumnFormula>SUM(C3,C4)</calculatedColumnFormula>
    </tableColumn>
  </tableColumns>
  <tableStyleInfo name="TableStyleMedium2" showFirstColumn="0" showLastColumn="0" showRowStripes="0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50754B8E-BF90-4980-B666-72D2D58FBBE0}" name="StateSenatorSenateDistrict31General" displayName="StateSenatorSenateDistrict31General" ref="A2:E10" totalsRowCount="1" headerRowDxfId="572" dataDxfId="570" totalsRowDxfId="568" headerRowBorderDxfId="571" tableBorderDxfId="569" totalsRowBorderDxfId="567">
  <autoFilter ref="A2:E9" xr:uid="{AC89B2AA-2F33-4C00-947B-3AC1042912D3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C2840809-0B09-474E-ABE6-7BDB5407BEEC}" name="Candidate Name (Party)" totalsRowLabel="Total Votes by County" dataDxfId="566" totalsRowDxfId="565"/>
    <tableColumn id="4" xr3:uid="{B1EF1435-B2E1-4837-8232-0536EEA8BBF1}" name="Part of Bronx County Vote Results" totalsRowFunction="custom" dataDxfId="564" totalsRowDxfId="563">
      <totalsRowFormula>SUM(StateSenatorSenateDistrict31General[Part of Bronx County Vote Results])</totalsRowFormula>
    </tableColumn>
    <tableColumn id="5" xr3:uid="{95007815-9DA8-4EFF-91D6-A29C9882C7BD}" name="Part of New York County Vote Results" totalsRowFunction="custom" dataDxfId="562" totalsRowDxfId="561">
      <totalsRowFormula>SUM(StateSenatorSenateDistrict31General[Part of New York County Vote Results])</totalsRowFormula>
    </tableColumn>
    <tableColumn id="3" xr3:uid="{2C0DD2FB-F8C5-4CAF-8CF9-89D5FB7F0B19}" name="Total Votes by Party" totalsRowFunction="custom" dataDxfId="560" totalsRowDxfId="559">
      <calculatedColumnFormula>SUM(StateSenatorSenateDistrict31General[[#This Row],[Part of Bronx County Vote Results]:[Part of New York County Vote Results]])</calculatedColumnFormula>
      <totalsRowFormula>SUM(StateSenatorSenateDistrict31General[Total Votes by Party])</totalsRowFormula>
    </tableColumn>
    <tableColumn id="2" xr3:uid="{CA1C42EF-F2BB-4198-A6FB-75B4F8D77CA7}" name="Total Votes by Candidate" dataDxfId="558" totalsRowDxfId="557"/>
  </tableColumns>
  <tableStyleInfo name="TableStyleMedium2" showFirstColumn="0" showLastColumn="0" showRowStripes="0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A9D0F81B-5F26-4C55-88F5-07A5D03E2C5A}" name="StateSenatorSenateDistrict32General" displayName="StateSenatorSenateDistrict32General" ref="A2:D10" totalsRowCount="1" headerRowDxfId="556" dataDxfId="554" totalsRowDxfId="552" headerRowBorderDxfId="555" tableBorderDxfId="553" totalsRowBorderDxfId="551">
  <autoFilter ref="A2:D9" xr:uid="{66B45EA2-D6CB-4A17-AEE7-0AED9F515D9C}">
    <filterColumn colId="0" hiddenButton="1"/>
    <filterColumn colId="1" hiddenButton="1"/>
    <filterColumn colId="2" hiddenButton="1"/>
    <filterColumn colId="3" hiddenButton="1"/>
  </autoFilter>
  <tableColumns count="4">
    <tableColumn id="1" xr3:uid="{F19B2ED5-08B2-468B-8AD4-716BE9D7DC76}" name="Candidate Name (Party)" totalsRowLabel="Total Votes by County" dataDxfId="550" totalsRowDxfId="549"/>
    <tableColumn id="4" xr3:uid="{784DF38C-CBA5-44F2-937C-F914B324DE33}" name="Part of Bronx County Vote Results" totalsRowFunction="custom" dataDxfId="548" totalsRowDxfId="547">
      <totalsRowFormula>SUM(StateSenatorSenateDistrict32General[Part of Bronx County Vote Results])</totalsRowFormula>
    </tableColumn>
    <tableColumn id="3" xr3:uid="{2A3C0656-C662-49AD-B47F-C96D80A4C0DD}" name="Total Votes by Party" totalsRowFunction="custom" dataDxfId="546" totalsRowDxfId="545">
      <calculatedColumnFormula>StateSenatorSenateDistrict32General[[#This Row],[Part of Bronx County Vote Results]]</calculatedColumnFormula>
      <totalsRowFormula>SUM(StateSenatorSenateDistrict32General[Total Votes by Party])</totalsRowFormula>
    </tableColumn>
    <tableColumn id="2" xr3:uid="{92A94245-74F7-4646-B71C-9EB8D4014AD6}" name="Total Votes by Candidate" dataDxfId="544" totalsRowDxfId="543"/>
  </tableColumns>
  <tableStyleInfo name="TableStyleMedium2" showFirstColumn="0" showLastColumn="0" showRowStripes="0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25EA9E6D-D197-4B1D-BE21-61C9473AB1DA}" name="StateSenatorSenateDistrict33General" displayName="StateSenatorSenateDistrict33General" ref="A2:D10" totalsRowCount="1" headerRowDxfId="542" dataDxfId="540" totalsRowDxfId="538" headerRowBorderDxfId="541" tableBorderDxfId="539" totalsRowBorderDxfId="537">
  <autoFilter ref="A2:D9" xr:uid="{E03987BE-97E4-4885-9FB9-6ACFB481227A}">
    <filterColumn colId="0" hiddenButton="1"/>
    <filterColumn colId="1" hiddenButton="1"/>
    <filterColumn colId="2" hiddenButton="1"/>
    <filterColumn colId="3" hiddenButton="1"/>
  </autoFilter>
  <tableColumns count="4">
    <tableColumn id="1" xr3:uid="{9FEEAB08-7837-43C6-AEB4-0CAF6938AEA7}" name="Candidate Name (Party)" totalsRowLabel="Total Votes by County" dataDxfId="536" totalsRowDxfId="535"/>
    <tableColumn id="4" xr3:uid="{6FEC6351-D4FF-4EBB-9DF5-9BA722BB3D53}" name="Part of Bronx County Vote Results" totalsRowFunction="custom" dataDxfId="534" totalsRowDxfId="533">
      <totalsRowFormula>SUM(StateSenatorSenateDistrict33General[Part of Bronx County Vote Results])</totalsRowFormula>
    </tableColumn>
    <tableColumn id="3" xr3:uid="{A9588ADC-3539-472C-8BEC-E97A87067BB0}" name="Total Votes by Party" totalsRowFunction="custom" dataDxfId="532" totalsRowDxfId="531">
      <calculatedColumnFormula>StateSenatorSenateDistrict33General[[#This Row],[Part of Bronx County Vote Results]]</calculatedColumnFormula>
      <totalsRowFormula>SUM(StateSenatorSenateDistrict33General[Total Votes by Party])</totalsRowFormula>
    </tableColumn>
    <tableColumn id="2" xr3:uid="{C44F68A2-C66E-4D65-BDD1-B091735254EB}" name="Total Votes by Candidate" dataDxfId="530" totalsRowDxfId="529">
      <calculatedColumnFormula>SUM(C3,C4)</calculatedColumnFormula>
    </tableColumn>
  </tableColumns>
  <tableStyleInfo name="TableStyleMedium2" showFirstColumn="0" showLastColumn="0" showRowStripes="0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15B0ED86-0AF3-4CBF-87EC-786CFA2E713D}" name="StateSenatorSenateDistrict34General" displayName="StateSenatorSenateDistrict34General" ref="A2:E10" totalsRowCount="1" headerRowDxfId="528" dataDxfId="526" totalsRowDxfId="524" headerRowBorderDxfId="527" tableBorderDxfId="525" totalsRowBorderDxfId="523">
  <autoFilter ref="A2:E9" xr:uid="{7160B362-E91B-4B57-9F7C-466B52FC771B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3CB86591-FD6B-42F3-BC31-47B3DE235366}" name="Candidate Name (Party)" totalsRowLabel="Total Votes by County" dataDxfId="522" totalsRowDxfId="521"/>
    <tableColumn id="2" xr3:uid="{3B141CEF-CB9E-439D-A648-634F66A8F477}" name="Part of Bronx County Vote Results" totalsRowFunction="custom" dataDxfId="520" totalsRowDxfId="519">
      <totalsRowFormula>SUM(StateSenatorSenateDistrict34General[Part of Bronx County Vote Results])</totalsRowFormula>
    </tableColumn>
    <tableColumn id="4" xr3:uid="{D8716D40-EB10-4835-A88B-9F662961DDE5}" name="Part of Westchester County Vote Results" totalsRowFunction="custom" dataDxfId="518" totalsRowDxfId="517">
      <totalsRowFormula>SUM(StateSenatorSenateDistrict34General[Part of Westchester County Vote Results])</totalsRowFormula>
    </tableColumn>
    <tableColumn id="3" xr3:uid="{0639448B-8360-460F-9153-663D099EA138}" name="Total Votes by Party" totalsRowFunction="custom" dataDxfId="516" totalsRowDxfId="515">
      <calculatedColumnFormula>SUM(StateSenatorSenateDistrict34General[[#This Row],[Part of Bronx County Vote Results]:[Part of Westchester County Vote Results]])</calculatedColumnFormula>
      <totalsRowFormula>SUM(StateSenatorSenateDistrict34General[Total Votes by Party])</totalsRowFormula>
    </tableColumn>
    <tableColumn id="5" xr3:uid="{5B43CF9D-0744-45DA-AD30-BC1517C63806}" name="Total Votes by Candidate" dataDxfId="514" totalsRowDxfId="513"/>
  </tableColumns>
  <tableStyleInfo name="TableStyleMedium2" showFirstColumn="0" showLastColumn="0" showRowStripes="0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5E1C53D3-F3E6-423A-8942-AA978E468B1A}" name="StateSenatorSenateDistrict35General" displayName="StateSenatorSenateDistrict35General" ref="A2:D10" totalsRowCount="1" headerRowDxfId="512" dataDxfId="510" totalsRowDxfId="508" headerRowBorderDxfId="511" tableBorderDxfId="509" totalsRowBorderDxfId="507">
  <autoFilter ref="A2:D9" xr:uid="{2FE2021E-B3FC-4090-BFCF-0E5764AB8AE4}">
    <filterColumn colId="0" hiddenButton="1"/>
    <filterColumn colId="1" hiddenButton="1"/>
    <filterColumn colId="2" hiddenButton="1"/>
    <filterColumn colId="3" hiddenButton="1"/>
  </autoFilter>
  <tableColumns count="4">
    <tableColumn id="1" xr3:uid="{CC5F317C-4F11-4374-96F5-B336D7D00E73}" name="Candidate Name (Party)" totalsRowLabel="Total Votes by County" dataDxfId="506" totalsRowDxfId="505"/>
    <tableColumn id="4" xr3:uid="{67FF2FF3-DBF5-488C-971B-EB8E61C5790F}" name="Part of Westchester County Vote Results" totalsRowFunction="custom" dataDxfId="504" totalsRowDxfId="503">
      <totalsRowFormula>SUM(StateSenatorSenateDistrict35General[Part of Westchester County Vote Results])</totalsRowFormula>
    </tableColumn>
    <tableColumn id="3" xr3:uid="{E348A3EB-472C-4A68-9738-460147E09ABA}" name="Total Votes by Party" totalsRowFunction="custom" dataDxfId="502" totalsRowDxfId="501">
      <calculatedColumnFormula>StateSenatorSenateDistrict35General[[#This Row],[Part of Westchester County Vote Results]]</calculatedColumnFormula>
      <totalsRowFormula>SUM(StateSenatorSenateDistrict35General[Total Votes by Party])</totalsRowFormula>
    </tableColumn>
    <tableColumn id="2" xr3:uid="{80331C9E-887F-447C-B816-007D189283D2}" name="Total Votes by Candidate" dataDxfId="500" totalsRowDxfId="499">
      <calculatedColumnFormula>SUM(StateSenatorSenateDistrict35General[[#This Row],[Total Votes by Party]],C5)</calculatedColumnFormula>
    </tableColumn>
  </tableColumns>
  <tableStyleInfo name="TableStyleMedium2" showFirstColumn="0" showLastColumn="0" showRowStripes="0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37A85BD1-05DE-40F2-AEE7-0558C1526799}" name="StateSenatorSenateDistrict36General" displayName="StateSenatorSenateDistrict36General" ref="A2:E10" totalsRowCount="1" headerRowDxfId="498" dataDxfId="496" totalsRowDxfId="494" headerRowBorderDxfId="497" tableBorderDxfId="495" totalsRowBorderDxfId="493">
  <autoFilter ref="A2:E9" xr:uid="{2120EBA0-D9CB-4517-B699-FBA464EB0F1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522466CA-F9FF-4C9D-BF2D-1FCABBB53A9E}" name="Candidate Name (Party)" totalsRowLabel="Total Votes by County" dataDxfId="492" totalsRowDxfId="491"/>
    <tableColumn id="2" xr3:uid="{95483D6D-E7DE-45CC-863A-3559F6634A7F}" name="Part of Bronx County Vote Results" totalsRowFunction="custom" dataDxfId="490" totalsRowDxfId="489">
      <totalsRowFormula>SUM(StateSenatorSenateDistrict36General[Part of Bronx County Vote Results])</totalsRowFormula>
    </tableColumn>
    <tableColumn id="4" xr3:uid="{FF9D1F0F-7731-4F5C-A1FB-0B198C37B835}" name="Part of Westchester County Vote Results" totalsRowFunction="custom" dataDxfId="488" totalsRowDxfId="487">
      <totalsRowFormula>SUM(StateSenatorSenateDistrict36General[Part of Westchester County Vote Results])</totalsRowFormula>
    </tableColumn>
    <tableColumn id="3" xr3:uid="{AFAE93E6-49C7-4796-8885-DC04356C0A0F}" name="Total Votes by Party" totalsRowFunction="custom" dataDxfId="486" totalsRowDxfId="485">
      <calculatedColumnFormula>SUM(StateSenatorSenateDistrict36General[[#This Row],[Part of Bronx County Vote Results]:[Part of Westchester County Vote Results]])</calculatedColumnFormula>
      <totalsRowFormula>SUM(StateSenatorSenateDistrict36General[Total Votes by Party])</totalsRowFormula>
    </tableColumn>
    <tableColumn id="5" xr3:uid="{3A06EA30-72AE-4F51-976A-3989AC5F5EBF}" name="Total Votes by Candidate" dataDxfId="484" totalsRowDxfId="483"/>
  </tableColumns>
  <tableStyleInfo name="TableStyleMedium2" showFirstColumn="0" showLastColumn="0" showRowStripes="0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52E6E245-66C6-49C8-8AE8-24D925E274B3}" name="StateSenatorSenateDistrict37General" displayName="StateSenatorSenateDistrict37General" ref="A2:D10" totalsRowCount="1" headerRowDxfId="482" dataDxfId="480" totalsRowDxfId="478" headerRowBorderDxfId="481" tableBorderDxfId="479" totalsRowBorderDxfId="477">
  <autoFilter ref="A2:D9" xr:uid="{62B5EA22-6D1D-4FB8-A0B1-C8F214797620}">
    <filterColumn colId="0" hiddenButton="1"/>
    <filterColumn colId="1" hiddenButton="1"/>
    <filterColumn colId="2" hiddenButton="1"/>
    <filterColumn colId="3" hiddenButton="1"/>
  </autoFilter>
  <tableColumns count="4">
    <tableColumn id="1" xr3:uid="{F5842F7C-BC93-4D70-94E1-816558EEE702}" name="Candidate Name (Party)" totalsRowLabel="Total Votes by County" dataDxfId="476" totalsRowDxfId="475"/>
    <tableColumn id="4" xr3:uid="{3D79DBC5-A30F-4770-ACC2-1B68E1A2F457}" name="Part of Westchester County Vote Results" totalsRowFunction="custom" dataDxfId="474" totalsRowDxfId="473">
      <totalsRowFormula>SUM(StateSenatorSenateDistrict37General[Part of Westchester County Vote Results])</totalsRowFormula>
    </tableColumn>
    <tableColumn id="3" xr3:uid="{4E31EE23-C41B-49E3-8A91-809182843CCD}" name="Total Votes by Party" totalsRowFunction="custom" dataDxfId="472" totalsRowDxfId="471">
      <calculatedColumnFormula>StateSenatorSenateDistrict37General[[#This Row],[Part of Westchester County Vote Results]]</calculatedColumnFormula>
      <totalsRowFormula>SUM(StateSenatorSenateDistrict37General[Total Votes by Party])</totalsRowFormula>
    </tableColumn>
    <tableColumn id="2" xr3:uid="{C7186CF3-99B0-4321-909C-2DA7745CD681}" name="Total Votes by Candidate" dataDxfId="470" totalsRowDxfId="469">
      <calculatedColumnFormula>SUM(C3:C5)</calculatedColumnFormula>
    </tableColumn>
  </tableColumns>
  <tableStyleInfo name="TableStyleMedium2" showFirstColumn="0" showLastColumn="0" showRowStripes="0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21B365F3-0BD3-4475-BF62-B37BF141EEF6}" name="StateSenatorSenateDistrict38General" displayName="StateSenatorSenateDistrict38General" ref="A2:D10" totalsRowCount="1" headerRowDxfId="468" dataDxfId="466" totalsRowDxfId="464" headerRowBorderDxfId="467" tableBorderDxfId="465" totalsRowBorderDxfId="463">
  <autoFilter ref="A2:D9" xr:uid="{76D11FBE-A745-483E-9F05-DF6DDFB6229E}">
    <filterColumn colId="0" hiddenButton="1"/>
    <filterColumn colId="1" hiddenButton="1"/>
    <filterColumn colId="2" hiddenButton="1"/>
    <filterColumn colId="3" hiddenButton="1"/>
  </autoFilter>
  <tableColumns count="4">
    <tableColumn id="1" xr3:uid="{976FCDD1-88A7-4DB0-BFF4-9EEDEA78F66D}" name="Candidate Name (Party)" totalsRowLabel="Total Votes by County" dataDxfId="462" totalsRowDxfId="461"/>
    <tableColumn id="2" xr3:uid="{80B51E60-5B57-452C-AE64-EC64D6C14CDA}" name="Part of Rockland County Vote Results" totalsRowFunction="custom" dataDxfId="460" totalsRowDxfId="459">
      <totalsRowFormula>SUM(StateSenatorSenateDistrict38General[Part of Rockland County Vote Results])</totalsRowFormula>
    </tableColumn>
    <tableColumn id="3" xr3:uid="{C5DC5BD3-601F-4BE4-AFF3-242DF2E16A7E}" name="Total Votes by Party" totalsRowFunction="custom" dataDxfId="458" totalsRowDxfId="457">
      <calculatedColumnFormula>StateSenatorSenateDistrict38General[[#This Row],[Part of Rockland County Vote Results]]</calculatedColumnFormula>
      <totalsRowFormula>SUM(StateSenatorSenateDistrict38General[Total Votes by Party])</totalsRowFormula>
    </tableColumn>
    <tableColumn id="5" xr3:uid="{05585993-33A2-473E-A0A2-9C85BB0470AF}" name="Total Votes by Candidate" dataDxfId="456" totalsRowDxfId="455"/>
  </tableColumns>
  <tableStyleInfo name="TableStyleMedium2" showFirstColumn="0" showLastColumn="0" showRowStripes="0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BFC6BBAB-C032-4C0D-8C62-9FDB666CB1FE}" name="StateSenatorSenateDistrict39General" displayName="StateSenatorSenateDistrict39General" ref="A2:F10" totalsRowCount="1" headerRowDxfId="454" dataDxfId="452" totalsRowDxfId="450" headerRowBorderDxfId="453" tableBorderDxfId="451" totalsRowBorderDxfId="449">
  <autoFilter ref="A2:F9" xr:uid="{DDBF1CEC-9D14-4D99-A05E-23225379C36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7CE260B6-9F0D-48C9-9CF3-741A14FEE980}" name="Candidate Name (Party)" totalsRowLabel="Total Votes by County" dataDxfId="448" totalsRowDxfId="447"/>
    <tableColumn id="2" xr3:uid="{614A8E6B-9833-470D-8587-E840D19877E5}" name="Part of Dutchess County Vote Results" totalsRowFunction="custom" dataDxfId="446" totalsRowDxfId="445">
      <totalsRowFormula>SUM(StateSenatorSenateDistrict39General[Part of Dutchess County Vote Results])</totalsRowFormula>
    </tableColumn>
    <tableColumn id="3" xr3:uid="{617A27A9-D2B0-4EAE-ABA5-255D90B92570}" name="Part of Orange County Vote Results" totalsRowFunction="custom" dataDxfId="444" totalsRowDxfId="443">
      <totalsRowFormula>SUM(StateSenatorSenateDistrict39General[Part of Orange County Vote Results])</totalsRowFormula>
    </tableColumn>
    <tableColumn id="4" xr3:uid="{BF5875B6-715D-47B5-815E-BE2F4DA9294F}" name="Part of Putnam County Vote Results" totalsRowFunction="custom" dataDxfId="442" totalsRowDxfId="441">
      <totalsRowFormula>SUM(StateSenatorSenateDistrict39General[Part of Putnam County Vote Results])</totalsRowFormula>
    </tableColumn>
    <tableColumn id="6" xr3:uid="{55BE6566-8EFE-487E-A48D-EF8B58CABBF9}" name="Total Votes by Party" totalsRowFunction="custom" dataDxfId="440" totalsRowDxfId="439">
      <calculatedColumnFormula>SUM(StateSenatorSenateDistrict39General[[#This Row],[Part of Dutchess County Vote Results]:[Part of Putnam County Vote Results]])</calculatedColumnFormula>
      <totalsRowFormula>SUM(StateSenatorSenateDistrict39General[Total Votes by Party])</totalsRowFormula>
    </tableColumn>
    <tableColumn id="5" xr3:uid="{C3B08987-1A47-4978-B7E0-C7D29601C1A2}" name="Total Votes by Candidate" dataDxfId="438" totalsRowDxfId="437"/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9AC2FEE0-5F4E-4907-B225-D0B8CAC7CC08}" name="StateSenatorSenateDistrict4General43" displayName="StateSenatorSenateDistrict4General43" ref="A2:D10" totalsRowCount="1" headerRowDxfId="966" dataDxfId="964" totalsRowDxfId="962" headerRowBorderDxfId="965" tableBorderDxfId="963" totalsRowBorderDxfId="961">
  <autoFilter ref="A2:D9" xr:uid="{C6AC5771-4768-43A8-97A4-F9B8EBA4FCE7}">
    <filterColumn colId="0" hiddenButton="1"/>
    <filterColumn colId="1" hiddenButton="1"/>
    <filterColumn colId="2" hiddenButton="1"/>
    <filterColumn colId="3" hiddenButton="1"/>
  </autoFilter>
  <tableColumns count="4">
    <tableColumn id="1" xr3:uid="{77AE50E4-79AF-406E-9C4A-865355E22289}" name="Candidate Name (Party)" totalsRowLabel="Total Votes by County" dataDxfId="960" totalsRowDxfId="959"/>
    <tableColumn id="4" xr3:uid="{CD55AAC6-39D7-45DC-BF23-299481EBD0E7}" name="Part of Suffolk County Vote Results" totalsRowFunction="custom" dataDxfId="958" totalsRowDxfId="957">
      <totalsRowFormula>SUM(StateSenatorSenateDistrict4General43[Part of Suffolk County Vote Results])</totalsRowFormula>
    </tableColumn>
    <tableColumn id="3" xr3:uid="{408B8A68-9B25-4451-B95C-5CA6FBB1652A}" name="Total Votes by Party" totalsRowFunction="custom" dataDxfId="956" totalsRowDxfId="955">
      <calculatedColumnFormula>StateSenatorSenateDistrict4General43[[#This Row],[Part of Suffolk County Vote Results]]</calculatedColumnFormula>
      <totalsRowFormula>SUM(StateSenatorSenateDistrict4General43[Total Votes by Party])</totalsRowFormula>
    </tableColumn>
    <tableColumn id="2" xr3:uid="{E183562C-0F8B-4BCF-AF09-2D10ABF25683}" name="Total Votes by Candidate" dataDxfId="954" totalsRowDxfId="953"/>
  </tableColumns>
  <tableStyleInfo name="TableStyleMedium2" showFirstColumn="0" showLastColumn="0" showRowStripes="0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B10B6887-96FC-4F60-98DB-2884DC3535FB}" name="StateSenatorSenateDistrict40General" displayName="StateSenatorSenateDistrict40General" ref="A2:F10" totalsRowCount="1" headerRowDxfId="436" dataDxfId="434" totalsRowDxfId="432" headerRowBorderDxfId="435" tableBorderDxfId="433" totalsRowBorderDxfId="431">
  <autoFilter ref="A2:F9" xr:uid="{FAF896EA-0001-44EC-81FD-517FAFA42BD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B95A3C49-C851-4CD0-B86D-41E6070285AF}" name="Candidate Name (Party)" totalsRowLabel="Total Votes by County" dataDxfId="430" totalsRowDxfId="429"/>
    <tableColumn id="2" xr3:uid="{BAC99E8A-836B-427F-BDF7-FB18D6B7D751}" name="Part of Putnam County Vote Results" totalsRowFunction="custom" dataDxfId="428" totalsRowDxfId="427">
      <totalsRowFormula>SUM(StateSenatorSenateDistrict40General[Part of Putnam County Vote Results])</totalsRowFormula>
    </tableColumn>
    <tableColumn id="3" xr3:uid="{41E3D645-FC3C-49EF-85B4-119616E4100A}" name="Part of Rockland County Vote Results" totalsRowFunction="custom" dataDxfId="426" totalsRowDxfId="425">
      <totalsRowFormula>SUM(StateSenatorSenateDistrict40General[Part of Rockland County Vote Results])</totalsRowFormula>
    </tableColumn>
    <tableColumn id="4" xr3:uid="{1137FBF5-7A24-4723-B1C8-0064D9AC6B1A}" name="Part of Westchester County Vote Results" totalsRowFunction="custom" dataDxfId="424" totalsRowDxfId="423">
      <totalsRowFormula>SUM(StateSenatorSenateDistrict40General[Part of Westchester County Vote Results])</totalsRowFormula>
    </tableColumn>
    <tableColumn id="6" xr3:uid="{7A18CDE3-1E6E-4512-968C-98705851F6DA}" name="Total Votes by Party" totalsRowFunction="custom" dataDxfId="422" totalsRowDxfId="421">
      <calculatedColumnFormula>SUM(StateSenatorSenateDistrict40General[[#This Row],[Part of Putnam County Vote Results]:[Part of Westchester County Vote Results]])</calculatedColumnFormula>
      <totalsRowFormula>SUM(StateSenatorSenateDistrict40General[Total Votes by Party])</totalsRowFormula>
    </tableColumn>
    <tableColumn id="5" xr3:uid="{334C5F9C-5177-4602-B3EC-451144AF0CC9}" name="Total Votes by Candidate" dataDxfId="420" totalsRowDxfId="419"/>
  </tableColumns>
  <tableStyleInfo name="TableStyleMedium2" showFirstColumn="0" showLastColumn="0" showRowStripes="0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18754F46-D6EE-470B-B822-2645D15AA0E9}" name="StateSenatorSenateDistrict41General" displayName="StateSenatorSenateDistrict41General" ref="A2:G10" totalsRowCount="1" headerRowDxfId="418" dataDxfId="416" totalsRowDxfId="414" headerRowBorderDxfId="417" tableBorderDxfId="415" totalsRowBorderDxfId="413">
  <autoFilter ref="A2:G9" xr:uid="{30CCF245-9464-4C6A-A078-214F6F299B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46DE5707-3E0C-4186-B473-98844A20DD80}" name="Candidate Name (Party)" totalsRowLabel="Total Votes by County" dataDxfId="412" totalsRowDxfId="411"/>
    <tableColumn id="2" xr3:uid="{B2A114CA-14D4-4626-B523-65AE4EFF829A}" name="Columbia County_x000a_Vote Results" totalsRowFunction="custom" dataDxfId="410" totalsRowDxfId="409">
      <totalsRowFormula>SUM(StateSenatorSenateDistrict41General[Columbia County
Vote Results])</totalsRowFormula>
    </tableColumn>
    <tableColumn id="7" xr3:uid="{7BFF3EC9-4018-4417-9249-963A79C88E4A}" name="Part of Dutchess County Vote Results" totalsRowFunction="custom" dataDxfId="408" totalsRowDxfId="407">
      <totalsRowFormula>SUM(StateSenatorSenateDistrict41General[Part of Dutchess County Vote Results])</totalsRowFormula>
    </tableColumn>
    <tableColumn id="6" xr3:uid="{867D54C6-2430-47FD-AC58-CFF87FE92B04}" name="Green County Vote Results" totalsRowFunction="custom" dataDxfId="406" totalsRowDxfId="405">
      <totalsRowFormula>SUM(StateSenatorSenateDistrict41General[Green County Vote Results])</totalsRowFormula>
    </tableColumn>
    <tableColumn id="4" xr3:uid="{BD095CE1-5F58-4DF8-A2D6-CDF917136C3B}" name="Part of Ulster County Vote Results" totalsRowFunction="custom" dataDxfId="404" totalsRowDxfId="403">
      <totalsRowFormula>SUM(StateSenatorSenateDistrict41General[Part of Ulster County Vote Results])</totalsRowFormula>
    </tableColumn>
    <tableColumn id="3" xr3:uid="{BA630DAB-6F33-4072-9E66-99D72CBDD99D}" name="Total Votes by Party" totalsRowFunction="custom" dataDxfId="402" totalsRowDxfId="401">
      <calculatedColumnFormula>SUM(StateSenatorSenateDistrict41General[[#This Row],[Columbia County
Vote Results]:[Part of Ulster County Vote Results]])</calculatedColumnFormula>
      <totalsRowFormula>SUM(StateSenatorSenateDistrict41General[Total Votes by Party])</totalsRowFormula>
    </tableColumn>
    <tableColumn id="5" xr3:uid="{052FC13B-28D6-472B-B0F7-465D546031E0}" name="Total Votes by Candidate" dataDxfId="400" totalsRowDxfId="399"/>
  </tableColumns>
  <tableStyleInfo name="TableStyleMedium2" showFirstColumn="0" showLastColumn="0" showRowStripes="0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2A3BE804-CAD4-40B7-9F0F-D0049C5A78A2}" name="StateSenatorSenateDistrict42General" displayName="StateSenatorSenateDistrict42General" ref="A2:D10" totalsRowCount="1" headerRowDxfId="398" dataDxfId="396" totalsRowDxfId="394" headerRowBorderDxfId="397" tableBorderDxfId="395" totalsRowBorderDxfId="393">
  <autoFilter ref="A2:D9" xr:uid="{9CADA4D5-AD93-43D2-97C2-C1AEED7CF8DB}">
    <filterColumn colId="0" hiddenButton="1"/>
    <filterColumn colId="1" hiddenButton="1"/>
    <filterColumn colId="2" hiddenButton="1"/>
    <filterColumn colId="3" hiddenButton="1"/>
  </autoFilter>
  <tableColumns count="4">
    <tableColumn id="1" xr3:uid="{A020B09B-908A-4264-8F66-5E5688D9ED6C}" name="Candidate Name (Party)" totalsRowLabel="Total Votes by County" dataDxfId="392" totalsRowDxfId="391"/>
    <tableColumn id="3" xr3:uid="{41D4EAC7-F112-4EF0-B9E2-653206108C66}" name="Part of Orange County Vote Results" totalsRowFunction="custom" dataDxfId="390" totalsRowDxfId="389">
      <totalsRowFormula>SUM(StateSenatorSenateDistrict42General[Part of Orange County Vote Results])</totalsRowFormula>
    </tableColumn>
    <tableColumn id="7" xr3:uid="{60535B4A-1641-46C3-9CE3-CC2585730069}" name="Total Votes by Party" totalsRowFunction="custom" dataDxfId="388" totalsRowDxfId="387">
      <calculatedColumnFormula>StateSenatorSenateDistrict42General[[#This Row],[Part of Orange County Vote Results]]</calculatedColumnFormula>
      <totalsRowFormula>SUM(StateSenatorSenateDistrict42General[Total Votes by Party])</totalsRowFormula>
    </tableColumn>
    <tableColumn id="5" xr3:uid="{C7DE1502-8ED8-45D6-92B1-941566B89F64}" name="Total Votes by Candidate" dataDxfId="386" totalsRowDxfId="385"/>
  </tableColumns>
  <tableStyleInfo name="TableStyleMedium2" showFirstColumn="0" showLastColumn="0" showRowStripes="0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BE1269F6-84AE-4BBA-A18C-B53C66794398}" name="StateSenatorSenateDistrict43General" displayName="StateSenatorSenateDistrict43General" ref="A2:F10" totalsRowCount="1" headerRowDxfId="384" dataDxfId="382" totalsRowDxfId="380" headerRowBorderDxfId="383" tableBorderDxfId="381" totalsRowBorderDxfId="379">
  <autoFilter ref="A2:F9" xr:uid="{8A98DF03-B6E6-4856-9390-45B54A5DCAC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CE07F7C8-554E-4B05-A4CB-C408A849D3FD}" name="Candidate Name (Party)" totalsRowLabel="Total Votes by County" dataDxfId="378" totalsRowDxfId="377"/>
    <tableColumn id="2" xr3:uid="{914948EF-2344-4771-B15D-B4C1B64153B6}" name="Part of Albany County Vote Results" totalsRowFunction="custom" dataDxfId="376" totalsRowDxfId="375">
      <totalsRowFormula>SUM(StateSenatorSenateDistrict43General[Part of Albany County Vote Results])</totalsRowFormula>
    </tableColumn>
    <tableColumn id="6" xr3:uid="{150151B4-84AD-4F5C-BDC0-93864F898D6A}" name=" Rensselaer County _x000a_Vote Results" totalsRowFunction="custom" dataDxfId="374" totalsRowDxfId="373">
      <totalsRowFormula>SUM(StateSenatorSenateDistrict43General[ Rensselaer County 
Vote Results])</totalsRowFormula>
    </tableColumn>
    <tableColumn id="4" xr3:uid="{666B557F-2E00-438D-BF24-66CC27493B08}" name="Part of Washington County Vote Results" totalsRowFunction="custom" dataDxfId="372">
      <totalsRowFormula>SUM(StateSenatorSenateDistrict43General[Part of Washington County Vote Results])</totalsRowFormula>
    </tableColumn>
    <tableColumn id="7" xr3:uid="{9F6333CE-964F-4171-A1CC-9FB354C8F8BB}" name="Total Votes by Party" totalsRowFunction="custom" dataDxfId="371" totalsRowDxfId="370">
      <calculatedColumnFormula>SUM(StateSenatorSenateDistrict43General[[#This Row],[Part of Albany County Vote Results]:[Part of Washington County Vote Results]])</calculatedColumnFormula>
      <totalsRowFormula>SUM(StateSenatorSenateDistrict43General[Total Votes by Party])</totalsRowFormula>
    </tableColumn>
    <tableColumn id="5" xr3:uid="{E70F85A0-9693-47AA-826F-476FDBF1B774}" name="Total Votes by Candidate" dataDxfId="369" totalsRowDxfId="368"/>
  </tableColumns>
  <tableStyleInfo name="TableStyleMedium2" showFirstColumn="0" showLastColumn="0" showRowStripes="0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54465B75-44A9-4614-9E5B-280262286C85}" name="StateSenatorSenateDistrict44General" displayName="StateSenatorSenateDistrict44General" ref="A2:E10" totalsRowCount="1" headerRowDxfId="367" dataDxfId="365" totalsRowDxfId="363" headerRowBorderDxfId="366" tableBorderDxfId="364" totalsRowBorderDxfId="362">
  <autoFilter ref="A2:E9" xr:uid="{143BF5E4-05B9-40FA-B925-7862A6C06E97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FD52DE95-D14A-4BCE-87F0-43DE643C2B3C}" name="Candidate Name (Party)" totalsRowLabel="Total Votes by County" dataDxfId="361" totalsRowDxfId="360"/>
    <tableColumn id="2" xr3:uid="{C5A09D23-9A37-4D39-854C-37E3A7CF5903}" name="Saratoga County _x000a_Vote Results" totalsRowFunction="custom" dataDxfId="359" totalsRowDxfId="358">
      <totalsRowFormula>SUM(StateSenatorSenateDistrict44General[Saratoga County 
Vote Results])</totalsRowFormula>
    </tableColumn>
    <tableColumn id="4" xr3:uid="{61ABAF9C-CBF6-4900-89A1-989D5B2894CE}" name="Part of Schenectady County Vote Results" totalsRowFunction="custom" dataDxfId="357" totalsRowDxfId="356">
      <totalsRowFormula>SUM(StateSenatorSenateDistrict44General[Part of Schenectady County Vote Results])</totalsRowFormula>
    </tableColumn>
    <tableColumn id="3" xr3:uid="{622A723C-6B7E-42AE-B054-2D8C4601F4E1}" name="Total Votes by Party" totalsRowFunction="custom" dataDxfId="355" totalsRowDxfId="354">
      <calculatedColumnFormula>SUM(StateSenatorSenateDistrict44General[[#This Row],[Saratoga County 
Vote Results]:[Part of Schenectady County Vote Results]])</calculatedColumnFormula>
      <totalsRowFormula>SUM(StateSenatorSenateDistrict44General[Total Votes by Party])</totalsRowFormula>
    </tableColumn>
    <tableColumn id="5" xr3:uid="{E0C4FB78-1D10-4D2B-AD97-7E9602514AF4}" name="Total Votes by Candidate" dataDxfId="353" totalsRowDxfId="352"/>
  </tableColumns>
  <tableStyleInfo name="TableStyleMedium2" showFirstColumn="0" showLastColumn="0" showRowStripes="0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8E8833E6-CCCD-44B2-B3CA-07E0F57FA22C}" name="StateSenatorSenateDistrict45General" displayName="StateSenatorSenateDistrict45General" ref="A2:I10" totalsRowCount="1" headerRowDxfId="351" dataDxfId="349" totalsRowDxfId="347" headerRowBorderDxfId="350" tableBorderDxfId="348" totalsRowBorderDxfId="346">
  <autoFilter ref="A2:I9" xr:uid="{77BEF245-421B-4116-930C-11876A274BA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B1AA374B-1EEF-4754-8BE9-48378BF72175}" name="Candidate Name (Party)" totalsRowLabel="Total Votes by County" dataDxfId="345" totalsRowDxfId="344"/>
    <tableColumn id="2" xr3:uid="{92B394E9-7914-41CC-9A11-3D7B6050D25C}" name="Clinton County Vote Results" totalsRowFunction="custom" dataDxfId="343" totalsRowDxfId="342">
      <totalsRowFormula>SUM(StateSenatorSenateDistrict45General[Clinton County Vote Results])</totalsRowFormula>
    </tableColumn>
    <tableColumn id="6" xr3:uid="{C8ED0ACF-8400-4AAD-BAF1-C091BF695085}" name="Essex County Vote Results" totalsRowFunction="custom" dataDxfId="341" totalsRowDxfId="340">
      <totalsRowFormula>SUM(StateSenatorSenateDistrict45General[Essex County Vote Results])</totalsRowFormula>
    </tableColumn>
    <tableColumn id="8" xr3:uid="{16E4BF41-B3A5-4344-B956-C7B7E8A8F5A3}" name="Franklin County Vote Results" totalsRowFunction="custom" dataDxfId="339" totalsRowDxfId="338">
      <totalsRowFormula>SUM(StateSenatorSenateDistrict45General[Franklin County Vote Results])</totalsRowFormula>
    </tableColumn>
    <tableColumn id="7" xr3:uid="{8659C484-727E-4234-BF80-8F75731B8D7B}" name="Part of St. Lawrence County Vote Results" totalsRowFunction="custom" dataDxfId="337" totalsRowDxfId="336">
      <totalsRowFormula>SUM(StateSenatorSenateDistrict45General[Part of St. Lawrence County Vote Results])</totalsRowFormula>
    </tableColumn>
    <tableColumn id="3" xr3:uid="{0BCF1CA0-D716-4661-A42F-3990D5335E12}" name="Warren County Vote Results" totalsRowFunction="custom" dataDxfId="335" totalsRowDxfId="334">
      <totalsRowFormula>SUM(StateSenatorSenateDistrict45General[Warren County Vote Results])</totalsRowFormula>
    </tableColumn>
    <tableColumn id="4" xr3:uid="{82AA9AE6-AE72-4B20-8987-1AE549E4DEA5}" name="Part of Washington County Vote Results" totalsRowFunction="custom" dataDxfId="333" totalsRowDxfId="332">
      <totalsRowFormula>SUM(StateSenatorSenateDistrict45General[Part of Washington County Vote Results])</totalsRowFormula>
    </tableColumn>
    <tableColumn id="9" xr3:uid="{1F2015F4-AA85-4609-A5E9-94B8115F5196}" name="Total Votes by Party" totalsRowFunction="custom" dataDxfId="331" totalsRowDxfId="330">
      <calculatedColumnFormula>SUM(StateSenatorSenateDistrict45General[[#This Row],[Clinton County Vote Results]:[Part of Washington County Vote Results]])</calculatedColumnFormula>
      <totalsRowFormula>SUM(StateSenatorSenateDistrict45General[Total Votes by Party])</totalsRowFormula>
    </tableColumn>
    <tableColumn id="5" xr3:uid="{851BFC87-165B-4398-B98E-3F37410CA39D}" name="Total Votes by Candidate" dataDxfId="329" totalsRowDxfId="328"/>
  </tableColumns>
  <tableStyleInfo name="TableStyleMedium2" showFirstColumn="0" showLastColumn="0" showRowStripes="0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11CAAAE5-D350-45A5-A8DB-CFD1705C0E93}" name="StateSenatorSenateDistrict46General" displayName="StateSenatorSenateDistrict46General" ref="A2:F10" totalsRowCount="1" headerRowDxfId="327" dataDxfId="325" totalsRowDxfId="323" headerRowBorderDxfId="326" tableBorderDxfId="324" totalsRowBorderDxfId="322">
  <autoFilter ref="A2:F9" xr:uid="{3D675DE8-9F3B-4D15-A9AC-A53B6900487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5823110-B3FD-4EBA-B877-40E394A69451}" name="Candidate Name (Party)" totalsRowLabel="Total Votes by County" dataDxfId="321" totalsRowDxfId="320"/>
    <tableColumn id="6" xr3:uid="{82805EA4-0F00-439C-B087-694D4A4EADAA}" name="Part of Albany County Vote Results" totalsRowFunction="custom" dataDxfId="319" totalsRowDxfId="318">
      <totalsRowFormula>SUM(StateSenatorSenateDistrict46General[Part of Albany County Vote Results])</totalsRowFormula>
    </tableColumn>
    <tableColumn id="7" xr3:uid="{F6C77BE1-08FC-4152-8E69-1FC9AA2EF80D}" name="Montgomery County Vote Results" totalsRowFunction="custom" dataDxfId="317" totalsRowDxfId="316">
      <totalsRowFormula>SUM(StateSenatorSenateDistrict46General[Montgomery County Vote Results])</totalsRowFormula>
    </tableColumn>
    <tableColumn id="3" xr3:uid="{4D9D3544-D8EA-41FA-A022-3377A7DC65CE}" name="Part of Schenectady County Vote Results" totalsRowFunction="custom" dataDxfId="315" totalsRowDxfId="314">
      <totalsRowFormula>SUM(StateSenatorSenateDistrict46General[Part of Schenectady County Vote Results])</totalsRowFormula>
    </tableColumn>
    <tableColumn id="8" xr3:uid="{AD16157F-371A-43A1-8779-1549BB2BDBE7}" name="Total Votes by Party" totalsRowFunction="custom" dataDxfId="313" totalsRowDxfId="312">
      <calculatedColumnFormula>SUM(StateSenatorSenateDistrict46General[[#This Row],[Part of Albany County Vote Results]:[Part of Schenectady County Vote Results]])</calculatedColumnFormula>
      <totalsRowFormula>SUM(StateSenatorSenateDistrict46General[Total Votes by Party])</totalsRowFormula>
    </tableColumn>
    <tableColumn id="5" xr3:uid="{49C9A80E-B308-4A46-B5D4-A599EAD37577}" name="Total Votes by Candidate" dataDxfId="311" totalsRowDxfId="310"/>
  </tableColumns>
  <tableStyleInfo name="TableStyleMedium2" showFirstColumn="0" showLastColumn="0" showRowStripes="0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DFE1F76B-5B35-4AAC-9371-FB3B79A25B2A}" name="StateSenatorSenateDistrict47General" displayName="StateSenatorSenateDistrict47General" ref="A2:D10" totalsRowCount="1" headerRowDxfId="309" dataDxfId="307" totalsRowDxfId="305" headerRowBorderDxfId="308" tableBorderDxfId="306" totalsRowBorderDxfId="304">
  <autoFilter ref="A2:D9" xr:uid="{F7EE7664-3FD9-4FBF-9F90-39F7212F4430}">
    <filterColumn colId="0" hiddenButton="1"/>
    <filterColumn colId="1" hiddenButton="1"/>
    <filterColumn colId="2" hiddenButton="1"/>
    <filterColumn colId="3" hiddenButton="1"/>
  </autoFilter>
  <tableColumns count="4">
    <tableColumn id="1" xr3:uid="{62541A28-4DD6-4A26-81A8-3447556FB5A3}" name="Candidate Name (Party)" totalsRowLabel="Total Votes by County" dataDxfId="303" totalsRowDxfId="302"/>
    <tableColumn id="2" xr3:uid="{7AA29483-13C7-4008-8A4B-581B65187238}" name="Part of New York County Vote Results" totalsRowFunction="custom" dataDxfId="301" totalsRowDxfId="300">
      <totalsRowFormula>SUM(StateSenatorSenateDistrict47General[Part of New York County Vote Results])</totalsRowFormula>
    </tableColumn>
    <tableColumn id="6" xr3:uid="{D7907E5C-E158-42D8-B487-9E08262D17E7}" name="Total Votes by Party" totalsRowFunction="custom" dataDxfId="299" totalsRowDxfId="298">
      <calculatedColumnFormula>SUM(B3)</calculatedColumnFormula>
      <totalsRowFormula>SUM(StateSenatorSenateDistrict47General[Total Votes by Party])</totalsRowFormula>
    </tableColumn>
    <tableColumn id="5" xr3:uid="{156F5B32-3C64-48D5-B5EA-6700AA5DF5EF}" name="Total Votes by Candidate" dataDxfId="297" totalsRowDxfId="296">
      <calculatedColumnFormula>SUM(StateSenatorSenateDistrict47General[[#This Row],[Total Votes by Party]],C5,C6)</calculatedColumnFormula>
    </tableColumn>
  </tableColumns>
  <tableStyleInfo name="TableStyleMedium2" showFirstColumn="0" showLastColumn="0" showRowStripes="0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521EC75E-64F3-4D2D-AA33-03E4F6B0F0A5}" name="StateSenatorSenateDistrict48General" displayName="StateSenatorSenateDistrict48General" ref="A2:E10" totalsRowCount="1" headerRowDxfId="295" dataDxfId="293" totalsRowDxfId="291" headerRowBorderDxfId="294" tableBorderDxfId="292" totalsRowBorderDxfId="290">
  <autoFilter ref="A2:E9" xr:uid="{6A6C6A5A-FFCC-4DC9-93DC-78D34A69563F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E744E97A-BD4E-4A46-82A5-9A6F1CD45F32}" name="Candidate Name (Party)" totalsRowLabel="Total Votes by County" dataDxfId="289" totalsRowDxfId="288"/>
    <tableColumn id="2" xr3:uid="{A36E8C7F-A651-4D9E-BF65-AEA0629A1D32}" name="Cayuga County Vote Results" totalsRowFunction="custom" dataDxfId="287" totalsRowDxfId="286">
      <totalsRowFormula>SUM(StateSenatorSenateDistrict48General[Cayuga County Vote Results])</totalsRowFormula>
    </tableColumn>
    <tableColumn id="3" xr3:uid="{0930CDB6-C15A-475B-981A-91896F829B8D}" name="Part of Onondaga County Vote Results" totalsRowFunction="custom" dataDxfId="285" totalsRowDxfId="284">
      <totalsRowFormula>SUM(StateSenatorSenateDistrict48General[Part of Onondaga County Vote Results])</totalsRowFormula>
    </tableColumn>
    <tableColumn id="6" xr3:uid="{BAE45BCD-AA4D-4818-B201-836838629A61}" name="Total Votes by Party" totalsRowFunction="custom" dataDxfId="283" totalsRowDxfId="282">
      <calculatedColumnFormula>SUM(StateSenatorSenateDistrict48General[[#This Row],[Cayuga County Vote Results]:[Part of Onondaga County Vote Results]])</calculatedColumnFormula>
      <totalsRowFormula>SUM(StateSenatorSenateDistrict48General[Total Votes by Party])</totalsRowFormula>
    </tableColumn>
    <tableColumn id="5" xr3:uid="{277AB71B-9DC9-4E1B-B05F-1387E81F2466}" name="Total Votes by Candidate" dataDxfId="281" totalsRowDxfId="280">
      <calculatedColumnFormula>SUM(D3)</calculatedColumnFormula>
    </tableColumn>
  </tableColumns>
  <tableStyleInfo name="TableStyleMedium2" showFirstColumn="0" showLastColumn="0" showRowStripes="0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ECB47D9B-DE8E-4207-8179-3104FC0B5A56}" name="StateSenatorSenateDistrict49General" displayName="StateSenatorSenateDistrict49General" ref="A2:J10" totalsRowCount="1" headerRowDxfId="279" dataDxfId="277" totalsRowDxfId="275" headerRowBorderDxfId="278" tableBorderDxfId="276" totalsRowBorderDxfId="274">
  <autoFilter ref="A2:J9" xr:uid="{AAFD0050-A9FD-43DD-B611-087E1B9A4D9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F44BBA49-E916-4043-8042-EE32045FB1BF}" name="Candidate Name (Party)" totalsRowLabel="Total Votes by County" dataDxfId="273" totalsRowDxfId="272"/>
    <tableColumn id="2" xr3:uid="{95D49EB8-5E20-4307-8FC4-572E960337FF}" name="Fulton County Vote Results" totalsRowFunction="custom" dataDxfId="271" totalsRowDxfId="270">
      <totalsRowFormula>SUM(StateSenatorSenateDistrict49General[Fulton County Vote Results])</totalsRowFormula>
    </tableColumn>
    <tableColumn id="6" xr3:uid="{7F02A338-A4F0-4627-9389-D7AFCA2A8F3E}" name="Hamilton County Vote Results" totalsRowFunction="custom" dataDxfId="269" totalsRowDxfId="268">
      <totalsRowFormula>SUM(StateSenatorSenateDistrict49General[Hamilton County Vote Results])</totalsRowFormula>
    </tableColumn>
    <tableColumn id="7" xr3:uid="{9437DC98-70CC-4FFA-B5C0-3B15F8525EC0}" name="Part of Herkimer County Vote Results" totalsRowFunction="custom" dataDxfId="267" totalsRowDxfId="266">
      <totalsRowFormula>SUM(StateSenatorSenateDistrict49General[Part of Herkimer County Vote Results])</totalsRowFormula>
    </tableColumn>
    <tableColumn id="3" xr3:uid="{69399258-41B6-4771-B325-2F13D5F8F74E}" name="Jefferson County Vote Results" totalsRowFunction="custom" dataDxfId="265" totalsRowDxfId="264">
      <totalsRowFormula>SUM(StateSenatorSenateDistrict49General[Jefferson County Vote Results])</totalsRowFormula>
    </tableColumn>
    <tableColumn id="10" xr3:uid="{C3B995C9-764E-41DB-A232-5EE19FD7B7D6}" name="Lewis County_x000a_Vote Results" totalsRowFunction="custom" dataDxfId="263" totalsRowDxfId="262">
      <totalsRowFormula>SUM(StateSenatorSenateDistrict49General[Lewis County
Vote Results])</totalsRowFormula>
    </tableColumn>
    <tableColumn id="9" xr3:uid="{F435C204-C8D3-4844-BDBC-CCE297321897}" name="Part of Oswego County Vote Results" totalsRowFunction="custom" dataDxfId="261" totalsRowDxfId="260">
      <totalsRowFormula>SUM(StateSenatorSenateDistrict49General[Part of Oswego County Vote Results])</totalsRowFormula>
    </tableColumn>
    <tableColumn id="4" xr3:uid="{296CEAEB-9064-48CE-A883-DF29E29D99A4}" name="Part of St. Lawrence County Vote Results" totalsRowFunction="custom" dataDxfId="259" totalsRowDxfId="258">
      <totalsRowFormula>SUM(StateSenatorSenateDistrict49General[Part of St. Lawrence County Vote Results])</totalsRowFormula>
    </tableColumn>
    <tableColumn id="8" xr3:uid="{13F79527-0BDB-4BD3-84FE-E4F257BDD91D}" name="Total Votes by Party" totalsRowFunction="custom" dataDxfId="257" totalsRowDxfId="256">
      <calculatedColumnFormula>SUM(StateSenatorSenateDistrict49General[[#This Row],[Fulton County Vote Results]:[Part of St. Lawrence County Vote Results]])</calculatedColumnFormula>
      <totalsRowFormula>SUM(StateSenatorSenateDistrict49General[Total Votes by Party])</totalsRowFormula>
    </tableColumn>
    <tableColumn id="5" xr3:uid="{DD782F11-EAA2-4059-B2F9-A0800DCFA7C0}" name="Total Votes by Candidate" dataDxfId="255" totalsRowDxfId="254"/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83F1DDAC-40B1-44D7-9D44-C75D0C354A1F}" name="StateSenatorSenateDistrict5General44" displayName="StateSenatorSenateDistrict5General44" ref="A2:D10" totalsRowCount="1" headerRowDxfId="952" dataDxfId="950" totalsRowDxfId="948" headerRowBorderDxfId="951" tableBorderDxfId="949" totalsRowBorderDxfId="947">
  <autoFilter ref="A2:D9" xr:uid="{EB34AB7F-1D7F-4375-A829-3AB182F9799A}">
    <filterColumn colId="0" hiddenButton="1"/>
    <filterColumn colId="1" hiddenButton="1"/>
    <filterColumn colId="2" hiddenButton="1"/>
    <filterColumn colId="3" hiddenButton="1"/>
  </autoFilter>
  <tableColumns count="4">
    <tableColumn id="1" xr3:uid="{FA3382F2-3A8A-4A6C-9804-7C24265C6ECC}" name="Candidate Name (Party)" totalsRowLabel="Total Votes by County" dataDxfId="946" totalsRowDxfId="945"/>
    <tableColumn id="4" xr3:uid="{A26B8FA2-C658-4FE0-A019-38821A27EB0A}" name="Part of Nassau County Vote Results" totalsRowFunction="custom" dataDxfId="944" totalsRowDxfId="943">
      <totalsRowFormula>SUM(StateSenatorSenateDistrict5General44[Part of Nassau County Vote Results])</totalsRowFormula>
    </tableColumn>
    <tableColumn id="3" xr3:uid="{5F0E59D5-C90E-4400-A087-DD8A6023F6E7}" name="Total Votes by Party" totalsRowFunction="custom" dataDxfId="942" totalsRowDxfId="941">
      <calculatedColumnFormula>StateSenatorSenateDistrict5General44[[#This Row],[Part of Nassau County Vote Results]]</calculatedColumnFormula>
      <totalsRowFormula>SUM(StateSenatorSenateDistrict5General44[Total Votes by Party])</totalsRowFormula>
    </tableColumn>
    <tableColumn id="5" xr3:uid="{04207B01-E9FA-4F9C-B285-DD3DCBC2AAF1}" name="Total Votes by Candidate" dataDxfId="940" totalsRowDxfId="939"/>
  </tableColumns>
  <tableStyleInfo name="TableStyleMedium2" showFirstColumn="0" showLastColumn="0" showRowStripes="0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94BB7376-BB0B-484E-9110-8182907AB886}" name="StateSenatorSenateDistrict50General" displayName="StateSenatorSenateDistrict50General" ref="A2:E10" totalsRowCount="1" headerRowDxfId="253" dataDxfId="251" totalsRowDxfId="249" headerRowBorderDxfId="252" tableBorderDxfId="250" totalsRowBorderDxfId="248">
  <autoFilter ref="A2:E9" xr:uid="{551E6344-DD66-4065-BCD7-D232EA268246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B2D687CE-6520-4658-B0D8-704E9CE52A2E}" name="Candidate Name (Party)" totalsRowLabel="Total Votes by County" dataDxfId="247" totalsRowDxfId="246"/>
    <tableColumn id="2" xr3:uid="{BD8851B3-7063-494C-992D-9BFFCD216439}" name="Part of Onondago County Vote Results" totalsRowFunction="custom" dataDxfId="245" totalsRowDxfId="244">
      <totalsRowFormula>SUM(StateSenatorSenateDistrict50General[Part of Onondago County Vote Results])</totalsRowFormula>
    </tableColumn>
    <tableColumn id="4" xr3:uid="{0CDA508C-B820-4714-8513-1251492F168F}" name="Part of Oswego County Vote Results" totalsRowFunction="custom" dataDxfId="243" totalsRowDxfId="242">
      <totalsRowFormula>SUM(StateSenatorSenateDistrict50General[Part of Oswego County Vote Results])</totalsRowFormula>
    </tableColumn>
    <tableColumn id="3" xr3:uid="{F97FD538-E04E-44D6-B4C1-267956767AA8}" name="Total Votes by Party" totalsRowFunction="custom" dataDxfId="241" totalsRowDxfId="240">
      <calculatedColumnFormula>SUM(StateSenatorSenateDistrict50General[[#This Row],[Part of Onondago County Vote Results]:[Part of Oswego County Vote Results]])</calculatedColumnFormula>
      <totalsRowFormula>SUM(StateSenatorSenateDistrict50General[Total Votes by Party])</totalsRowFormula>
    </tableColumn>
    <tableColumn id="5" xr3:uid="{B8B5FFBC-D899-4562-82FC-C7D9E5ABE7DD}" name="Total Votes by Candidate" dataDxfId="239" totalsRowDxfId="238"/>
  </tableColumns>
  <tableStyleInfo name="TableStyleMedium2" showFirstColumn="0" showLastColumn="0" showRowStripes="0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DE9B2A5B-F331-4473-8CB1-036911A02869}" name="StateSenatorSenateDistrict51General" displayName="StateSenatorSenateDistrict51General" ref="A2:J10" totalsRowCount="1" headerRowDxfId="237" dataDxfId="235" totalsRowDxfId="233" headerRowBorderDxfId="236" tableBorderDxfId="234" totalsRowBorderDxfId="232">
  <autoFilter ref="A2:J9" xr:uid="{2231ECA1-A582-4522-8F58-66E619336A2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22648CAA-8AE9-43F6-9790-EDA2FB039EB7}" name="Candidate Name (Party)" totalsRowLabel="Total Votes by County" dataDxfId="231" totalsRowDxfId="230"/>
    <tableColumn id="2" xr3:uid="{9B326E83-DB1E-4C10-8E19-3C494D0E44CA}" name="Part of Broome County Vote Results" totalsRowFunction="custom" dataDxfId="229" totalsRowDxfId="228">
      <totalsRowFormula>SUM(StateSenatorSenateDistrict51General[Part of Broome County Vote Results])</totalsRowFormula>
    </tableColumn>
    <tableColumn id="12" xr3:uid="{203C75EB-D1EE-48BC-994E-C8984567385F}" name="Part of Chenango County Vote Results" totalsRowFunction="custom" dataDxfId="227" totalsRowDxfId="226">
      <totalsRowFormula>SUM(StateSenatorSenateDistrict51General[Part of Chenango County Vote Results])</totalsRowFormula>
    </tableColumn>
    <tableColumn id="6" xr3:uid="{C00C07E0-B059-4AF2-9AAA-F90C01DD54FD}" name="Delaware County Vote Results" totalsRowFunction="custom" dataDxfId="225" totalsRowDxfId="224">
      <totalsRowFormula>SUM(StateSenatorSenateDistrict51General[Delaware County Vote Results])</totalsRowFormula>
    </tableColumn>
    <tableColumn id="11" xr3:uid="{11DAFBFE-6375-4B99-8737-B9D96B7C161C}" name="Otsego County Vote Results" totalsRowFunction="custom" dataDxfId="223" totalsRowDxfId="222">
      <totalsRowFormula>SUM(StateSenatorSenateDistrict51General[Otsego County Vote Results])</totalsRowFormula>
    </tableColumn>
    <tableColumn id="10" xr3:uid="{E3E892D4-92DC-4AAC-8409-5DDD45CFF1BD}" name="Schoharie County Vote Results" totalsRowFunction="custom" dataDxfId="221" totalsRowDxfId="220">
      <totalsRowFormula>SUM(StateSenatorSenateDistrict51General[Schoharie County Vote Results])</totalsRowFormula>
    </tableColumn>
    <tableColumn id="9" xr3:uid="{66B71BC3-D424-4616-B42D-78948F888BEF}" name="Sullivan County Vote Results" totalsRowFunction="custom" dataDxfId="219" totalsRowDxfId="218">
      <totalsRowFormula>SUM(StateSenatorSenateDistrict51General[Sullivan County Vote Results])</totalsRowFormula>
    </tableColumn>
    <tableColumn id="4" xr3:uid="{BFD55B3B-2998-4C56-B897-080EED636B15}" name="Part of Ulster County Vote Results" totalsRowFunction="custom" dataDxfId="217" totalsRowDxfId="216">
      <totalsRowFormula>SUM(StateSenatorSenateDistrict51General[Part of Ulster County Vote Results])</totalsRowFormula>
    </tableColumn>
    <tableColumn id="8" xr3:uid="{B590FE66-ECB2-4EEF-93A7-24EED30D4139}" name="Total Votes by Party" totalsRowFunction="custom" dataDxfId="215" totalsRowDxfId="214">
      <calculatedColumnFormula>SUM(StateSenatorSenateDistrict51General[[#This Row],[Part of Broome County Vote Results]:[Part of Ulster County Vote Results]])</calculatedColumnFormula>
      <totalsRowFormula>SUM(StateSenatorSenateDistrict51General[Total Votes by Party])</totalsRowFormula>
    </tableColumn>
    <tableColumn id="5" xr3:uid="{4850604D-CD90-4CE3-81D8-883CADFE0CF7}" name="Total Votes by Candidate" dataDxfId="213" totalsRowDxfId="212"/>
  </tableColumns>
  <tableStyleInfo name="TableStyleMedium2" showFirstColumn="0" showLastColumn="0" showRowStripes="0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192D2D2F-4134-4319-A60E-EDE15D1BE8AB}" name="StateSenatorSenateDistrict52General" displayName="StateSenatorSenateDistrict52General" ref="A2:F10" totalsRowCount="1" headerRowDxfId="211" dataDxfId="209" totalsRowDxfId="207" headerRowBorderDxfId="210" tableBorderDxfId="208" totalsRowBorderDxfId="206">
  <autoFilter ref="A2:F9" xr:uid="{97BBF5E9-9936-42E5-9F11-ABDEE8F3C8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9277E028-0E9C-4A93-9E68-149DF353FB32}" name="Candidate Name (Party)" totalsRowLabel="Total Votes by County" dataDxfId="205" totalsRowDxfId="204"/>
    <tableColumn id="2" xr3:uid="{51C986C5-9735-4962-84FD-700682085D89}" name="Part of Broome County Vote Results" totalsRowFunction="custom" dataDxfId="203" totalsRowDxfId="202">
      <totalsRowFormula>SUM(StateSenatorSenateDistrict52General[Part of Broome County Vote Results])</totalsRowFormula>
    </tableColumn>
    <tableColumn id="6" xr3:uid="{D3F6E5AC-3126-48A4-B3AE-A600280112FE}" name="Cortland County Vote Results" totalsRowFunction="custom" dataDxfId="201" totalsRowDxfId="200">
      <totalsRowFormula>SUM(StateSenatorSenateDistrict52General[Cortland County Vote Results])</totalsRowFormula>
    </tableColumn>
    <tableColumn id="4" xr3:uid="{BB58A3A3-3C74-4699-B319-E45CEFC24176}" name="Tompkins County Vote Results" totalsRowFunction="custom" dataDxfId="199" totalsRowDxfId="198">
      <totalsRowFormula>SUM(StateSenatorSenateDistrict52General[Tompkins County Vote Results])</totalsRowFormula>
    </tableColumn>
    <tableColumn id="7" xr3:uid="{D2B2FB9A-4EED-4D75-8A60-9899BEB97B9D}" name="Total Votes by Party" totalsRowFunction="custom" dataDxfId="197" totalsRowDxfId="196">
      <calculatedColumnFormula>SUM(StateSenatorSenateDistrict52General[[#This Row],[Part of Broome County Vote Results]:[Tompkins County Vote Results]])</calculatedColumnFormula>
      <totalsRowFormula>SUM(StateSenatorSenateDistrict52General[Total Votes by Party])</totalsRowFormula>
    </tableColumn>
    <tableColumn id="5" xr3:uid="{40100E80-6E1B-4B23-9EEB-77655D0A8005}" name="Total Votes by Candidate" dataDxfId="195" totalsRowDxfId="194"/>
  </tableColumns>
  <tableStyleInfo name="TableStyleMedium2" showFirstColumn="0" showLastColumn="0" showRowStripes="0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5EDEA79E-F3D4-41BF-8FBC-A66D1D3116B3}" name="StateSenatorSenateDistrict53General" displayName="StateSenatorSenateDistrict53General" ref="A2:G10" totalsRowCount="1" headerRowDxfId="193" dataDxfId="191" totalsRowDxfId="189" headerRowBorderDxfId="192" tableBorderDxfId="190" totalsRowBorderDxfId="188">
  <autoFilter ref="A2:G9" xr:uid="{93AF2475-4333-4CF8-9AA7-E01BBA2EA24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2621F967-792F-4D4F-8980-9952E4F0F7C7}" name="Candidate Name (Party)" totalsRowLabel="Total Votes by County" dataDxfId="187" totalsRowDxfId="186"/>
    <tableColumn id="2" xr3:uid="{C492E248-D267-4115-9786-7CE8AC64A5A3}" name="Part of Chenango County Vote Results" totalsRowFunction="custom" dataDxfId="185" totalsRowDxfId="184">
      <totalsRowFormula>SUM(StateSenatorSenateDistrict53General[Part of Chenango County Vote Results])</totalsRowFormula>
    </tableColumn>
    <tableColumn id="3" xr3:uid="{C90DF988-DE6C-431E-9D16-918CB6821AEB}" name="Part of Herkimer County Vote Results" totalsRowFunction="custom" dataDxfId="183" totalsRowDxfId="182">
      <totalsRowFormula>SUM(StateSenatorSenateDistrict53General[Part of Herkimer County Vote Results])</totalsRowFormula>
    </tableColumn>
    <tableColumn id="7" xr3:uid="{0D69672B-5EF3-4F1D-9F16-C107577114A1}" name="Madison County Vote Results" totalsRowFunction="custom" dataDxfId="181" totalsRowDxfId="180">
      <totalsRowFormula>SUM(StateSenatorSenateDistrict53General[Madison County Vote Results])</totalsRowFormula>
    </tableColumn>
    <tableColumn id="4" xr3:uid="{89C8D545-F594-451A-85EF-8EDC7E0112BF}" name="Part of Oneida County Vote Results" totalsRowFunction="custom" dataDxfId="179" totalsRowDxfId="178">
      <totalsRowFormula>SUM(StateSenatorSenateDistrict53General[Part of Oneida County Vote Results])</totalsRowFormula>
    </tableColumn>
    <tableColumn id="6" xr3:uid="{974D0863-B263-4A7E-9F67-8E88BF15E12E}" name="Total Votes by Party" totalsRowFunction="custom" dataDxfId="177" totalsRowDxfId="176">
      <calculatedColumnFormula>SUM(StateSenatorSenateDistrict53General[[#This Row],[Part of Chenango County Vote Results]:[Part of Oneida County Vote Results]])</calculatedColumnFormula>
      <totalsRowFormula>SUM(StateSenatorSenateDistrict53General[Total Votes by Party])</totalsRowFormula>
    </tableColumn>
    <tableColumn id="5" xr3:uid="{2604A564-62D0-4B63-BEE9-92C3479A87AD}" name="Total Votes by Candidate" dataDxfId="175" totalsRowDxfId="174">
      <calculatedColumnFormula>SUM(F3,F4)</calculatedColumnFormula>
    </tableColumn>
  </tableColumns>
  <tableStyleInfo name="TableStyleMedium2" showFirstColumn="0" showLastColumn="0" showRowStripes="0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9200624E-B2A9-40E0-A8B5-643C73E50A20}" name="StateSenatorSenateDistrict54General" displayName="StateSenatorSenateDistrict54General" ref="A2:G10" totalsRowCount="1" headerRowDxfId="173" dataDxfId="171" totalsRowDxfId="169" headerRowBorderDxfId="172" tableBorderDxfId="170" totalsRowBorderDxfId="168">
  <autoFilter ref="A2:G9" xr:uid="{66B88628-165F-4A8E-98A1-75A20C42531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60D9E02F-ED10-4B47-8AAD-9EF5FF55906C}" name="Candidate Name (Party)" totalsRowLabel="Total Votes by County" dataDxfId="167" totalsRowDxfId="166"/>
    <tableColumn id="2" xr3:uid="{8C03D6D2-2AF6-4CA9-9018-1F176D478182}" name="Livingston County Vote Results" totalsRowFunction="custom" dataDxfId="165" totalsRowDxfId="164">
      <totalsRowFormula>SUM(StateSenatorSenateDistrict54General[Livingston County Vote Results])</totalsRowFormula>
    </tableColumn>
    <tableColumn id="3" xr3:uid="{6FE869CE-0216-48B4-BA74-50A06B880CDC}" name="Part of Monroe County Vote Results" totalsRowFunction="custom" dataDxfId="163" totalsRowDxfId="162">
      <totalsRowFormula>SUM(StateSenatorSenateDistrict54General[Part of Monroe County Vote Results])</totalsRowFormula>
    </tableColumn>
    <tableColumn id="6" xr3:uid="{419CBE4E-CC0D-4EC2-BC49-4DD65B2798E2}" name="Ontario County Vote Results" totalsRowFunction="custom" dataDxfId="161" totalsRowDxfId="160">
      <totalsRowFormula>SUM(StateSenatorSenateDistrict54General[Ontario County Vote Results])</totalsRowFormula>
    </tableColumn>
    <tableColumn id="4" xr3:uid="{4791DA94-73E8-455B-B539-9D57E94877B3}" name="Wayne County Vote Results" totalsRowFunction="custom" dataDxfId="159" totalsRowDxfId="158">
      <totalsRowFormula>SUM(StateSenatorSenateDistrict54General[Wayne County Vote Results])</totalsRowFormula>
    </tableColumn>
    <tableColumn id="7" xr3:uid="{C1620DCD-4688-4A4E-940A-F376CBEEF999}" name="Total Votes by Party" totalsRowFunction="custom" dataDxfId="157" totalsRowDxfId="156">
      <calculatedColumnFormula>SUM(StateSenatorSenateDistrict54General[[#This Row],[Livingston County Vote Results]:[Wayne County Vote Results]])</calculatedColumnFormula>
      <totalsRowFormula>SUM(StateSenatorSenateDistrict54General[Total Votes by Party])</totalsRowFormula>
    </tableColumn>
    <tableColumn id="5" xr3:uid="{52F3F2DF-A5B6-4A82-97A2-DB16CD74A779}" name="Total Votes by Candidate" dataDxfId="155" totalsRowDxfId="154"/>
  </tableColumns>
  <tableStyleInfo name="TableStyleMedium2" showFirstColumn="0" showLastColumn="0" showRowStripes="0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11B43F86-8791-45F2-A689-A4E21659BC7D}" name="StateSenatorSenateDistrict55General" displayName="StateSenatorSenateDistrict55General" ref="A2:D10" totalsRowCount="1" headerRowDxfId="153" dataDxfId="151" totalsRowDxfId="149" headerRowBorderDxfId="152" tableBorderDxfId="150" totalsRowBorderDxfId="148">
  <autoFilter ref="A2:D9" xr:uid="{B2AE2A49-3BE3-4155-95DB-5C66CB3250CA}">
    <filterColumn colId="0" hiddenButton="1"/>
    <filterColumn colId="1" hiddenButton="1"/>
    <filterColumn colId="2" hiddenButton="1"/>
    <filterColumn colId="3" hiddenButton="1"/>
  </autoFilter>
  <tableColumns count="4">
    <tableColumn id="1" xr3:uid="{924DEEC0-ECA2-497C-A64D-AB66686D080A}" name="Candidate Name (Party)" totalsRowLabel="Total Votes by County" dataDxfId="147" totalsRowDxfId="146"/>
    <tableColumn id="2" xr3:uid="{D61BA1EB-4BA6-40D1-94FB-02596535C3D5}" name="Part of Monroe County Vote Results" totalsRowFunction="custom" dataDxfId="145" totalsRowDxfId="144">
      <totalsRowFormula>SUM(StateSenatorSenateDistrict55General[Part of Monroe County Vote Results])</totalsRowFormula>
    </tableColumn>
    <tableColumn id="3" xr3:uid="{D88C0F4E-B32B-469C-9183-DF06EE21F4C1}" name="Total Votes by Party" totalsRowFunction="custom" dataDxfId="143" totalsRowDxfId="142">
      <calculatedColumnFormula>StateSenatorSenateDistrict55General[[#This Row],[Part of Monroe County Vote Results]]</calculatedColumnFormula>
      <totalsRowFormula>SUM(StateSenatorSenateDistrict55General[Total Votes by Party])</totalsRowFormula>
    </tableColumn>
    <tableColumn id="5" xr3:uid="{48F5170B-1B72-43BE-957A-9E6A6E51C02B}" name="Total Votes by Candidate" dataDxfId="141" totalsRowDxfId="140"/>
  </tableColumns>
  <tableStyleInfo name="TableStyleMedium2" showFirstColumn="0" showLastColumn="0" showRowStripes="0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B8E02587-38E9-40C7-9CA6-C7FD51FC53E7}" name="StateSenatorSenateDistrict56General" displayName="StateSenatorSenateDistrict56General" ref="A2:D10" totalsRowCount="1" headerRowDxfId="139" dataDxfId="137" totalsRowDxfId="135" headerRowBorderDxfId="138" tableBorderDxfId="136" totalsRowBorderDxfId="134">
  <autoFilter ref="A2:D9" xr:uid="{67E25BD0-DCBD-4710-9F1E-1A66ED19EEA6}">
    <filterColumn colId="0" hiddenButton="1"/>
    <filterColumn colId="1" hiddenButton="1"/>
    <filterColumn colId="2" hiddenButton="1"/>
    <filterColumn colId="3" hiddenButton="1"/>
  </autoFilter>
  <tableColumns count="4">
    <tableColumn id="1" xr3:uid="{69C6176E-B797-4B30-8BBA-F6428D439693}" name="Candidate Name (Party)" totalsRowLabel="Total Votes by County" dataDxfId="133" totalsRowDxfId="132"/>
    <tableColumn id="4" xr3:uid="{D14B2B26-078C-411C-B4AF-B84DAE367389}" name="Part of Monroe County Vote Results" totalsRowFunction="custom" dataDxfId="131" totalsRowDxfId="130">
      <totalsRowFormula>SUM(StateSenatorSenateDistrict56General[Part of Monroe County Vote Results])</totalsRowFormula>
    </tableColumn>
    <tableColumn id="3" xr3:uid="{E19A5967-F85C-4BC1-BD03-B57241EF1D49}" name="Total Votes by Party" totalsRowFunction="custom" dataDxfId="129" totalsRowDxfId="128">
      <calculatedColumnFormula>StateSenatorSenateDistrict56General[[#This Row],[Part of Monroe County Vote Results]]</calculatedColumnFormula>
      <totalsRowFormula>SUM(StateSenatorSenateDistrict56General[Total Votes by Party])</totalsRowFormula>
    </tableColumn>
    <tableColumn id="2" xr3:uid="{259CDBBD-1824-4170-ACE1-FBB88183A8BD}" name="Total Votes by Candidate" dataDxfId="127" totalsRowDxfId="126"/>
  </tableColumns>
  <tableStyleInfo name="TableStyleMedium2" showFirstColumn="0" showLastColumn="0" showRowStripes="0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5F0B96C8-60F5-494A-AD88-D822D73B3AA3}" name="StateSenatorSenateDistrict57General" displayName="StateSenatorSenateDistrict57General" ref="A2:H10" totalsRowCount="1" headerRowDxfId="125" dataDxfId="123" totalsRowDxfId="121" headerRowBorderDxfId="124" tableBorderDxfId="122" totalsRowBorderDxfId="120">
  <autoFilter ref="A2:H9" xr:uid="{32882166-3D13-45FC-9A3B-3C8BE0B4C56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513E72F-1CAD-4F13-9017-1CF90AB0D62A}" name="Candidate Name (Party)" totalsRowLabel="Total Votes by County" dataDxfId="119" totalsRowDxfId="118"/>
    <tableColumn id="2" xr3:uid="{21862EED-F313-4CBB-9C3A-AC038F6E081F}" name="Part of Allegany County Vote Results" totalsRowFunction="custom" dataDxfId="117" totalsRowDxfId="116">
      <totalsRowFormula>SUM(StateSenatorSenateDistrict57General[Part of Allegany County Vote Results])</totalsRowFormula>
    </tableColumn>
    <tableColumn id="6" xr3:uid="{47846C02-ACA8-4C96-8927-29D71AE4EDA0}" name="Cattaraugus County Vote Results" totalsRowFunction="custom" dataDxfId="115" totalsRowDxfId="114">
      <totalsRowFormula>SUM(StateSenatorSenateDistrict57General[Cattaraugus County Vote Results])</totalsRowFormula>
    </tableColumn>
    <tableColumn id="10" xr3:uid="{3833DC9C-C5A6-4EF5-B52B-D286CB95B71A}" name=" Chautauqua County Vote Results" totalsRowFunction="custom" dataDxfId="113" totalsRowDxfId="112">
      <totalsRowFormula>SUM(StateSenatorSenateDistrict57General[[ Chautauqua County Vote Results]])</totalsRowFormula>
    </tableColumn>
    <tableColumn id="7" xr3:uid="{0D539D64-73AC-40A2-85D5-4CF83C7C318B}" name="Genesee County Vote Results" totalsRowFunction="custom" dataDxfId="111" totalsRowDxfId="110">
      <totalsRowFormula>SUM(StateSenatorSenateDistrict57General[Genesee County Vote Results])</totalsRowFormula>
    </tableColumn>
    <tableColumn id="4" xr3:uid="{795B7F67-A44E-4E13-BF20-FC08D4E7715A}" name="Wyoming County Vote Results" totalsRowFunction="custom" dataDxfId="109" totalsRowDxfId="108">
      <totalsRowFormula>SUM(StateSenatorSenateDistrict57General[Wyoming County Vote Results])</totalsRowFormula>
    </tableColumn>
    <tableColumn id="3" xr3:uid="{03AEB0B5-92A7-4AC7-A52E-92B71217C149}" name="Total Votes by Party" totalsRowFunction="custom" dataDxfId="107" totalsRowDxfId="106">
      <calculatedColumnFormula>SUM(StateSenatorSenateDistrict57General[[#This Row],[Part of Allegany County Vote Results]:[Wyoming County Vote Results]])</calculatedColumnFormula>
      <totalsRowFormula>SUM(StateSenatorSenateDistrict57General[Total Votes by Party])</totalsRowFormula>
    </tableColumn>
    <tableColumn id="5" xr3:uid="{ACD29AFA-58F0-46F2-BE42-6358EE037447}" name="Total Votes by Candidate" dataDxfId="105" totalsRowDxfId="104"/>
  </tableColumns>
  <tableStyleInfo name="TableStyleMedium2" showFirstColumn="0" showLastColumn="0" showRowStripes="0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B217C62C-8418-49F9-AF0F-01F2FD20AC05}" name="StateSenatorSenateDistrict58General" displayName="StateSenatorSenateDistrict58General" ref="A2:J10" totalsRowCount="1" headerRowDxfId="103" dataDxfId="101" totalsRowDxfId="99" headerRowBorderDxfId="102" tableBorderDxfId="100" totalsRowBorderDxfId="98">
  <autoFilter ref="A2:J9" xr:uid="{0F2EF0C2-407C-425B-B319-2DE1E78852A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896E7530-1138-4A4C-BA21-F5B3BF90EC75}" name="Candidate Name (Party)" totalsRowLabel="Total Votes by County" dataDxfId="97" totalsRowDxfId="96"/>
    <tableColumn id="2" xr3:uid="{CC3626E7-84C5-41B2-9F26-06AF8FD32A32}" name="Part of Allegany County Vote Results" totalsRowFunction="custom" dataDxfId="95" totalsRowDxfId="94">
      <totalsRowFormula>SUM(StateSenatorSenateDistrict58General[Part of Allegany County Vote Results])</totalsRowFormula>
    </tableColumn>
    <tableColumn id="6" xr3:uid="{2C4F07DC-1A70-4209-B21B-990484D6D4F4}" name="Chemung County Vote Results" totalsRowFunction="custom" dataDxfId="93" totalsRowDxfId="92">
      <totalsRowFormula>SUM(StateSenatorSenateDistrict58General[Chemung County Vote Results])</totalsRowFormula>
    </tableColumn>
    <tableColumn id="10" xr3:uid="{5A5F0BC8-C422-4755-B78B-5335EAF24B22}" name="Schuyler County Vote Results" totalsRowFunction="custom" dataDxfId="91" totalsRowDxfId="90">
      <totalsRowFormula>SUM(StateSenatorSenateDistrict58General[Schuyler County Vote Results])</totalsRowFormula>
    </tableColumn>
    <tableColumn id="9" xr3:uid="{AE3E6326-8899-41BD-88B8-387A1EBC4278}" name="Seneca County Vote Results" totalsRowFunction="custom" dataDxfId="89" totalsRowDxfId="88">
      <totalsRowFormula>SUM(StateSenatorSenateDistrict58General[Seneca County Vote Results])</totalsRowFormula>
    </tableColumn>
    <tableColumn id="8" xr3:uid="{E5614BF1-70E9-4264-8A0B-2BDACBB4B23B}" name="Steuben County Vote Results" totalsRowFunction="custom" dataDxfId="87" totalsRowDxfId="86">
      <totalsRowFormula>SUM(StateSenatorSenateDistrict58General[Steuben County Vote Results])</totalsRowFormula>
    </tableColumn>
    <tableColumn id="3" xr3:uid="{D8D4CD71-ABB5-4729-8D32-307747C948D7}" name="Tioga County Vote Results" totalsRowFunction="custom" dataDxfId="85" totalsRowDxfId="84">
      <totalsRowFormula>SUM(StateSenatorSenateDistrict58General[Tioga County Vote Results])</totalsRowFormula>
    </tableColumn>
    <tableColumn id="4" xr3:uid="{6908A01A-30E5-4114-874B-361652AE2E3C}" name="Yates County Vote Results" totalsRowFunction="custom" dataDxfId="83" totalsRowDxfId="82">
      <totalsRowFormula>SUM(StateSenatorSenateDistrict58General[Yates County Vote Results])</totalsRowFormula>
    </tableColumn>
    <tableColumn id="7" xr3:uid="{521B7142-0FE4-42E0-9398-2BAC015623DB}" name="Total Votes by Party" totalsRowFunction="custom" dataDxfId="81" totalsRowDxfId="80">
      <calculatedColumnFormula>SUM(StateSenatorSenateDistrict58General[[#This Row],[Part of Allegany County Vote Results]:[Yates County Vote Results]])</calculatedColumnFormula>
      <totalsRowFormula>SUM(StateSenatorSenateDistrict58General[Total Votes by Party])</totalsRowFormula>
    </tableColumn>
    <tableColumn id="5" xr3:uid="{6F623C62-CDB1-4F97-AFEB-45A112EFBB7A}" name="Total Votes by Candidate" dataDxfId="79" totalsRowDxfId="78"/>
  </tableColumns>
  <tableStyleInfo name="TableStyleMedium2" showFirstColumn="0" showLastColumn="0" showRowStripes="0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E2C94BCA-9F3E-47DB-BDEE-BA3E23F10C06}" name="StateSenatorSenateDistrict59General" displayName="StateSenatorSenateDistrict59General" ref="A2:F10" totalsRowCount="1" headerRowDxfId="77" dataDxfId="75" totalsRowDxfId="73" headerRowBorderDxfId="76" tableBorderDxfId="74" totalsRowBorderDxfId="72">
  <autoFilter ref="A2:F9" xr:uid="{5A837237-3F93-4C1E-BC67-ACAD0D1021F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2D563676-8E72-4DD4-BCDF-8691E239DFA6}" name="Candidate Name (Party)" totalsRowLabel="Total Votes by County" dataDxfId="71" totalsRowDxfId="70"/>
    <tableColumn id="2" xr3:uid="{E8A9D0C8-D843-41B3-B675-525C80FE69CF}" name="Part of Kings County Vote Results" totalsRowFunction="custom" dataDxfId="69" totalsRowDxfId="68">
      <totalsRowFormula>SUM(StateSenatorSenateDistrict59General[Part of Kings County Vote Results])</totalsRowFormula>
    </tableColumn>
    <tableColumn id="6" xr3:uid="{8F0A107A-8C67-43E5-B34F-2BDB859D94D3}" name="Part of New York County Vote Results" totalsRowFunction="custom" dataDxfId="67" totalsRowDxfId="66">
      <totalsRowFormula>SUM(StateSenatorSenateDistrict59General[Part of New York County Vote Results])</totalsRowFormula>
    </tableColumn>
    <tableColumn id="4" xr3:uid="{7AB59877-DC12-4097-8732-97F00ADFDEFF}" name="Part of Queens County Vote Results" totalsRowFunction="custom" dataDxfId="65" totalsRowDxfId="64">
      <totalsRowFormula>SUM(StateSenatorSenateDistrict59General[Part of Queens County Vote Results])</totalsRowFormula>
    </tableColumn>
    <tableColumn id="3" xr3:uid="{159EEBEE-BC0D-4D0F-A359-C076CD9DD3BC}" name="Total Votes by Party" totalsRowFunction="custom" dataDxfId="63" totalsRowDxfId="62">
      <calculatedColumnFormula>SUM(StateSenatorSenateDistrict59General[[#This Row],[Part of Kings County Vote Results]:[Part of Queens County Vote Results]])</calculatedColumnFormula>
      <totalsRowFormula>SUM(StateSenatorSenateDistrict59General[Total Votes by Party])</totalsRowFormula>
    </tableColumn>
    <tableColumn id="5" xr3:uid="{6E4DB5A0-D3FD-43E6-B6DC-364B66AD1A47}" name="Total Votes by Candidate" dataDxfId="61" totalsRowDxfId="60">
      <calculatedColumnFormula>SUM(E3,E4)</calculatedColumnFormula>
    </tableColumn>
  </tableColumns>
  <tableStyleInfo name="TableStyleMedium2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7E89A74D-4A22-446F-84C9-6BB2783964EC}" name="StateSenatorSenateDistrict6General45" displayName="StateSenatorSenateDistrict6General45" ref="A2:D10" totalsRowCount="1" headerRowDxfId="938" dataDxfId="936" totalsRowDxfId="934" headerRowBorderDxfId="937" tableBorderDxfId="935" totalsRowBorderDxfId="933">
  <autoFilter ref="A2:D9" xr:uid="{0E535243-4216-4E18-AC3D-5955FEAC22E7}">
    <filterColumn colId="0" hiddenButton="1"/>
    <filterColumn colId="1" hiddenButton="1"/>
    <filterColumn colId="2" hiddenButton="1"/>
    <filterColumn colId="3" hiddenButton="1"/>
  </autoFilter>
  <tableColumns count="4">
    <tableColumn id="1" xr3:uid="{C28AE0A0-F1EC-46D6-8B71-9882AD4EDD04}" name="Candidate Name (Party)" totalsRowLabel="Total Votes by County" dataDxfId="932" totalsRowDxfId="931"/>
    <tableColumn id="4" xr3:uid="{08908D80-3A3E-49EA-A608-D3EF4345F4CE}" name="Part of Nassau County Vote Results" totalsRowFunction="custom" dataDxfId="930" totalsRowDxfId="929">
      <totalsRowFormula>SUM(StateSenatorSenateDistrict6General45[Part of Nassau County Vote Results])</totalsRowFormula>
    </tableColumn>
    <tableColumn id="3" xr3:uid="{64FFFE41-4D6F-4B8A-9F40-0FED20793887}" name="Total Votes by Party" totalsRowFunction="custom" dataDxfId="928" totalsRowDxfId="927">
      <calculatedColumnFormula>StateSenatorSenateDistrict6General45[[#This Row],[Part of Nassau County Vote Results]]</calculatedColumnFormula>
      <totalsRowFormula>SUM(StateSenatorSenateDistrict6General45[Total Votes by Party])</totalsRowFormula>
    </tableColumn>
    <tableColumn id="2" xr3:uid="{1697BE14-1FE7-4B16-A9E5-79D46C432982}" name="Total Votes by Candidate" dataDxfId="926" totalsRowDxfId="925"/>
  </tableColumns>
  <tableStyleInfo name="TableStyleMedium2" showFirstColumn="0" showLastColumn="0" showRowStripes="0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7C2F7CC4-7DE6-406A-B344-9B553E933CAD}" name="StateSenatorSenateDistrict60General" displayName="StateSenatorSenateDistrict60General" ref="A2:D10" totalsRowCount="1" headerRowDxfId="59" dataDxfId="57" totalsRowDxfId="55" headerRowBorderDxfId="58" tableBorderDxfId="56" totalsRowBorderDxfId="54">
  <autoFilter ref="A2:D9" xr:uid="{8C82612D-DA72-406A-8B98-AE42A15CF515}">
    <filterColumn colId="0" hiddenButton="1"/>
    <filterColumn colId="1" hiddenButton="1"/>
    <filterColumn colId="2" hiddenButton="1"/>
    <filterColumn colId="3" hiddenButton="1"/>
  </autoFilter>
  <tableColumns count="4">
    <tableColumn id="1" xr3:uid="{3ADC0AFF-7462-468C-B559-653A0225FC44}" name="Candidate Name (Party)" totalsRowLabel="Total Votes by County" dataDxfId="53" totalsRowDxfId="52"/>
    <tableColumn id="4" xr3:uid="{2B5F0E59-C5C3-456E-98F8-700E13EF5845}" name="Part of Erie County Vote Results" totalsRowFunction="custom" dataDxfId="51" totalsRowDxfId="50">
      <totalsRowFormula>SUM(StateSenatorSenateDistrict60General[Part of Erie County Vote Results])</totalsRowFormula>
    </tableColumn>
    <tableColumn id="3" xr3:uid="{08125405-3809-4D82-B338-3B521D58B602}" name="Total Votes by Party" totalsRowFunction="custom" dataDxfId="49" totalsRowDxfId="48">
      <calculatedColumnFormula>StateSenatorSenateDistrict60General[[#This Row],[Part of Erie County Vote Results]]</calculatedColumnFormula>
      <totalsRowFormula>SUM(StateSenatorSenateDistrict60General[Total Votes by Party])</totalsRowFormula>
    </tableColumn>
    <tableColumn id="2" xr3:uid="{A5378744-701E-44A1-9184-F8D2321455E4}" name="Total Votes by Candidate" dataDxfId="47" totalsRowDxfId="46">
      <calculatedColumnFormula>SUM(C3,C4)</calculatedColumnFormula>
    </tableColumn>
  </tableColumns>
  <tableStyleInfo name="TableStyleMedium2" showFirstColumn="0" showLastColumn="0" showRowStripes="0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874477BD-921A-420F-A398-3593E4AED860}" name="StateSenatorSenateDistrict61General" displayName="StateSenatorSenateDistrict61General" ref="A2:D10" totalsRowCount="1" headerRowDxfId="45" dataDxfId="43" totalsRowDxfId="41" headerRowBorderDxfId="44" tableBorderDxfId="42" totalsRowBorderDxfId="40">
  <autoFilter ref="A2:D9" xr:uid="{6B00269E-69EC-4DA7-9D15-C087191207D6}">
    <filterColumn colId="0" hiddenButton="1"/>
    <filterColumn colId="1" hiddenButton="1"/>
    <filterColumn colId="2" hiddenButton="1"/>
    <filterColumn colId="3" hiddenButton="1"/>
  </autoFilter>
  <tableColumns count="4">
    <tableColumn id="1" xr3:uid="{20930882-F2D6-43F8-BA1C-C5E0AD1B3F01}" name="Candidate Name (Party)" totalsRowLabel="Total Votes by County" dataDxfId="39" totalsRowDxfId="38"/>
    <tableColumn id="3" xr3:uid="{D9A483EB-ED8A-4841-8DEC-38E23225B4B9}" name="Part of Erie County Vote Results" totalsRowFunction="custom" dataDxfId="37" totalsRowDxfId="36">
      <totalsRowFormula>SUM(StateSenatorSenateDistrict61General[Part of Erie County Vote Results])</totalsRowFormula>
    </tableColumn>
    <tableColumn id="6" xr3:uid="{A7127AA0-589F-48D1-B9DE-CB2E1E0CDA70}" name="Total Votes by Party" totalsRowFunction="custom" dataDxfId="35" totalsRowDxfId="34">
      <calculatedColumnFormula>StateSenatorSenateDistrict61General[[#This Row],[Part of Erie County Vote Results]]</calculatedColumnFormula>
      <totalsRowFormula>SUM(StateSenatorSenateDistrict61General[Total Votes by Party])</totalsRowFormula>
    </tableColumn>
    <tableColumn id="5" xr3:uid="{F826F438-92A0-428F-AC24-8ED1B5040F78}" name="Total Votes by Candidate" dataDxfId="33" totalsRowDxfId="32"/>
  </tableColumns>
  <tableStyleInfo name="TableStyleMedium2" showFirstColumn="0" showLastColumn="0" showRowStripes="0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9E3B2614-DFCE-47D6-BEFB-7CC24FFBF505}" name="StateSenatorSenateDistrict62General" displayName="StateSenatorSenateDistrict62General" ref="A2:F10" totalsRowCount="1" headerRowDxfId="31" dataDxfId="29" totalsRowDxfId="27" headerRowBorderDxfId="30" tableBorderDxfId="28" totalsRowBorderDxfId="26">
  <autoFilter ref="A2:F9" xr:uid="{625A54BC-7619-41F1-B12B-E5CECB8E46A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48744D90-4A84-4C37-8AD5-8A1BA3C55C21}" name="Candidate Name (Party)" totalsRowLabel="Total Votes by County" dataDxfId="25" totalsRowDxfId="24"/>
    <tableColumn id="2" xr3:uid="{17C3EED4-22C9-452C-9A3F-CFF00D33B50D}" name="Part of Monroe County Vote Results" totalsRowFunction="custom" dataDxfId="23" totalsRowDxfId="22">
      <totalsRowFormula>SUM(StateSenatorSenateDistrict62General[Part of Monroe County Vote Results])</totalsRowFormula>
    </tableColumn>
    <tableColumn id="3" xr3:uid="{5048E2F2-B508-4641-BFAB-AB824ECC6EE0}" name="Niagara County Vote Results" totalsRowFunction="custom" dataDxfId="21" totalsRowDxfId="20">
      <totalsRowFormula>SUM(StateSenatorSenateDistrict62General[Niagara County Vote Results])</totalsRowFormula>
    </tableColumn>
    <tableColumn id="4" xr3:uid="{0CCF227D-FC7C-4B63-997B-FB2007D08BAB}" name="Orleans County Vote Results" totalsRowFunction="custom" dataDxfId="19" totalsRowDxfId="18">
      <totalsRowFormula>SUM(StateSenatorSenateDistrict62General[Orleans County Vote Results])</totalsRowFormula>
    </tableColumn>
    <tableColumn id="6" xr3:uid="{CC2361C0-86FB-4E90-B5D2-220D4600F934}" name="Total Votes by Party" totalsRowFunction="custom" dataDxfId="17" totalsRowDxfId="16">
      <calculatedColumnFormula>SUM(StateSenatorSenateDistrict62General[[#This Row],[Part of Monroe County Vote Results]:[Orleans County Vote Results]])</calculatedColumnFormula>
      <totalsRowFormula>SUM(StateSenatorSenateDistrict62General[Total Votes by Party])</totalsRowFormula>
    </tableColumn>
    <tableColumn id="5" xr3:uid="{5E3CD73A-E0DF-4C5A-83AE-EDE417FABD03}" name="Total Votes by Candidate" dataDxfId="15" totalsRowDxfId="14">
      <calculatedColumnFormula>SUM(E3,E4)</calculatedColumnFormula>
    </tableColumn>
  </tableColumns>
  <tableStyleInfo name="TableStyleMedium2" showFirstColumn="0" showLastColumn="0" showRowStripes="0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EE8C389F-CE23-4128-B240-2313DA9D0FBC}" name="StateSenatorSenateDistrict63General" displayName="StateSenatorSenateDistrict63General" ref="A2:D10" totalsRowCount="1" headerRowDxfId="13" dataDxfId="11" totalsRowDxfId="9" headerRowBorderDxfId="12" tableBorderDxfId="10" totalsRowBorderDxfId="8">
  <autoFilter ref="A2:D9" xr:uid="{F0C7570A-FCF2-4D7A-9847-44E748CDEC87}">
    <filterColumn colId="0" hiddenButton="1"/>
    <filterColumn colId="1" hiddenButton="1"/>
    <filterColumn colId="2" hiddenButton="1"/>
    <filterColumn colId="3" hiddenButton="1"/>
  </autoFilter>
  <tableColumns count="4">
    <tableColumn id="1" xr3:uid="{45D34531-8A3E-4ED3-980C-74B67A823570}" name="Candidate Name (Party)" totalsRowLabel="Total Votes by County" dataDxfId="7" totalsRowDxfId="6"/>
    <tableColumn id="4" xr3:uid="{FF9EE2C1-D64B-463E-8481-A4E000AF27B1}" name="Part of Erie County Vote Results" totalsRowFunction="custom" dataDxfId="5" totalsRowDxfId="4">
      <totalsRowFormula>SUM(StateSenatorSenateDistrict63General[Part of Erie County Vote Results])</totalsRowFormula>
    </tableColumn>
    <tableColumn id="3" xr3:uid="{CD252345-FAD5-412B-AABE-D09E96C1704D}" name="Total Votes by Party" totalsRowFunction="custom" dataDxfId="3" totalsRowDxfId="2">
      <calculatedColumnFormula>StateSenatorSenateDistrict63General[[#This Row],[Part of Erie County Vote Results]]</calculatedColumnFormula>
      <totalsRowFormula>SUM(StateSenatorSenateDistrict63General[Total Votes by Party])</totalsRowFormula>
    </tableColumn>
    <tableColumn id="2" xr3:uid="{C79A2BBD-8E86-4F8C-AF8F-25395F2C75F1}" name="Total Votes by Candidate" dataDxfId="1" totalsRowDxfId="0">
      <calculatedColumnFormula>SUM(C3,C4,C5)</calculatedColumnFormula>
    </tableColumn>
  </tableColumns>
  <tableStyleInfo name="TableStyleMedium2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8DA99093-987F-4D97-877B-DE482BFA36A1}" name="StateSenatorSenateDistrict7General46" displayName="StateSenatorSenateDistrict7General46" ref="A2:D10" totalsRowCount="1" headerRowDxfId="924" dataDxfId="922" totalsRowDxfId="920" headerRowBorderDxfId="923" tableBorderDxfId="921" totalsRowBorderDxfId="919">
  <autoFilter ref="A2:D9" xr:uid="{0468737E-A287-4E35-A99A-23695F38BF57}">
    <filterColumn colId="0" hiddenButton="1"/>
    <filterColumn colId="1" hiddenButton="1"/>
    <filterColumn colId="2" hiddenButton="1"/>
    <filterColumn colId="3" hiddenButton="1"/>
  </autoFilter>
  <tableColumns count="4">
    <tableColumn id="1" xr3:uid="{4ADFC5B1-0595-428A-98D4-5F11DCFB748A}" name="Candidate Name (Party)" totalsRowLabel="Total Votes by County" dataDxfId="918" totalsRowDxfId="917"/>
    <tableColumn id="4" xr3:uid="{C4BC0DC4-BF91-498F-9858-11DB087B8BC2}" name="Part of Nassau County Vote Results" totalsRowFunction="custom" dataDxfId="916" totalsRowDxfId="915">
      <totalsRowFormula>SUM(StateSenatorSenateDistrict7General46[Part of Nassau County Vote Results])</totalsRowFormula>
    </tableColumn>
    <tableColumn id="3" xr3:uid="{EB90F89A-9104-4F26-A1DC-CB5C5E825AE4}" name="Total Votes by Party" totalsRowFunction="custom" dataDxfId="914" totalsRowDxfId="913">
      <calculatedColumnFormula>StateSenatorSenateDistrict7General46[[#This Row],[Part of Nassau County Vote Results]]</calculatedColumnFormula>
      <totalsRowFormula>SUM(StateSenatorSenateDistrict7General46[Total Votes by Party])</totalsRowFormula>
    </tableColumn>
    <tableColumn id="2" xr3:uid="{D31F16CE-A4FF-45C5-A8B1-7A2F504A488D}" name="Total Votes by Candidate" dataDxfId="912" totalsRowDxfId="911"/>
  </tableColumns>
  <tableStyleInfo name="TableStyleMedium2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9DB27201-29FC-41F1-B0F8-D000469C505E}" name="StateSenatorSenateDistrict8General" displayName="StateSenatorSenateDistrict8General" ref="A2:E10" totalsRowCount="1" headerRowDxfId="910" dataDxfId="908" totalsRowDxfId="906" headerRowBorderDxfId="909" tableBorderDxfId="907" totalsRowBorderDxfId="905">
  <autoFilter ref="A2:E9" xr:uid="{1637A7CF-1158-471A-A38D-CD274C172FA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8AB9A5F-239D-4838-9DA2-AB0EC9935B62}" name="Candidate Name (Party)" totalsRowLabel="Total Votes by County" dataDxfId="904" totalsRowDxfId="903"/>
    <tableColumn id="2" xr3:uid="{93552FF3-96B2-4F97-8195-AFF672E889EF}" name="Part of Nassau County Vote Results" totalsRowFunction="custom" dataDxfId="902" totalsRowDxfId="901">
      <totalsRowFormula>SUM(StateSenatorSenateDistrict8General[Part of Nassau County Vote Results])</totalsRowFormula>
    </tableColumn>
    <tableColumn id="4" xr3:uid="{BD4421D9-9260-456A-9F2D-6F8A9CE09440}" name="Part of Suffolk County Vote Results" totalsRowFunction="custom" dataDxfId="900" totalsRowDxfId="899">
      <totalsRowFormula>SUM(StateSenatorSenateDistrict8General[Part of Suffolk County Vote Results])</totalsRowFormula>
    </tableColumn>
    <tableColumn id="3" xr3:uid="{D4C50676-ACA7-4130-B4DF-0BDCE156F7E0}" name="Total Votes by Party" totalsRowFunction="custom" dataDxfId="898" totalsRowDxfId="897">
      <calculatedColumnFormula>SUM(StateSenatorSenateDistrict8General[[#This Row],[Part of Nassau County Vote Results]:[Part of Suffolk County Vote Results]])</calculatedColumnFormula>
      <totalsRowFormula>SUM(StateSenatorSenateDistrict8General[Total Votes by Party])</totalsRowFormula>
    </tableColumn>
    <tableColumn id="5" xr3:uid="{5EAFD5CE-E3C4-45EE-A3AB-A0F184D4FA1E}" name="Total Votes by Candidate" dataDxfId="896" totalsRowDxfId="895">
      <calculatedColumnFormula>SUM(StateSenatorSenateDistrict8General[[#This Row],[Total Votes by Party]],D4,D5)</calculatedColumnFormula>
    </tableColumn>
  </tableColumns>
  <tableStyleInfo name="TableStyleMedium2"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3E3BB37A-A746-40B9-8E98-E9C3E12377B5}" name="StateSenatorSenateDistrict9General" displayName="StateSenatorSenateDistrict9General" ref="A2:D10" totalsRowCount="1" headerRowDxfId="894" dataDxfId="892" totalsRowDxfId="890" headerRowBorderDxfId="893" tableBorderDxfId="891" totalsRowBorderDxfId="889">
  <autoFilter ref="A2:D9" xr:uid="{2C1ADD2C-0BB0-4F59-9862-A474FDE8F8EB}">
    <filterColumn colId="0" hiddenButton="1"/>
    <filterColumn colId="1" hiddenButton="1"/>
    <filterColumn colId="2" hiddenButton="1"/>
    <filterColumn colId="3" hiddenButton="1"/>
  </autoFilter>
  <tableColumns count="4">
    <tableColumn id="1" xr3:uid="{C744232C-2211-4D41-A8C0-B1E2F42C9BF0}" name="Candidate Name (Party)" totalsRowLabel="Total Votes by County" dataDxfId="888" totalsRowDxfId="887"/>
    <tableColumn id="4" xr3:uid="{F0CC9C7B-61BA-4871-907F-E7D0C679E9E6}" name="Part of Nassau County Vote Results" totalsRowFunction="custom" dataDxfId="886" totalsRowDxfId="885">
      <totalsRowFormula>SUM(StateSenatorSenateDistrict9General[Part of Nassau County Vote Results])</totalsRowFormula>
    </tableColumn>
    <tableColumn id="3" xr3:uid="{007803ED-E984-42D5-854A-F83BE860331B}" name="Total Votes by Party" totalsRowFunction="custom" dataDxfId="884" totalsRowDxfId="883">
      <calculatedColumnFormula>StateSenatorSenateDistrict9General[[#This Row],[Part of Nassau County Vote Results]]</calculatedColumnFormula>
      <totalsRowFormula>SUM(StateSenatorSenateDistrict9General[Total Votes by Party])</totalsRowFormula>
    </tableColumn>
    <tableColumn id="2" xr3:uid="{FD84D463-5651-45E7-AA9D-4ABC78F448E3}" name="Total Votes by Candidate" dataDxfId="882" totalsRowDxfId="881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3.xml"/><Relationship Id="rId1" Type="http://schemas.openxmlformats.org/officeDocument/2006/relationships/printerSettings" Target="../printerSettings/printerSettings6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25098-14C5-4262-8FD4-B15A6B1D4F2B}">
  <sheetPr>
    <pageSetUpPr fitToPage="1"/>
  </sheetPr>
  <dimension ref="A1:D10"/>
  <sheetViews>
    <sheetView tabSelected="1" zoomScaleNormal="100" zoomScaleSheetLayoutView="80" workbookViewId="0"/>
  </sheetViews>
  <sheetFormatPr defaultRowHeight="12.75" x14ac:dyDescent="0.2"/>
  <cols>
    <col min="1" max="1" width="25.28515625" style="1" customWidth="1"/>
    <col min="2" max="4" width="20.5703125" customWidth="1"/>
    <col min="5" max="6" width="23.5703125" customWidth="1"/>
  </cols>
  <sheetData>
    <row r="1" spans="1:4" ht="24.95" customHeight="1" x14ac:dyDescent="0.2">
      <c r="A1" s="32" t="s">
        <v>74</v>
      </c>
    </row>
    <row r="2" spans="1:4" ht="24.95" customHeight="1" x14ac:dyDescent="0.2">
      <c r="A2" s="33" t="s">
        <v>8</v>
      </c>
      <c r="B2" s="38" t="s">
        <v>29</v>
      </c>
      <c r="C2" s="8" t="s">
        <v>3</v>
      </c>
      <c r="D2" s="7" t="s">
        <v>4</v>
      </c>
    </row>
    <row r="3" spans="1:4" ht="25.5" x14ac:dyDescent="0.2">
      <c r="A3" s="29" t="s">
        <v>69</v>
      </c>
      <c r="B3" s="4">
        <v>58856</v>
      </c>
      <c r="C3" s="3">
        <f>StateSenatorSenateDistrict1General40[[#This Row],[Part of Suffolk County Vote Results]]</f>
        <v>58856</v>
      </c>
      <c r="D3" s="6">
        <f>SUM(C3,C6)</f>
        <v>62010</v>
      </c>
    </row>
    <row r="4" spans="1:4" ht="25.5" x14ac:dyDescent="0.2">
      <c r="A4" s="29" t="s">
        <v>70</v>
      </c>
      <c r="B4" s="4">
        <v>63408</v>
      </c>
      <c r="C4" s="3">
        <f>StateSenatorSenateDistrict1General40[[#This Row],[Part of Suffolk County Vote Results]]</f>
        <v>63408</v>
      </c>
      <c r="D4" s="6">
        <f>SUM(C4,C5)</f>
        <v>72509</v>
      </c>
    </row>
    <row r="5" spans="1:4" ht="25.5" x14ac:dyDescent="0.2">
      <c r="A5" s="29" t="s">
        <v>71</v>
      </c>
      <c r="B5" s="4">
        <v>9101</v>
      </c>
      <c r="C5" s="3">
        <f>StateSenatorSenateDistrict1General40[[#This Row],[Part of Suffolk County Vote Results]]</f>
        <v>9101</v>
      </c>
      <c r="D5" s="2"/>
    </row>
    <row r="6" spans="1:4" ht="25.5" x14ac:dyDescent="0.2">
      <c r="A6" s="29" t="s">
        <v>72</v>
      </c>
      <c r="B6" s="4">
        <v>3154</v>
      </c>
      <c r="C6" s="3">
        <f>StateSenatorSenateDistrict1General40[[#This Row],[Part of Suffolk County Vote Results]]</f>
        <v>3154</v>
      </c>
      <c r="D6" s="2"/>
    </row>
    <row r="7" spans="1:4" x14ac:dyDescent="0.2">
      <c r="A7" s="30" t="s">
        <v>0</v>
      </c>
      <c r="B7" s="4">
        <v>560</v>
      </c>
      <c r="C7" s="3">
        <f>StateSenatorSenateDistrict1General40[[#This Row],[Part of Suffolk County Vote Results]]</f>
        <v>560</v>
      </c>
      <c r="D7" s="2"/>
    </row>
    <row r="8" spans="1:4" x14ac:dyDescent="0.2">
      <c r="A8" s="30" t="s">
        <v>1</v>
      </c>
      <c r="B8" s="4">
        <v>59</v>
      </c>
      <c r="C8" s="3">
        <f>StateSenatorSenateDistrict1General40[[#This Row],[Part of Suffolk County Vote Results]]</f>
        <v>59</v>
      </c>
      <c r="D8" s="2"/>
    </row>
    <row r="9" spans="1:4" x14ac:dyDescent="0.2">
      <c r="A9" s="30" t="s">
        <v>5</v>
      </c>
      <c r="B9" s="4">
        <v>95</v>
      </c>
      <c r="C9" s="3">
        <f>StateSenatorSenateDistrict1General40[[#This Row],[Part of Suffolk County Vote Results]]</f>
        <v>95</v>
      </c>
      <c r="D9" s="2"/>
    </row>
    <row r="10" spans="1:4" x14ac:dyDescent="0.2">
      <c r="A10" s="31" t="s">
        <v>2</v>
      </c>
      <c r="B10" s="4">
        <f>SUM(StateSenatorSenateDistrict1General40[Part of Suffolk County Vote Results])</f>
        <v>135233</v>
      </c>
      <c r="C10" s="3">
        <f>SUM(StateSenatorSenateDistrict1General40[Total Votes by Party])</f>
        <v>135233</v>
      </c>
      <c r="D10" s="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rowBreaks count="13" manualBreakCount="13">
    <brk id="42" max="16383" man="1"/>
    <brk id="89" max="16383" man="1"/>
    <brk id="143" max="16383" man="1"/>
    <brk id="197" max="16383" man="1"/>
    <brk id="246" max="16383" man="1"/>
    <brk id="293" max="16383" man="1"/>
    <brk id="342" max="16383" man="1"/>
    <brk id="388" max="16383" man="1"/>
    <brk id="440" max="16383" man="1"/>
    <brk id="493" max="16383" man="1"/>
    <brk id="547" max="16383" man="1"/>
    <brk id="595" max="16383" man="1"/>
    <brk id="631" max="16383" man="1"/>
  </rowBreaks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8090F-5D9F-4EA0-96DD-CC6F17661A4F}">
  <sheetPr>
    <pageSetUpPr fitToPage="1"/>
  </sheetPr>
  <dimension ref="A1:D10"/>
  <sheetViews>
    <sheetView workbookViewId="0">
      <selection activeCell="G38" sqref="G3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s="43" customFormat="1" ht="24.95" customHeight="1" x14ac:dyDescent="0.2">
      <c r="A1" s="42" t="s">
        <v>83</v>
      </c>
    </row>
    <row r="2" spans="1:4" ht="24.95" customHeight="1" x14ac:dyDescent="0.2">
      <c r="A2" s="9" t="s">
        <v>8</v>
      </c>
      <c r="B2" s="38" t="s">
        <v>31</v>
      </c>
      <c r="C2" s="8" t="s">
        <v>3</v>
      </c>
      <c r="D2" s="7" t="s">
        <v>4</v>
      </c>
    </row>
    <row r="3" spans="1:4" ht="25.5" x14ac:dyDescent="0.2">
      <c r="A3" s="29" t="s">
        <v>69</v>
      </c>
      <c r="B3" s="15">
        <v>40337</v>
      </c>
      <c r="C3" s="3">
        <f>StateSenatorSenateDistrict10General[[#This Row],[Part of Queens County Vote Results]]</f>
        <v>40337</v>
      </c>
      <c r="D3" s="6">
        <f t="shared" ref="D3:D4" si="0">SUM(C3,C4)</f>
        <v>57916</v>
      </c>
    </row>
    <row r="4" spans="1:4" ht="25.5" x14ac:dyDescent="0.2">
      <c r="A4" s="29" t="s">
        <v>70</v>
      </c>
      <c r="B4" s="11">
        <v>17579</v>
      </c>
      <c r="C4" s="3">
        <f>StateSenatorSenateDistrict10General[[#This Row],[Part of Queens County Vote Results]]</f>
        <v>17579</v>
      </c>
      <c r="D4" s="6">
        <f t="shared" si="0"/>
        <v>19262</v>
      </c>
    </row>
    <row r="5" spans="1:4" ht="25.5" x14ac:dyDescent="0.2">
      <c r="A5" s="29" t="s">
        <v>71</v>
      </c>
      <c r="B5" s="11">
        <v>1683</v>
      </c>
      <c r="C5" s="3">
        <f>StateSenatorSenateDistrict10General[[#This Row],[Part of Queens County Vote Results]]</f>
        <v>1683</v>
      </c>
      <c r="D5" s="2"/>
    </row>
    <row r="6" spans="1:4" ht="25.5" x14ac:dyDescent="0.2">
      <c r="A6" s="29" t="s">
        <v>72</v>
      </c>
      <c r="B6" s="11">
        <v>1573</v>
      </c>
      <c r="C6" s="3">
        <f>StateSenatorSenateDistrict10General[[#This Row],[Part of Queens County Vote Results]]</f>
        <v>1573</v>
      </c>
      <c r="D6" s="2"/>
    </row>
    <row r="7" spans="1:4" x14ac:dyDescent="0.2">
      <c r="A7" s="30" t="s">
        <v>0</v>
      </c>
      <c r="B7" s="26">
        <v>395</v>
      </c>
      <c r="C7" s="13">
        <f>StateSenatorSenateDistrict10General[[#This Row],[Part of Queens County Vote Results]]</f>
        <v>395</v>
      </c>
      <c r="D7" s="2"/>
    </row>
    <row r="8" spans="1:4" x14ac:dyDescent="0.2">
      <c r="A8" s="30" t="s">
        <v>1</v>
      </c>
      <c r="B8" s="26"/>
      <c r="C8" s="13">
        <f>StateSenatorSenateDistrict10General[[#This Row],[Part of Queens County Vote Results]]</f>
        <v>0</v>
      </c>
      <c r="D8" s="2"/>
    </row>
    <row r="9" spans="1:4" x14ac:dyDescent="0.2">
      <c r="A9" s="30" t="s">
        <v>5</v>
      </c>
      <c r="B9" s="26">
        <v>69</v>
      </c>
      <c r="C9" s="13">
        <f>StateSenatorSenateDistrict10General[[#This Row],[Part of Queens County Vote Results]]</f>
        <v>69</v>
      </c>
      <c r="D9" s="2"/>
    </row>
    <row r="10" spans="1:4" x14ac:dyDescent="0.2">
      <c r="A10" s="5" t="s">
        <v>2</v>
      </c>
      <c r="B10" s="11">
        <f>SUM(StateSenatorSenateDistrict10General[Part of Queens County Vote Results])</f>
        <v>61636</v>
      </c>
      <c r="C10" s="3">
        <f>SUM(StateSenatorSenateDistrict10General[Total Votes by Party])</f>
        <v>61636</v>
      </c>
      <c r="D10" s="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C276C-0FA8-478E-867F-B6BF9F36D481}">
  <sheetPr>
    <pageSetUpPr fitToPage="1"/>
  </sheetPr>
  <dimension ref="A1:E35"/>
  <sheetViews>
    <sheetView workbookViewId="0"/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95" customHeight="1" x14ac:dyDescent="0.2">
      <c r="A1" s="42" t="s">
        <v>84</v>
      </c>
      <c r="B1" s="10"/>
    </row>
    <row r="2" spans="1:5" ht="24.95" customHeight="1" x14ac:dyDescent="0.2">
      <c r="A2" s="9" t="s">
        <v>8</v>
      </c>
      <c r="B2" s="39" t="s">
        <v>34</v>
      </c>
      <c r="C2" s="38" t="s">
        <v>31</v>
      </c>
      <c r="D2" s="8" t="s">
        <v>3</v>
      </c>
      <c r="E2" s="7" t="s">
        <v>4</v>
      </c>
    </row>
    <row r="3" spans="1:5" ht="25.5" x14ac:dyDescent="0.2">
      <c r="A3" s="29" t="s">
        <v>69</v>
      </c>
      <c r="B3" s="19">
        <v>0</v>
      </c>
      <c r="C3" s="15">
        <v>36079</v>
      </c>
      <c r="D3" s="3">
        <f>SUM(StateSenatorSenateDistrict11General[[#This Row],[Part of Bronx County Vote Results]:[Part of Queens County Vote Results]])</f>
        <v>36079</v>
      </c>
      <c r="E3" s="6">
        <f>SUM(D3,D6)</f>
        <v>38331</v>
      </c>
    </row>
    <row r="4" spans="1:5" ht="25.5" x14ac:dyDescent="0.2">
      <c r="A4" s="29" t="s">
        <v>70</v>
      </c>
      <c r="B4" s="18">
        <v>0</v>
      </c>
      <c r="C4" s="15">
        <v>29120</v>
      </c>
      <c r="D4" s="3">
        <f>SUM(StateSenatorSenateDistrict11General[[#This Row],[Part of Bronx County Vote Results]:[Part of Queens County Vote Results]])</f>
        <v>29120</v>
      </c>
      <c r="E4" s="6">
        <f>SUM(D4,D5)</f>
        <v>31480</v>
      </c>
    </row>
    <row r="5" spans="1:5" ht="25.5" x14ac:dyDescent="0.2">
      <c r="A5" s="29" t="s">
        <v>71</v>
      </c>
      <c r="B5" s="18">
        <v>0</v>
      </c>
      <c r="C5" s="15">
        <v>2360</v>
      </c>
      <c r="D5" s="3">
        <f>SUM(StateSenatorSenateDistrict11General[[#This Row],[Part of Bronx County Vote Results]:[Part of Queens County Vote Results]])</f>
        <v>2360</v>
      </c>
      <c r="E5" s="2"/>
    </row>
    <row r="6" spans="1:5" ht="25.5" x14ac:dyDescent="0.2">
      <c r="A6" s="29" t="s">
        <v>72</v>
      </c>
      <c r="B6" s="18">
        <v>0</v>
      </c>
      <c r="C6" s="15">
        <v>2252</v>
      </c>
      <c r="D6" s="3">
        <f>SUM(StateSenatorSenateDistrict11General[[#This Row],[Part of Bronx County Vote Results]:[Part of Queens County Vote Results]])</f>
        <v>2252</v>
      </c>
      <c r="E6" s="2"/>
    </row>
    <row r="7" spans="1:5" x14ac:dyDescent="0.2">
      <c r="A7" s="30" t="s">
        <v>0</v>
      </c>
      <c r="B7" s="16">
        <v>0</v>
      </c>
      <c r="C7" s="11">
        <v>425</v>
      </c>
      <c r="D7" s="3">
        <f>SUM(StateSenatorSenateDistrict11General[[#This Row],[Part of Bronx County Vote Results]:[Part of Queens County Vote Results]])</f>
        <v>425</v>
      </c>
      <c r="E7" s="2"/>
    </row>
    <row r="8" spans="1:5" x14ac:dyDescent="0.2">
      <c r="A8" s="30" t="s">
        <v>1</v>
      </c>
      <c r="B8" s="16">
        <v>0</v>
      </c>
      <c r="C8" s="11"/>
      <c r="D8" s="3">
        <f>SUM(StateSenatorSenateDistrict11General[[#This Row],[Part of Bronx County Vote Results]:[Part of Queens County Vote Results]])</f>
        <v>0</v>
      </c>
      <c r="E8" s="2"/>
    </row>
    <row r="9" spans="1:5" x14ac:dyDescent="0.2">
      <c r="A9" s="30" t="s">
        <v>5</v>
      </c>
      <c r="B9" s="16">
        <v>0</v>
      </c>
      <c r="C9" s="11">
        <v>92</v>
      </c>
      <c r="D9" s="3">
        <f>SUM(StateSenatorSenateDistrict11General[[#This Row],[Part of Bronx County Vote Results]:[Part of Queens County Vote Results]])</f>
        <v>92</v>
      </c>
      <c r="E9" s="2"/>
    </row>
    <row r="10" spans="1:5" x14ac:dyDescent="0.2">
      <c r="A10" s="31" t="s">
        <v>2</v>
      </c>
      <c r="B10" s="11">
        <f>SUM(StateSenatorSenateDistrict11General[Part of Bronx County Vote Results])</f>
        <v>0</v>
      </c>
      <c r="C10" s="11">
        <f>SUM(StateSenatorSenateDistrict11General[Part of Queens County Vote Results])</f>
        <v>70328</v>
      </c>
      <c r="D10" s="3">
        <f>SUM(StateSenatorSenateDistrict11General[Total Votes by Party])</f>
        <v>70328</v>
      </c>
      <c r="E10" s="2"/>
    </row>
    <row r="35" spans="4:4" x14ac:dyDescent="0.2">
      <c r="D35" s="43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FCF6A-1585-446C-92DD-5A97EDD7D99C}">
  <sheetPr>
    <pageSetUpPr fitToPage="1"/>
  </sheetPr>
  <dimension ref="A1:D10"/>
  <sheetViews>
    <sheetView workbookViewId="0"/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42" t="s">
        <v>85</v>
      </c>
    </row>
    <row r="2" spans="1:4" ht="24.95" customHeight="1" x14ac:dyDescent="0.2">
      <c r="A2" s="9" t="s">
        <v>8</v>
      </c>
      <c r="B2" s="38" t="s">
        <v>31</v>
      </c>
      <c r="C2" s="8" t="s">
        <v>3</v>
      </c>
      <c r="D2" s="7" t="s">
        <v>4</v>
      </c>
    </row>
    <row r="3" spans="1:4" ht="25.5" x14ac:dyDescent="0.2">
      <c r="A3" s="29" t="s">
        <v>69</v>
      </c>
      <c r="B3" s="15">
        <v>29628</v>
      </c>
      <c r="C3" s="3">
        <f t="shared" ref="C3:C7" si="0">SUM(B3)</f>
        <v>29628</v>
      </c>
      <c r="D3" s="6">
        <f>SUM(C3,C6)</f>
        <v>35969</v>
      </c>
    </row>
    <row r="4" spans="1:4" ht="25.5" x14ac:dyDescent="0.2">
      <c r="A4" s="29" t="s">
        <v>70</v>
      </c>
      <c r="B4" s="15">
        <v>19105</v>
      </c>
      <c r="C4" s="3">
        <f t="shared" si="0"/>
        <v>19105</v>
      </c>
      <c r="D4" s="6">
        <f t="shared" ref="D4" si="1">SUM(C4,C5)</f>
        <v>20660</v>
      </c>
    </row>
    <row r="5" spans="1:4" ht="25.5" x14ac:dyDescent="0.2">
      <c r="A5" s="29" t="s">
        <v>71</v>
      </c>
      <c r="B5" s="11">
        <v>1555</v>
      </c>
      <c r="C5" s="3">
        <f t="shared" si="0"/>
        <v>1555</v>
      </c>
      <c r="D5" s="2"/>
    </row>
    <row r="6" spans="1:4" ht="25.5" x14ac:dyDescent="0.2">
      <c r="A6" s="29" t="s">
        <v>72</v>
      </c>
      <c r="B6" s="11">
        <v>6341</v>
      </c>
      <c r="C6" s="3">
        <f t="shared" si="0"/>
        <v>6341</v>
      </c>
      <c r="D6" s="2"/>
    </row>
    <row r="7" spans="1:4" x14ac:dyDescent="0.2">
      <c r="A7" s="30" t="s">
        <v>0</v>
      </c>
      <c r="B7" s="11">
        <v>374</v>
      </c>
      <c r="C7" s="3">
        <f t="shared" si="0"/>
        <v>374</v>
      </c>
      <c r="D7" s="2"/>
    </row>
    <row r="8" spans="1:4" x14ac:dyDescent="0.2">
      <c r="A8" s="30" t="s">
        <v>1</v>
      </c>
      <c r="B8" s="26"/>
      <c r="C8" s="13">
        <f t="shared" ref="C8:C9" si="2">SUM(B8)</f>
        <v>0</v>
      </c>
      <c r="D8" s="2"/>
    </row>
    <row r="9" spans="1:4" x14ac:dyDescent="0.2">
      <c r="A9" s="30" t="s">
        <v>5</v>
      </c>
      <c r="B9" s="26">
        <v>113</v>
      </c>
      <c r="C9" s="13">
        <f t="shared" si="2"/>
        <v>113</v>
      </c>
      <c r="D9" s="2"/>
    </row>
    <row r="10" spans="1:4" x14ac:dyDescent="0.2">
      <c r="A10" s="5" t="s">
        <v>2</v>
      </c>
      <c r="B10" s="11">
        <f>SUM(StateSenatorSenateDistrict12General[Part of Queens County Vote Results])</f>
        <v>57116</v>
      </c>
      <c r="C10" s="3">
        <f>SUM(StateSenatorSenateDistrict12General[Total Votes by Party])</f>
        <v>57116</v>
      </c>
      <c r="D10" s="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6E829-BCED-43EF-AB8E-81C0F19A11B2}">
  <sheetPr>
    <pageSetUpPr fitToPage="1"/>
  </sheetPr>
  <dimension ref="A1:D10"/>
  <sheetViews>
    <sheetView workbookViewId="0"/>
  </sheetViews>
  <sheetFormatPr defaultRowHeight="12.75" x14ac:dyDescent="0.2"/>
  <cols>
    <col min="1" max="1" width="25.5703125" style="1" customWidth="1"/>
    <col min="2" max="4" width="20.5703125" customWidth="1"/>
    <col min="5" max="6" width="23.5703125" customWidth="1"/>
  </cols>
  <sheetData>
    <row r="1" spans="1:4" ht="24.95" customHeight="1" x14ac:dyDescent="0.2">
      <c r="A1" s="32" t="s">
        <v>86</v>
      </c>
    </row>
    <row r="2" spans="1:4" ht="24.95" customHeight="1" x14ac:dyDescent="0.2">
      <c r="A2" s="33" t="s">
        <v>8</v>
      </c>
      <c r="B2" s="38" t="s">
        <v>31</v>
      </c>
      <c r="C2" s="8" t="s">
        <v>3</v>
      </c>
      <c r="D2" s="7" t="s">
        <v>4</v>
      </c>
    </row>
    <row r="3" spans="1:4" ht="25.5" x14ac:dyDescent="0.2">
      <c r="A3" s="29" t="s">
        <v>69</v>
      </c>
      <c r="B3" s="15">
        <v>22389</v>
      </c>
      <c r="C3" s="3">
        <f>StateSenatorSenateDistrict13General[[#This Row],[Part of Queens County Vote Results]]</f>
        <v>22389</v>
      </c>
      <c r="D3" s="6">
        <f>SUM(C3,C6)</f>
        <v>25115</v>
      </c>
    </row>
    <row r="4" spans="1:4" ht="25.5" x14ac:dyDescent="0.2">
      <c r="A4" s="29" t="s">
        <v>70</v>
      </c>
      <c r="B4" s="11">
        <v>10940</v>
      </c>
      <c r="C4" s="3">
        <f>StateSenatorSenateDistrict13General[[#This Row],[Part of Queens County Vote Results]]</f>
        <v>10940</v>
      </c>
      <c r="D4" s="6">
        <f t="shared" ref="D4" si="0">SUM(C4,C5)</f>
        <v>11627</v>
      </c>
    </row>
    <row r="5" spans="1:4" ht="25.5" x14ac:dyDescent="0.2">
      <c r="A5" s="29" t="s">
        <v>71</v>
      </c>
      <c r="B5" s="11">
        <v>687</v>
      </c>
      <c r="C5" s="3">
        <f>StateSenatorSenateDistrict13General[[#This Row],[Part of Queens County Vote Results]]</f>
        <v>687</v>
      </c>
      <c r="D5" s="2"/>
    </row>
    <row r="6" spans="1:4" ht="25.5" x14ac:dyDescent="0.2">
      <c r="A6" s="29" t="s">
        <v>72</v>
      </c>
      <c r="B6" s="11">
        <v>2726</v>
      </c>
      <c r="C6" s="3">
        <f>StateSenatorSenateDistrict13General[[#This Row],[Part of Queens County Vote Results]]</f>
        <v>2726</v>
      </c>
      <c r="D6" s="2"/>
    </row>
    <row r="7" spans="1:4" x14ac:dyDescent="0.2">
      <c r="A7" s="30" t="s">
        <v>0</v>
      </c>
      <c r="B7" s="26">
        <v>342</v>
      </c>
      <c r="C7" s="13">
        <f>StateSenatorSenateDistrict13General[[#This Row],[Part of Queens County Vote Results]]</f>
        <v>342</v>
      </c>
      <c r="D7" s="2"/>
    </row>
    <row r="8" spans="1:4" x14ac:dyDescent="0.2">
      <c r="A8" s="30" t="s">
        <v>1</v>
      </c>
      <c r="B8" s="26"/>
      <c r="C8" s="13">
        <f>StateSenatorSenateDistrict13General[[#This Row],[Part of Queens County Vote Results]]</f>
        <v>0</v>
      </c>
      <c r="D8" s="2"/>
    </row>
    <row r="9" spans="1:4" x14ac:dyDescent="0.2">
      <c r="A9" s="30" t="s">
        <v>5</v>
      </c>
      <c r="B9" s="26">
        <v>60</v>
      </c>
      <c r="C9" s="13">
        <f>StateSenatorSenateDistrict13General[[#This Row],[Part of Queens County Vote Results]]</f>
        <v>60</v>
      </c>
      <c r="D9" s="2"/>
    </row>
    <row r="10" spans="1:4" x14ac:dyDescent="0.2">
      <c r="A10" s="31" t="s">
        <v>2</v>
      </c>
      <c r="B10" s="11">
        <f>SUM(StateSenatorSenateDistrict13General[Part of Queens County Vote Results])</f>
        <v>37144</v>
      </c>
      <c r="C10" s="3">
        <f>SUM(StateSenatorSenateDistrict13General[Total Votes by Party])</f>
        <v>37144</v>
      </c>
      <c r="D10" s="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4782E-C3C0-44DA-B2A8-82B6F77954B9}">
  <sheetPr>
    <pageSetUpPr fitToPage="1"/>
  </sheetPr>
  <dimension ref="A1:D10"/>
  <sheetViews>
    <sheetView workbookViewId="0"/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42" t="s">
        <v>87</v>
      </c>
    </row>
    <row r="2" spans="1:4" ht="24.95" customHeight="1" x14ac:dyDescent="0.2">
      <c r="A2" s="9" t="s">
        <v>8</v>
      </c>
      <c r="B2" s="38" t="s">
        <v>31</v>
      </c>
      <c r="C2" s="8" t="s">
        <v>3</v>
      </c>
      <c r="D2" s="7" t="s">
        <v>4</v>
      </c>
    </row>
    <row r="3" spans="1:4" ht="25.5" x14ac:dyDescent="0.2">
      <c r="A3" s="29" t="s">
        <v>69</v>
      </c>
      <c r="B3" s="15">
        <v>52062</v>
      </c>
      <c r="C3" s="3">
        <f>StateSenatorSenateDistrict14General[[#This Row],[Part of Queens County Vote Results]]</f>
        <v>52062</v>
      </c>
      <c r="D3" s="6">
        <f>SUM(C3,C6)</f>
        <v>54755</v>
      </c>
    </row>
    <row r="4" spans="1:4" ht="25.5" x14ac:dyDescent="0.2">
      <c r="A4" s="29" t="s">
        <v>70</v>
      </c>
      <c r="B4" s="11">
        <v>13791</v>
      </c>
      <c r="C4" s="3">
        <f>StateSenatorSenateDistrict14General[[#This Row],[Part of Queens County Vote Results]]</f>
        <v>13791</v>
      </c>
      <c r="D4" s="6">
        <f>SUM(C4,C5)</f>
        <v>14895</v>
      </c>
    </row>
    <row r="5" spans="1:4" ht="25.5" x14ac:dyDescent="0.2">
      <c r="A5" s="29" t="s">
        <v>71</v>
      </c>
      <c r="B5" s="11">
        <v>1104</v>
      </c>
      <c r="C5" s="3">
        <f>StateSenatorSenateDistrict14General[[#This Row],[Part of Queens County Vote Results]]</f>
        <v>1104</v>
      </c>
      <c r="D5" s="2"/>
    </row>
    <row r="6" spans="1:4" ht="25.5" x14ac:dyDescent="0.2">
      <c r="A6" s="29" t="s">
        <v>72</v>
      </c>
      <c r="B6" s="11">
        <v>2693</v>
      </c>
      <c r="C6" s="3">
        <f>StateSenatorSenateDistrict14General[[#This Row],[Part of Queens County Vote Results]]</f>
        <v>2693</v>
      </c>
      <c r="D6" s="2"/>
    </row>
    <row r="7" spans="1:4" x14ac:dyDescent="0.2">
      <c r="A7" s="30" t="s">
        <v>0</v>
      </c>
      <c r="B7" s="26">
        <v>406</v>
      </c>
      <c r="C7" s="13">
        <f>StateSenatorSenateDistrict14General[[#This Row],[Part of Queens County Vote Results]]</f>
        <v>406</v>
      </c>
      <c r="D7" s="2"/>
    </row>
    <row r="8" spans="1:4" x14ac:dyDescent="0.2">
      <c r="A8" s="30" t="s">
        <v>1</v>
      </c>
      <c r="B8" s="26"/>
      <c r="C8" s="13">
        <f>StateSenatorSenateDistrict14General[[#This Row],[Part of Queens County Vote Results]]</f>
        <v>0</v>
      </c>
      <c r="D8" s="2"/>
    </row>
    <row r="9" spans="1:4" x14ac:dyDescent="0.2">
      <c r="A9" s="30" t="s">
        <v>5</v>
      </c>
      <c r="B9" s="26">
        <v>121</v>
      </c>
      <c r="C9" s="13">
        <f>StateSenatorSenateDistrict14General[[#This Row],[Part of Queens County Vote Results]]</f>
        <v>121</v>
      </c>
      <c r="D9" s="2"/>
    </row>
    <row r="10" spans="1:4" x14ac:dyDescent="0.2">
      <c r="A10" s="5" t="s">
        <v>2</v>
      </c>
      <c r="B10" s="11">
        <f>SUM(StateSenatorSenateDistrict14General[Part of Queens County Vote Results])</f>
        <v>70177</v>
      </c>
      <c r="C10" s="3">
        <f>SUM(StateSenatorSenateDistrict14General[Total Votes by Party])</f>
        <v>70177</v>
      </c>
      <c r="D10" s="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EA35D-DB50-42D5-B75E-4E3742A0EE11}">
  <sheetPr>
    <pageSetUpPr fitToPage="1"/>
  </sheetPr>
  <dimension ref="A1:E10"/>
  <sheetViews>
    <sheetView workbookViewId="0"/>
  </sheetViews>
  <sheetFormatPr defaultRowHeight="12.75" x14ac:dyDescent="0.2"/>
  <cols>
    <col min="1" max="1" width="27.140625" customWidth="1"/>
    <col min="2" max="4" width="20.5703125" customWidth="1"/>
    <col min="5" max="6" width="23.5703125" customWidth="1"/>
  </cols>
  <sheetData>
    <row r="1" spans="1:5" ht="24.95" customHeight="1" x14ac:dyDescent="0.2">
      <c r="A1" s="42" t="s">
        <v>88</v>
      </c>
    </row>
    <row r="2" spans="1:5" ht="24.95" customHeight="1" x14ac:dyDescent="0.2">
      <c r="A2" s="9" t="s">
        <v>8</v>
      </c>
      <c r="B2" s="39" t="s">
        <v>32</v>
      </c>
      <c r="C2" s="38" t="s">
        <v>31</v>
      </c>
      <c r="D2" s="8" t="s">
        <v>3</v>
      </c>
      <c r="E2" s="7" t="s">
        <v>4</v>
      </c>
    </row>
    <row r="3" spans="1:5" ht="25.5" x14ac:dyDescent="0.2">
      <c r="A3" s="29" t="s">
        <v>69</v>
      </c>
      <c r="B3" s="40">
        <v>13</v>
      </c>
      <c r="C3" s="15">
        <v>25482</v>
      </c>
      <c r="D3" s="3">
        <f>SUM(B3:C3)</f>
        <v>25495</v>
      </c>
      <c r="E3" s="6">
        <f>SUM(D3,D6)</f>
        <v>27583</v>
      </c>
    </row>
    <row r="4" spans="1:5" x14ac:dyDescent="0.2">
      <c r="A4" s="29" t="s">
        <v>70</v>
      </c>
      <c r="B4" s="40">
        <v>0</v>
      </c>
      <c r="C4" s="15">
        <v>25025</v>
      </c>
      <c r="D4" s="3">
        <f t="shared" ref="D4:D9" si="0">SUM(B4:C4)</f>
        <v>25025</v>
      </c>
      <c r="E4" s="6">
        <f>SUM(D4,D5,D7,D8)</f>
        <v>27262</v>
      </c>
    </row>
    <row r="5" spans="1:5" x14ac:dyDescent="0.2">
      <c r="A5" s="29" t="s">
        <v>71</v>
      </c>
      <c r="B5" s="40">
        <v>0</v>
      </c>
      <c r="C5" s="20">
        <v>1920</v>
      </c>
      <c r="D5" s="3">
        <f t="shared" si="0"/>
        <v>1920</v>
      </c>
      <c r="E5" s="2"/>
    </row>
    <row r="6" spans="1:5" ht="25.5" x14ac:dyDescent="0.2">
      <c r="A6" s="29" t="s">
        <v>72</v>
      </c>
      <c r="B6" s="40">
        <v>0</v>
      </c>
      <c r="C6" s="20">
        <v>2088</v>
      </c>
      <c r="D6" s="3">
        <f t="shared" si="0"/>
        <v>2088</v>
      </c>
      <c r="E6" s="2"/>
    </row>
    <row r="7" spans="1:5" x14ac:dyDescent="0.2">
      <c r="A7" s="30" t="s">
        <v>0</v>
      </c>
      <c r="B7" s="41">
        <v>0</v>
      </c>
      <c r="C7" s="15">
        <v>317</v>
      </c>
      <c r="D7" s="3">
        <f t="shared" si="0"/>
        <v>317</v>
      </c>
      <c r="E7" s="2"/>
    </row>
    <row r="8" spans="1:5" x14ac:dyDescent="0.2">
      <c r="A8" s="30" t="s">
        <v>1</v>
      </c>
      <c r="B8" s="41"/>
      <c r="C8" s="15"/>
      <c r="D8" s="3">
        <f t="shared" si="0"/>
        <v>0</v>
      </c>
      <c r="E8" s="2"/>
    </row>
    <row r="9" spans="1:5" x14ac:dyDescent="0.2">
      <c r="A9" s="30" t="s">
        <v>5</v>
      </c>
      <c r="B9" s="41">
        <v>0</v>
      </c>
      <c r="C9" s="11">
        <v>103</v>
      </c>
      <c r="D9" s="3">
        <f t="shared" si="0"/>
        <v>103</v>
      </c>
      <c r="E9" s="2"/>
    </row>
    <row r="10" spans="1:5" x14ac:dyDescent="0.2">
      <c r="A10" s="31" t="s">
        <v>2</v>
      </c>
      <c r="B10" s="11">
        <f>SUM(B3,B4,B5,B6,B7,B8,B9)</f>
        <v>13</v>
      </c>
      <c r="C10" s="11">
        <f>SUM(C3,C4,C5,C6,C7,C8,C9)</f>
        <v>54935</v>
      </c>
      <c r="D10" s="11">
        <f>SUM(D3,D4,D5,D6,D7,D8,D9)</f>
        <v>54948</v>
      </c>
      <c r="E10" s="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4A22C-6B56-46B2-AA04-BD37432F0A21}">
  <sheetPr>
    <pageSetUpPr fitToPage="1"/>
  </sheetPr>
  <dimension ref="A1:D10"/>
  <sheetViews>
    <sheetView zoomScaleNormal="100" workbookViewId="0"/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42" t="s">
        <v>89</v>
      </c>
    </row>
    <row r="2" spans="1:4" ht="24.95" customHeight="1" x14ac:dyDescent="0.2">
      <c r="A2" s="9" t="s">
        <v>8</v>
      </c>
      <c r="B2" s="38" t="s">
        <v>31</v>
      </c>
      <c r="C2" s="8" t="s">
        <v>3</v>
      </c>
      <c r="D2" s="7" t="s">
        <v>4</v>
      </c>
    </row>
    <row r="3" spans="1:4" ht="25.5" x14ac:dyDescent="0.2">
      <c r="A3" s="29" t="s">
        <v>69</v>
      </c>
      <c r="B3" s="15">
        <v>23221</v>
      </c>
      <c r="C3" s="3">
        <f>StateSenatorSenateDistrict16General[[#This Row],[Part of Queens County Vote Results]]</f>
        <v>23221</v>
      </c>
      <c r="D3" s="6">
        <f>SUM(C3,C6)</f>
        <v>24947</v>
      </c>
    </row>
    <row r="4" spans="1:4" ht="25.5" x14ac:dyDescent="0.2">
      <c r="A4" s="29" t="s">
        <v>70</v>
      </c>
      <c r="B4" s="20">
        <v>24175</v>
      </c>
      <c r="C4" s="13">
        <f>StateSenatorSenateDistrict16General[[#This Row],[Part of Queens County Vote Results]]</f>
        <v>24175</v>
      </c>
      <c r="D4" s="6">
        <f>SUM(C4,C5)</f>
        <v>25990</v>
      </c>
    </row>
    <row r="5" spans="1:4" ht="25.5" x14ac:dyDescent="0.2">
      <c r="A5" s="29" t="s">
        <v>71</v>
      </c>
      <c r="B5" s="20">
        <v>1815</v>
      </c>
      <c r="C5" s="13">
        <f>StateSenatorSenateDistrict16General[[#This Row],[Part of Queens County Vote Results]]</f>
        <v>1815</v>
      </c>
      <c r="D5" s="2"/>
    </row>
    <row r="6" spans="1:4" ht="25.5" x14ac:dyDescent="0.2">
      <c r="A6" s="29" t="s">
        <v>72</v>
      </c>
      <c r="B6" s="20">
        <v>1726</v>
      </c>
      <c r="C6" s="13">
        <f>StateSenatorSenateDistrict16General[[#This Row],[Part of Queens County Vote Results]]</f>
        <v>1726</v>
      </c>
      <c r="D6" s="2"/>
    </row>
    <row r="7" spans="1:4" x14ac:dyDescent="0.2">
      <c r="A7" s="30" t="s">
        <v>0</v>
      </c>
      <c r="B7" s="20">
        <v>447</v>
      </c>
      <c r="C7" s="13">
        <f>StateSenatorSenateDistrict16General[[#This Row],[Part of Queens County Vote Results]]</f>
        <v>447</v>
      </c>
      <c r="D7" s="2"/>
    </row>
    <row r="8" spans="1:4" x14ac:dyDescent="0.2">
      <c r="A8" s="30" t="s">
        <v>1</v>
      </c>
      <c r="B8" s="11"/>
      <c r="C8" s="3">
        <f>StateSenatorSenateDistrict16General[[#This Row],[Part of Queens County Vote Results]]</f>
        <v>0</v>
      </c>
      <c r="D8" s="2"/>
    </row>
    <row r="9" spans="1:4" x14ac:dyDescent="0.2">
      <c r="A9" s="30" t="s">
        <v>5</v>
      </c>
      <c r="B9" s="11">
        <v>90</v>
      </c>
      <c r="C9" s="3">
        <f>StateSenatorSenateDistrict16General[[#This Row],[Part of Queens County Vote Results]]</f>
        <v>90</v>
      </c>
      <c r="D9" s="2"/>
    </row>
    <row r="10" spans="1:4" x14ac:dyDescent="0.2">
      <c r="A10" s="5" t="s">
        <v>2</v>
      </c>
      <c r="B10" s="11">
        <f>SUM(StateSenatorSenateDistrict16General[Part of Queens County Vote Results])</f>
        <v>51474</v>
      </c>
      <c r="C10" s="3">
        <f>SUM(StateSenatorSenateDistrict16General[Total Votes by Party])</f>
        <v>51474</v>
      </c>
      <c r="D10" s="2"/>
    </row>
  </sheetData>
  <pageMargins left="0.25" right="0.25" top="0.25" bottom="0.25" header="0.25" footer="0.25"/>
  <pageSetup paperSize="5" fitToHeight="0" orientation="landscape" verticalDpi="4294967295" r:id="rId1"/>
  <headerFooter alignWithMargins="0">
    <oddFooter xml:space="preserve">&amp;RPage &amp;P of &amp;N   </oddFooter>
  </headerFooter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E16C0-1534-4845-A158-1346B43ED4AC}">
  <sheetPr>
    <pageSetUpPr fitToPage="1"/>
  </sheetPr>
  <dimension ref="A1:D10"/>
  <sheetViews>
    <sheetView workbookViewId="0"/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42" t="s">
        <v>90</v>
      </c>
    </row>
    <row r="2" spans="1:4" ht="25.5" x14ac:dyDescent="0.2">
      <c r="A2" s="9" t="s">
        <v>8</v>
      </c>
      <c r="B2" s="38" t="s">
        <v>32</v>
      </c>
      <c r="C2" s="8" t="s">
        <v>3</v>
      </c>
      <c r="D2" s="7" t="s">
        <v>4</v>
      </c>
    </row>
    <row r="3" spans="1:4" ht="25.5" x14ac:dyDescent="0.2">
      <c r="A3" s="29" t="s">
        <v>69</v>
      </c>
      <c r="B3" s="15">
        <v>14203</v>
      </c>
      <c r="C3" s="3">
        <f>StateSenatorSenateDistrict17General[[#This Row],[Part of Kings County Vote Results]]</f>
        <v>14203</v>
      </c>
      <c r="D3" s="6">
        <f>SUM(C3,C6)</f>
        <v>16060</v>
      </c>
    </row>
    <row r="4" spans="1:4" ht="25.5" x14ac:dyDescent="0.2">
      <c r="A4" s="29" t="s">
        <v>70</v>
      </c>
      <c r="B4" s="15">
        <v>19758</v>
      </c>
      <c r="C4" s="3">
        <f>StateSenatorSenateDistrict17General[[#This Row],[Part of Kings County Vote Results]]</f>
        <v>19758</v>
      </c>
      <c r="D4" s="6">
        <f>SUM(C4,C5)</f>
        <v>21085</v>
      </c>
    </row>
    <row r="5" spans="1:4" ht="25.5" x14ac:dyDescent="0.2">
      <c r="A5" s="29" t="s">
        <v>71</v>
      </c>
      <c r="B5" s="15">
        <v>1327</v>
      </c>
      <c r="C5" s="13">
        <f>StateSenatorSenateDistrict17General[[#This Row],[Part of Kings County Vote Results]]</f>
        <v>1327</v>
      </c>
      <c r="D5" s="2"/>
    </row>
    <row r="6" spans="1:4" ht="25.5" x14ac:dyDescent="0.2">
      <c r="A6" s="29" t="s">
        <v>72</v>
      </c>
      <c r="B6" s="15">
        <v>1857</v>
      </c>
      <c r="C6" s="3">
        <f>StateSenatorSenateDistrict17General[[#This Row],[Part of Kings County Vote Results]]</f>
        <v>1857</v>
      </c>
      <c r="D6" s="2"/>
    </row>
    <row r="7" spans="1:4" x14ac:dyDescent="0.2">
      <c r="A7" s="30" t="s">
        <v>0</v>
      </c>
      <c r="B7" s="17">
        <v>544</v>
      </c>
      <c r="C7" s="3">
        <f>StateSenatorSenateDistrict17General[[#This Row],[Part of Kings County Vote Results]]</f>
        <v>544</v>
      </c>
      <c r="D7" s="2"/>
    </row>
    <row r="8" spans="1:4" x14ac:dyDescent="0.2">
      <c r="A8" s="30" t="s">
        <v>1</v>
      </c>
      <c r="B8" s="17"/>
      <c r="C8" s="3">
        <f>StateSenatorSenateDistrict17General[[#This Row],[Part of Kings County Vote Results]]</f>
        <v>0</v>
      </c>
      <c r="D8" s="2"/>
    </row>
    <row r="9" spans="1:4" x14ac:dyDescent="0.2">
      <c r="A9" s="30" t="s">
        <v>5</v>
      </c>
      <c r="B9" s="15">
        <v>57</v>
      </c>
      <c r="C9" s="3">
        <f>StateSenatorSenateDistrict17General[[#This Row],[Part of Kings County Vote Results]]</f>
        <v>57</v>
      </c>
      <c r="D9" s="2"/>
    </row>
    <row r="10" spans="1:4" x14ac:dyDescent="0.2">
      <c r="A10" s="31" t="s">
        <v>2</v>
      </c>
      <c r="B10" s="11">
        <f>SUM(StateSenatorSenateDistrict17General[Part of Kings County Vote Results])</f>
        <v>37746</v>
      </c>
      <c r="C10" s="3">
        <f>SUM(StateSenatorSenateDistrict17General[Total Votes by Party])</f>
        <v>37746</v>
      </c>
      <c r="D10" s="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4E7AC-C70C-44C3-9851-293371B0039B}">
  <sheetPr>
    <pageSetUpPr fitToPage="1"/>
  </sheetPr>
  <dimension ref="A1:E10"/>
  <sheetViews>
    <sheetView workbookViewId="0"/>
  </sheetViews>
  <sheetFormatPr defaultRowHeight="12.75" x14ac:dyDescent="0.2"/>
  <cols>
    <col min="1" max="1" width="23.140625" customWidth="1"/>
    <col min="2" max="5" width="20.5703125" customWidth="1"/>
    <col min="6" max="7" width="23.5703125" customWidth="1"/>
  </cols>
  <sheetData>
    <row r="1" spans="1:5" ht="18.75" x14ac:dyDescent="0.2">
      <c r="A1" s="42" t="s">
        <v>91</v>
      </c>
    </row>
    <row r="2" spans="1:5" ht="25.5" x14ac:dyDescent="0.2">
      <c r="A2" s="9" t="s">
        <v>8</v>
      </c>
      <c r="B2" s="38" t="s">
        <v>32</v>
      </c>
      <c r="C2" s="38" t="s">
        <v>31</v>
      </c>
      <c r="D2" s="8" t="s">
        <v>3</v>
      </c>
      <c r="E2" s="7" t="s">
        <v>4</v>
      </c>
    </row>
    <row r="3" spans="1:5" ht="25.5" x14ac:dyDescent="0.2">
      <c r="A3" s="29" t="s">
        <v>69</v>
      </c>
      <c r="B3" s="15">
        <v>30839</v>
      </c>
      <c r="C3" s="15">
        <v>1654</v>
      </c>
      <c r="D3" s="3">
        <f>SUM(StateSenatorSenateDistrict18General[[#This Row],[Part of Kings County Vote Results]:[Part of Queens County Vote Results]])</f>
        <v>32493</v>
      </c>
      <c r="E3" s="6">
        <f>SUM(D3,D6)</f>
        <v>40243</v>
      </c>
    </row>
    <row r="4" spans="1:5" ht="25.5" x14ac:dyDescent="0.2">
      <c r="A4" s="29" t="s">
        <v>70</v>
      </c>
      <c r="B4" s="15">
        <v>13664</v>
      </c>
      <c r="C4" s="15">
        <v>536</v>
      </c>
      <c r="D4" s="3">
        <f>SUM(StateSenatorSenateDistrict18General[[#This Row],[Part of Kings County Vote Results]:[Part of Queens County Vote Results]])</f>
        <v>14200</v>
      </c>
      <c r="E4" s="6">
        <f t="shared" ref="E4" si="0">SUM(D4,D5)</f>
        <v>15058</v>
      </c>
    </row>
    <row r="5" spans="1:5" ht="25.5" x14ac:dyDescent="0.2">
      <c r="A5" s="29" t="s">
        <v>71</v>
      </c>
      <c r="B5" s="17">
        <v>825</v>
      </c>
      <c r="C5" s="17">
        <v>33</v>
      </c>
      <c r="D5" s="3">
        <f>SUM(StateSenatorSenateDistrict18General[[#This Row],[Part of Kings County Vote Results]:[Part of Queens County Vote Results]])</f>
        <v>858</v>
      </c>
      <c r="E5" s="2"/>
    </row>
    <row r="6" spans="1:5" ht="25.5" x14ac:dyDescent="0.2">
      <c r="A6" s="29" t="s">
        <v>72</v>
      </c>
      <c r="B6" s="17">
        <v>7112</v>
      </c>
      <c r="C6" s="17">
        <v>638</v>
      </c>
      <c r="D6" s="3">
        <f>SUM(StateSenatorSenateDistrict18General[[#This Row],[Part of Kings County Vote Results]:[Part of Queens County Vote Results]])</f>
        <v>7750</v>
      </c>
      <c r="E6" s="2"/>
    </row>
    <row r="7" spans="1:5" x14ac:dyDescent="0.2">
      <c r="A7" s="30" t="s">
        <v>0</v>
      </c>
      <c r="B7" s="17">
        <v>530</v>
      </c>
      <c r="C7" s="17">
        <v>19</v>
      </c>
      <c r="D7" s="3">
        <f>SUM(StateSenatorSenateDistrict18General[[#This Row],[Part of Kings County Vote Results]:[Part of Queens County Vote Results]])</f>
        <v>549</v>
      </c>
      <c r="E7" s="2"/>
    </row>
    <row r="8" spans="1:5" x14ac:dyDescent="0.2">
      <c r="A8" s="30" t="s">
        <v>1</v>
      </c>
      <c r="C8" s="28"/>
      <c r="D8" s="13">
        <f>SUM(StateSenatorSenateDistrict18General[[#This Row],[Part of Kings County Vote Results]:[Part of Queens County Vote Results]])</f>
        <v>0</v>
      </c>
      <c r="E8" s="2"/>
    </row>
    <row r="9" spans="1:5" x14ac:dyDescent="0.2">
      <c r="A9" s="30" t="s">
        <v>5</v>
      </c>
      <c r="B9">
        <v>108</v>
      </c>
      <c r="C9" s="28">
        <v>4</v>
      </c>
      <c r="D9" s="13">
        <f>SUM(StateSenatorSenateDistrict18General[[#This Row],[Part of Kings County Vote Results]:[Part of Queens County Vote Results]])</f>
        <v>112</v>
      </c>
      <c r="E9" s="2"/>
    </row>
    <row r="10" spans="1:5" x14ac:dyDescent="0.2">
      <c r="A10" s="5" t="s">
        <v>2</v>
      </c>
      <c r="B10" s="11">
        <f>SUM(StateSenatorSenateDistrict18General[Part of Kings County Vote Results])</f>
        <v>53078</v>
      </c>
      <c r="C10" s="11">
        <f>SUM(StateSenatorSenateDistrict18General[Part of Queens County Vote Results])</f>
        <v>2884</v>
      </c>
      <c r="D10" s="3">
        <f>SUM(StateSenatorSenateDistrict18General[Total Votes by Party])</f>
        <v>55962</v>
      </c>
      <c r="E10" s="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EE440-7DB1-4EC9-B673-E6AD1B5F84A1}">
  <sheetPr>
    <pageSetUpPr fitToPage="1"/>
  </sheetPr>
  <dimension ref="A1:E10"/>
  <sheetViews>
    <sheetView workbookViewId="0"/>
  </sheetViews>
  <sheetFormatPr defaultRowHeight="12.75" x14ac:dyDescent="0.2"/>
  <cols>
    <col min="1" max="1" width="23.5703125" customWidth="1"/>
    <col min="2" max="5" width="20.5703125" customWidth="1"/>
    <col min="6" max="7" width="23.5703125" customWidth="1"/>
  </cols>
  <sheetData>
    <row r="1" spans="1:5" ht="18.75" x14ac:dyDescent="0.2">
      <c r="A1" s="42" t="s">
        <v>92</v>
      </c>
    </row>
    <row r="2" spans="1:5" ht="25.5" x14ac:dyDescent="0.2">
      <c r="A2" s="9" t="s">
        <v>8</v>
      </c>
      <c r="B2" s="38" t="s">
        <v>32</v>
      </c>
      <c r="C2" s="38" t="s">
        <v>31</v>
      </c>
      <c r="D2" s="8" t="s">
        <v>3</v>
      </c>
      <c r="E2" s="7" t="s">
        <v>4</v>
      </c>
    </row>
    <row r="3" spans="1:5" ht="25.5" x14ac:dyDescent="0.2">
      <c r="A3" s="29" t="s">
        <v>69</v>
      </c>
      <c r="B3" s="15">
        <v>42886</v>
      </c>
      <c r="C3" s="15">
        <v>629</v>
      </c>
      <c r="D3" s="3">
        <f>SUM(StateSenatorSenateDistrict19General[[#This Row],[Part of Kings County Vote Results]:[Part of Queens County Vote Results]])</f>
        <v>43515</v>
      </c>
      <c r="E3" s="6">
        <f>SUM(D3,D6)</f>
        <v>44643</v>
      </c>
    </row>
    <row r="4" spans="1:5" ht="25.5" x14ac:dyDescent="0.2">
      <c r="A4" s="29" t="s">
        <v>70</v>
      </c>
      <c r="B4" s="17">
        <v>3935</v>
      </c>
      <c r="C4" s="17">
        <v>2202</v>
      </c>
      <c r="D4" s="3">
        <f>SUM(StateSenatorSenateDistrict19General[[#This Row],[Part of Kings County Vote Results]:[Part of Queens County Vote Results]])</f>
        <v>6137</v>
      </c>
      <c r="E4" s="6">
        <f>SUM(StateSenatorSenateDistrict19General[[#This Row],[Total Votes by Party]])</f>
        <v>6137</v>
      </c>
    </row>
    <row r="5" spans="1:5" ht="25.5" x14ac:dyDescent="0.2">
      <c r="A5" s="29" t="s">
        <v>71</v>
      </c>
      <c r="B5" s="17">
        <v>425</v>
      </c>
      <c r="C5" s="17">
        <v>153</v>
      </c>
      <c r="D5" s="3">
        <f>SUM(StateSenatorSenateDistrict19General[[#This Row],[Part of Kings County Vote Results]:[Part of Queens County Vote Results]])</f>
        <v>578</v>
      </c>
      <c r="E5" s="2"/>
    </row>
    <row r="6" spans="1:5" ht="25.5" x14ac:dyDescent="0.2">
      <c r="A6" s="29" t="s">
        <v>72</v>
      </c>
      <c r="B6" s="17">
        <v>1089</v>
      </c>
      <c r="C6" s="17">
        <v>39</v>
      </c>
      <c r="D6" s="3">
        <f>SUM(StateSenatorSenateDistrict19General[[#This Row],[Part of Kings County Vote Results]:[Part of Queens County Vote Results]])</f>
        <v>1128</v>
      </c>
      <c r="E6" s="2"/>
    </row>
    <row r="7" spans="1:5" x14ac:dyDescent="0.2">
      <c r="A7" s="30" t="s">
        <v>0</v>
      </c>
      <c r="B7">
        <v>558</v>
      </c>
      <c r="C7" s="28">
        <v>6</v>
      </c>
      <c r="D7" s="13">
        <f>SUM(StateSenatorSenateDistrict19General[[#This Row],[Part of Kings County Vote Results]:[Part of Queens County Vote Results]])</f>
        <v>564</v>
      </c>
      <c r="E7" s="2"/>
    </row>
    <row r="8" spans="1:5" x14ac:dyDescent="0.2">
      <c r="A8" s="30" t="s">
        <v>1</v>
      </c>
      <c r="C8" s="28"/>
      <c r="D8" s="13">
        <f>SUM(StateSenatorSenateDistrict19General[[#This Row],[Part of Kings County Vote Results]:[Part of Queens County Vote Results]])</f>
        <v>0</v>
      </c>
      <c r="E8" s="2"/>
    </row>
    <row r="9" spans="1:5" x14ac:dyDescent="0.2">
      <c r="A9" s="30" t="s">
        <v>5</v>
      </c>
      <c r="B9">
        <v>54</v>
      </c>
      <c r="C9" s="28">
        <v>2</v>
      </c>
      <c r="D9" s="13">
        <f>SUM(StateSenatorSenateDistrict19General[[#This Row],[Part of Kings County Vote Results]:[Part of Queens County Vote Results]])</f>
        <v>56</v>
      </c>
      <c r="E9" s="2"/>
    </row>
    <row r="10" spans="1:5" x14ac:dyDescent="0.2">
      <c r="A10" s="5" t="s">
        <v>2</v>
      </c>
      <c r="B10" s="11">
        <f>SUM(StateSenatorSenateDistrict19General[Part of Kings County Vote Results])</f>
        <v>48947</v>
      </c>
      <c r="C10" s="11">
        <f>SUM(StateSenatorSenateDistrict19General[Part of Queens County Vote Results])</f>
        <v>3031</v>
      </c>
      <c r="D10" s="3">
        <f>SUM(StateSenatorSenateDistrict19General[Total Votes by Party])</f>
        <v>51978</v>
      </c>
      <c r="E10" s="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3A181-BA88-4013-B576-0A57D1F8A39D}">
  <sheetPr>
    <pageSetUpPr fitToPage="1"/>
  </sheetPr>
  <dimension ref="A1:D10"/>
  <sheetViews>
    <sheetView workbookViewId="0"/>
  </sheetViews>
  <sheetFormatPr defaultRowHeight="12.75" x14ac:dyDescent="0.2"/>
  <cols>
    <col min="1" max="1" width="25" customWidth="1"/>
    <col min="2" max="4" width="20.5703125" customWidth="1"/>
    <col min="5" max="6" width="23.5703125" customWidth="1"/>
  </cols>
  <sheetData>
    <row r="1" spans="1:4" ht="24.95" customHeight="1" x14ac:dyDescent="0.2">
      <c r="A1" s="42" t="s">
        <v>75</v>
      </c>
    </row>
    <row r="2" spans="1:4" ht="24.95" customHeight="1" x14ac:dyDescent="0.2">
      <c r="A2" s="9" t="s">
        <v>8</v>
      </c>
      <c r="B2" s="38" t="s">
        <v>29</v>
      </c>
      <c r="C2" s="8" t="s">
        <v>3</v>
      </c>
      <c r="D2" s="7" t="s">
        <v>4</v>
      </c>
    </row>
    <row r="3" spans="1:4" ht="25.5" x14ac:dyDescent="0.2">
      <c r="A3" s="29" t="s">
        <v>69</v>
      </c>
      <c r="B3" s="4">
        <v>57758</v>
      </c>
      <c r="C3" s="3">
        <f>StateSenatorSenateDistrict2General41[[#This Row],[Part of Suffolk County Vote Results]]</f>
        <v>57758</v>
      </c>
      <c r="D3" s="6">
        <f>SUM(C3,C6)</f>
        <v>60708</v>
      </c>
    </row>
    <row r="4" spans="1:4" ht="25.5" x14ac:dyDescent="0.2">
      <c r="A4" s="29" t="s">
        <v>70</v>
      </c>
      <c r="B4" s="4">
        <v>73906</v>
      </c>
      <c r="C4" s="3">
        <f>StateSenatorSenateDistrict2General41[[#This Row],[Part of Suffolk County Vote Results]]</f>
        <v>73906</v>
      </c>
      <c r="D4" s="6">
        <f>SUM(C4,C5)</f>
        <v>83803</v>
      </c>
    </row>
    <row r="5" spans="1:4" ht="25.5" x14ac:dyDescent="0.2">
      <c r="A5" s="29" t="s">
        <v>71</v>
      </c>
      <c r="B5" s="4">
        <v>9897</v>
      </c>
      <c r="C5" s="3">
        <f>StateSenatorSenateDistrict2General41[[#This Row],[Part of Suffolk County Vote Results]]</f>
        <v>9897</v>
      </c>
      <c r="D5" s="2"/>
    </row>
    <row r="6" spans="1:4" ht="25.5" x14ac:dyDescent="0.2">
      <c r="A6" s="29" t="s">
        <v>72</v>
      </c>
      <c r="B6" s="4">
        <v>2950</v>
      </c>
      <c r="C6" s="3">
        <f>StateSenatorSenateDistrict2General41[[#This Row],[Part of Suffolk County Vote Results]]</f>
        <v>2950</v>
      </c>
      <c r="D6" s="2"/>
    </row>
    <row r="7" spans="1:4" x14ac:dyDescent="0.2">
      <c r="A7" s="30" t="s">
        <v>0</v>
      </c>
      <c r="B7" s="4">
        <v>543</v>
      </c>
      <c r="C7" s="3">
        <f>StateSenatorSenateDistrict2General41[[#This Row],[Part of Suffolk County Vote Results]]</f>
        <v>543</v>
      </c>
      <c r="D7" s="2"/>
    </row>
    <row r="8" spans="1:4" x14ac:dyDescent="0.2">
      <c r="A8" s="30" t="s">
        <v>1</v>
      </c>
      <c r="B8" s="4">
        <v>27</v>
      </c>
      <c r="C8" s="3">
        <f>StateSenatorSenateDistrict2General41[[#This Row],[Part of Suffolk County Vote Results]]</f>
        <v>27</v>
      </c>
      <c r="D8" s="2"/>
    </row>
    <row r="9" spans="1:4" x14ac:dyDescent="0.2">
      <c r="A9" s="30" t="s">
        <v>5</v>
      </c>
      <c r="B9" s="4">
        <v>107</v>
      </c>
      <c r="C9" s="3">
        <f>StateSenatorSenateDistrict2General41[[#This Row],[Part of Suffolk County Vote Results]]</f>
        <v>107</v>
      </c>
      <c r="D9" s="2"/>
    </row>
    <row r="10" spans="1:4" x14ac:dyDescent="0.2">
      <c r="A10" s="31" t="s">
        <v>2</v>
      </c>
      <c r="B10" s="4">
        <f>SUM(StateSenatorSenateDistrict2General41[Part of Suffolk County Vote Results])</f>
        <v>145188</v>
      </c>
      <c r="C10" s="3">
        <f>SUM(StateSenatorSenateDistrict2General41[Total Votes by Party])</f>
        <v>145188</v>
      </c>
      <c r="D10" s="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E072B-3EC1-43E7-9F51-88265315A7A3}">
  <sheetPr>
    <pageSetUpPr fitToPage="1"/>
  </sheetPr>
  <dimension ref="A1:D10"/>
  <sheetViews>
    <sheetView workbookViewId="0"/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42" t="s">
        <v>93</v>
      </c>
    </row>
    <row r="2" spans="1:4" ht="25.5" x14ac:dyDescent="0.2">
      <c r="A2" s="9" t="s">
        <v>8</v>
      </c>
      <c r="B2" s="38" t="s">
        <v>32</v>
      </c>
      <c r="C2" s="8" t="s">
        <v>3</v>
      </c>
      <c r="D2" s="7" t="s">
        <v>4</v>
      </c>
    </row>
    <row r="3" spans="1:4" ht="25.5" x14ac:dyDescent="0.2">
      <c r="A3" s="29" t="s">
        <v>69</v>
      </c>
      <c r="B3" s="15">
        <v>62871</v>
      </c>
      <c r="C3" s="3">
        <f>StateSenatorSenateDistrict20General[[#This Row],[Part of Kings County Vote Results]]</f>
        <v>62871</v>
      </c>
      <c r="D3" s="6">
        <f>SUM(C3,C6)</f>
        <v>79205</v>
      </c>
    </row>
    <row r="4" spans="1:4" ht="25.5" x14ac:dyDescent="0.2">
      <c r="A4" s="29" t="s">
        <v>70</v>
      </c>
      <c r="B4" s="15">
        <v>8350</v>
      </c>
      <c r="C4" s="3">
        <f>StateSenatorSenateDistrict20General[[#This Row],[Part of Kings County Vote Results]]</f>
        <v>8350</v>
      </c>
      <c r="D4" s="6">
        <f t="shared" ref="D4" si="0">SUM(C4,C5)</f>
        <v>9371</v>
      </c>
    </row>
    <row r="5" spans="1:4" ht="25.5" x14ac:dyDescent="0.2">
      <c r="A5" s="29" t="s">
        <v>71</v>
      </c>
      <c r="B5" s="17">
        <v>1021</v>
      </c>
      <c r="C5" s="3">
        <f>StateSenatorSenateDistrict20General[[#This Row],[Part of Kings County Vote Results]]</f>
        <v>1021</v>
      </c>
      <c r="D5" s="2"/>
    </row>
    <row r="6" spans="1:4" ht="25.5" x14ac:dyDescent="0.2">
      <c r="A6" s="29" t="s">
        <v>72</v>
      </c>
      <c r="B6" s="17">
        <v>16334</v>
      </c>
      <c r="C6" s="3">
        <f>StateSenatorSenateDistrict20General[[#This Row],[Part of Kings County Vote Results]]</f>
        <v>16334</v>
      </c>
      <c r="D6" s="2"/>
    </row>
    <row r="7" spans="1:4" x14ac:dyDescent="0.2">
      <c r="A7" s="30" t="s">
        <v>0</v>
      </c>
      <c r="B7" s="17">
        <v>603</v>
      </c>
      <c r="C7" s="3">
        <f>StateSenatorSenateDistrict20General[[#This Row],[Part of Kings County Vote Results]]</f>
        <v>603</v>
      </c>
      <c r="D7" s="2"/>
    </row>
    <row r="8" spans="1:4" x14ac:dyDescent="0.2">
      <c r="A8" s="30" t="s">
        <v>1</v>
      </c>
      <c r="C8" s="13">
        <f>StateSenatorSenateDistrict20General[[#This Row],[Part of Kings County Vote Results]]</f>
        <v>0</v>
      </c>
      <c r="D8" s="2"/>
    </row>
    <row r="9" spans="1:4" x14ac:dyDescent="0.2">
      <c r="A9" s="30" t="s">
        <v>5</v>
      </c>
      <c r="B9">
        <v>169</v>
      </c>
      <c r="C9" s="13">
        <f>StateSenatorSenateDistrict20General[[#This Row],[Part of Kings County Vote Results]]</f>
        <v>169</v>
      </c>
      <c r="D9" s="2"/>
    </row>
    <row r="10" spans="1:4" x14ac:dyDescent="0.2">
      <c r="A10" s="5" t="s">
        <v>2</v>
      </c>
      <c r="B10" s="11">
        <f>SUM(StateSenatorSenateDistrict20General[Part of Kings County Vote Results])</f>
        <v>89348</v>
      </c>
      <c r="C10" s="3">
        <f>SUM(StateSenatorSenateDistrict20General[Total Votes by Party])</f>
        <v>89348</v>
      </c>
      <c r="D10" s="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EE5AD-9909-4813-947D-B2BAFA13B80A}">
  <sheetPr>
    <pageSetUpPr fitToPage="1"/>
  </sheetPr>
  <dimension ref="A1:D10"/>
  <sheetViews>
    <sheetView workbookViewId="0">
      <selection activeCell="F32" sqref="F3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42" t="s">
        <v>94</v>
      </c>
    </row>
    <row r="2" spans="1:4" ht="25.5" x14ac:dyDescent="0.2">
      <c r="A2" s="9" t="s">
        <v>8</v>
      </c>
      <c r="B2" s="38" t="s">
        <v>32</v>
      </c>
      <c r="C2" s="8" t="s">
        <v>3</v>
      </c>
      <c r="D2" s="7" t="s">
        <v>4</v>
      </c>
    </row>
    <row r="3" spans="1:4" ht="25.5" x14ac:dyDescent="0.2">
      <c r="A3" s="29" t="s">
        <v>69</v>
      </c>
      <c r="B3" s="15">
        <v>47522</v>
      </c>
      <c r="C3" s="3">
        <f>StateSenatorSenateDistrict21General[[#This Row],[Part of Kings County Vote Results]]</f>
        <v>47522</v>
      </c>
      <c r="D3" s="6">
        <f>SUM(C3,C6)</f>
        <v>53345</v>
      </c>
    </row>
    <row r="4" spans="1:4" ht="25.5" x14ac:dyDescent="0.2">
      <c r="A4" s="29" t="s">
        <v>70</v>
      </c>
      <c r="B4" s="15">
        <v>16370</v>
      </c>
      <c r="C4" s="13">
        <f>StateSenatorSenateDistrict21General[[#This Row],[Part of Kings County Vote Results]]</f>
        <v>16370</v>
      </c>
      <c r="D4" s="6">
        <f>SUM(C4,C5)</f>
        <v>17756</v>
      </c>
    </row>
    <row r="5" spans="1:4" ht="25.5" x14ac:dyDescent="0.2">
      <c r="A5" s="29" t="s">
        <v>71</v>
      </c>
      <c r="B5" s="17">
        <v>1386</v>
      </c>
      <c r="C5" s="3">
        <f>StateSenatorSenateDistrict21General[[#This Row],[Part of Kings County Vote Results]]</f>
        <v>1386</v>
      </c>
      <c r="D5" s="2"/>
    </row>
    <row r="6" spans="1:4" ht="25.5" x14ac:dyDescent="0.2">
      <c r="A6" s="29" t="s">
        <v>72</v>
      </c>
      <c r="B6" s="17">
        <v>5823</v>
      </c>
      <c r="C6" s="3">
        <f>StateSenatorSenateDistrict21General[[#This Row],[Part of Kings County Vote Results]]</f>
        <v>5823</v>
      </c>
      <c r="D6" s="2"/>
    </row>
    <row r="7" spans="1:4" x14ac:dyDescent="0.2">
      <c r="A7" s="30" t="s">
        <v>0</v>
      </c>
      <c r="B7" s="17">
        <v>625</v>
      </c>
      <c r="C7" s="3">
        <f>StateSenatorSenateDistrict21General[[#This Row],[Part of Kings County Vote Results]]</f>
        <v>625</v>
      </c>
      <c r="D7" s="2"/>
    </row>
    <row r="8" spans="1:4" x14ac:dyDescent="0.2">
      <c r="A8" s="30" t="s">
        <v>1</v>
      </c>
      <c r="C8" s="13">
        <f>StateSenatorSenateDistrict21General[[#This Row],[Part of Kings County Vote Results]]</f>
        <v>0</v>
      </c>
      <c r="D8" s="2"/>
    </row>
    <row r="9" spans="1:4" x14ac:dyDescent="0.2">
      <c r="A9" s="30" t="s">
        <v>5</v>
      </c>
      <c r="B9">
        <v>110</v>
      </c>
      <c r="C9" s="13">
        <f>StateSenatorSenateDistrict21General[[#This Row],[Part of Kings County Vote Results]]</f>
        <v>110</v>
      </c>
      <c r="D9" s="2"/>
    </row>
    <row r="10" spans="1:4" x14ac:dyDescent="0.2">
      <c r="A10" s="5" t="s">
        <v>2</v>
      </c>
      <c r="B10" s="11">
        <f>SUM(StateSenatorSenateDistrict21General[Part of Kings County Vote Results])</f>
        <v>71836</v>
      </c>
      <c r="C10" s="3">
        <f>SUM(StateSenatorSenateDistrict21General[Total Votes by Party])</f>
        <v>71836</v>
      </c>
      <c r="D10" s="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2EBA1-1AD3-4FEA-B92F-DDDF5D28DF47}">
  <sheetPr>
    <pageSetUpPr fitToPage="1"/>
  </sheetPr>
  <dimension ref="A1:D10"/>
  <sheetViews>
    <sheetView workbookViewId="0">
      <selection sqref="A1:XFD1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s="43" customFormat="1" ht="18.75" x14ac:dyDescent="0.2">
      <c r="A1" s="42" t="s">
        <v>95</v>
      </c>
    </row>
    <row r="2" spans="1:4" ht="25.5" x14ac:dyDescent="0.2">
      <c r="A2" s="9" t="s">
        <v>8</v>
      </c>
      <c r="B2" s="38" t="s">
        <v>32</v>
      </c>
      <c r="C2" s="8" t="s">
        <v>3</v>
      </c>
      <c r="D2" s="7" t="s">
        <v>4</v>
      </c>
    </row>
    <row r="3" spans="1:4" ht="25.5" x14ac:dyDescent="0.2">
      <c r="A3" s="29" t="s">
        <v>69</v>
      </c>
      <c r="B3" s="15">
        <v>11476</v>
      </c>
      <c r="C3" s="3">
        <f>StateSenatorSenateDistrict22General[[#This Row],[Part of Kings County Vote Results]]</f>
        <v>11476</v>
      </c>
      <c r="D3" s="6">
        <f>SUM(C3,C6)</f>
        <v>12480</v>
      </c>
    </row>
    <row r="4" spans="1:4" ht="25.5" x14ac:dyDescent="0.2">
      <c r="A4" s="29" t="s">
        <v>70</v>
      </c>
      <c r="B4" s="15">
        <v>48344</v>
      </c>
      <c r="C4" s="3">
        <f>StateSenatorSenateDistrict22General[[#This Row],[Part of Kings County Vote Results]]</f>
        <v>48344</v>
      </c>
      <c r="D4" s="6">
        <f>SUM(C4:C5)</f>
        <v>51946</v>
      </c>
    </row>
    <row r="5" spans="1:4" ht="25.5" x14ac:dyDescent="0.2">
      <c r="A5" s="29" t="s">
        <v>71</v>
      </c>
      <c r="B5" s="15">
        <v>3602</v>
      </c>
      <c r="C5" s="3">
        <f>StateSenatorSenateDistrict22General[[#This Row],[Part of Kings County Vote Results]]</f>
        <v>3602</v>
      </c>
      <c r="D5" s="21"/>
    </row>
    <row r="6" spans="1:4" ht="25.5" x14ac:dyDescent="0.2">
      <c r="A6" s="29" t="s">
        <v>72</v>
      </c>
      <c r="B6" s="15">
        <v>1004</v>
      </c>
      <c r="C6" s="3">
        <f>StateSenatorSenateDistrict22General[[#This Row],[Part of Kings County Vote Results]]</f>
        <v>1004</v>
      </c>
      <c r="D6" s="21"/>
    </row>
    <row r="7" spans="1:4" x14ac:dyDescent="0.2">
      <c r="A7" s="30" t="s">
        <v>0</v>
      </c>
      <c r="B7" s="17">
        <v>336</v>
      </c>
      <c r="C7" s="3">
        <f>StateSenatorSenateDistrict22General[[#This Row],[Part of Kings County Vote Results]]</f>
        <v>336</v>
      </c>
      <c r="D7" s="2"/>
    </row>
    <row r="8" spans="1:4" x14ac:dyDescent="0.2">
      <c r="A8" s="30" t="s">
        <v>1</v>
      </c>
      <c r="B8" s="17"/>
      <c r="C8" s="3">
        <f>StateSenatorSenateDistrict22General[[#This Row],[Part of Kings County Vote Results]]</f>
        <v>0</v>
      </c>
      <c r="D8" s="2"/>
    </row>
    <row r="9" spans="1:4" x14ac:dyDescent="0.2">
      <c r="A9" s="30" t="s">
        <v>5</v>
      </c>
      <c r="B9" s="17">
        <v>95</v>
      </c>
      <c r="C9" s="3">
        <f>StateSenatorSenateDistrict22General[[#This Row],[Part of Kings County Vote Results]]</f>
        <v>95</v>
      </c>
      <c r="D9" s="2"/>
    </row>
    <row r="10" spans="1:4" x14ac:dyDescent="0.2">
      <c r="A10" s="31" t="s">
        <v>2</v>
      </c>
      <c r="B10" s="11">
        <f>SUM(StateSenatorSenateDistrict22General[Part of Kings County Vote Results])</f>
        <v>64857</v>
      </c>
      <c r="C10" s="3">
        <f>SUM(StateSenatorSenateDistrict22General[Total Votes by Party])</f>
        <v>64857</v>
      </c>
      <c r="D10" s="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16225-1A64-4C4F-A944-309E77FCF985}">
  <sheetPr>
    <pageSetUpPr fitToPage="1"/>
  </sheetPr>
  <dimension ref="A1:E11"/>
  <sheetViews>
    <sheetView workbookViewId="0">
      <selection activeCell="L37" sqref="L37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42" t="s">
        <v>96</v>
      </c>
    </row>
    <row r="2" spans="1:5" ht="25.5" x14ac:dyDescent="0.2">
      <c r="A2" s="9" t="s">
        <v>8</v>
      </c>
      <c r="B2" s="38" t="s">
        <v>32</v>
      </c>
      <c r="C2" s="38" t="s">
        <v>46</v>
      </c>
      <c r="D2" s="8" t="s">
        <v>3</v>
      </c>
      <c r="E2" s="7" t="s">
        <v>4</v>
      </c>
    </row>
    <row r="3" spans="1:5" ht="25.5" x14ac:dyDescent="0.2">
      <c r="A3" s="29" t="s">
        <v>69</v>
      </c>
      <c r="B3" s="24">
        <v>8357</v>
      </c>
      <c r="C3" s="11">
        <v>18981</v>
      </c>
      <c r="D3" s="3">
        <f>SUM(StateSenatorSenateDistrict23General[[#This Row],[Part of Kings County Vote Results]:[Part of Richmond County Vote Results]])</f>
        <v>27338</v>
      </c>
      <c r="E3" s="6">
        <f>SUM(D3,D6)</f>
        <v>28924</v>
      </c>
    </row>
    <row r="4" spans="1:5" ht="25.5" x14ac:dyDescent="0.2">
      <c r="A4" s="29" t="s">
        <v>70</v>
      </c>
      <c r="B4" s="23">
        <v>15821</v>
      </c>
      <c r="C4" s="11">
        <v>13618</v>
      </c>
      <c r="D4" s="3">
        <f>SUM(StateSenatorSenateDistrict23General[[#This Row],[Part of Kings County Vote Results]:[Part of Richmond County Vote Results]])</f>
        <v>29439</v>
      </c>
      <c r="E4" s="6">
        <f>SUM(D4,D5)</f>
        <v>31298</v>
      </c>
    </row>
    <row r="5" spans="1:5" ht="25.5" x14ac:dyDescent="0.2">
      <c r="A5" s="29" t="s">
        <v>71</v>
      </c>
      <c r="B5" s="22">
        <v>653</v>
      </c>
      <c r="C5" s="11">
        <v>1206</v>
      </c>
      <c r="D5" s="3">
        <f>SUM(StateSenatorSenateDistrict23General[[#This Row],[Part of Kings County Vote Results]:[Part of Richmond County Vote Results]])</f>
        <v>1859</v>
      </c>
      <c r="E5" s="2"/>
    </row>
    <row r="6" spans="1:5" ht="25.5" x14ac:dyDescent="0.2">
      <c r="A6" s="29" t="s">
        <v>72</v>
      </c>
      <c r="B6" s="22">
        <v>504</v>
      </c>
      <c r="C6" s="11">
        <v>1082</v>
      </c>
      <c r="D6" s="3">
        <f>SUM(StateSenatorSenateDistrict23General[[#This Row],[Part of Kings County Vote Results]:[Part of Richmond County Vote Results]])</f>
        <v>1586</v>
      </c>
      <c r="E6" s="2"/>
    </row>
    <row r="7" spans="1:5" x14ac:dyDescent="0.2">
      <c r="A7" s="30" t="s">
        <v>0</v>
      </c>
      <c r="B7" s="22">
        <v>331</v>
      </c>
      <c r="C7" s="11">
        <v>303</v>
      </c>
      <c r="D7" s="3">
        <f>SUM(StateSenatorSenateDistrict23General[[#This Row],[Part of Kings County Vote Results]:[Part of Richmond County Vote Results]])</f>
        <v>634</v>
      </c>
      <c r="E7" s="2"/>
    </row>
    <row r="8" spans="1:5" x14ac:dyDescent="0.2">
      <c r="A8" s="30" t="s">
        <v>1</v>
      </c>
      <c r="B8" s="34"/>
      <c r="C8" s="11"/>
      <c r="D8" s="3">
        <f>SUM(StateSenatorSenateDistrict23General[[#This Row],[Part of Kings County Vote Results]:[Part of Richmond County Vote Results]])</f>
        <v>0</v>
      </c>
      <c r="E8" s="2"/>
    </row>
    <row r="9" spans="1:5" x14ac:dyDescent="0.2">
      <c r="A9" s="30" t="s">
        <v>5</v>
      </c>
      <c r="B9" s="35">
        <v>43</v>
      </c>
      <c r="C9" s="11">
        <v>73</v>
      </c>
      <c r="D9" s="3">
        <f>SUM(StateSenatorSenateDistrict23General[[#This Row],[Part of Kings County Vote Results]:[Part of Richmond County Vote Results]])</f>
        <v>116</v>
      </c>
      <c r="E9" s="12"/>
    </row>
    <row r="10" spans="1:5" x14ac:dyDescent="0.2">
      <c r="A10" s="31" t="s">
        <v>2</v>
      </c>
      <c r="B10" s="35"/>
      <c r="C10" s="11"/>
      <c r="D10" s="3">
        <f>SUM(StateSenatorSenateDistrict23General[[#This Row],[Part of Kings County Vote Results]:[Part of Richmond County Vote Results]])</f>
        <v>0</v>
      </c>
      <c r="E10" s="12"/>
    </row>
    <row r="11" spans="1:5" x14ac:dyDescent="0.2">
      <c r="A11" s="5" t="s">
        <v>2</v>
      </c>
      <c r="B11" s="11">
        <f>SUM(StateSenatorSenateDistrict23General[Part of Kings County Vote Results])</f>
        <v>25709</v>
      </c>
      <c r="C11" s="11">
        <f>SUM(StateSenatorSenateDistrict23General[Part of Richmond County Vote Results])</f>
        <v>35263</v>
      </c>
      <c r="D11" s="3">
        <f>SUM(StateSenatorSenateDistrict23General[Total Votes by Party])</f>
        <v>60972</v>
      </c>
      <c r="E11" s="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43972-3A86-49A6-B228-3E4B6778A60D}">
  <sheetPr>
    <pageSetUpPr fitToPage="1"/>
  </sheetPr>
  <dimension ref="A1:D10"/>
  <sheetViews>
    <sheetView workbookViewId="0">
      <selection sqref="A1:XFD1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s="43" customFormat="1" ht="18.75" x14ac:dyDescent="0.2">
      <c r="A1" s="42" t="s">
        <v>97</v>
      </c>
    </row>
    <row r="2" spans="1:4" ht="25.5" x14ac:dyDescent="0.2">
      <c r="A2" s="9" t="s">
        <v>8</v>
      </c>
      <c r="B2" s="38" t="s">
        <v>46</v>
      </c>
      <c r="C2" s="8" t="s">
        <v>3</v>
      </c>
      <c r="D2" s="7" t="s">
        <v>4</v>
      </c>
    </row>
    <row r="3" spans="1:4" ht="25.5" x14ac:dyDescent="0.2">
      <c r="A3" s="29" t="s">
        <v>69</v>
      </c>
      <c r="B3" s="11">
        <v>25500</v>
      </c>
      <c r="C3" s="3">
        <f>StateSenatorSenateDistrict24General[[#This Row],[Part of Richmond County Vote Results]]</f>
        <v>25500</v>
      </c>
      <c r="D3" s="6">
        <f>SUM(C3,C6)</f>
        <v>27072</v>
      </c>
    </row>
    <row r="4" spans="1:4" ht="25.5" x14ac:dyDescent="0.2">
      <c r="A4" s="29" t="s">
        <v>70</v>
      </c>
      <c r="B4" s="11">
        <v>73645</v>
      </c>
      <c r="C4" s="3">
        <f>StateSenatorSenateDistrict24General[[#This Row],[Part of Richmond County Vote Results]]</f>
        <v>73645</v>
      </c>
      <c r="D4" s="6">
        <f t="shared" ref="D4" si="0">SUM(C4,C5)</f>
        <v>78994</v>
      </c>
    </row>
    <row r="5" spans="1:4" ht="25.5" x14ac:dyDescent="0.2">
      <c r="A5" s="29" t="s">
        <v>71</v>
      </c>
      <c r="B5" s="11">
        <v>5349</v>
      </c>
      <c r="C5" s="3">
        <f>StateSenatorSenateDistrict24General[[#This Row],[Part of Richmond County Vote Results]]</f>
        <v>5349</v>
      </c>
      <c r="D5" s="2"/>
    </row>
    <row r="6" spans="1:4" ht="25.5" x14ac:dyDescent="0.2">
      <c r="A6" s="29" t="s">
        <v>72</v>
      </c>
      <c r="B6" s="11">
        <v>1572</v>
      </c>
      <c r="C6" s="3">
        <f>StateSenatorSenateDistrict24General[[#This Row],[Part of Richmond County Vote Results]]</f>
        <v>1572</v>
      </c>
      <c r="D6" s="2"/>
    </row>
    <row r="7" spans="1:4" x14ac:dyDescent="0.2">
      <c r="A7" s="30" t="s">
        <v>0</v>
      </c>
      <c r="B7" s="11">
        <v>464</v>
      </c>
      <c r="C7" s="3">
        <f>StateSenatorSenateDistrict24General[[#This Row],[Part of Richmond County Vote Results]]</f>
        <v>464</v>
      </c>
      <c r="D7" s="2"/>
    </row>
    <row r="8" spans="1:4" x14ac:dyDescent="0.2">
      <c r="A8" s="30" t="s">
        <v>1</v>
      </c>
      <c r="B8" s="26"/>
      <c r="C8" s="13">
        <f>StateSenatorSenateDistrict24General[[#This Row],[Part of Richmond County Vote Results]]</f>
        <v>0</v>
      </c>
      <c r="D8" s="2"/>
    </row>
    <row r="9" spans="1:4" x14ac:dyDescent="0.2">
      <c r="A9" s="30" t="s">
        <v>5</v>
      </c>
      <c r="B9" s="26">
        <v>107</v>
      </c>
      <c r="C9" s="13">
        <f>StateSenatorSenateDistrict24General[[#This Row],[Part of Richmond County Vote Results]]</f>
        <v>107</v>
      </c>
      <c r="D9" s="2"/>
    </row>
    <row r="10" spans="1:4" x14ac:dyDescent="0.2">
      <c r="A10" s="5" t="s">
        <v>2</v>
      </c>
      <c r="B10" s="11">
        <f>SUM(StateSenatorSenateDistrict24General[Part of Richmond County Vote Results])</f>
        <v>106637</v>
      </c>
      <c r="C10" s="3">
        <f>SUM(StateSenatorSenateDistrict24General[Total Votes by Party])</f>
        <v>106637</v>
      </c>
      <c r="D10" s="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4D596-0D9F-4265-9849-D41C10B8DD96}">
  <sheetPr>
    <pageSetUpPr fitToPage="1"/>
  </sheetPr>
  <dimension ref="A1:D10"/>
  <sheetViews>
    <sheetView workbookViewId="0">
      <selection sqref="A1:XFD1"/>
    </sheetView>
  </sheetViews>
  <sheetFormatPr defaultRowHeight="12.75" x14ac:dyDescent="0.2"/>
  <cols>
    <col min="1" max="1" width="23.140625" customWidth="1"/>
    <col min="2" max="4" width="20.5703125" customWidth="1"/>
    <col min="5" max="6" width="23.5703125" customWidth="1"/>
  </cols>
  <sheetData>
    <row r="1" spans="1:4" s="43" customFormat="1" ht="18.75" x14ac:dyDescent="0.2">
      <c r="A1" s="42" t="s">
        <v>98</v>
      </c>
    </row>
    <row r="2" spans="1:4" ht="25.5" x14ac:dyDescent="0.2">
      <c r="A2" s="9" t="s">
        <v>8</v>
      </c>
      <c r="B2" s="38" t="s">
        <v>32</v>
      </c>
      <c r="C2" s="8" t="s">
        <v>3</v>
      </c>
      <c r="D2" s="7" t="s">
        <v>4</v>
      </c>
    </row>
    <row r="3" spans="1:4" ht="25.5" x14ac:dyDescent="0.2">
      <c r="A3" s="29" t="s">
        <v>69</v>
      </c>
      <c r="B3" s="15">
        <v>51960</v>
      </c>
      <c r="C3" s="3">
        <f>StateSenatorSenateDistrict25General[[#This Row],[Part of Kings County Vote Results]]</f>
        <v>51960</v>
      </c>
      <c r="D3" s="6">
        <f>SUM(C3,C6)</f>
        <v>63386</v>
      </c>
    </row>
    <row r="4" spans="1:4" ht="25.5" x14ac:dyDescent="0.2">
      <c r="A4" s="29" t="s">
        <v>70</v>
      </c>
      <c r="B4" s="15">
        <v>4822</v>
      </c>
      <c r="C4" s="3">
        <f>StateSenatorSenateDistrict25General[[#This Row],[Part of Kings County Vote Results]]</f>
        <v>4822</v>
      </c>
      <c r="D4" s="6">
        <f t="shared" ref="D4" si="0">SUM(C4,C5)</f>
        <v>5260</v>
      </c>
    </row>
    <row r="5" spans="1:4" ht="25.5" x14ac:dyDescent="0.2">
      <c r="A5" s="29" t="s">
        <v>71</v>
      </c>
      <c r="B5" s="17">
        <v>438</v>
      </c>
      <c r="C5" s="3">
        <f>StateSenatorSenateDistrict25General[[#This Row],[Part of Kings County Vote Results]]</f>
        <v>438</v>
      </c>
      <c r="D5" s="2"/>
    </row>
    <row r="6" spans="1:4" ht="25.5" x14ac:dyDescent="0.2">
      <c r="A6" s="29" t="s">
        <v>72</v>
      </c>
      <c r="B6" s="17">
        <v>11426</v>
      </c>
      <c r="C6" s="3">
        <f>StateSenatorSenateDistrict25General[[#This Row],[Part of Kings County Vote Results]]</f>
        <v>11426</v>
      </c>
      <c r="D6" s="2"/>
    </row>
    <row r="7" spans="1:4" x14ac:dyDescent="0.2">
      <c r="A7" s="30" t="s">
        <v>0</v>
      </c>
      <c r="B7" s="17">
        <v>530</v>
      </c>
      <c r="C7" s="3">
        <f>StateSenatorSenateDistrict25General[[#This Row],[Part of Kings County Vote Results]]</f>
        <v>530</v>
      </c>
      <c r="D7" s="2"/>
    </row>
    <row r="8" spans="1:4" x14ac:dyDescent="0.2">
      <c r="A8" s="30" t="s">
        <v>1</v>
      </c>
      <c r="B8" s="35"/>
      <c r="C8" s="13">
        <f>StateSenatorSenateDistrict25General[[#This Row],[Part of Kings County Vote Results]]</f>
        <v>0</v>
      </c>
      <c r="D8" s="2"/>
    </row>
    <row r="9" spans="1:4" x14ac:dyDescent="0.2">
      <c r="A9" s="30" t="s">
        <v>5</v>
      </c>
      <c r="B9" s="35">
        <v>129</v>
      </c>
      <c r="C9" s="13">
        <f>StateSenatorSenateDistrict25General[[#This Row],[Part of Kings County Vote Results]]</f>
        <v>129</v>
      </c>
      <c r="D9" s="2"/>
    </row>
    <row r="10" spans="1:4" x14ac:dyDescent="0.2">
      <c r="A10" s="5" t="s">
        <v>2</v>
      </c>
      <c r="B10" s="11">
        <f>SUM(StateSenatorSenateDistrict25General[Part of Kings County Vote Results])</f>
        <v>69305</v>
      </c>
      <c r="C10" s="3">
        <f>SUM(StateSenatorSenateDistrict25General[Total Votes by Party])</f>
        <v>69305</v>
      </c>
      <c r="D10" s="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FA163-CB3F-4DB3-B05A-9D079102ECBB}">
  <sheetPr>
    <pageSetUpPr fitToPage="1"/>
  </sheetPr>
  <dimension ref="A1:E10"/>
  <sheetViews>
    <sheetView workbookViewId="0"/>
  </sheetViews>
  <sheetFormatPr defaultRowHeight="12.75" x14ac:dyDescent="0.2"/>
  <cols>
    <col min="1" max="1" width="23.42578125" customWidth="1"/>
    <col min="2" max="5" width="20.5703125" customWidth="1"/>
    <col min="6" max="7" width="23.5703125" customWidth="1"/>
  </cols>
  <sheetData>
    <row r="1" spans="1:5" ht="18.75" x14ac:dyDescent="0.2">
      <c r="A1" s="42" t="s">
        <v>99</v>
      </c>
    </row>
    <row r="2" spans="1:5" ht="25.5" x14ac:dyDescent="0.2">
      <c r="A2" s="9" t="s">
        <v>8</v>
      </c>
      <c r="B2" s="38" t="s">
        <v>32</v>
      </c>
      <c r="C2" s="38" t="s">
        <v>33</v>
      </c>
      <c r="D2" s="8" t="s">
        <v>3</v>
      </c>
      <c r="E2" s="7" t="s">
        <v>4</v>
      </c>
    </row>
    <row r="3" spans="1:5" ht="25.5" x14ac:dyDescent="0.2">
      <c r="A3" s="29" t="s">
        <v>69</v>
      </c>
      <c r="B3" s="15">
        <v>56944</v>
      </c>
      <c r="C3" s="11">
        <v>0</v>
      </c>
      <c r="D3" s="3">
        <f>SUM(StateSenatorSenateDistrict26General[[#This Row],[Part of Kings County Vote Results]:[Part of New York County Vote Results]])</f>
        <v>56944</v>
      </c>
      <c r="E3" s="6">
        <f>SUM(D3,D6)</f>
        <v>69827</v>
      </c>
    </row>
    <row r="4" spans="1:5" ht="25.5" x14ac:dyDescent="0.2">
      <c r="A4" s="29" t="s">
        <v>70</v>
      </c>
      <c r="B4" s="15">
        <v>18090</v>
      </c>
      <c r="C4" s="11">
        <v>0</v>
      </c>
      <c r="D4" s="3">
        <f>SUM(StateSenatorSenateDistrict26General[[#This Row],[Part of Kings County Vote Results]:[Part of New York County Vote Results]])</f>
        <v>18090</v>
      </c>
      <c r="E4" s="6">
        <f>SUM(D4,D5)</f>
        <v>19893</v>
      </c>
    </row>
    <row r="5" spans="1:5" ht="25.5" x14ac:dyDescent="0.2">
      <c r="A5" s="29" t="s">
        <v>71</v>
      </c>
      <c r="B5" s="15">
        <v>1803</v>
      </c>
      <c r="C5" s="11">
        <v>0</v>
      </c>
      <c r="D5" s="3">
        <f>SUM(StateSenatorSenateDistrict26General[[#This Row],[Part of Kings County Vote Results]:[Part of New York County Vote Results]])</f>
        <v>1803</v>
      </c>
      <c r="E5" s="12"/>
    </row>
    <row r="6" spans="1:5" ht="25.5" x14ac:dyDescent="0.2">
      <c r="A6" s="29" t="s">
        <v>72</v>
      </c>
      <c r="B6" s="15">
        <v>12883</v>
      </c>
      <c r="C6" s="11">
        <v>0</v>
      </c>
      <c r="D6" s="3">
        <f>SUM(StateSenatorSenateDistrict26General[[#This Row],[Part of Kings County Vote Results]:[Part of New York County Vote Results]])</f>
        <v>12883</v>
      </c>
      <c r="E6" s="12"/>
    </row>
    <row r="7" spans="1:5" x14ac:dyDescent="0.2">
      <c r="A7" s="30" t="s">
        <v>0</v>
      </c>
      <c r="B7" s="15">
        <v>513</v>
      </c>
      <c r="C7" s="11">
        <v>0</v>
      </c>
      <c r="D7" s="3">
        <f>SUM(StateSenatorSenateDistrict26General[[#This Row],[Part of Kings County Vote Results]:[Part of New York County Vote Results]])</f>
        <v>513</v>
      </c>
      <c r="E7" s="12"/>
    </row>
    <row r="8" spans="1:5" x14ac:dyDescent="0.2">
      <c r="A8" s="30" t="s">
        <v>1</v>
      </c>
      <c r="B8" s="17"/>
      <c r="C8" s="11"/>
      <c r="D8" s="3">
        <f>SUM(StateSenatorSenateDistrict26General[[#This Row],[Part of Kings County Vote Results]:[Part of New York County Vote Results]])</f>
        <v>0</v>
      </c>
      <c r="E8" s="2"/>
    </row>
    <row r="9" spans="1:5" x14ac:dyDescent="0.2">
      <c r="A9" s="30" t="s">
        <v>5</v>
      </c>
      <c r="B9" s="17">
        <v>181</v>
      </c>
      <c r="C9" s="11">
        <v>0</v>
      </c>
      <c r="D9" s="3">
        <f>SUM(StateSenatorSenateDistrict26General[[#This Row],[Part of Kings County Vote Results]:[Part of New York County Vote Results]])</f>
        <v>181</v>
      </c>
      <c r="E9" s="2"/>
    </row>
    <row r="10" spans="1:5" x14ac:dyDescent="0.2">
      <c r="A10" s="5" t="s">
        <v>2</v>
      </c>
      <c r="B10" s="11">
        <f>SUM(StateSenatorSenateDistrict26General[Part of Kings County Vote Results])</f>
        <v>90414</v>
      </c>
      <c r="C10" s="11">
        <f>SUM(StateSenatorSenateDistrict26General[Part of New York County Vote Results])</f>
        <v>0</v>
      </c>
      <c r="D10" s="3">
        <f>SUM(StateSenatorSenateDistrict26General[Total Votes by Party])</f>
        <v>90414</v>
      </c>
      <c r="E10" s="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6A1F7-83E7-4642-B0CB-129F17ABA3A9}">
  <sheetPr>
    <pageSetUpPr fitToPage="1"/>
  </sheetPr>
  <dimension ref="A1:D10"/>
  <sheetViews>
    <sheetView workbookViewId="0">
      <selection sqref="A1:XFD1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s="43" customFormat="1" ht="18.75" x14ac:dyDescent="0.2">
      <c r="A1" s="42" t="s">
        <v>100</v>
      </c>
    </row>
    <row r="2" spans="1:4" ht="25.5" x14ac:dyDescent="0.2">
      <c r="A2" s="9" t="s">
        <v>8</v>
      </c>
      <c r="B2" s="38" t="s">
        <v>33</v>
      </c>
      <c r="C2" s="8" t="s">
        <v>3</v>
      </c>
      <c r="D2" s="7" t="s">
        <v>4</v>
      </c>
    </row>
    <row r="3" spans="1:4" ht="25.5" x14ac:dyDescent="0.2">
      <c r="A3" s="29" t="s">
        <v>69</v>
      </c>
      <c r="B3" s="11">
        <v>55491</v>
      </c>
      <c r="C3" s="3">
        <f>StateSenatorSenateDistrict27General[[#This Row],[Part of New York County Vote Results]]</f>
        <v>55491</v>
      </c>
      <c r="D3" s="6">
        <f>SUM(C3,C6)</f>
        <v>62485</v>
      </c>
    </row>
    <row r="4" spans="1:4" ht="25.5" x14ac:dyDescent="0.2">
      <c r="A4" s="29" t="s">
        <v>70</v>
      </c>
      <c r="B4" s="11">
        <v>14488</v>
      </c>
      <c r="C4" s="3">
        <f>StateSenatorSenateDistrict27General[[#This Row],[Part of New York County Vote Results]]</f>
        <v>14488</v>
      </c>
      <c r="D4" s="6">
        <f>SUM(C4,C5)</f>
        <v>15552</v>
      </c>
    </row>
    <row r="5" spans="1:4" ht="25.5" x14ac:dyDescent="0.2">
      <c r="A5" s="29" t="s">
        <v>71</v>
      </c>
      <c r="B5" s="11">
        <v>1064</v>
      </c>
      <c r="C5" s="3">
        <f>StateSenatorSenateDistrict27General[[#This Row],[Part of New York County Vote Results]]</f>
        <v>1064</v>
      </c>
      <c r="D5" s="2"/>
    </row>
    <row r="6" spans="1:4" ht="25.5" x14ac:dyDescent="0.2">
      <c r="A6" s="29" t="s">
        <v>72</v>
      </c>
      <c r="B6" s="11">
        <v>6994</v>
      </c>
      <c r="C6" s="3">
        <f>StateSenatorSenateDistrict27General[[#This Row],[Part of New York County Vote Results]]</f>
        <v>6994</v>
      </c>
      <c r="D6" s="2"/>
    </row>
    <row r="7" spans="1:4" x14ac:dyDescent="0.2">
      <c r="A7" s="30" t="s">
        <v>0</v>
      </c>
      <c r="B7" s="11">
        <v>558</v>
      </c>
      <c r="C7" s="3">
        <f>StateSenatorSenateDistrict27General[[#This Row],[Part of New York County Vote Results]]</f>
        <v>558</v>
      </c>
      <c r="D7" s="2"/>
    </row>
    <row r="8" spans="1:4" x14ac:dyDescent="0.2">
      <c r="A8" s="30" t="s">
        <v>1</v>
      </c>
      <c r="B8" s="26"/>
      <c r="C8" s="13">
        <f>StateSenatorSenateDistrict27General[[#This Row],[Part of New York County Vote Results]]</f>
        <v>0</v>
      </c>
      <c r="D8" s="2"/>
    </row>
    <row r="9" spans="1:4" x14ac:dyDescent="0.2">
      <c r="A9" s="30" t="s">
        <v>5</v>
      </c>
      <c r="B9" s="26">
        <v>184</v>
      </c>
      <c r="C9" s="13">
        <f>StateSenatorSenateDistrict27General[[#This Row],[Part of New York County Vote Results]]</f>
        <v>184</v>
      </c>
      <c r="D9" s="2"/>
    </row>
    <row r="10" spans="1:4" x14ac:dyDescent="0.2">
      <c r="A10" s="5" t="s">
        <v>2</v>
      </c>
      <c r="B10" s="11">
        <f>SUM(StateSenatorSenateDistrict27General[Part of New York County Vote Results])</f>
        <v>78779</v>
      </c>
      <c r="C10" s="3">
        <f>SUM(StateSenatorSenateDistrict27General[Total Votes by Party])</f>
        <v>78779</v>
      </c>
      <c r="D10" s="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B4B48-64A4-4A7A-8D04-0A18D444ED29}">
  <sheetPr>
    <pageSetUpPr fitToPage="1"/>
  </sheetPr>
  <dimension ref="A1:D10"/>
  <sheetViews>
    <sheetView workbookViewId="0">
      <selection sqref="A1:XFD1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s="43" customFormat="1" ht="18.75" x14ac:dyDescent="0.2">
      <c r="A1" s="42" t="s">
        <v>101</v>
      </c>
    </row>
    <row r="2" spans="1:4" ht="25.5" x14ac:dyDescent="0.2">
      <c r="A2" s="9" t="s">
        <v>8</v>
      </c>
      <c r="B2" s="38" t="s">
        <v>33</v>
      </c>
      <c r="C2" s="8" t="s">
        <v>3</v>
      </c>
      <c r="D2" s="7" t="s">
        <v>4</v>
      </c>
    </row>
    <row r="3" spans="1:4" ht="25.5" x14ac:dyDescent="0.2">
      <c r="A3" s="29" t="s">
        <v>69</v>
      </c>
      <c r="B3" s="11">
        <v>71365</v>
      </c>
      <c r="C3" s="3">
        <f>StateSenatorSenateDistrict28General[[#This Row],[Part of New York County Vote Results]]</f>
        <v>71365</v>
      </c>
      <c r="D3" s="6">
        <f>SUM(C3,C6)</f>
        <v>75688</v>
      </c>
    </row>
    <row r="4" spans="1:4" ht="25.5" x14ac:dyDescent="0.2">
      <c r="A4" s="29" t="s">
        <v>70</v>
      </c>
      <c r="B4" s="11">
        <v>23997</v>
      </c>
      <c r="C4" s="3">
        <f>StateSenatorSenateDistrict28General[[#This Row],[Part of New York County Vote Results]]</f>
        <v>23997</v>
      </c>
      <c r="D4" s="6">
        <f>SUM(C4,C5)</f>
        <v>25465</v>
      </c>
    </row>
    <row r="5" spans="1:4" ht="25.5" x14ac:dyDescent="0.2">
      <c r="A5" s="29" t="s">
        <v>71</v>
      </c>
      <c r="B5" s="11">
        <v>1468</v>
      </c>
      <c r="C5" s="3">
        <f>StateSenatorSenateDistrict28General[[#This Row],[Part of New York County Vote Results]]</f>
        <v>1468</v>
      </c>
      <c r="D5" s="2"/>
    </row>
    <row r="6" spans="1:4" ht="25.5" x14ac:dyDescent="0.2">
      <c r="A6" s="29" t="s">
        <v>72</v>
      </c>
      <c r="B6" s="11">
        <v>4323</v>
      </c>
      <c r="C6" s="3">
        <f>StateSenatorSenateDistrict28General[[#This Row],[Part of New York County Vote Results]]</f>
        <v>4323</v>
      </c>
      <c r="D6" s="2"/>
    </row>
    <row r="7" spans="1:4" x14ac:dyDescent="0.2">
      <c r="A7" s="30" t="s">
        <v>0</v>
      </c>
      <c r="B7" s="11">
        <v>493</v>
      </c>
      <c r="C7" s="3">
        <f>StateSenatorSenateDistrict28General[[#This Row],[Part of New York County Vote Results]]</f>
        <v>493</v>
      </c>
      <c r="D7" s="2"/>
    </row>
    <row r="8" spans="1:4" x14ac:dyDescent="0.2">
      <c r="A8" s="30" t="s">
        <v>1</v>
      </c>
      <c r="B8" s="11"/>
      <c r="C8" s="3">
        <f>StateSenatorSenateDistrict28General[[#This Row],[Part of New York County Vote Results]]</f>
        <v>0</v>
      </c>
      <c r="D8" s="2"/>
    </row>
    <row r="9" spans="1:4" x14ac:dyDescent="0.2">
      <c r="A9" s="30" t="s">
        <v>5</v>
      </c>
      <c r="B9" s="26">
        <v>197</v>
      </c>
      <c r="C9" s="13">
        <f>StateSenatorSenateDistrict28General[[#This Row],[Part of New York County Vote Results]]</f>
        <v>197</v>
      </c>
      <c r="D9" s="2"/>
    </row>
    <row r="10" spans="1:4" x14ac:dyDescent="0.2">
      <c r="A10" s="5" t="s">
        <v>2</v>
      </c>
      <c r="B10" s="11">
        <f>SUM(StateSenatorSenateDistrict28General[Part of New York County Vote Results])</f>
        <v>101843</v>
      </c>
      <c r="C10" s="3">
        <f>SUM(StateSenatorSenateDistrict28General[Total Votes by Party])</f>
        <v>101843</v>
      </c>
      <c r="D10" s="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DF875-ADBE-4BCF-9959-F71D006B28C8}">
  <sheetPr>
    <pageSetUpPr fitToPage="1"/>
  </sheetPr>
  <dimension ref="A1:E10"/>
  <sheetViews>
    <sheetView workbookViewId="0">
      <selection sqref="A1:XFD1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s="43" customFormat="1" ht="18.75" x14ac:dyDescent="0.2">
      <c r="A1" s="42" t="s">
        <v>102</v>
      </c>
    </row>
    <row r="2" spans="1:5" ht="25.5" x14ac:dyDescent="0.2">
      <c r="A2" s="9" t="s">
        <v>8</v>
      </c>
      <c r="B2" s="38" t="s">
        <v>34</v>
      </c>
      <c r="C2" s="38" t="s">
        <v>33</v>
      </c>
      <c r="D2" s="8" t="s">
        <v>3</v>
      </c>
      <c r="E2" s="7" t="s">
        <v>4</v>
      </c>
    </row>
    <row r="3" spans="1:5" ht="25.5" x14ac:dyDescent="0.2">
      <c r="A3" s="29" t="s">
        <v>69</v>
      </c>
      <c r="B3" s="11">
        <v>18757</v>
      </c>
      <c r="C3" s="11">
        <v>19880</v>
      </c>
      <c r="D3" s="3">
        <f>SUM(StateSenatorSenateDistrict29General[[#This Row],[Part of Bronx County Vote Results]:[Part of New York County Vote Results]])</f>
        <v>38637</v>
      </c>
      <c r="E3" s="6">
        <f>SUM(D3,D6)</f>
        <v>41129</v>
      </c>
    </row>
    <row r="4" spans="1:5" ht="25.5" x14ac:dyDescent="0.2">
      <c r="A4" s="29" t="s">
        <v>70</v>
      </c>
      <c r="B4" s="11">
        <v>3514</v>
      </c>
      <c r="C4" s="11">
        <v>4109</v>
      </c>
      <c r="D4" s="3">
        <f>SUM(StateSenatorSenateDistrict29General[[#This Row],[Part of Bronx County Vote Results]:[Part of New York County Vote Results]])</f>
        <v>7623</v>
      </c>
      <c r="E4" s="6">
        <f t="shared" ref="E4" si="0">SUM(D4,D5)</f>
        <v>8277</v>
      </c>
    </row>
    <row r="5" spans="1:5" ht="25.5" x14ac:dyDescent="0.2">
      <c r="A5" s="29" t="s">
        <v>71</v>
      </c>
      <c r="B5" s="11">
        <v>278</v>
      </c>
      <c r="C5" s="11">
        <v>376</v>
      </c>
      <c r="D5" s="3">
        <f>SUM(StateSenatorSenateDistrict29General[[#This Row],[Part of Bronx County Vote Results]:[Part of New York County Vote Results]])</f>
        <v>654</v>
      </c>
      <c r="E5" s="2"/>
    </row>
    <row r="6" spans="1:5" ht="25.5" x14ac:dyDescent="0.2">
      <c r="A6" s="29" t="s">
        <v>72</v>
      </c>
      <c r="B6" s="11">
        <v>813</v>
      </c>
      <c r="C6" s="11">
        <v>1679</v>
      </c>
      <c r="D6" s="3">
        <f>SUM(StateSenatorSenateDistrict29General[[#This Row],[Part of Bronx County Vote Results]:[Part of New York County Vote Results]])</f>
        <v>2492</v>
      </c>
      <c r="E6" s="2"/>
    </row>
    <row r="7" spans="1:5" x14ac:dyDescent="0.2">
      <c r="A7" s="30" t="s">
        <v>0</v>
      </c>
      <c r="B7" s="11">
        <v>298</v>
      </c>
      <c r="C7" s="11">
        <v>184</v>
      </c>
      <c r="D7" s="3">
        <f>SUM(StateSenatorSenateDistrict29General[[#This Row],[Part of Bronx County Vote Results]:[Part of New York County Vote Results]])</f>
        <v>482</v>
      </c>
      <c r="E7" s="2"/>
    </row>
    <row r="8" spans="1:5" x14ac:dyDescent="0.2">
      <c r="A8" s="30" t="s">
        <v>1</v>
      </c>
      <c r="B8" s="11"/>
      <c r="C8" s="11"/>
      <c r="D8" s="3">
        <f>SUM(StateSenatorSenateDistrict29General[[#This Row],[Part of Bronx County Vote Results]:[Part of New York County Vote Results]])</f>
        <v>0</v>
      </c>
      <c r="E8" s="12"/>
    </row>
    <row r="9" spans="1:5" x14ac:dyDescent="0.2">
      <c r="A9" s="30" t="s">
        <v>5</v>
      </c>
      <c r="B9" s="11">
        <v>22</v>
      </c>
      <c r="C9" s="11">
        <v>53</v>
      </c>
      <c r="D9" s="3">
        <f>SUM(StateSenatorSenateDistrict29General[[#This Row],[Part of Bronx County Vote Results]:[Part of New York County Vote Results]])</f>
        <v>75</v>
      </c>
      <c r="E9" s="12"/>
    </row>
    <row r="10" spans="1:5" x14ac:dyDescent="0.2">
      <c r="A10" s="5" t="s">
        <v>2</v>
      </c>
      <c r="B10" s="11">
        <f>SUM(StateSenatorSenateDistrict29General[Part of Bronx County Vote Results])</f>
        <v>23682</v>
      </c>
      <c r="C10" s="11">
        <f>SUM(StateSenatorSenateDistrict29General[Part of New York County Vote Results])</f>
        <v>26281</v>
      </c>
      <c r="D10" s="3">
        <f>SUM(StateSenatorSenateDistrict29General[Total Votes by Party])</f>
        <v>49963</v>
      </c>
      <c r="E10" s="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85C69-C93C-4B84-A66E-F301A39C785C}">
  <sheetPr>
    <pageSetUpPr fitToPage="1"/>
  </sheetPr>
  <dimension ref="A1:D10"/>
  <sheetViews>
    <sheetView workbookViewId="0"/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42" t="s">
        <v>76</v>
      </c>
    </row>
    <row r="2" spans="1:4" ht="24.95" customHeight="1" x14ac:dyDescent="0.2">
      <c r="A2" s="9" t="s">
        <v>8</v>
      </c>
      <c r="B2" s="38" t="s">
        <v>29</v>
      </c>
      <c r="C2" s="8" t="s">
        <v>3</v>
      </c>
      <c r="D2" s="7" t="s">
        <v>4</v>
      </c>
    </row>
    <row r="3" spans="1:4" ht="25.5" x14ac:dyDescent="0.2">
      <c r="A3" s="29" t="s">
        <v>69</v>
      </c>
      <c r="B3" s="11">
        <v>39274</v>
      </c>
      <c r="C3" s="3">
        <f>StateSenatorSenateDistrict3General42[[#This Row],[Part of Suffolk County Vote Results]]</f>
        <v>39274</v>
      </c>
      <c r="D3" s="6">
        <f>SUM(C3,C6)</f>
        <v>41686</v>
      </c>
    </row>
    <row r="4" spans="1:4" ht="25.5" x14ac:dyDescent="0.2">
      <c r="A4" s="29" t="s">
        <v>70</v>
      </c>
      <c r="B4" s="11">
        <v>62960</v>
      </c>
      <c r="C4" s="3">
        <f>StateSenatorSenateDistrict3General42[[#This Row],[Part of Suffolk County Vote Results]]</f>
        <v>62960</v>
      </c>
      <c r="D4" s="6">
        <f>SUM(C4,C5)</f>
        <v>72066</v>
      </c>
    </row>
    <row r="5" spans="1:4" ht="25.5" x14ac:dyDescent="0.2">
      <c r="A5" s="29" t="s">
        <v>71</v>
      </c>
      <c r="B5" s="11">
        <v>9106</v>
      </c>
      <c r="C5" s="3">
        <f>StateSenatorSenateDistrict3General42[[#This Row],[Part of Suffolk County Vote Results]]</f>
        <v>9106</v>
      </c>
      <c r="D5" s="2"/>
    </row>
    <row r="6" spans="1:4" ht="25.5" x14ac:dyDescent="0.2">
      <c r="A6" s="29" t="s">
        <v>72</v>
      </c>
      <c r="B6" s="11">
        <v>2412</v>
      </c>
      <c r="C6" s="3">
        <f>StateSenatorSenateDistrict3General42[[#This Row],[Part of Suffolk County Vote Results]]</f>
        <v>2412</v>
      </c>
      <c r="D6" s="2"/>
    </row>
    <row r="7" spans="1:4" x14ac:dyDescent="0.2">
      <c r="A7" s="30" t="s">
        <v>0</v>
      </c>
      <c r="B7" s="11">
        <v>340</v>
      </c>
      <c r="C7" s="3">
        <f>StateSenatorSenateDistrict3General42[[#This Row],[Part of Suffolk County Vote Results]]</f>
        <v>340</v>
      </c>
      <c r="D7" s="2"/>
    </row>
    <row r="8" spans="1:4" x14ac:dyDescent="0.2">
      <c r="A8" s="30" t="s">
        <v>1</v>
      </c>
      <c r="B8" s="11">
        <v>36</v>
      </c>
      <c r="C8" s="3">
        <f>StateSenatorSenateDistrict3General42[[#This Row],[Part of Suffolk County Vote Results]]</f>
        <v>36</v>
      </c>
      <c r="D8" s="2"/>
    </row>
    <row r="9" spans="1:4" x14ac:dyDescent="0.2">
      <c r="A9" s="30" t="s">
        <v>5</v>
      </c>
      <c r="B9" s="27">
        <v>89</v>
      </c>
      <c r="C9" s="13">
        <f>StateSenatorSenateDistrict3General42[[#This Row],[Part of Suffolk County Vote Results]]</f>
        <v>89</v>
      </c>
      <c r="D9" s="2"/>
    </row>
    <row r="10" spans="1:4" x14ac:dyDescent="0.2">
      <c r="A10" s="5" t="s">
        <v>2</v>
      </c>
      <c r="B10" s="11">
        <f>SUM(StateSenatorSenateDistrict3General42[Part of Suffolk County Vote Results])</f>
        <v>114217</v>
      </c>
      <c r="C10" s="3">
        <f>SUM(StateSenatorSenateDistrict3General42[Total Votes by Party])</f>
        <v>114217</v>
      </c>
      <c r="D10" s="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69EC6-AD69-4297-B0F7-AE09C50433C9}">
  <sheetPr>
    <pageSetUpPr fitToPage="1"/>
  </sheetPr>
  <dimension ref="A1:D10"/>
  <sheetViews>
    <sheetView workbookViewId="0">
      <selection sqref="A1:XFD1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s="43" customFormat="1" ht="18.75" x14ac:dyDescent="0.2">
      <c r="A1" s="42" t="s">
        <v>103</v>
      </c>
    </row>
    <row r="2" spans="1:4" ht="25.5" x14ac:dyDescent="0.2">
      <c r="A2" s="9" t="s">
        <v>8</v>
      </c>
      <c r="B2" s="38" t="s">
        <v>33</v>
      </c>
      <c r="C2" s="8" t="s">
        <v>3</v>
      </c>
      <c r="D2" s="7" t="s">
        <v>4</v>
      </c>
    </row>
    <row r="3" spans="1:4" ht="25.5" x14ac:dyDescent="0.2">
      <c r="A3" s="29" t="s">
        <v>69</v>
      </c>
      <c r="B3" s="11">
        <v>57600</v>
      </c>
      <c r="C3" s="3">
        <f>StateSenatorSenateDistrict30General[[#This Row],[Part of New York County Vote Results]]</f>
        <v>57600</v>
      </c>
      <c r="D3" s="6">
        <f>SUM(C3,C6)</f>
        <v>64731</v>
      </c>
    </row>
    <row r="4" spans="1:4" ht="25.5" x14ac:dyDescent="0.2">
      <c r="A4" s="29" t="s">
        <v>70</v>
      </c>
      <c r="B4" s="11">
        <v>5499</v>
      </c>
      <c r="C4" s="3">
        <f>StateSenatorSenateDistrict30General[[#This Row],[Part of New York County Vote Results]]</f>
        <v>5499</v>
      </c>
      <c r="D4" s="6">
        <f t="shared" ref="D4" si="0">SUM(C4,C5)</f>
        <v>6039</v>
      </c>
    </row>
    <row r="5" spans="1:4" ht="25.5" x14ac:dyDescent="0.2">
      <c r="A5" s="29" t="s">
        <v>71</v>
      </c>
      <c r="B5" s="11">
        <v>540</v>
      </c>
      <c r="C5" s="3">
        <f>StateSenatorSenateDistrict30General[[#This Row],[Part of New York County Vote Results]]</f>
        <v>540</v>
      </c>
      <c r="D5" s="2"/>
    </row>
    <row r="6" spans="1:4" ht="25.5" x14ac:dyDescent="0.2">
      <c r="A6" s="29" t="s">
        <v>72</v>
      </c>
      <c r="B6" s="11">
        <v>7131</v>
      </c>
      <c r="C6" s="3">
        <f>StateSenatorSenateDistrict30General[[#This Row],[Part of New York County Vote Results]]</f>
        <v>7131</v>
      </c>
      <c r="D6" s="2"/>
    </row>
    <row r="7" spans="1:4" x14ac:dyDescent="0.2">
      <c r="A7" s="30" t="s">
        <v>0</v>
      </c>
      <c r="B7" s="14">
        <v>654</v>
      </c>
      <c r="C7" s="3">
        <f>StateSenatorSenateDistrict30General[[#This Row],[Part of New York County Vote Results]]</f>
        <v>654</v>
      </c>
      <c r="D7" s="2"/>
    </row>
    <row r="8" spans="1:4" x14ac:dyDescent="0.2">
      <c r="A8" s="30" t="s">
        <v>1</v>
      </c>
      <c r="B8" s="26"/>
      <c r="C8" s="13">
        <f>StateSenatorSenateDistrict30General[[#This Row],[Part of New York County Vote Results]]</f>
        <v>0</v>
      </c>
      <c r="D8" s="2"/>
    </row>
    <row r="9" spans="1:4" x14ac:dyDescent="0.2">
      <c r="A9" s="30" t="s">
        <v>5</v>
      </c>
      <c r="B9" s="26">
        <v>149</v>
      </c>
      <c r="C9" s="13">
        <f>StateSenatorSenateDistrict30General[[#This Row],[Part of New York County Vote Results]]</f>
        <v>149</v>
      </c>
      <c r="D9" s="2"/>
    </row>
    <row r="10" spans="1:4" x14ac:dyDescent="0.2">
      <c r="A10" s="5" t="s">
        <v>2</v>
      </c>
      <c r="B10" s="11">
        <f>SUM(StateSenatorSenateDistrict30General[Part of New York County Vote Results])</f>
        <v>71573</v>
      </c>
      <c r="C10" s="3">
        <f>SUM(StateSenatorSenateDistrict30General[Total Votes by Party])</f>
        <v>71573</v>
      </c>
      <c r="D10" s="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8CFC3-2B64-49B8-BBF7-D8D6733DF89F}">
  <sheetPr>
    <pageSetUpPr fitToPage="1"/>
  </sheetPr>
  <dimension ref="A1:E10"/>
  <sheetViews>
    <sheetView workbookViewId="0"/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42" t="s">
        <v>104</v>
      </c>
    </row>
    <row r="2" spans="1:5" ht="25.5" x14ac:dyDescent="0.2">
      <c r="A2" s="9" t="s">
        <v>8</v>
      </c>
      <c r="B2" s="38" t="s">
        <v>34</v>
      </c>
      <c r="C2" s="38" t="s">
        <v>33</v>
      </c>
      <c r="D2" s="25" t="s">
        <v>3</v>
      </c>
      <c r="E2" s="7" t="s">
        <v>4</v>
      </c>
    </row>
    <row r="3" spans="1:5" ht="25.5" x14ac:dyDescent="0.2">
      <c r="A3" s="29" t="s">
        <v>69</v>
      </c>
      <c r="B3" s="11">
        <v>11254</v>
      </c>
      <c r="C3" s="11">
        <v>27336</v>
      </c>
      <c r="D3" s="3">
        <f>SUM(StateSenatorSenateDistrict31General[[#This Row],[Part of Bronx County Vote Results]:[Part of New York County Vote Results]])</f>
        <v>38590</v>
      </c>
      <c r="E3" s="6">
        <f>SUM(D3,D6)</f>
        <v>44154</v>
      </c>
    </row>
    <row r="4" spans="1:5" ht="25.5" x14ac:dyDescent="0.2">
      <c r="A4" s="29" t="s">
        <v>70</v>
      </c>
      <c r="B4" s="11">
        <v>3386</v>
      </c>
      <c r="C4" s="11">
        <v>6213</v>
      </c>
      <c r="D4" s="3">
        <f>SUM(StateSenatorSenateDistrict31General[[#This Row],[Part of Bronx County Vote Results]:[Part of New York County Vote Results]])</f>
        <v>9599</v>
      </c>
      <c r="E4" s="6">
        <f>SUM(D4,D5)</f>
        <v>10311</v>
      </c>
    </row>
    <row r="5" spans="1:5" ht="25.5" x14ac:dyDescent="0.2">
      <c r="A5" s="29" t="s">
        <v>71</v>
      </c>
      <c r="B5" s="11">
        <v>242</v>
      </c>
      <c r="C5" s="11">
        <v>470</v>
      </c>
      <c r="D5" s="3">
        <f>SUM(StateSenatorSenateDistrict31General[[#This Row],[Part of Bronx County Vote Results]:[Part of New York County Vote Results]])</f>
        <v>712</v>
      </c>
      <c r="E5" s="2"/>
    </row>
    <row r="6" spans="1:5" ht="25.5" x14ac:dyDescent="0.2">
      <c r="A6" s="29" t="s">
        <v>72</v>
      </c>
      <c r="B6" s="11">
        <v>797</v>
      </c>
      <c r="C6" s="11">
        <v>4767</v>
      </c>
      <c r="D6" s="3">
        <f>SUM(StateSenatorSenateDistrict31General[[#This Row],[Part of Bronx County Vote Results]:[Part of New York County Vote Results]])</f>
        <v>5564</v>
      </c>
      <c r="E6" s="2"/>
    </row>
    <row r="7" spans="1:5" x14ac:dyDescent="0.2">
      <c r="A7" s="30" t="s">
        <v>0</v>
      </c>
      <c r="B7" s="11">
        <v>218</v>
      </c>
      <c r="C7" s="11">
        <v>512</v>
      </c>
      <c r="D7" s="3">
        <f>SUM(StateSenatorSenateDistrict31General[[#This Row],[Part of Bronx County Vote Results]:[Part of New York County Vote Results]])</f>
        <v>730</v>
      </c>
      <c r="E7" s="2"/>
    </row>
    <row r="8" spans="1:5" x14ac:dyDescent="0.2">
      <c r="A8" s="30" t="s">
        <v>1</v>
      </c>
      <c r="B8" s="11"/>
      <c r="C8" s="11"/>
      <c r="D8" s="3">
        <f>SUM(StateSenatorSenateDistrict31General[[#This Row],[Part of Bronx County Vote Results]:[Part of New York County Vote Results]])</f>
        <v>0</v>
      </c>
      <c r="E8" s="2"/>
    </row>
    <row r="9" spans="1:5" x14ac:dyDescent="0.2">
      <c r="A9" s="30" t="s">
        <v>5</v>
      </c>
      <c r="B9" s="26">
        <v>24</v>
      </c>
      <c r="C9" s="11">
        <v>87</v>
      </c>
      <c r="D9" s="13">
        <f>SUM(StateSenatorSenateDistrict31General[[#This Row],[Part of Bronx County Vote Results]:[Part of New York County Vote Results]])</f>
        <v>111</v>
      </c>
      <c r="E9" s="2"/>
    </row>
    <row r="10" spans="1:5" x14ac:dyDescent="0.2">
      <c r="A10" s="5" t="s">
        <v>2</v>
      </c>
      <c r="B10" s="11">
        <f>SUM(StateSenatorSenateDistrict31General[Part of Bronx County Vote Results])</f>
        <v>15921</v>
      </c>
      <c r="C10" s="11">
        <f>SUM(StateSenatorSenateDistrict31General[Part of New York County Vote Results])</f>
        <v>39385</v>
      </c>
      <c r="D10" s="3">
        <f>SUM(StateSenatorSenateDistrict31General[Total Votes by Party])</f>
        <v>55306</v>
      </c>
      <c r="E10" s="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28074-5B7E-4F10-BF49-ADBD249F0EBC}">
  <sheetPr>
    <pageSetUpPr fitToPage="1"/>
  </sheetPr>
  <dimension ref="A1:D10"/>
  <sheetViews>
    <sheetView workbookViewId="0">
      <selection sqref="A1:XFD1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s="43" customFormat="1" ht="18.75" x14ac:dyDescent="0.2">
      <c r="A1" s="42" t="s">
        <v>105</v>
      </c>
    </row>
    <row r="2" spans="1:4" ht="25.5" x14ac:dyDescent="0.2">
      <c r="A2" s="9" t="s">
        <v>8</v>
      </c>
      <c r="B2" s="38" t="s">
        <v>34</v>
      </c>
      <c r="C2" s="8" t="s">
        <v>3</v>
      </c>
      <c r="D2" s="7" t="s">
        <v>4</v>
      </c>
    </row>
    <row r="3" spans="1:4" ht="25.5" x14ac:dyDescent="0.2">
      <c r="A3" s="29" t="s">
        <v>69</v>
      </c>
      <c r="B3" s="11">
        <v>25144</v>
      </c>
      <c r="C3" s="3">
        <f>StateSenatorSenateDistrict32General[[#This Row],[Part of Bronx County Vote Results]]</f>
        <v>25144</v>
      </c>
      <c r="D3" s="6">
        <f>SUM(C3,C6)</f>
        <v>26020</v>
      </c>
    </row>
    <row r="4" spans="1:4" ht="25.5" x14ac:dyDescent="0.2">
      <c r="A4" s="29" t="s">
        <v>70</v>
      </c>
      <c r="B4" s="26">
        <v>4933</v>
      </c>
      <c r="C4" s="3">
        <f>StateSenatorSenateDistrict32General[[#This Row],[Part of Bronx County Vote Results]]</f>
        <v>4933</v>
      </c>
      <c r="D4" s="6">
        <f>SUM(C4,C5)</f>
        <v>5262</v>
      </c>
    </row>
    <row r="5" spans="1:4" ht="25.5" x14ac:dyDescent="0.2">
      <c r="A5" s="29" t="s">
        <v>71</v>
      </c>
      <c r="B5" s="11">
        <v>329</v>
      </c>
      <c r="C5" s="3">
        <f>StateSenatorSenateDistrict32General[[#This Row],[Part of Bronx County Vote Results]]</f>
        <v>329</v>
      </c>
      <c r="D5" s="2"/>
    </row>
    <row r="6" spans="1:4" ht="25.5" x14ac:dyDescent="0.2">
      <c r="A6" s="29" t="s">
        <v>72</v>
      </c>
      <c r="B6" s="11">
        <v>876</v>
      </c>
      <c r="C6" s="3">
        <f>StateSenatorSenateDistrict32General[[#This Row],[Part of Bronx County Vote Results]]</f>
        <v>876</v>
      </c>
      <c r="D6" s="2"/>
    </row>
    <row r="7" spans="1:4" x14ac:dyDescent="0.2">
      <c r="A7" s="30" t="s">
        <v>0</v>
      </c>
      <c r="B7" s="11">
        <v>463</v>
      </c>
      <c r="C7" s="3">
        <f>StateSenatorSenateDistrict32General[[#This Row],[Part of Bronx County Vote Results]]</f>
        <v>463</v>
      </c>
      <c r="D7" s="2"/>
    </row>
    <row r="8" spans="1:4" x14ac:dyDescent="0.2">
      <c r="A8" s="30" t="s">
        <v>1</v>
      </c>
      <c r="B8" s="11"/>
      <c r="C8" s="3">
        <f>StateSenatorSenateDistrict32General[[#This Row],[Part of Bronx County Vote Results]]</f>
        <v>0</v>
      </c>
      <c r="D8" s="2"/>
    </row>
    <row r="9" spans="1:4" x14ac:dyDescent="0.2">
      <c r="A9" s="30" t="s">
        <v>5</v>
      </c>
      <c r="B9" s="26">
        <v>34</v>
      </c>
      <c r="C9" s="13">
        <f>StateSenatorSenateDistrict32General[[#This Row],[Part of Bronx County Vote Results]]</f>
        <v>34</v>
      </c>
      <c r="D9" s="2"/>
    </row>
    <row r="10" spans="1:4" x14ac:dyDescent="0.2">
      <c r="A10" s="5" t="s">
        <v>2</v>
      </c>
      <c r="B10" s="11">
        <f>SUM(StateSenatorSenateDistrict32General[Part of Bronx County Vote Results])</f>
        <v>31779</v>
      </c>
      <c r="C10" s="3">
        <f>SUM(StateSenatorSenateDistrict32General[Total Votes by Party])</f>
        <v>31779</v>
      </c>
      <c r="D10" s="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3DE15-9DF1-4167-A8F8-5A907E0C529A}">
  <sheetPr>
    <pageSetUpPr fitToPage="1"/>
  </sheetPr>
  <dimension ref="A1:D10"/>
  <sheetViews>
    <sheetView workbookViewId="0">
      <selection sqref="A1:XFD1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s="43" customFormat="1" ht="18.75" x14ac:dyDescent="0.2">
      <c r="A1" s="42" t="s">
        <v>106</v>
      </c>
    </row>
    <row r="2" spans="1:4" ht="25.5" x14ac:dyDescent="0.2">
      <c r="A2" s="9" t="s">
        <v>8</v>
      </c>
      <c r="B2" s="38" t="s">
        <v>34</v>
      </c>
      <c r="C2" s="8" t="s">
        <v>3</v>
      </c>
      <c r="D2" s="7" t="s">
        <v>4</v>
      </c>
    </row>
    <row r="3" spans="1:4" ht="25.5" x14ac:dyDescent="0.2">
      <c r="A3" s="29" t="s">
        <v>69</v>
      </c>
      <c r="B3" s="11">
        <v>30808</v>
      </c>
      <c r="C3" s="3">
        <f>StateSenatorSenateDistrict33General[[#This Row],[Part of Bronx County Vote Results]]</f>
        <v>30808</v>
      </c>
      <c r="D3" s="6">
        <f>SUM(C3,C6)</f>
        <v>33183</v>
      </c>
    </row>
    <row r="4" spans="1:4" ht="25.5" x14ac:dyDescent="0.2">
      <c r="A4" s="29" t="s">
        <v>70</v>
      </c>
      <c r="B4" s="11">
        <v>10026</v>
      </c>
      <c r="C4" s="3">
        <f>StateSenatorSenateDistrict33General[[#This Row],[Part of Bronx County Vote Results]]</f>
        <v>10026</v>
      </c>
      <c r="D4" s="6">
        <f t="shared" ref="D4" si="0">SUM(C4,C5)</f>
        <v>10803</v>
      </c>
    </row>
    <row r="5" spans="1:4" ht="25.5" x14ac:dyDescent="0.2">
      <c r="A5" s="29" t="s">
        <v>71</v>
      </c>
      <c r="B5" s="11">
        <v>777</v>
      </c>
      <c r="C5" s="3">
        <f>StateSenatorSenateDistrict33General[[#This Row],[Part of Bronx County Vote Results]]</f>
        <v>777</v>
      </c>
      <c r="D5" s="2"/>
    </row>
    <row r="6" spans="1:4" ht="25.5" x14ac:dyDescent="0.2">
      <c r="A6" s="29" t="s">
        <v>72</v>
      </c>
      <c r="B6" s="11">
        <v>2375</v>
      </c>
      <c r="C6" s="3">
        <f>StateSenatorSenateDistrict33General[[#This Row],[Part of Bronx County Vote Results]]</f>
        <v>2375</v>
      </c>
      <c r="D6" s="2"/>
    </row>
    <row r="7" spans="1:4" x14ac:dyDescent="0.2">
      <c r="A7" s="30" t="s">
        <v>0</v>
      </c>
      <c r="B7" s="11">
        <v>518</v>
      </c>
      <c r="C7" s="3">
        <f>StateSenatorSenateDistrict33General[[#This Row],[Part of Bronx County Vote Results]]</f>
        <v>518</v>
      </c>
      <c r="D7" s="2"/>
    </row>
    <row r="8" spans="1:4" x14ac:dyDescent="0.2">
      <c r="A8" s="30" t="s">
        <v>1</v>
      </c>
      <c r="B8" s="26"/>
      <c r="C8" s="13">
        <f>StateSenatorSenateDistrict33General[[#This Row],[Part of Bronx County Vote Results]]</f>
        <v>0</v>
      </c>
      <c r="D8" s="2"/>
    </row>
    <row r="9" spans="1:4" x14ac:dyDescent="0.2">
      <c r="A9" s="30" t="s">
        <v>5</v>
      </c>
      <c r="B9" s="26">
        <v>60</v>
      </c>
      <c r="C9" s="13">
        <f>StateSenatorSenateDistrict33General[[#This Row],[Part of Bronx County Vote Results]]</f>
        <v>60</v>
      </c>
      <c r="D9" s="2"/>
    </row>
    <row r="10" spans="1:4" x14ac:dyDescent="0.2">
      <c r="A10" s="5" t="s">
        <v>2</v>
      </c>
      <c r="B10" s="11">
        <f>SUM(StateSenatorSenateDistrict33General[Part of Bronx County Vote Results])</f>
        <v>44564</v>
      </c>
      <c r="C10" s="3">
        <f>SUM(StateSenatorSenateDistrict33General[Total Votes by Party])</f>
        <v>44564</v>
      </c>
      <c r="D10" s="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D8AB2-932C-483D-AC54-CA840EA6ECD4}">
  <sheetPr>
    <pageSetUpPr fitToPage="1"/>
  </sheetPr>
  <dimension ref="A1:E10"/>
  <sheetViews>
    <sheetView workbookViewId="0">
      <selection sqref="A1:XFD1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s="43" customFormat="1" ht="18.75" x14ac:dyDescent="0.2">
      <c r="A1" s="42" t="s">
        <v>107</v>
      </c>
    </row>
    <row r="2" spans="1:5" ht="25.5" x14ac:dyDescent="0.2">
      <c r="A2" s="9" t="s">
        <v>8</v>
      </c>
      <c r="B2" s="38" t="s">
        <v>34</v>
      </c>
      <c r="C2" s="38" t="s">
        <v>35</v>
      </c>
      <c r="D2" s="8" t="s">
        <v>3</v>
      </c>
      <c r="E2" s="7" t="s">
        <v>4</v>
      </c>
    </row>
    <row r="3" spans="1:5" ht="25.5" x14ac:dyDescent="0.2">
      <c r="A3" s="29" t="s">
        <v>69</v>
      </c>
      <c r="B3" s="11">
        <v>25353</v>
      </c>
      <c r="C3" s="11">
        <v>9622</v>
      </c>
      <c r="D3" s="3">
        <f>SUM(StateSenatorSenateDistrict34General[[#This Row],[Part of Bronx County Vote Results]:[Part of Westchester County Vote Results]])</f>
        <v>34975</v>
      </c>
      <c r="E3" s="6">
        <f>SUM(D3,D6)</f>
        <v>36933</v>
      </c>
    </row>
    <row r="4" spans="1:5" ht="25.5" x14ac:dyDescent="0.2">
      <c r="A4" s="29" t="s">
        <v>70</v>
      </c>
      <c r="B4" s="11">
        <v>13753</v>
      </c>
      <c r="C4" s="11">
        <v>4920</v>
      </c>
      <c r="D4" s="3">
        <f>SUM(StateSenatorSenateDistrict34General[[#This Row],[Part of Bronx County Vote Results]:[Part of Westchester County Vote Results]])</f>
        <v>18673</v>
      </c>
      <c r="E4" s="6">
        <f>SUM(D4,D5)</f>
        <v>20136</v>
      </c>
    </row>
    <row r="5" spans="1:5" ht="25.5" x14ac:dyDescent="0.2">
      <c r="A5" s="29" t="s">
        <v>71</v>
      </c>
      <c r="B5" s="11">
        <v>1037</v>
      </c>
      <c r="C5" s="11">
        <v>426</v>
      </c>
      <c r="D5" s="3">
        <f>SUM(StateSenatorSenateDistrict34General[[#This Row],[Part of Bronx County Vote Results]:[Part of Westchester County Vote Results]])</f>
        <v>1463</v>
      </c>
      <c r="E5" s="2"/>
    </row>
    <row r="6" spans="1:5" ht="25.5" x14ac:dyDescent="0.2">
      <c r="A6" s="29" t="s">
        <v>72</v>
      </c>
      <c r="B6" s="11">
        <v>1360</v>
      </c>
      <c r="C6" s="11">
        <v>598</v>
      </c>
      <c r="D6" s="3">
        <f>SUM(StateSenatorSenateDistrict34General[[#This Row],[Part of Bronx County Vote Results]:[Part of Westchester County Vote Results]])</f>
        <v>1958</v>
      </c>
      <c r="E6" s="2"/>
    </row>
    <row r="7" spans="1:5" x14ac:dyDescent="0.2">
      <c r="A7" s="30" t="s">
        <v>0</v>
      </c>
      <c r="B7" s="11">
        <v>402</v>
      </c>
      <c r="C7" s="11">
        <v>148</v>
      </c>
      <c r="D7" s="3">
        <f>SUM(StateSenatorSenateDistrict34General[[#This Row],[Part of Bronx County Vote Results]:[Part of Westchester County Vote Results]])</f>
        <v>550</v>
      </c>
      <c r="E7" s="2"/>
    </row>
    <row r="8" spans="1:5" x14ac:dyDescent="0.2">
      <c r="A8" s="30" t="s">
        <v>1</v>
      </c>
      <c r="B8" s="11"/>
      <c r="C8" s="11"/>
      <c r="D8" s="3">
        <f>SUM(StateSenatorSenateDistrict34General[[#This Row],[Part of Bronx County Vote Results]:[Part of Westchester County Vote Results]])</f>
        <v>0</v>
      </c>
      <c r="E8" s="2"/>
    </row>
    <row r="9" spans="1:5" x14ac:dyDescent="0.2">
      <c r="A9" s="30" t="s">
        <v>5</v>
      </c>
      <c r="B9" s="11">
        <v>52</v>
      </c>
      <c r="C9" s="14">
        <v>14</v>
      </c>
      <c r="D9" s="3">
        <f>SUM(StateSenatorSenateDistrict34General[[#This Row],[Part of Bronx County Vote Results]:[Part of Westchester County Vote Results]])</f>
        <v>66</v>
      </c>
      <c r="E9" s="12"/>
    </row>
    <row r="10" spans="1:5" x14ac:dyDescent="0.2">
      <c r="A10" s="5" t="s">
        <v>2</v>
      </c>
      <c r="B10" s="11">
        <f>SUM(StateSenatorSenateDistrict34General[Part of Bronx County Vote Results])</f>
        <v>41957</v>
      </c>
      <c r="C10" s="11">
        <f>SUM(StateSenatorSenateDistrict34General[Part of Westchester County Vote Results])</f>
        <v>15728</v>
      </c>
      <c r="D10" s="3">
        <f>SUM(StateSenatorSenateDistrict34General[Total Votes by Party])</f>
        <v>57685</v>
      </c>
      <c r="E10" s="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DDBFC-496C-41D8-95A0-4F3F2E3D3863}">
  <sheetPr>
    <pageSetUpPr fitToPage="1"/>
  </sheetPr>
  <dimension ref="A1:D10"/>
  <sheetViews>
    <sheetView workbookViewId="0">
      <selection sqref="A1:XFD1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s="43" customFormat="1" ht="18.75" x14ac:dyDescent="0.2">
      <c r="A1" s="42" t="s">
        <v>108</v>
      </c>
    </row>
    <row r="2" spans="1:4" ht="25.5" x14ac:dyDescent="0.2">
      <c r="A2" s="9" t="s">
        <v>8</v>
      </c>
      <c r="B2" s="38" t="s">
        <v>35</v>
      </c>
      <c r="C2" s="8" t="s">
        <v>3</v>
      </c>
      <c r="D2" s="7" t="s">
        <v>4</v>
      </c>
    </row>
    <row r="3" spans="1:4" ht="25.5" x14ac:dyDescent="0.2">
      <c r="A3" s="29" t="s">
        <v>69</v>
      </c>
      <c r="B3" s="11">
        <v>51835</v>
      </c>
      <c r="C3" s="3">
        <f>StateSenatorSenateDistrict35General[[#This Row],[Part of Westchester County Vote Results]]</f>
        <v>51835</v>
      </c>
      <c r="D3" s="6">
        <f>SUM(C3,C6)</f>
        <v>55206</v>
      </c>
    </row>
    <row r="4" spans="1:4" ht="25.5" x14ac:dyDescent="0.2">
      <c r="A4" s="29" t="s">
        <v>70</v>
      </c>
      <c r="B4" s="14">
        <v>32293</v>
      </c>
      <c r="C4" s="3">
        <f>StateSenatorSenateDistrict35General[[#This Row],[Part of Westchester County Vote Results]]</f>
        <v>32293</v>
      </c>
      <c r="D4" s="6">
        <f>SUM(C4,C5)</f>
        <v>35197</v>
      </c>
    </row>
    <row r="5" spans="1:4" ht="25.5" x14ac:dyDescent="0.2">
      <c r="A5" s="29" t="s">
        <v>71</v>
      </c>
      <c r="B5" s="11">
        <v>2904</v>
      </c>
      <c r="C5" s="3">
        <f>StateSenatorSenateDistrict35General[[#This Row],[Part of Westchester County Vote Results]]</f>
        <v>2904</v>
      </c>
      <c r="D5" s="2"/>
    </row>
    <row r="6" spans="1:4" ht="25.5" x14ac:dyDescent="0.2">
      <c r="A6" s="29" t="s">
        <v>72</v>
      </c>
      <c r="B6" s="11">
        <v>3371</v>
      </c>
      <c r="C6" s="3">
        <f>StateSenatorSenateDistrict35General[[#This Row],[Part of Westchester County Vote Results]]</f>
        <v>3371</v>
      </c>
      <c r="D6" s="2"/>
    </row>
    <row r="7" spans="1:4" x14ac:dyDescent="0.2">
      <c r="A7" s="30" t="s">
        <v>0</v>
      </c>
      <c r="B7" s="11">
        <v>923</v>
      </c>
      <c r="C7" s="3">
        <f>StateSenatorSenateDistrict35General[[#This Row],[Part of Westchester County Vote Results]]</f>
        <v>923</v>
      </c>
      <c r="D7" s="2"/>
    </row>
    <row r="8" spans="1:4" x14ac:dyDescent="0.2">
      <c r="A8" s="30" t="s">
        <v>1</v>
      </c>
      <c r="B8" s="11"/>
      <c r="C8" s="3">
        <f>StateSenatorSenateDistrict35General[[#This Row],[Part of Westchester County Vote Results]]</f>
        <v>0</v>
      </c>
      <c r="D8" s="2"/>
    </row>
    <row r="9" spans="1:4" x14ac:dyDescent="0.2">
      <c r="A9" s="30" t="s">
        <v>5</v>
      </c>
      <c r="B9" s="14">
        <v>68</v>
      </c>
      <c r="C9" s="3">
        <f>StateSenatorSenateDistrict35General[[#This Row],[Part of Westchester County Vote Results]]</f>
        <v>68</v>
      </c>
      <c r="D9" s="2"/>
    </row>
    <row r="10" spans="1:4" x14ac:dyDescent="0.2">
      <c r="A10" s="5" t="s">
        <v>2</v>
      </c>
      <c r="B10" s="11">
        <f>SUM(StateSenatorSenateDistrict35General[Part of Westchester County Vote Results])</f>
        <v>91394</v>
      </c>
      <c r="C10" s="3">
        <f>SUM(StateSenatorSenateDistrict35General[Total Votes by Party])</f>
        <v>91394</v>
      </c>
      <c r="D10" s="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86A5D-83B2-4DEA-8F91-0E5B4CB76CAD}">
  <sheetPr>
    <pageSetUpPr fitToPage="1"/>
  </sheetPr>
  <dimension ref="A1:E10"/>
  <sheetViews>
    <sheetView workbookViewId="0"/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42" t="s">
        <v>109</v>
      </c>
    </row>
    <row r="2" spans="1:5" ht="25.5" x14ac:dyDescent="0.2">
      <c r="A2" s="9" t="s">
        <v>8</v>
      </c>
      <c r="B2" s="38" t="s">
        <v>34</v>
      </c>
      <c r="C2" s="38" t="s">
        <v>35</v>
      </c>
      <c r="D2" s="8" t="s">
        <v>3</v>
      </c>
      <c r="E2" s="7" t="s">
        <v>4</v>
      </c>
    </row>
    <row r="3" spans="1:5" ht="25.5" x14ac:dyDescent="0.2">
      <c r="A3" s="29" t="s">
        <v>69</v>
      </c>
      <c r="B3" s="11">
        <v>36815</v>
      </c>
      <c r="C3" s="11">
        <v>12619</v>
      </c>
      <c r="D3" s="3">
        <f>SUM(StateSenatorSenateDistrict36General[[#This Row],[Part of Bronx County Vote Results]:[Part of Westchester County Vote Results]])</f>
        <v>49434</v>
      </c>
      <c r="E3" s="6">
        <f>SUM(D3,D6)</f>
        <v>51042</v>
      </c>
    </row>
    <row r="4" spans="1:5" ht="25.5" x14ac:dyDescent="0.2">
      <c r="A4" s="29" t="s">
        <v>70</v>
      </c>
      <c r="B4" s="11">
        <v>6073</v>
      </c>
      <c r="C4" s="11">
        <v>2147</v>
      </c>
      <c r="D4" s="3">
        <f>SUM(StateSenatorSenateDistrict36General[[#This Row],[Part of Bronx County Vote Results]:[Part of Westchester County Vote Results]])</f>
        <v>8220</v>
      </c>
      <c r="E4" s="6">
        <f>SUM(D4,D5)</f>
        <v>9050</v>
      </c>
    </row>
    <row r="5" spans="1:5" ht="25.5" x14ac:dyDescent="0.2">
      <c r="A5" s="29" t="s">
        <v>71</v>
      </c>
      <c r="B5" s="11">
        <v>600</v>
      </c>
      <c r="C5" s="11">
        <v>230</v>
      </c>
      <c r="D5" s="3">
        <f>SUM(StateSenatorSenateDistrict36General[[#This Row],[Part of Bronx County Vote Results]:[Part of Westchester County Vote Results]])</f>
        <v>830</v>
      </c>
      <c r="E5" s="2"/>
    </row>
    <row r="6" spans="1:5" ht="25.5" x14ac:dyDescent="0.2">
      <c r="A6" s="29" t="s">
        <v>72</v>
      </c>
      <c r="B6" s="11">
        <v>1212</v>
      </c>
      <c r="C6" s="11">
        <v>396</v>
      </c>
      <c r="D6" s="3">
        <f>SUM(StateSenatorSenateDistrict36General[[#This Row],[Part of Bronx County Vote Results]:[Part of Westchester County Vote Results]])</f>
        <v>1608</v>
      </c>
      <c r="E6" s="2"/>
    </row>
    <row r="7" spans="1:5" x14ac:dyDescent="0.2">
      <c r="A7" s="30" t="s">
        <v>0</v>
      </c>
      <c r="B7" s="11">
        <v>425</v>
      </c>
      <c r="C7" s="14">
        <v>174</v>
      </c>
      <c r="D7" s="3">
        <f>SUM(StateSenatorSenateDistrict36General[[#This Row],[Part of Bronx County Vote Results]:[Part of Westchester County Vote Results]])</f>
        <v>599</v>
      </c>
      <c r="E7" s="12"/>
    </row>
    <row r="8" spans="1:5" x14ac:dyDescent="0.2">
      <c r="A8" s="30" t="s">
        <v>1</v>
      </c>
      <c r="B8" s="11"/>
      <c r="C8" s="14"/>
      <c r="D8" s="3">
        <f>SUM(StateSenatorSenateDistrict36General[[#This Row],[Part of Bronx County Vote Results]:[Part of Westchester County Vote Results]])</f>
        <v>0</v>
      </c>
      <c r="E8" s="12"/>
    </row>
    <row r="9" spans="1:5" x14ac:dyDescent="0.2">
      <c r="A9" s="30" t="s">
        <v>5</v>
      </c>
      <c r="B9" s="11">
        <v>35</v>
      </c>
      <c r="C9" s="14">
        <v>17</v>
      </c>
      <c r="D9" s="3">
        <f>SUM(StateSenatorSenateDistrict36General[[#This Row],[Part of Bronx County Vote Results]:[Part of Westchester County Vote Results]])</f>
        <v>52</v>
      </c>
      <c r="E9" s="12"/>
    </row>
    <row r="10" spans="1:5" x14ac:dyDescent="0.2">
      <c r="A10" s="5" t="s">
        <v>2</v>
      </c>
      <c r="B10" s="11">
        <f>SUM(StateSenatorSenateDistrict36General[Part of Bronx County Vote Results])</f>
        <v>45160</v>
      </c>
      <c r="C10" s="11">
        <f>SUM(StateSenatorSenateDistrict36General[Part of Westchester County Vote Results])</f>
        <v>15583</v>
      </c>
      <c r="D10" s="3">
        <f>SUM(StateSenatorSenateDistrict36General[Total Votes by Party])</f>
        <v>60743</v>
      </c>
      <c r="E10" s="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A289B-26CC-4983-9B1E-97E27BFF9216}">
  <sheetPr>
    <pageSetUpPr fitToPage="1"/>
  </sheetPr>
  <dimension ref="A1:D10"/>
  <sheetViews>
    <sheetView workbookViewId="0">
      <selection activeCell="E19" sqref="E19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42" t="s">
        <v>110</v>
      </c>
    </row>
    <row r="2" spans="1:4" ht="25.5" x14ac:dyDescent="0.2">
      <c r="A2" s="9" t="s">
        <v>8</v>
      </c>
      <c r="B2" s="38" t="s">
        <v>35</v>
      </c>
      <c r="C2" s="8" t="s">
        <v>3</v>
      </c>
      <c r="D2" s="7" t="s">
        <v>4</v>
      </c>
    </row>
    <row r="3" spans="1:4" ht="25.5" x14ac:dyDescent="0.2">
      <c r="A3" s="29" t="s">
        <v>69</v>
      </c>
      <c r="B3" s="14">
        <v>63416</v>
      </c>
      <c r="C3" s="3">
        <f>StateSenatorSenateDistrict37General[[#This Row],[Part of Westchester County Vote Results]]</f>
        <v>63416</v>
      </c>
      <c r="D3" s="6">
        <f>SUM(C3,C6)</f>
        <v>66594</v>
      </c>
    </row>
    <row r="4" spans="1:4" ht="25.5" x14ac:dyDescent="0.2">
      <c r="A4" s="29" t="s">
        <v>70</v>
      </c>
      <c r="B4" s="14">
        <v>44871</v>
      </c>
      <c r="C4" s="3">
        <f>StateSenatorSenateDistrict37General[[#This Row],[Part of Westchester County Vote Results]]</f>
        <v>44871</v>
      </c>
      <c r="D4" s="6">
        <f>SUM(C4,C5)</f>
        <v>48544</v>
      </c>
    </row>
    <row r="5" spans="1:4" ht="25.5" x14ac:dyDescent="0.2">
      <c r="A5" s="29" t="s">
        <v>71</v>
      </c>
      <c r="B5" s="14">
        <v>3673</v>
      </c>
      <c r="C5" s="3">
        <f>StateSenatorSenateDistrict37General[[#This Row],[Part of Westchester County Vote Results]]</f>
        <v>3673</v>
      </c>
      <c r="D5" s="2"/>
    </row>
    <row r="6" spans="1:4" ht="25.5" x14ac:dyDescent="0.2">
      <c r="A6" s="29" t="s">
        <v>72</v>
      </c>
      <c r="B6" s="14">
        <v>3178</v>
      </c>
      <c r="C6" s="3">
        <f>StateSenatorSenateDistrict37General[[#This Row],[Part of Westchester County Vote Results]]</f>
        <v>3178</v>
      </c>
      <c r="D6" s="2"/>
    </row>
    <row r="7" spans="1:4" x14ac:dyDescent="0.2">
      <c r="A7" s="30" t="s">
        <v>0</v>
      </c>
      <c r="B7" s="14">
        <v>1124</v>
      </c>
      <c r="C7" s="3">
        <f>StateSenatorSenateDistrict37General[[#This Row],[Part of Westchester County Vote Results]]</f>
        <v>1124</v>
      </c>
      <c r="D7" s="2"/>
    </row>
    <row r="8" spans="1:4" x14ac:dyDescent="0.2">
      <c r="A8" s="30" t="s">
        <v>1</v>
      </c>
      <c r="B8" s="14"/>
      <c r="C8" s="3">
        <f>StateSenatorSenateDistrict37General[[#This Row],[Part of Westchester County Vote Results]]</f>
        <v>0</v>
      </c>
      <c r="D8" s="2"/>
    </row>
    <row r="9" spans="1:4" x14ac:dyDescent="0.2">
      <c r="A9" s="30" t="s">
        <v>5</v>
      </c>
      <c r="B9" s="14">
        <v>100</v>
      </c>
      <c r="C9" s="3">
        <f>StateSenatorSenateDistrict37General[[#This Row],[Part of Westchester County Vote Results]]</f>
        <v>100</v>
      </c>
      <c r="D9" s="2"/>
    </row>
    <row r="10" spans="1:4" x14ac:dyDescent="0.2">
      <c r="A10" s="5" t="s">
        <v>2</v>
      </c>
      <c r="B10" s="14">
        <f>SUM(StateSenatorSenateDistrict37General[Part of Westchester County Vote Results])</f>
        <v>116362</v>
      </c>
      <c r="C10" s="3">
        <f>SUM(StateSenatorSenateDistrict37General[Total Votes by Party])</f>
        <v>116362</v>
      </c>
      <c r="D10" s="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9847E-AA60-4087-81B7-80E570AC0CDD}">
  <sheetPr>
    <pageSetUpPr fitToPage="1"/>
  </sheetPr>
  <dimension ref="A1:D10"/>
  <sheetViews>
    <sheetView workbookViewId="0">
      <selection activeCell="G22" sqref="G2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42" t="s">
        <v>111</v>
      </c>
    </row>
    <row r="2" spans="1:4" ht="25.5" x14ac:dyDescent="0.2">
      <c r="A2" s="9" t="s">
        <v>8</v>
      </c>
      <c r="B2" s="38" t="s">
        <v>47</v>
      </c>
      <c r="C2" s="8" t="s">
        <v>3</v>
      </c>
      <c r="D2" s="7" t="s">
        <v>4</v>
      </c>
    </row>
    <row r="3" spans="1:4" ht="25.5" x14ac:dyDescent="0.2">
      <c r="A3" s="29" t="s">
        <v>69</v>
      </c>
      <c r="B3" s="11">
        <v>45264</v>
      </c>
      <c r="C3" s="3">
        <f>StateSenatorSenateDistrict38General[[#This Row],[Part of Rockland County Vote Results]]</f>
        <v>45264</v>
      </c>
      <c r="D3" s="6">
        <f>SUM(C3,C6)</f>
        <v>47872</v>
      </c>
    </row>
    <row r="4" spans="1:4" ht="25.5" x14ac:dyDescent="0.2">
      <c r="A4" s="29" t="s">
        <v>70</v>
      </c>
      <c r="B4" s="11">
        <v>42612</v>
      </c>
      <c r="C4" s="3">
        <f>StateSenatorSenateDistrict38General[[#This Row],[Part of Rockland County Vote Results]]</f>
        <v>42612</v>
      </c>
      <c r="D4" s="6">
        <f>SUM(C4,C5)</f>
        <v>51085</v>
      </c>
    </row>
    <row r="5" spans="1:4" ht="25.5" x14ac:dyDescent="0.2">
      <c r="A5" s="29" t="s">
        <v>71</v>
      </c>
      <c r="B5" s="11">
        <v>8473</v>
      </c>
      <c r="C5" s="3">
        <f>StateSenatorSenateDistrict38General[[#This Row],[Part of Rockland County Vote Results]]</f>
        <v>8473</v>
      </c>
      <c r="D5" s="2"/>
    </row>
    <row r="6" spans="1:4" ht="25.5" x14ac:dyDescent="0.2">
      <c r="A6" s="29" t="s">
        <v>72</v>
      </c>
      <c r="B6" s="11">
        <v>2608</v>
      </c>
      <c r="C6" s="3">
        <f>StateSenatorSenateDistrict38General[[#This Row],[Part of Rockland County Vote Results]]</f>
        <v>2608</v>
      </c>
      <c r="D6" s="2"/>
    </row>
    <row r="7" spans="1:4" x14ac:dyDescent="0.2">
      <c r="A7" s="30" t="s">
        <v>0</v>
      </c>
      <c r="B7" s="11">
        <v>5047</v>
      </c>
      <c r="C7" s="3">
        <f>StateSenatorSenateDistrict38General[[#This Row],[Part of Rockland County Vote Results]]</f>
        <v>5047</v>
      </c>
      <c r="D7" s="2"/>
    </row>
    <row r="8" spans="1:4" x14ac:dyDescent="0.2">
      <c r="A8" s="30" t="s">
        <v>1</v>
      </c>
      <c r="B8" s="11">
        <v>46</v>
      </c>
      <c r="C8" s="3">
        <f>StateSenatorSenateDistrict38General[[#This Row],[Part of Rockland County Vote Results]]</f>
        <v>46</v>
      </c>
      <c r="D8" s="2"/>
    </row>
    <row r="9" spans="1:4" x14ac:dyDescent="0.2">
      <c r="A9" s="30" t="s">
        <v>5</v>
      </c>
      <c r="B9" s="11">
        <v>115</v>
      </c>
      <c r="C9" s="3">
        <f>StateSenatorSenateDistrict38General[[#This Row],[Part of Rockland County Vote Results]]</f>
        <v>115</v>
      </c>
      <c r="D9" s="2"/>
    </row>
    <row r="10" spans="1:4" x14ac:dyDescent="0.2">
      <c r="A10" s="31" t="s">
        <v>2</v>
      </c>
      <c r="B10" s="11">
        <f>SUM(StateSenatorSenateDistrict38General[Part of Rockland County Vote Results])</f>
        <v>104165</v>
      </c>
      <c r="C10" s="3">
        <f>SUM(StateSenatorSenateDistrict38General[Total Votes by Party])</f>
        <v>104165</v>
      </c>
      <c r="D10" s="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F0ED1-FC78-4F20-9444-BA082BB7BC34}">
  <sheetPr>
    <pageSetUpPr fitToPage="1"/>
  </sheetPr>
  <dimension ref="A1:F10"/>
  <sheetViews>
    <sheetView zoomScaleNormal="100" zoomScaleSheetLayoutView="100" workbookViewId="0">
      <selection sqref="A1:XFD1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s="43" customFormat="1" ht="18.75" x14ac:dyDescent="0.2">
      <c r="A1" s="42" t="s">
        <v>112</v>
      </c>
    </row>
    <row r="2" spans="1:6" ht="25.5" x14ac:dyDescent="0.2">
      <c r="A2" s="9" t="s">
        <v>8</v>
      </c>
      <c r="B2" s="38" t="s">
        <v>36</v>
      </c>
      <c r="C2" s="38" t="s">
        <v>48</v>
      </c>
      <c r="D2" s="38" t="s">
        <v>49</v>
      </c>
      <c r="E2" s="8" t="s">
        <v>3</v>
      </c>
      <c r="F2" s="7" t="s">
        <v>4</v>
      </c>
    </row>
    <row r="3" spans="1:6" ht="25.5" x14ac:dyDescent="0.2">
      <c r="A3" s="29" t="s">
        <v>69</v>
      </c>
      <c r="B3" s="11">
        <v>34708</v>
      </c>
      <c r="C3" s="11">
        <v>10079</v>
      </c>
      <c r="D3" s="11">
        <v>4617</v>
      </c>
      <c r="E3" s="3">
        <f>SUM(StateSenatorSenateDistrict39General[[#This Row],[Part of Dutchess County Vote Results]:[Part of Putnam County Vote Results]])</f>
        <v>49404</v>
      </c>
      <c r="F3" s="6">
        <f>SUM(E6,E3)</f>
        <v>53505</v>
      </c>
    </row>
    <row r="4" spans="1:6" ht="25.5" x14ac:dyDescent="0.2">
      <c r="A4" s="29" t="s">
        <v>70</v>
      </c>
      <c r="B4" s="11">
        <v>37609</v>
      </c>
      <c r="C4" s="11">
        <v>11307</v>
      </c>
      <c r="D4" s="11">
        <v>4268</v>
      </c>
      <c r="E4" s="3">
        <f>SUM(StateSenatorSenateDistrict39General[[#This Row],[Part of Dutchess County Vote Results]:[Part of Putnam County Vote Results]])</f>
        <v>53184</v>
      </c>
      <c r="F4" s="6">
        <f>SUM(E4,E5)</f>
        <v>59701</v>
      </c>
    </row>
    <row r="5" spans="1:6" ht="25.5" x14ac:dyDescent="0.2">
      <c r="A5" s="29" t="s">
        <v>71</v>
      </c>
      <c r="B5" s="11">
        <v>4685</v>
      </c>
      <c r="C5" s="11">
        <v>1235</v>
      </c>
      <c r="D5" s="11">
        <v>597</v>
      </c>
      <c r="E5" s="3">
        <f>SUM(StateSenatorSenateDistrict39General[[#This Row],[Part of Dutchess County Vote Results]:[Part of Putnam County Vote Results]])</f>
        <v>6517</v>
      </c>
      <c r="F5" s="2"/>
    </row>
    <row r="6" spans="1:6" ht="25.5" x14ac:dyDescent="0.2">
      <c r="A6" s="29" t="s">
        <v>72</v>
      </c>
      <c r="B6" s="11">
        <v>2849</v>
      </c>
      <c r="C6" s="11">
        <v>686</v>
      </c>
      <c r="D6" s="11">
        <v>566</v>
      </c>
      <c r="E6" s="3">
        <f>SUM(StateSenatorSenateDistrict39General[[#This Row],[Part of Dutchess County Vote Results]:[Part of Putnam County Vote Results]])</f>
        <v>4101</v>
      </c>
      <c r="F6" s="2"/>
    </row>
    <row r="7" spans="1:6" x14ac:dyDescent="0.2">
      <c r="A7" s="30" t="s">
        <v>0</v>
      </c>
      <c r="B7" s="11">
        <v>358</v>
      </c>
      <c r="C7" s="11">
        <v>120</v>
      </c>
      <c r="D7" s="11">
        <v>81</v>
      </c>
      <c r="E7" s="3">
        <f>SUM(StateSenatorSenateDistrict39General[[#This Row],[Part of Dutchess County Vote Results]:[Part of Putnam County Vote Results]])</f>
        <v>559</v>
      </c>
      <c r="F7" s="2"/>
    </row>
    <row r="8" spans="1:6" x14ac:dyDescent="0.2">
      <c r="A8" s="30" t="s">
        <v>1</v>
      </c>
      <c r="B8" s="11">
        <v>24</v>
      </c>
      <c r="C8" s="11">
        <v>10</v>
      </c>
      <c r="D8" s="11">
        <v>0</v>
      </c>
      <c r="E8" s="3">
        <f>SUM(StateSenatorSenateDistrict39General[[#This Row],[Part of Dutchess County Vote Results]:[Part of Putnam County Vote Results]])</f>
        <v>34</v>
      </c>
      <c r="F8" s="2"/>
    </row>
    <row r="9" spans="1:6" x14ac:dyDescent="0.2">
      <c r="A9" s="30" t="s">
        <v>5</v>
      </c>
      <c r="B9" s="11">
        <v>93</v>
      </c>
      <c r="C9" s="14">
        <v>26</v>
      </c>
      <c r="D9" s="11">
        <v>10</v>
      </c>
      <c r="E9" s="3">
        <f>SUM(StateSenatorSenateDistrict39General[[#This Row],[Part of Dutchess County Vote Results]:[Part of Putnam County Vote Results]])</f>
        <v>129</v>
      </c>
      <c r="F9" s="12"/>
    </row>
    <row r="10" spans="1:6" x14ac:dyDescent="0.2">
      <c r="A10" s="5" t="s">
        <v>2</v>
      </c>
      <c r="B10" s="11">
        <f>SUM(StateSenatorSenateDistrict39General[Part of Dutchess County Vote Results])</f>
        <v>80326</v>
      </c>
      <c r="C10" s="11">
        <f>SUM(StateSenatorSenateDistrict39General[Part of Orange County Vote Results])</f>
        <v>23463</v>
      </c>
      <c r="D10" s="11">
        <f>SUM(StateSenatorSenateDistrict39General[Part of Putnam County Vote Results])</f>
        <v>10139</v>
      </c>
      <c r="E10" s="3">
        <f>SUM(StateSenatorSenateDistrict39General[Total Votes by Party])</f>
        <v>113928</v>
      </c>
      <c r="F10" s="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36AA0-F357-47C4-A860-821735EE9138}">
  <sheetPr>
    <pageSetUpPr fitToPage="1"/>
  </sheetPr>
  <dimension ref="A1:D10"/>
  <sheetViews>
    <sheetView workbookViewId="0"/>
  </sheetViews>
  <sheetFormatPr defaultRowHeight="12.75" x14ac:dyDescent="0.2"/>
  <cols>
    <col min="1" max="1" width="25.5703125" style="1" customWidth="1"/>
    <col min="2" max="4" width="20.5703125" customWidth="1"/>
    <col min="5" max="6" width="23.5703125" customWidth="1"/>
  </cols>
  <sheetData>
    <row r="1" spans="1:4" ht="24.95" customHeight="1" x14ac:dyDescent="0.2">
      <c r="A1" s="32" t="s">
        <v>77</v>
      </c>
    </row>
    <row r="2" spans="1:4" ht="24.95" customHeight="1" x14ac:dyDescent="0.2">
      <c r="A2" s="33" t="s">
        <v>8</v>
      </c>
      <c r="B2" s="38" t="s">
        <v>29</v>
      </c>
      <c r="C2" s="8" t="s">
        <v>3</v>
      </c>
      <c r="D2" s="7" t="s">
        <v>4</v>
      </c>
    </row>
    <row r="3" spans="1:4" ht="25.5" x14ac:dyDescent="0.2">
      <c r="A3" s="29" t="s">
        <v>69</v>
      </c>
      <c r="B3" s="4">
        <v>36183</v>
      </c>
      <c r="C3" s="3">
        <f>StateSenatorSenateDistrict4General43[[#This Row],[Part of Suffolk County Vote Results]]</f>
        <v>36183</v>
      </c>
      <c r="D3" s="6">
        <f>SUM(C3,C6)</f>
        <v>37828</v>
      </c>
    </row>
    <row r="4" spans="1:4" ht="25.5" x14ac:dyDescent="0.2">
      <c r="A4" s="29" t="s">
        <v>70</v>
      </c>
      <c r="B4" s="4">
        <v>32874</v>
      </c>
      <c r="C4" s="3">
        <f>StateSenatorSenateDistrict4General43[[#This Row],[Part of Suffolk County Vote Results]]</f>
        <v>32874</v>
      </c>
      <c r="D4" s="6">
        <f>SUM(C4,C5)</f>
        <v>36960</v>
      </c>
    </row>
    <row r="5" spans="1:4" ht="25.5" x14ac:dyDescent="0.2">
      <c r="A5" s="29" t="s">
        <v>71</v>
      </c>
      <c r="B5" s="4">
        <v>4086</v>
      </c>
      <c r="C5" s="3">
        <f>StateSenatorSenateDistrict4General43[[#This Row],[Part of Suffolk County Vote Results]]</f>
        <v>4086</v>
      </c>
      <c r="D5" s="2"/>
    </row>
    <row r="6" spans="1:4" ht="25.5" x14ac:dyDescent="0.2">
      <c r="A6" s="29" t="s">
        <v>72</v>
      </c>
      <c r="B6" s="4">
        <v>1645</v>
      </c>
      <c r="C6" s="3">
        <f>StateSenatorSenateDistrict4General43[[#This Row],[Part of Suffolk County Vote Results]]</f>
        <v>1645</v>
      </c>
      <c r="D6" s="2"/>
    </row>
    <row r="7" spans="1:4" x14ac:dyDescent="0.2">
      <c r="A7" s="30" t="s">
        <v>0</v>
      </c>
      <c r="B7" s="4">
        <v>414</v>
      </c>
      <c r="C7" s="3">
        <f>StateSenatorSenateDistrict4General43[[#This Row],[Part of Suffolk County Vote Results]]</f>
        <v>414</v>
      </c>
      <c r="D7" s="2"/>
    </row>
    <row r="8" spans="1:4" x14ac:dyDescent="0.2">
      <c r="A8" s="30" t="s">
        <v>1</v>
      </c>
      <c r="B8" s="4">
        <v>30</v>
      </c>
      <c r="C8" s="3">
        <f>StateSenatorSenateDistrict4General43[[#This Row],[Part of Suffolk County Vote Results]]</f>
        <v>30</v>
      </c>
      <c r="D8" s="2"/>
    </row>
    <row r="9" spans="1:4" x14ac:dyDescent="0.2">
      <c r="A9" s="30" t="s">
        <v>5</v>
      </c>
      <c r="B9" s="4">
        <v>44</v>
      </c>
      <c r="C9" s="3">
        <f>StateSenatorSenateDistrict4General43[[#This Row],[Part of Suffolk County Vote Results]]</f>
        <v>44</v>
      </c>
      <c r="D9" s="2"/>
    </row>
    <row r="10" spans="1:4" x14ac:dyDescent="0.2">
      <c r="A10" s="31" t="s">
        <v>2</v>
      </c>
      <c r="B10" s="4">
        <f>SUM(StateSenatorSenateDistrict4General43[Part of Suffolk County Vote Results])</f>
        <v>75276</v>
      </c>
      <c r="C10" s="3">
        <f>SUM(StateSenatorSenateDistrict4General43[Total Votes by Party])</f>
        <v>75276</v>
      </c>
      <c r="D10" s="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8A922-8532-4267-87F4-4C88A771A0AA}">
  <sheetPr>
    <pageSetUpPr fitToPage="1"/>
  </sheetPr>
  <dimension ref="A1:F10"/>
  <sheetViews>
    <sheetView zoomScaleNormal="100" zoomScaleSheetLayoutView="100" workbookViewId="0">
      <selection sqref="A1:XFD1"/>
    </sheetView>
  </sheetViews>
  <sheetFormatPr defaultRowHeight="12.75" x14ac:dyDescent="0.2"/>
  <cols>
    <col min="1" max="1" width="23.140625" customWidth="1"/>
    <col min="2" max="6" width="20.5703125" customWidth="1"/>
    <col min="7" max="8" width="23.5703125" customWidth="1"/>
  </cols>
  <sheetData>
    <row r="1" spans="1:6" s="43" customFormat="1" ht="18.75" x14ac:dyDescent="0.2">
      <c r="A1" s="42" t="s">
        <v>113</v>
      </c>
    </row>
    <row r="2" spans="1:6" ht="25.5" x14ac:dyDescent="0.2">
      <c r="A2" s="9" t="s">
        <v>8</v>
      </c>
      <c r="B2" s="38" t="s">
        <v>49</v>
      </c>
      <c r="C2" s="38" t="s">
        <v>47</v>
      </c>
      <c r="D2" s="38" t="s">
        <v>35</v>
      </c>
      <c r="E2" s="8" t="s">
        <v>3</v>
      </c>
      <c r="F2" s="7" t="s">
        <v>4</v>
      </c>
    </row>
    <row r="3" spans="1:6" ht="25.5" x14ac:dyDescent="0.2">
      <c r="A3" s="36" t="s">
        <v>69</v>
      </c>
      <c r="B3" s="11">
        <v>10491</v>
      </c>
      <c r="C3" s="11">
        <v>1856</v>
      </c>
      <c r="D3" s="11">
        <v>49850</v>
      </c>
      <c r="E3" s="3">
        <f>SUM(StateSenatorSenateDistrict40General[[#This Row],[Part of Putnam County Vote Results]:[Part of Westchester County Vote Results]])</f>
        <v>62197</v>
      </c>
      <c r="F3" s="6">
        <f>SUM(E3,E6)</f>
        <v>66253</v>
      </c>
    </row>
    <row r="4" spans="1:6" ht="25.5" x14ac:dyDescent="0.2">
      <c r="A4" s="36" t="s">
        <v>70</v>
      </c>
      <c r="B4" s="11">
        <v>17927</v>
      </c>
      <c r="C4" s="11">
        <v>3763</v>
      </c>
      <c r="D4" s="11">
        <v>35121</v>
      </c>
      <c r="E4" s="3">
        <f>SUM(StateSenatorSenateDistrict40General[[#This Row],[Part of Putnam County Vote Results]:[Part of Westchester County Vote Results]])</f>
        <v>56811</v>
      </c>
      <c r="F4" s="6">
        <f>SUM(E4,E5)</f>
        <v>62503</v>
      </c>
    </row>
    <row r="5" spans="1:6" ht="25.5" x14ac:dyDescent="0.2">
      <c r="A5" s="36" t="s">
        <v>71</v>
      </c>
      <c r="B5" s="11">
        <v>2106</v>
      </c>
      <c r="C5" s="11">
        <v>136</v>
      </c>
      <c r="D5" s="11">
        <v>3450</v>
      </c>
      <c r="E5" s="3">
        <f>SUM(StateSenatorSenateDistrict40General[[#This Row],[Part of Putnam County Vote Results]:[Part of Westchester County Vote Results]])</f>
        <v>5692</v>
      </c>
      <c r="F5" s="2"/>
    </row>
    <row r="6" spans="1:6" ht="25.5" x14ac:dyDescent="0.2">
      <c r="A6" s="36" t="s">
        <v>72</v>
      </c>
      <c r="B6" s="11">
        <v>739</v>
      </c>
      <c r="C6" s="11">
        <v>0</v>
      </c>
      <c r="D6" s="11">
        <v>3317</v>
      </c>
      <c r="E6" s="3">
        <f>SUM(StateSenatorSenateDistrict40General[[#This Row],[Part of Putnam County Vote Results]:[Part of Westchester County Vote Results]])</f>
        <v>4056</v>
      </c>
      <c r="F6" s="2"/>
    </row>
    <row r="7" spans="1:6" x14ac:dyDescent="0.2">
      <c r="A7" s="37" t="s">
        <v>0</v>
      </c>
      <c r="B7" s="11">
        <v>248</v>
      </c>
      <c r="C7" s="11">
        <v>345</v>
      </c>
      <c r="D7" s="11">
        <v>698</v>
      </c>
      <c r="E7" s="3">
        <f>SUM(StateSenatorSenateDistrict40General[[#This Row],[Part of Putnam County Vote Results]:[Part of Westchester County Vote Results]])</f>
        <v>1291</v>
      </c>
      <c r="F7" s="2"/>
    </row>
    <row r="8" spans="1:6" x14ac:dyDescent="0.2">
      <c r="A8" s="37" t="s">
        <v>1</v>
      </c>
      <c r="B8" s="11">
        <v>0</v>
      </c>
      <c r="C8" s="11">
        <v>1</v>
      </c>
      <c r="D8" s="11"/>
      <c r="E8" s="3">
        <f>SUM(StateSenatorSenateDistrict40General[[#This Row],[Part of Putnam County Vote Results]:[Part of Westchester County Vote Results]])</f>
        <v>1</v>
      </c>
      <c r="F8" s="2"/>
    </row>
    <row r="9" spans="1:6" x14ac:dyDescent="0.2">
      <c r="A9" s="37" t="s">
        <v>5</v>
      </c>
      <c r="B9" s="11">
        <v>29</v>
      </c>
      <c r="C9" s="11">
        <v>1</v>
      </c>
      <c r="D9" s="14">
        <v>83</v>
      </c>
      <c r="E9" s="3">
        <f>SUM(StateSenatorSenateDistrict40General[[#This Row],[Part of Putnam County Vote Results]:[Part of Westchester County Vote Results]])</f>
        <v>113</v>
      </c>
      <c r="F9" s="12"/>
    </row>
    <row r="10" spans="1:6" x14ac:dyDescent="0.2">
      <c r="A10" s="5" t="s">
        <v>2</v>
      </c>
      <c r="B10" s="11">
        <f>SUM(StateSenatorSenateDistrict40General[Part of Putnam County Vote Results])</f>
        <v>31540</v>
      </c>
      <c r="C10" s="11">
        <f>SUM(StateSenatorSenateDistrict40General[Part of Rockland County Vote Results])</f>
        <v>6102</v>
      </c>
      <c r="D10" s="11">
        <f>SUM(StateSenatorSenateDistrict40General[Part of Westchester County Vote Results])</f>
        <v>92519</v>
      </c>
      <c r="E10" s="3">
        <f>SUM(StateSenatorSenateDistrict40General[Total Votes by Party])</f>
        <v>130161</v>
      </c>
      <c r="F10" s="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23628-DC1E-40EF-8CA1-CEC6C62B2BA2}">
  <sheetPr>
    <pageSetUpPr fitToPage="1"/>
  </sheetPr>
  <dimension ref="A1:G10"/>
  <sheetViews>
    <sheetView workbookViewId="0">
      <selection sqref="A1:XFD1"/>
    </sheetView>
  </sheetViews>
  <sheetFormatPr defaultRowHeight="12.75" x14ac:dyDescent="0.2"/>
  <cols>
    <col min="1" max="1" width="23.140625" customWidth="1"/>
    <col min="2" max="7" width="20.5703125" customWidth="1"/>
    <col min="8" max="9" width="23.5703125" customWidth="1"/>
  </cols>
  <sheetData>
    <row r="1" spans="1:7" s="43" customFormat="1" ht="18.75" x14ac:dyDescent="0.2">
      <c r="A1" s="42" t="s">
        <v>114</v>
      </c>
    </row>
    <row r="2" spans="1:7" ht="25.5" x14ac:dyDescent="0.2">
      <c r="A2" s="9" t="s">
        <v>8</v>
      </c>
      <c r="B2" s="38" t="s">
        <v>50</v>
      </c>
      <c r="C2" s="38" t="s">
        <v>36</v>
      </c>
      <c r="D2" s="38" t="s">
        <v>73</v>
      </c>
      <c r="E2" s="38" t="s">
        <v>37</v>
      </c>
      <c r="F2" s="8" t="s">
        <v>3</v>
      </c>
      <c r="G2" s="7" t="s">
        <v>4</v>
      </c>
    </row>
    <row r="3" spans="1:7" ht="25.5" x14ac:dyDescent="0.2">
      <c r="A3" s="36" t="s">
        <v>69</v>
      </c>
      <c r="B3" s="11">
        <v>14382</v>
      </c>
      <c r="C3" s="11">
        <v>16259</v>
      </c>
      <c r="D3" s="11">
        <v>6730</v>
      </c>
      <c r="E3" s="11">
        <v>28646</v>
      </c>
      <c r="F3" s="3">
        <f>SUM(StateSenatorSenateDistrict41General[[#This Row],[Columbia County
Vote Results]:[Part of Ulster County Vote Results]])</f>
        <v>66017</v>
      </c>
      <c r="G3" s="6">
        <f>SUM(F3,F6)</f>
        <v>75203</v>
      </c>
    </row>
    <row r="4" spans="1:7" ht="25.5" x14ac:dyDescent="0.2">
      <c r="A4" s="36" t="s">
        <v>70</v>
      </c>
      <c r="B4" s="11">
        <v>11693</v>
      </c>
      <c r="C4" s="11">
        <v>15194</v>
      </c>
      <c r="D4" s="11">
        <v>10722</v>
      </c>
      <c r="E4" s="11">
        <v>20313</v>
      </c>
      <c r="F4" s="3">
        <f>SUM(StateSenatorSenateDistrict41General[[#This Row],[Columbia County
Vote Results]:[Part of Ulster County Vote Results]])</f>
        <v>57922</v>
      </c>
      <c r="G4" s="6">
        <f>SUM(F4,F5)</f>
        <v>66808</v>
      </c>
    </row>
    <row r="5" spans="1:7" ht="25.5" x14ac:dyDescent="0.2">
      <c r="A5" s="36" t="s">
        <v>71</v>
      </c>
      <c r="B5" s="11">
        <v>1908</v>
      </c>
      <c r="C5" s="11">
        <v>1998</v>
      </c>
      <c r="D5" s="11">
        <v>1770</v>
      </c>
      <c r="E5" s="11">
        <v>3210</v>
      </c>
      <c r="F5" s="3">
        <f>SUM(StateSenatorSenateDistrict41General[[#This Row],[Columbia County
Vote Results]:[Part of Ulster County Vote Results]])</f>
        <v>8886</v>
      </c>
      <c r="G5" s="2"/>
    </row>
    <row r="6" spans="1:7" ht="25.5" x14ac:dyDescent="0.2">
      <c r="A6" s="36" t="s">
        <v>72</v>
      </c>
      <c r="B6" s="11">
        <v>1678</v>
      </c>
      <c r="C6" s="11">
        <v>1703</v>
      </c>
      <c r="D6" s="11">
        <v>921</v>
      </c>
      <c r="E6" s="11">
        <v>4884</v>
      </c>
      <c r="F6" s="3">
        <f>SUM(StateSenatorSenateDistrict41General[[#This Row],[Columbia County
Vote Results]:[Part of Ulster County Vote Results]])</f>
        <v>9186</v>
      </c>
      <c r="G6" s="2"/>
    </row>
    <row r="7" spans="1:7" x14ac:dyDescent="0.2">
      <c r="A7" s="37" t="s">
        <v>0</v>
      </c>
      <c r="B7" s="11">
        <v>175</v>
      </c>
      <c r="C7" s="11">
        <v>185</v>
      </c>
      <c r="D7" s="11">
        <v>193</v>
      </c>
      <c r="E7" s="11">
        <v>454</v>
      </c>
      <c r="F7" s="3">
        <f>SUM(StateSenatorSenateDistrict41General[[#This Row],[Columbia County
Vote Results]:[Part of Ulster County Vote Results]])</f>
        <v>1007</v>
      </c>
      <c r="G7" s="2"/>
    </row>
    <row r="8" spans="1:7" x14ac:dyDescent="0.2">
      <c r="A8" s="37" t="s">
        <v>1</v>
      </c>
      <c r="B8" s="11">
        <v>11</v>
      </c>
      <c r="C8" s="11">
        <v>9</v>
      </c>
      <c r="D8" s="11">
        <v>9</v>
      </c>
      <c r="E8" s="11">
        <v>13</v>
      </c>
      <c r="F8" s="3">
        <f>SUM(StateSenatorSenateDistrict41General[[#This Row],[Columbia County
Vote Results]:[Part of Ulster County Vote Results]])</f>
        <v>42</v>
      </c>
      <c r="G8" s="2"/>
    </row>
    <row r="9" spans="1:7" x14ac:dyDescent="0.2">
      <c r="A9" s="37" t="s">
        <v>5</v>
      </c>
      <c r="B9" s="11">
        <v>61</v>
      </c>
      <c r="C9" s="11">
        <v>52</v>
      </c>
      <c r="D9" s="11">
        <v>22</v>
      </c>
      <c r="E9" s="11">
        <v>100</v>
      </c>
      <c r="F9" s="3">
        <f>SUM(StateSenatorSenateDistrict41General[[#This Row],[Columbia County
Vote Results]:[Part of Ulster County Vote Results]])</f>
        <v>235</v>
      </c>
      <c r="G9" s="2"/>
    </row>
    <row r="10" spans="1:7" x14ac:dyDescent="0.2">
      <c r="A10" s="5" t="s">
        <v>2</v>
      </c>
      <c r="B10" s="11">
        <f>SUM(StateSenatorSenateDistrict41General[Columbia County
Vote Results])</f>
        <v>29908</v>
      </c>
      <c r="C10" s="11">
        <f>SUM(StateSenatorSenateDistrict41General[Part of Dutchess County Vote Results])</f>
        <v>35400</v>
      </c>
      <c r="D10" s="11">
        <f>SUM(StateSenatorSenateDistrict41General[Green County Vote Results])</f>
        <v>20367</v>
      </c>
      <c r="E10" s="11">
        <f>SUM(StateSenatorSenateDistrict41General[Part of Ulster County Vote Results])</f>
        <v>57620</v>
      </c>
      <c r="F10" s="3">
        <f>SUM(StateSenatorSenateDistrict41General[Total Votes by Party])</f>
        <v>143295</v>
      </c>
      <c r="G10" s="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2DECC-1473-4AFB-9816-45AE6BD5AA46}">
  <sheetPr>
    <pageSetUpPr fitToPage="1"/>
  </sheetPr>
  <dimension ref="A1:D10"/>
  <sheetViews>
    <sheetView zoomScaleNormal="100" zoomScaleSheetLayoutView="100" workbookViewId="0">
      <selection sqref="A1:XFD1"/>
    </sheetView>
  </sheetViews>
  <sheetFormatPr defaultRowHeight="12.75" x14ac:dyDescent="0.2"/>
  <cols>
    <col min="1" max="1" width="23" customWidth="1"/>
    <col min="2" max="4" width="20.5703125" customWidth="1"/>
    <col min="5" max="6" width="23.5703125" customWidth="1"/>
  </cols>
  <sheetData>
    <row r="1" spans="1:4" s="43" customFormat="1" ht="18.75" x14ac:dyDescent="0.2">
      <c r="A1" s="42" t="s">
        <v>115</v>
      </c>
    </row>
    <row r="2" spans="1:4" ht="25.5" x14ac:dyDescent="0.2">
      <c r="A2" s="9" t="s">
        <v>8</v>
      </c>
      <c r="B2" s="38" t="s">
        <v>48</v>
      </c>
      <c r="C2" s="8" t="s">
        <v>3</v>
      </c>
      <c r="D2" s="7" t="s">
        <v>4</v>
      </c>
    </row>
    <row r="3" spans="1:4" ht="25.5" x14ac:dyDescent="0.2">
      <c r="A3" s="36" t="s">
        <v>69</v>
      </c>
      <c r="B3" s="11">
        <v>41318</v>
      </c>
      <c r="C3" s="3">
        <f>StateSenatorSenateDistrict42General[[#This Row],[Part of Orange County Vote Results]]</f>
        <v>41318</v>
      </c>
      <c r="D3" s="6">
        <f>SUM(C3,C6)</f>
        <v>43621</v>
      </c>
    </row>
    <row r="4" spans="1:4" ht="25.5" x14ac:dyDescent="0.2">
      <c r="A4" s="36" t="s">
        <v>70</v>
      </c>
      <c r="B4" s="11">
        <v>51538</v>
      </c>
      <c r="C4" s="3">
        <f>StateSenatorSenateDistrict42General[[#This Row],[Part of Orange County Vote Results]]</f>
        <v>51538</v>
      </c>
      <c r="D4" s="6">
        <f>SUM(C5,C4)</f>
        <v>57016</v>
      </c>
    </row>
    <row r="5" spans="1:4" ht="25.5" x14ac:dyDescent="0.2">
      <c r="A5" s="36" t="s">
        <v>71</v>
      </c>
      <c r="B5" s="11">
        <v>5478</v>
      </c>
      <c r="C5" s="3">
        <f>StateSenatorSenateDistrict42General[[#This Row],[Part of Orange County Vote Results]]</f>
        <v>5478</v>
      </c>
      <c r="D5" s="2"/>
    </row>
    <row r="6" spans="1:4" ht="25.5" x14ac:dyDescent="0.2">
      <c r="A6" s="36" t="s">
        <v>72</v>
      </c>
      <c r="B6" s="11">
        <v>2303</v>
      </c>
      <c r="C6" s="3">
        <f>StateSenatorSenateDistrict42General[[#This Row],[Part of Orange County Vote Results]]</f>
        <v>2303</v>
      </c>
      <c r="D6" s="2"/>
    </row>
    <row r="7" spans="1:4" x14ac:dyDescent="0.2">
      <c r="A7" s="37" t="s">
        <v>0</v>
      </c>
      <c r="B7" s="11">
        <v>577</v>
      </c>
      <c r="C7" s="3">
        <f>StateSenatorSenateDistrict42General[[#This Row],[Part of Orange County Vote Results]]</f>
        <v>577</v>
      </c>
      <c r="D7" s="2"/>
    </row>
    <row r="8" spans="1:4" x14ac:dyDescent="0.2">
      <c r="A8" s="37" t="s">
        <v>1</v>
      </c>
      <c r="B8" s="11">
        <v>26</v>
      </c>
      <c r="C8" s="3">
        <f>StateSenatorSenateDistrict42General[[#This Row],[Part of Orange County Vote Results]]</f>
        <v>26</v>
      </c>
      <c r="D8" s="2"/>
    </row>
    <row r="9" spans="1:4" x14ac:dyDescent="0.2">
      <c r="A9" s="37" t="s">
        <v>5</v>
      </c>
      <c r="B9" s="11">
        <v>172</v>
      </c>
      <c r="C9" s="3">
        <f>StateSenatorSenateDistrict42General[[#This Row],[Part of Orange County Vote Results]]</f>
        <v>172</v>
      </c>
      <c r="D9" s="2"/>
    </row>
    <row r="10" spans="1:4" x14ac:dyDescent="0.2">
      <c r="A10" s="5" t="s">
        <v>2</v>
      </c>
      <c r="B10" s="11">
        <f>SUM(StateSenatorSenateDistrict42General[Part of Orange County Vote Results])</f>
        <v>101412</v>
      </c>
      <c r="C10" s="3">
        <f>SUM(StateSenatorSenateDistrict42General[Total Votes by Party])</f>
        <v>101412</v>
      </c>
      <c r="D10" s="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15506-AA5F-406D-ABF1-D170AACFE46E}">
  <sheetPr>
    <pageSetUpPr fitToPage="1"/>
  </sheetPr>
  <dimension ref="A1:F10"/>
  <sheetViews>
    <sheetView zoomScaleNormal="100" zoomScaleSheetLayoutView="100" workbookViewId="0">
      <selection sqref="A1:XFD1"/>
    </sheetView>
  </sheetViews>
  <sheetFormatPr defaultRowHeight="12.75" x14ac:dyDescent="0.2"/>
  <cols>
    <col min="1" max="1" width="23.28515625" customWidth="1"/>
    <col min="2" max="6" width="20.5703125" customWidth="1"/>
    <col min="7" max="8" width="23.5703125" customWidth="1"/>
  </cols>
  <sheetData>
    <row r="1" spans="1:6" s="43" customFormat="1" ht="18.75" x14ac:dyDescent="0.2">
      <c r="A1" s="42" t="s">
        <v>116</v>
      </c>
    </row>
    <row r="2" spans="1:6" ht="25.5" x14ac:dyDescent="0.2">
      <c r="A2" s="9" t="s">
        <v>8</v>
      </c>
      <c r="B2" s="38" t="s">
        <v>53</v>
      </c>
      <c r="C2" s="38" t="s">
        <v>52</v>
      </c>
      <c r="D2" s="38" t="s">
        <v>51</v>
      </c>
      <c r="E2" s="8" t="s">
        <v>3</v>
      </c>
      <c r="F2" s="7" t="s">
        <v>4</v>
      </c>
    </row>
    <row r="3" spans="1:6" ht="25.5" x14ac:dyDescent="0.2">
      <c r="A3" s="36" t="s">
        <v>69</v>
      </c>
      <c r="B3" s="11">
        <v>21526</v>
      </c>
      <c r="C3" s="11">
        <v>25411</v>
      </c>
      <c r="D3" s="11">
        <v>5229</v>
      </c>
      <c r="E3" s="3">
        <f>SUM(StateSenatorSenateDistrict43General[[#This Row],[Part of Albany County Vote Results]:[Part of Washington County Vote Results]])</f>
        <v>52166</v>
      </c>
      <c r="F3" s="6">
        <f>SUM(E3,E6)</f>
        <v>57490</v>
      </c>
    </row>
    <row r="4" spans="1:6" ht="25.5" x14ac:dyDescent="0.2">
      <c r="A4" s="36" t="s">
        <v>70</v>
      </c>
      <c r="B4" s="11">
        <v>18246</v>
      </c>
      <c r="C4" s="11">
        <v>27702</v>
      </c>
      <c r="D4" s="11">
        <v>8199</v>
      </c>
      <c r="E4" s="3">
        <f>SUM(StateSenatorSenateDistrict43General[[#This Row],[Part of Albany County Vote Results]:[Part of Washington County Vote Results]])</f>
        <v>54147</v>
      </c>
      <c r="F4" s="6">
        <f>SUM(E5,E4)</f>
        <v>63983</v>
      </c>
    </row>
    <row r="5" spans="1:6" ht="25.5" x14ac:dyDescent="0.2">
      <c r="A5" s="36" t="s">
        <v>71</v>
      </c>
      <c r="B5" s="11">
        <v>2717</v>
      </c>
      <c r="C5" s="11">
        <v>6047</v>
      </c>
      <c r="D5" s="11">
        <v>1072</v>
      </c>
      <c r="E5" s="3">
        <f>SUM(StateSenatorSenateDistrict43General[[#This Row],[Part of Albany County Vote Results]:[Part of Washington County Vote Results]])</f>
        <v>9836</v>
      </c>
      <c r="F5" s="2"/>
    </row>
    <row r="6" spans="1:6" ht="25.5" x14ac:dyDescent="0.2">
      <c r="A6" s="36" t="s">
        <v>72</v>
      </c>
      <c r="B6" s="11">
        <v>1767</v>
      </c>
      <c r="C6" s="11">
        <v>3110</v>
      </c>
      <c r="D6" s="11">
        <v>447</v>
      </c>
      <c r="E6" s="3">
        <f>SUM(StateSenatorSenateDistrict43General[[#This Row],[Part of Albany County Vote Results]:[Part of Washington County Vote Results]])</f>
        <v>5324</v>
      </c>
      <c r="F6" s="2"/>
    </row>
    <row r="7" spans="1:6" x14ac:dyDescent="0.2">
      <c r="A7" s="37" t="s">
        <v>0</v>
      </c>
      <c r="B7" s="11">
        <v>299</v>
      </c>
      <c r="C7" s="11">
        <v>425</v>
      </c>
      <c r="D7" s="11">
        <v>92</v>
      </c>
      <c r="E7" s="3">
        <f>SUM(StateSenatorSenateDistrict43General[[#This Row],[Part of Albany County Vote Results]:[Part of Washington County Vote Results]])</f>
        <v>816</v>
      </c>
      <c r="F7" s="2"/>
    </row>
    <row r="8" spans="1:6" x14ac:dyDescent="0.2">
      <c r="A8" s="37" t="s">
        <v>1</v>
      </c>
      <c r="B8" s="11">
        <v>27</v>
      </c>
      <c r="C8" s="11">
        <v>2</v>
      </c>
      <c r="D8" s="11">
        <v>5</v>
      </c>
      <c r="E8" s="3">
        <f>SUM(StateSenatorSenateDistrict43General[[#This Row],[Part of Albany County Vote Results]:[Part of Washington County Vote Results]])</f>
        <v>34</v>
      </c>
      <c r="F8" s="2"/>
    </row>
    <row r="9" spans="1:6" x14ac:dyDescent="0.2">
      <c r="A9" s="37" t="s">
        <v>5</v>
      </c>
      <c r="B9" s="11">
        <v>127</v>
      </c>
      <c r="C9" s="11">
        <v>135</v>
      </c>
      <c r="D9" s="11">
        <v>27</v>
      </c>
      <c r="E9" s="3">
        <f>SUM(StateSenatorSenateDistrict43General[[#This Row],[Part of Albany County Vote Results]:[Part of Washington County Vote Results]])</f>
        <v>289</v>
      </c>
      <c r="F9" s="2"/>
    </row>
    <row r="10" spans="1:6" x14ac:dyDescent="0.2">
      <c r="A10" s="5" t="s">
        <v>2</v>
      </c>
      <c r="B10" s="11">
        <f>SUM(StateSenatorSenateDistrict43General[Part of Albany County Vote Results])</f>
        <v>44709</v>
      </c>
      <c r="C10" s="11">
        <f>SUM(StateSenatorSenateDistrict43General[ Rensselaer County 
Vote Results])</f>
        <v>62832</v>
      </c>
      <c r="D10" s="11">
        <f>SUM(StateSenatorSenateDistrict43General[Part of Washington County Vote Results])</f>
        <v>15071</v>
      </c>
      <c r="E10" s="3">
        <f>SUM(StateSenatorSenateDistrict43General[Total Votes by Party])</f>
        <v>122612</v>
      </c>
      <c r="F10" s="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255F4-06EB-45DC-B970-3DBF01F0F664}">
  <sheetPr>
    <pageSetUpPr fitToPage="1"/>
  </sheetPr>
  <dimension ref="A1:E10"/>
  <sheetViews>
    <sheetView workbookViewId="0">
      <selection sqref="A1:XFD1"/>
    </sheetView>
  </sheetViews>
  <sheetFormatPr defaultRowHeight="12.75" x14ac:dyDescent="0.2"/>
  <cols>
    <col min="1" max="1" width="23.5703125" customWidth="1"/>
    <col min="2" max="5" width="20.5703125" customWidth="1"/>
    <col min="6" max="7" width="23.5703125" customWidth="1"/>
  </cols>
  <sheetData>
    <row r="1" spans="1:5" s="43" customFormat="1" ht="18.75" x14ac:dyDescent="0.2">
      <c r="A1" s="42" t="s">
        <v>117</v>
      </c>
    </row>
    <row r="2" spans="1:5" ht="25.5" x14ac:dyDescent="0.2">
      <c r="A2" s="9" t="s">
        <v>8</v>
      </c>
      <c r="B2" s="38" t="s">
        <v>55</v>
      </c>
      <c r="C2" s="38" t="s">
        <v>54</v>
      </c>
      <c r="D2" s="8" t="s">
        <v>3</v>
      </c>
      <c r="E2" s="7" t="s">
        <v>4</v>
      </c>
    </row>
    <row r="3" spans="1:5" ht="25.5" x14ac:dyDescent="0.2">
      <c r="A3" s="36" t="s">
        <v>69</v>
      </c>
      <c r="B3" s="11">
        <v>45052</v>
      </c>
      <c r="C3" s="11">
        <v>13302</v>
      </c>
      <c r="D3" s="3">
        <f>SUM(StateSenatorSenateDistrict44General[[#This Row],[Saratoga County 
Vote Results]:[Part of Schenectady County Vote Results]])</f>
        <v>58354</v>
      </c>
      <c r="E3" s="6">
        <f>SUM(D3,D6)</f>
        <v>62784</v>
      </c>
    </row>
    <row r="4" spans="1:5" ht="25.5" x14ac:dyDescent="0.2">
      <c r="A4" s="36" t="s">
        <v>70</v>
      </c>
      <c r="B4" s="11">
        <v>48463</v>
      </c>
      <c r="C4" s="11">
        <v>7581</v>
      </c>
      <c r="D4" s="3">
        <f>SUM(StateSenatorSenateDistrict44General[[#This Row],[Saratoga County 
Vote Results]:[Part of Schenectady County Vote Results]])</f>
        <v>56044</v>
      </c>
      <c r="E4" s="6">
        <f>SUM(D4,D5)</f>
        <v>64645</v>
      </c>
    </row>
    <row r="5" spans="1:5" ht="25.5" x14ac:dyDescent="0.2">
      <c r="A5" s="36" t="s">
        <v>71</v>
      </c>
      <c r="B5" s="11">
        <v>7361</v>
      </c>
      <c r="C5" s="11">
        <v>1240</v>
      </c>
      <c r="D5" s="3">
        <f>SUM(StateSenatorSenateDistrict44General[[#This Row],[Saratoga County 
Vote Results]:[Part of Schenectady County Vote Results]])</f>
        <v>8601</v>
      </c>
      <c r="E5" s="2"/>
    </row>
    <row r="6" spans="1:5" ht="25.5" x14ac:dyDescent="0.2">
      <c r="A6" s="36" t="s">
        <v>72</v>
      </c>
      <c r="B6" s="11">
        <v>3131</v>
      </c>
      <c r="C6" s="11">
        <v>1299</v>
      </c>
      <c r="D6" s="3">
        <f>SUM(StateSenatorSenateDistrict44General[[#This Row],[Saratoga County 
Vote Results]:[Part of Schenectady County Vote Results]])</f>
        <v>4430</v>
      </c>
      <c r="E6" s="2"/>
    </row>
    <row r="7" spans="1:5" x14ac:dyDescent="0.2">
      <c r="A7" s="37" t="s">
        <v>0</v>
      </c>
      <c r="B7" s="11">
        <v>657</v>
      </c>
      <c r="C7" s="11">
        <v>234</v>
      </c>
      <c r="D7" s="3">
        <f>SUM(StateSenatorSenateDistrict44General[[#This Row],[Saratoga County 
Vote Results]:[Part of Schenectady County Vote Results]])</f>
        <v>891</v>
      </c>
      <c r="E7" s="2"/>
    </row>
    <row r="8" spans="1:5" x14ac:dyDescent="0.2">
      <c r="A8" s="37" t="s">
        <v>1</v>
      </c>
      <c r="B8" s="11">
        <v>16</v>
      </c>
      <c r="C8" s="11">
        <v>12</v>
      </c>
      <c r="D8" s="3">
        <f>SUM(StateSenatorSenateDistrict44General[[#This Row],[Saratoga County 
Vote Results]:[Part of Schenectady County Vote Results]])</f>
        <v>28</v>
      </c>
      <c r="E8" s="2"/>
    </row>
    <row r="9" spans="1:5" x14ac:dyDescent="0.2">
      <c r="A9" s="37" t="s">
        <v>5</v>
      </c>
      <c r="B9" s="11">
        <v>166</v>
      </c>
      <c r="C9" s="11">
        <v>74</v>
      </c>
      <c r="D9" s="3">
        <f>SUM(StateSenatorSenateDistrict44General[[#This Row],[Saratoga County 
Vote Results]:[Part of Schenectady County Vote Results]])</f>
        <v>240</v>
      </c>
      <c r="E9" s="2"/>
    </row>
    <row r="10" spans="1:5" x14ac:dyDescent="0.2">
      <c r="A10" s="5" t="s">
        <v>2</v>
      </c>
      <c r="B10" s="11">
        <f>SUM(StateSenatorSenateDistrict44General[Saratoga County 
Vote Results])</f>
        <v>104846</v>
      </c>
      <c r="C10" s="11">
        <f>SUM(StateSenatorSenateDistrict44General[Part of Schenectady County Vote Results])</f>
        <v>23742</v>
      </c>
      <c r="D10" s="3">
        <f>SUM(StateSenatorSenateDistrict44General[Total Votes by Party])</f>
        <v>128588</v>
      </c>
      <c r="E10" s="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EAAEC-2CAC-43F8-9817-966E6178B804}">
  <sheetPr>
    <pageSetUpPr fitToPage="1"/>
  </sheetPr>
  <dimension ref="A1:I10"/>
  <sheetViews>
    <sheetView zoomScaleNormal="100" zoomScaleSheetLayoutView="100" workbookViewId="0">
      <pane xSplit="1" topLeftCell="B1" activePane="topRight" state="frozen"/>
      <selection pane="topRight" sqref="A1:XFD1"/>
    </sheetView>
  </sheetViews>
  <sheetFormatPr defaultRowHeight="12.75" x14ac:dyDescent="0.2"/>
  <cols>
    <col min="1" max="1" width="25.5703125" customWidth="1"/>
    <col min="2" max="7" width="17.28515625" customWidth="1"/>
    <col min="8" max="9" width="20.5703125" customWidth="1"/>
    <col min="10" max="11" width="23.5703125" customWidth="1"/>
  </cols>
  <sheetData>
    <row r="1" spans="1:9" s="43" customFormat="1" ht="18.75" x14ac:dyDescent="0.2">
      <c r="A1" s="42" t="s">
        <v>118</v>
      </c>
    </row>
    <row r="2" spans="1:9" ht="25.5" x14ac:dyDescent="0.2">
      <c r="A2" s="9" t="s">
        <v>8</v>
      </c>
      <c r="B2" s="38" t="s">
        <v>15</v>
      </c>
      <c r="C2" s="38" t="s">
        <v>14</v>
      </c>
      <c r="D2" s="38" t="s">
        <v>13</v>
      </c>
      <c r="E2" s="38" t="s">
        <v>56</v>
      </c>
      <c r="F2" s="38" t="s">
        <v>9</v>
      </c>
      <c r="G2" s="38" t="s">
        <v>51</v>
      </c>
      <c r="H2" s="8" t="s">
        <v>3</v>
      </c>
      <c r="I2" s="7" t="s">
        <v>4</v>
      </c>
    </row>
    <row r="3" spans="1:9" ht="25.5" x14ac:dyDescent="0.2">
      <c r="A3" s="36" t="s">
        <v>69</v>
      </c>
      <c r="B3" s="11">
        <v>11124</v>
      </c>
      <c r="C3" s="11">
        <v>6484</v>
      </c>
      <c r="D3" s="11">
        <v>5628</v>
      </c>
      <c r="E3" s="11">
        <v>8112</v>
      </c>
      <c r="F3" s="11">
        <v>11601</v>
      </c>
      <c r="G3" s="11">
        <v>2132</v>
      </c>
      <c r="H3" s="3">
        <f>SUM(StateSenatorSenateDistrict45General[[#This Row],[Clinton County Vote Results]:[Part of Washington County Vote Results]])</f>
        <v>45081</v>
      </c>
      <c r="I3" s="6">
        <f>SUM(H3,H6)</f>
        <v>48262</v>
      </c>
    </row>
    <row r="4" spans="1:9" ht="25.5" x14ac:dyDescent="0.2">
      <c r="A4" s="36" t="s">
        <v>70</v>
      </c>
      <c r="B4" s="11">
        <v>14223</v>
      </c>
      <c r="C4" s="11">
        <v>7878</v>
      </c>
      <c r="D4" s="11">
        <v>8385</v>
      </c>
      <c r="E4" s="11">
        <v>12259</v>
      </c>
      <c r="F4" s="11">
        <v>14131</v>
      </c>
      <c r="G4" s="11">
        <v>4456</v>
      </c>
      <c r="H4" s="3">
        <f>SUM(StateSenatorSenateDistrict45General[[#This Row],[Clinton County Vote Results]:[Part of Washington County Vote Results]])</f>
        <v>61332</v>
      </c>
      <c r="I4" s="6">
        <f>SUM(H5,H4)</f>
        <v>67771</v>
      </c>
    </row>
    <row r="5" spans="1:9" ht="25.5" x14ac:dyDescent="0.2">
      <c r="A5" s="36" t="s">
        <v>71</v>
      </c>
      <c r="B5" s="11">
        <v>1367</v>
      </c>
      <c r="C5" s="11">
        <v>644</v>
      </c>
      <c r="D5" s="11">
        <v>795</v>
      </c>
      <c r="E5" s="11">
        <v>1575</v>
      </c>
      <c r="F5" s="11">
        <v>1630</v>
      </c>
      <c r="G5" s="11">
        <v>428</v>
      </c>
      <c r="H5" s="3">
        <f>SUM(StateSenatorSenateDistrict45General[[#This Row],[Clinton County Vote Results]:[Part of Washington County Vote Results]])</f>
        <v>6439</v>
      </c>
      <c r="I5" s="2"/>
    </row>
    <row r="6" spans="1:9" ht="25.5" x14ac:dyDescent="0.2">
      <c r="A6" s="36" t="s">
        <v>72</v>
      </c>
      <c r="B6" s="11">
        <v>770</v>
      </c>
      <c r="C6" s="11">
        <v>508</v>
      </c>
      <c r="D6" s="11">
        <v>375</v>
      </c>
      <c r="E6" s="11">
        <v>618</v>
      </c>
      <c r="F6" s="11">
        <v>772</v>
      </c>
      <c r="G6" s="11">
        <v>138</v>
      </c>
      <c r="H6" s="3">
        <f>SUM(StateSenatorSenateDistrict45General[[#This Row],[Clinton County Vote Results]:[Part of Washington County Vote Results]])</f>
        <v>3181</v>
      </c>
      <c r="I6" s="2"/>
    </row>
    <row r="7" spans="1:9" x14ac:dyDescent="0.2">
      <c r="A7" s="37" t="s">
        <v>0</v>
      </c>
      <c r="B7" s="11">
        <v>297</v>
      </c>
      <c r="C7" s="11">
        <v>248</v>
      </c>
      <c r="D7" s="11">
        <v>165</v>
      </c>
      <c r="E7" s="11">
        <v>359</v>
      </c>
      <c r="F7" s="11">
        <v>205</v>
      </c>
      <c r="G7" s="11">
        <v>29</v>
      </c>
      <c r="H7" s="3">
        <f>SUM(StateSenatorSenateDistrict45General[[#This Row],[Clinton County Vote Results]:[Part of Washington County Vote Results]])</f>
        <v>1303</v>
      </c>
      <c r="I7" s="2"/>
    </row>
    <row r="8" spans="1:9" x14ac:dyDescent="0.2">
      <c r="A8" s="37" t="s">
        <v>1</v>
      </c>
      <c r="B8" s="11">
        <v>11</v>
      </c>
      <c r="C8" s="11">
        <v>4</v>
      </c>
      <c r="D8" s="11">
        <v>2</v>
      </c>
      <c r="E8" s="11"/>
      <c r="F8" s="11">
        <v>5</v>
      </c>
      <c r="G8" s="11">
        <v>0</v>
      </c>
      <c r="H8" s="3">
        <f>SUM(StateSenatorSenateDistrict45General[[#This Row],[Clinton County Vote Results]:[Part of Washington County Vote Results]])</f>
        <v>22</v>
      </c>
      <c r="I8" s="2"/>
    </row>
    <row r="9" spans="1:9" x14ac:dyDescent="0.2">
      <c r="A9" s="37" t="s">
        <v>5</v>
      </c>
      <c r="B9" s="11">
        <v>40</v>
      </c>
      <c r="C9" s="11">
        <v>22</v>
      </c>
      <c r="D9" s="11">
        <v>14</v>
      </c>
      <c r="E9" s="11">
        <v>32</v>
      </c>
      <c r="F9" s="11">
        <v>49</v>
      </c>
      <c r="G9" s="11">
        <v>2</v>
      </c>
      <c r="H9" s="3">
        <f>SUM(StateSenatorSenateDistrict45General[[#This Row],[Clinton County Vote Results]:[Part of Washington County Vote Results]])</f>
        <v>159</v>
      </c>
      <c r="I9" s="12"/>
    </row>
    <row r="10" spans="1:9" x14ac:dyDescent="0.2">
      <c r="A10" s="5" t="s">
        <v>2</v>
      </c>
      <c r="B10" s="11">
        <f>SUM(StateSenatorSenateDistrict45General[Clinton County Vote Results])</f>
        <v>27832</v>
      </c>
      <c r="C10" s="11">
        <f>SUM(StateSenatorSenateDistrict45General[Essex County Vote Results])</f>
        <v>15788</v>
      </c>
      <c r="D10" s="11">
        <f>SUM(StateSenatorSenateDistrict45General[Franklin County Vote Results])</f>
        <v>15364</v>
      </c>
      <c r="E10" s="11">
        <f>SUM(StateSenatorSenateDistrict45General[Part of St. Lawrence County Vote Results])</f>
        <v>22955</v>
      </c>
      <c r="F10" s="11">
        <f>SUM(StateSenatorSenateDistrict45General[Warren County Vote Results])</f>
        <v>28393</v>
      </c>
      <c r="G10" s="11">
        <f>SUM(StateSenatorSenateDistrict45General[Part of Washington County Vote Results])</f>
        <v>7185</v>
      </c>
      <c r="H10" s="3">
        <f>SUM(StateSenatorSenateDistrict45General[Total Votes by Party])</f>
        <v>117517</v>
      </c>
      <c r="I10" s="2"/>
    </row>
  </sheetData>
  <pageMargins left="0.25" right="0.25" top="0.25" bottom="0.25" header="0.25" footer="0.25"/>
  <pageSetup paperSize="5" scale="92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CB088-B7A9-4AC5-8D79-58CA15C02E9C}">
  <sheetPr>
    <pageSetUpPr fitToPage="1"/>
  </sheetPr>
  <dimension ref="A1:F10"/>
  <sheetViews>
    <sheetView workbookViewId="0">
      <selection sqref="A1:XFD1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s="43" customFormat="1" ht="18.75" x14ac:dyDescent="0.2">
      <c r="A1" s="42" t="s">
        <v>119</v>
      </c>
    </row>
    <row r="2" spans="1:6" ht="25.5" x14ac:dyDescent="0.2">
      <c r="A2" s="9" t="s">
        <v>8</v>
      </c>
      <c r="B2" s="38" t="s">
        <v>53</v>
      </c>
      <c r="C2" s="38" t="s">
        <v>10</v>
      </c>
      <c r="D2" s="38" t="s">
        <v>54</v>
      </c>
      <c r="E2" s="8" t="s">
        <v>3</v>
      </c>
      <c r="F2" s="7" t="s">
        <v>4</v>
      </c>
    </row>
    <row r="3" spans="1:6" ht="25.5" x14ac:dyDescent="0.2">
      <c r="A3" s="36" t="s">
        <v>69</v>
      </c>
      <c r="B3" s="4">
        <v>40801</v>
      </c>
      <c r="C3" s="11">
        <v>4708</v>
      </c>
      <c r="D3" s="11">
        <v>12008</v>
      </c>
      <c r="E3" s="3">
        <f>SUM(StateSenatorSenateDistrict46General[[#This Row],[Part of Albany County Vote Results]:[Part of Schenectady County Vote Results]])</f>
        <v>57517</v>
      </c>
      <c r="F3" s="6">
        <f>SUM(E3,E6)</f>
        <v>63801</v>
      </c>
    </row>
    <row r="4" spans="1:6" ht="25.5" x14ac:dyDescent="0.2">
      <c r="A4" s="36" t="s">
        <v>70</v>
      </c>
      <c r="B4" s="4">
        <v>22170</v>
      </c>
      <c r="C4" s="11">
        <v>9457</v>
      </c>
      <c r="D4" s="11">
        <v>14976</v>
      </c>
      <c r="E4" s="3">
        <f>SUM(StateSenatorSenateDistrict46General[[#This Row],[Part of Albany County Vote Results]:[Part of Schenectady County Vote Results]])</f>
        <v>46603</v>
      </c>
      <c r="F4" s="6">
        <f>SUM(E4,E5)</f>
        <v>55391</v>
      </c>
    </row>
    <row r="5" spans="1:6" ht="25.5" x14ac:dyDescent="0.2">
      <c r="A5" s="36" t="s">
        <v>71</v>
      </c>
      <c r="B5" s="4">
        <v>4412</v>
      </c>
      <c r="C5" s="11">
        <v>1401</v>
      </c>
      <c r="D5" s="11">
        <v>2975</v>
      </c>
      <c r="E5" s="3">
        <f>SUM(StateSenatorSenateDistrict46General[[#This Row],[Part of Albany County Vote Results]:[Part of Schenectady County Vote Results]])</f>
        <v>8788</v>
      </c>
      <c r="F5" s="2"/>
    </row>
    <row r="6" spans="1:6" ht="25.5" x14ac:dyDescent="0.2">
      <c r="A6" s="36" t="s">
        <v>72</v>
      </c>
      <c r="B6" s="4">
        <v>4941</v>
      </c>
      <c r="C6" s="11">
        <v>320</v>
      </c>
      <c r="D6" s="11">
        <v>1023</v>
      </c>
      <c r="E6" s="3">
        <f>SUM(StateSenatorSenateDistrict46General[[#This Row],[Part of Albany County Vote Results]:[Part of Schenectady County Vote Results]])</f>
        <v>6284</v>
      </c>
      <c r="F6" s="2"/>
    </row>
    <row r="7" spans="1:6" x14ac:dyDescent="0.2">
      <c r="A7" s="37" t="s">
        <v>0</v>
      </c>
      <c r="B7" s="4">
        <v>496</v>
      </c>
      <c r="C7" s="11">
        <v>143</v>
      </c>
      <c r="D7" s="11">
        <v>234</v>
      </c>
      <c r="E7" s="3">
        <f>SUM(StateSenatorSenateDistrict46General[[#This Row],[Part of Albany County Vote Results]:[Part of Schenectady County Vote Results]])</f>
        <v>873</v>
      </c>
      <c r="F7" s="2"/>
    </row>
    <row r="8" spans="1:6" x14ac:dyDescent="0.2">
      <c r="A8" s="37" t="s">
        <v>1</v>
      </c>
      <c r="B8" s="4">
        <v>38</v>
      </c>
      <c r="C8" s="11">
        <v>4</v>
      </c>
      <c r="D8" s="11">
        <v>14</v>
      </c>
      <c r="E8" s="3">
        <f>SUM(StateSenatorSenateDistrict46General[[#This Row],[Part of Albany County Vote Results]:[Part of Schenectady County Vote Results]])</f>
        <v>56</v>
      </c>
      <c r="F8" s="2"/>
    </row>
    <row r="9" spans="1:6" x14ac:dyDescent="0.2">
      <c r="A9" s="37" t="s">
        <v>5</v>
      </c>
      <c r="B9" s="4">
        <v>258</v>
      </c>
      <c r="C9" s="11">
        <v>38</v>
      </c>
      <c r="D9" s="11">
        <v>74</v>
      </c>
      <c r="E9" s="3">
        <f>SUM(StateSenatorSenateDistrict46General[[#This Row],[Part of Albany County Vote Results]:[Part of Schenectady County Vote Results]])</f>
        <v>370</v>
      </c>
      <c r="F9" s="2"/>
    </row>
    <row r="10" spans="1:6" x14ac:dyDescent="0.2">
      <c r="A10" s="5" t="s">
        <v>2</v>
      </c>
      <c r="B10" s="4">
        <f>SUM(StateSenatorSenateDistrict46General[Part of Albany County Vote Results])</f>
        <v>73116</v>
      </c>
      <c r="C10" s="11">
        <f>SUM(StateSenatorSenateDistrict46General[Montgomery County Vote Results])</f>
        <v>16071</v>
      </c>
      <c r="D10" s="11">
        <f>SUM(StateSenatorSenateDistrict46General[Part of Schenectady County Vote Results])</f>
        <v>31304</v>
      </c>
      <c r="E10" s="3">
        <f>SUM(StateSenatorSenateDistrict46General[Total Votes by Party])</f>
        <v>120491</v>
      </c>
      <c r="F10" s="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9DB27-F0E4-47CB-AD7C-6B85FE0EA263}">
  <sheetPr>
    <pageSetUpPr fitToPage="1"/>
  </sheetPr>
  <dimension ref="A1:D10"/>
  <sheetViews>
    <sheetView workbookViewId="0">
      <selection sqref="A1:XFD1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s="43" customFormat="1" ht="18.75" x14ac:dyDescent="0.2">
      <c r="A1" s="42" t="s">
        <v>120</v>
      </c>
    </row>
    <row r="2" spans="1:4" ht="25.5" x14ac:dyDescent="0.2">
      <c r="A2" s="9" t="s">
        <v>8</v>
      </c>
      <c r="B2" s="38" t="s">
        <v>33</v>
      </c>
      <c r="C2" s="8" t="s">
        <v>3</v>
      </c>
      <c r="D2" s="7" t="s">
        <v>4</v>
      </c>
    </row>
    <row r="3" spans="1:4" ht="25.5" x14ac:dyDescent="0.2">
      <c r="A3" s="36" t="s">
        <v>69</v>
      </c>
      <c r="B3" s="11">
        <v>83174</v>
      </c>
      <c r="C3" s="3">
        <f t="shared" ref="C3:C9" si="0">SUM(B3)</f>
        <v>83174</v>
      </c>
      <c r="D3" s="6">
        <f>SUM(C3,C6)</f>
        <v>91531</v>
      </c>
    </row>
    <row r="4" spans="1:4" ht="25.5" x14ac:dyDescent="0.2">
      <c r="A4" s="36" t="s">
        <v>70</v>
      </c>
      <c r="B4" s="11">
        <v>15093</v>
      </c>
      <c r="C4" s="3">
        <f t="shared" si="0"/>
        <v>15093</v>
      </c>
      <c r="D4" s="6">
        <f>SUM(C4,C5)</f>
        <v>16270</v>
      </c>
    </row>
    <row r="5" spans="1:4" ht="25.5" x14ac:dyDescent="0.2">
      <c r="A5" s="36" t="s">
        <v>71</v>
      </c>
      <c r="B5" s="11">
        <v>1177</v>
      </c>
      <c r="C5" s="3">
        <f t="shared" si="0"/>
        <v>1177</v>
      </c>
      <c r="D5" s="2"/>
    </row>
    <row r="6" spans="1:4" ht="25.5" x14ac:dyDescent="0.2">
      <c r="A6" s="36" t="s">
        <v>72</v>
      </c>
      <c r="B6" s="11">
        <v>8357</v>
      </c>
      <c r="C6" s="3">
        <f t="shared" si="0"/>
        <v>8357</v>
      </c>
      <c r="D6" s="2"/>
    </row>
    <row r="7" spans="1:4" x14ac:dyDescent="0.2">
      <c r="A7" s="37" t="s">
        <v>0</v>
      </c>
      <c r="B7" s="11">
        <v>495</v>
      </c>
      <c r="C7" s="3">
        <f t="shared" si="0"/>
        <v>495</v>
      </c>
      <c r="D7" s="2"/>
    </row>
    <row r="8" spans="1:4" x14ac:dyDescent="0.2">
      <c r="A8" s="37" t="s">
        <v>1</v>
      </c>
      <c r="B8" s="11"/>
      <c r="C8" s="3">
        <f t="shared" si="0"/>
        <v>0</v>
      </c>
      <c r="D8" s="2"/>
    </row>
    <row r="9" spans="1:4" x14ac:dyDescent="0.2">
      <c r="A9" s="37" t="s">
        <v>5</v>
      </c>
      <c r="B9" s="11">
        <v>259</v>
      </c>
      <c r="C9" s="3">
        <f t="shared" si="0"/>
        <v>259</v>
      </c>
      <c r="D9" s="2"/>
    </row>
    <row r="10" spans="1:4" x14ac:dyDescent="0.2">
      <c r="A10" s="5" t="s">
        <v>2</v>
      </c>
      <c r="B10" s="11">
        <f>SUM(StateSenatorSenateDistrict47General[Part of New York County Vote Results])</f>
        <v>108555</v>
      </c>
      <c r="C10" s="3">
        <f>SUM(StateSenatorSenateDistrict47General[Total Votes by Party])</f>
        <v>108555</v>
      </c>
      <c r="D10" s="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35BA6-12FB-4AAC-BD94-8B0AC811BB06}">
  <sheetPr>
    <pageSetUpPr fitToPage="1"/>
  </sheetPr>
  <dimension ref="A1:E10"/>
  <sheetViews>
    <sheetView workbookViewId="0">
      <selection sqref="A1:XFD1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s="43" customFormat="1" ht="18.75" x14ac:dyDescent="0.2">
      <c r="A1" s="42" t="s">
        <v>121</v>
      </c>
    </row>
    <row r="2" spans="1:5" ht="25.5" x14ac:dyDescent="0.2">
      <c r="A2" s="9" t="s">
        <v>8</v>
      </c>
      <c r="B2" s="38" t="s">
        <v>23</v>
      </c>
      <c r="C2" s="38" t="s">
        <v>57</v>
      </c>
      <c r="D2" s="8" t="s">
        <v>3</v>
      </c>
      <c r="E2" s="7" t="s">
        <v>4</v>
      </c>
    </row>
    <row r="3" spans="1:5" ht="25.5" x14ac:dyDescent="0.2">
      <c r="A3" s="36" t="s">
        <v>69</v>
      </c>
      <c r="B3" s="11">
        <v>9505</v>
      </c>
      <c r="C3" s="11">
        <v>39258</v>
      </c>
      <c r="D3" s="3">
        <f>SUM(StateSenatorSenateDistrict48General[[#This Row],[Cayuga County Vote Results]:[Part of Onondaga County Vote Results]])</f>
        <v>48763</v>
      </c>
      <c r="E3" s="6">
        <f>SUM(D3,D6)</f>
        <v>52722</v>
      </c>
    </row>
    <row r="4" spans="1:5" ht="25.5" x14ac:dyDescent="0.2">
      <c r="A4" s="36" t="s">
        <v>70</v>
      </c>
      <c r="B4" s="11">
        <v>14465</v>
      </c>
      <c r="C4" s="11">
        <v>27375</v>
      </c>
      <c r="D4" s="3">
        <f>SUM(StateSenatorSenateDistrict48General[[#This Row],[Cayuga County Vote Results]:[Part of Onondaga County Vote Results]])</f>
        <v>41840</v>
      </c>
      <c r="E4" s="6">
        <f>SUM(D4,D5)</f>
        <v>49450</v>
      </c>
    </row>
    <row r="5" spans="1:5" ht="25.5" x14ac:dyDescent="0.2">
      <c r="A5" s="36" t="s">
        <v>71</v>
      </c>
      <c r="B5" s="11">
        <v>2260</v>
      </c>
      <c r="C5" s="11">
        <v>5350</v>
      </c>
      <c r="D5" s="3">
        <f>SUM(StateSenatorSenateDistrict48General[[#This Row],[Cayuga County Vote Results]:[Part of Onondaga County Vote Results]])</f>
        <v>7610</v>
      </c>
      <c r="E5" s="2"/>
    </row>
    <row r="6" spans="1:5" ht="25.5" x14ac:dyDescent="0.2">
      <c r="A6" s="36" t="s">
        <v>72</v>
      </c>
      <c r="B6" s="11">
        <v>670</v>
      </c>
      <c r="C6" s="11">
        <v>3289</v>
      </c>
      <c r="D6" s="3">
        <f>SUM(StateSenatorSenateDistrict48General[[#This Row],[Cayuga County Vote Results]:[Part of Onondaga County Vote Results]])</f>
        <v>3959</v>
      </c>
      <c r="E6" s="2"/>
    </row>
    <row r="7" spans="1:5" x14ac:dyDescent="0.2">
      <c r="A7" s="37" t="s">
        <v>0</v>
      </c>
      <c r="B7" s="11">
        <v>181</v>
      </c>
      <c r="C7" s="11">
        <v>652</v>
      </c>
      <c r="D7" s="3">
        <f>SUM(StateSenatorSenateDistrict48General[[#This Row],[Cayuga County Vote Results]:[Part of Onondaga County Vote Results]])</f>
        <v>833</v>
      </c>
      <c r="E7" s="2"/>
    </row>
    <row r="8" spans="1:5" x14ac:dyDescent="0.2">
      <c r="A8" s="37" t="s">
        <v>1</v>
      </c>
      <c r="B8" s="11">
        <v>4</v>
      </c>
      <c r="C8" s="11">
        <v>34</v>
      </c>
      <c r="D8" s="3">
        <f>SUM(StateSenatorSenateDistrict48General[[#This Row],[Cayuga County Vote Results]:[Part of Onondaga County Vote Results]])</f>
        <v>38</v>
      </c>
      <c r="E8" s="2"/>
    </row>
    <row r="9" spans="1:5" x14ac:dyDescent="0.2">
      <c r="A9" s="37" t="s">
        <v>5</v>
      </c>
      <c r="B9" s="11">
        <v>49</v>
      </c>
      <c r="C9" s="11">
        <v>144</v>
      </c>
      <c r="D9" s="3">
        <f>SUM(StateSenatorSenateDistrict48General[[#This Row],[Cayuga County Vote Results]:[Part of Onondaga County Vote Results]])</f>
        <v>193</v>
      </c>
      <c r="E9" s="2"/>
    </row>
    <row r="10" spans="1:5" x14ac:dyDescent="0.2">
      <c r="A10" s="5" t="s">
        <v>2</v>
      </c>
      <c r="B10" s="11">
        <f>SUM(StateSenatorSenateDistrict48General[Cayuga County Vote Results])</f>
        <v>27134</v>
      </c>
      <c r="C10" s="11">
        <f>SUM(StateSenatorSenateDistrict48General[Part of Onondaga County Vote Results])</f>
        <v>76102</v>
      </c>
      <c r="D10" s="3">
        <f>SUM(StateSenatorSenateDistrict48General[Total Votes by Party])</f>
        <v>103236</v>
      </c>
      <c r="E10" s="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6E897-7B18-4D7F-AEBB-31DDB5648633}">
  <sheetPr>
    <pageSetUpPr fitToPage="1"/>
  </sheetPr>
  <dimension ref="A1:J10"/>
  <sheetViews>
    <sheetView workbookViewId="0">
      <selection sqref="A1:XFD1"/>
    </sheetView>
  </sheetViews>
  <sheetFormatPr defaultRowHeight="12.75" x14ac:dyDescent="0.2"/>
  <cols>
    <col min="1" max="1" width="25.5703125" customWidth="1"/>
    <col min="2" max="8" width="17.28515625" customWidth="1"/>
    <col min="9" max="9" width="17.5703125" customWidth="1"/>
    <col min="10" max="10" width="20.5703125" customWidth="1"/>
    <col min="11" max="12" width="23.5703125" customWidth="1"/>
  </cols>
  <sheetData>
    <row r="1" spans="1:10" s="43" customFormat="1" ht="18.75" x14ac:dyDescent="0.2">
      <c r="A1" s="42" t="s">
        <v>122</v>
      </c>
    </row>
    <row r="2" spans="1:10" ht="25.5" x14ac:dyDescent="0.2">
      <c r="A2" s="9" t="s">
        <v>8</v>
      </c>
      <c r="B2" s="38" t="s">
        <v>12</v>
      </c>
      <c r="C2" s="38" t="s">
        <v>11</v>
      </c>
      <c r="D2" s="38" t="s">
        <v>59</v>
      </c>
      <c r="E2" s="38" t="s">
        <v>16</v>
      </c>
      <c r="F2" s="38" t="s">
        <v>58</v>
      </c>
      <c r="G2" s="38" t="s">
        <v>43</v>
      </c>
      <c r="H2" s="38" t="s">
        <v>56</v>
      </c>
      <c r="I2" s="8" t="s">
        <v>3</v>
      </c>
      <c r="J2" s="7" t="s">
        <v>4</v>
      </c>
    </row>
    <row r="3" spans="1:10" ht="25.5" x14ac:dyDescent="0.2">
      <c r="A3" s="36" t="s">
        <v>69</v>
      </c>
      <c r="B3" s="11">
        <v>4915</v>
      </c>
      <c r="C3" s="11">
        <v>770</v>
      </c>
      <c r="D3" s="11">
        <v>5087</v>
      </c>
      <c r="E3" s="11">
        <v>8690</v>
      </c>
      <c r="F3" s="11">
        <v>1933</v>
      </c>
      <c r="G3" s="11">
        <v>2286</v>
      </c>
      <c r="H3" s="11">
        <v>2699</v>
      </c>
      <c r="I3" s="3">
        <f>SUM(StateSenatorSenateDistrict49General[[#This Row],[Fulton County Vote Results]:[Part of St. Lawrence County Vote Results]])</f>
        <v>26380</v>
      </c>
      <c r="J3" s="6">
        <f>SUM(I3,I6)</f>
        <v>28139</v>
      </c>
    </row>
    <row r="4" spans="1:10" ht="25.5" x14ac:dyDescent="0.2">
      <c r="A4" s="36" t="s">
        <v>70</v>
      </c>
      <c r="B4" s="11">
        <v>12342</v>
      </c>
      <c r="C4" s="11">
        <v>1871</v>
      </c>
      <c r="D4" s="11">
        <v>13571</v>
      </c>
      <c r="E4" s="11">
        <v>20488</v>
      </c>
      <c r="F4" s="11">
        <v>7876</v>
      </c>
      <c r="G4" s="11">
        <v>6800</v>
      </c>
      <c r="H4" s="11">
        <v>7908</v>
      </c>
      <c r="I4" s="3">
        <f>SUM(StateSenatorSenateDistrict49General[[#This Row],[Fulton County Vote Results]:[Part of St. Lawrence County Vote Results]])</f>
        <v>70856</v>
      </c>
      <c r="J4" s="6">
        <f>SUM(I4:I5)</f>
        <v>78060</v>
      </c>
    </row>
    <row r="5" spans="1:10" ht="25.5" x14ac:dyDescent="0.2">
      <c r="A5" s="36" t="s">
        <v>71</v>
      </c>
      <c r="B5" s="11">
        <v>1249</v>
      </c>
      <c r="C5" s="11">
        <v>180</v>
      </c>
      <c r="D5" s="11">
        <v>1361</v>
      </c>
      <c r="E5" s="11">
        <v>2035</v>
      </c>
      <c r="F5" s="11">
        <v>704</v>
      </c>
      <c r="G5" s="11">
        <v>730</v>
      </c>
      <c r="H5" s="11">
        <v>945</v>
      </c>
      <c r="I5" s="3">
        <f>SUM(StateSenatorSenateDistrict49General[[#This Row],[Fulton County Vote Results]:[Part of St. Lawrence County Vote Results]])</f>
        <v>7204</v>
      </c>
      <c r="J5" s="2"/>
    </row>
    <row r="6" spans="1:10" ht="25.5" x14ac:dyDescent="0.2">
      <c r="A6" s="36" t="s">
        <v>72</v>
      </c>
      <c r="B6" s="11">
        <v>340</v>
      </c>
      <c r="C6" s="11">
        <v>61</v>
      </c>
      <c r="D6" s="11">
        <v>341</v>
      </c>
      <c r="E6" s="11">
        <v>514</v>
      </c>
      <c r="F6" s="11">
        <v>135</v>
      </c>
      <c r="G6" s="11">
        <v>206</v>
      </c>
      <c r="H6" s="11">
        <v>162</v>
      </c>
      <c r="I6" s="3">
        <f>SUM(StateSenatorSenateDistrict49General[[#This Row],[Fulton County Vote Results]:[Part of St. Lawrence County Vote Results]])</f>
        <v>1759</v>
      </c>
      <c r="J6" s="2"/>
    </row>
    <row r="7" spans="1:10" x14ac:dyDescent="0.2">
      <c r="A7" s="37" t="s">
        <v>0</v>
      </c>
      <c r="B7" s="11">
        <v>180</v>
      </c>
      <c r="C7" s="11">
        <v>51</v>
      </c>
      <c r="D7" s="11">
        <v>163</v>
      </c>
      <c r="E7" s="11">
        <v>196</v>
      </c>
      <c r="F7" s="11">
        <v>119</v>
      </c>
      <c r="G7" s="11">
        <v>45</v>
      </c>
      <c r="H7" s="11">
        <v>157</v>
      </c>
      <c r="I7" s="3">
        <f>SUM(StateSenatorSenateDistrict49General[[#This Row],[Fulton County Vote Results]:[Part of St. Lawrence County Vote Results]])</f>
        <v>911</v>
      </c>
      <c r="J7" s="2"/>
    </row>
    <row r="8" spans="1:10" x14ac:dyDescent="0.2">
      <c r="A8" s="37" t="s">
        <v>1</v>
      </c>
      <c r="B8" s="11">
        <v>1</v>
      </c>
      <c r="C8" s="11">
        <v>2</v>
      </c>
      <c r="D8" s="11">
        <v>0</v>
      </c>
      <c r="E8" s="11">
        <v>10</v>
      </c>
      <c r="F8" s="11">
        <v>5</v>
      </c>
      <c r="G8" s="11">
        <v>3</v>
      </c>
      <c r="H8" s="11"/>
      <c r="I8" s="3">
        <f>SUM(StateSenatorSenateDistrict49General[[#This Row],[Fulton County Vote Results]:[Part of St. Lawrence County Vote Results]])</f>
        <v>21</v>
      </c>
      <c r="J8" s="12"/>
    </row>
    <row r="9" spans="1:10" x14ac:dyDescent="0.2">
      <c r="A9" s="37" t="s">
        <v>5</v>
      </c>
      <c r="B9" s="11">
        <v>33</v>
      </c>
      <c r="C9" s="11">
        <v>0</v>
      </c>
      <c r="D9" s="11">
        <v>29</v>
      </c>
      <c r="E9" s="11">
        <v>39</v>
      </c>
      <c r="F9" s="11">
        <v>7</v>
      </c>
      <c r="G9" s="11">
        <v>22</v>
      </c>
      <c r="H9" s="11">
        <v>12</v>
      </c>
      <c r="I9" s="3">
        <f>SUM(StateSenatorSenateDistrict49General[[#This Row],[Fulton County Vote Results]:[Part of St. Lawrence County Vote Results]])</f>
        <v>142</v>
      </c>
      <c r="J9" s="12"/>
    </row>
    <row r="10" spans="1:10" x14ac:dyDescent="0.2">
      <c r="A10" s="5" t="s">
        <v>2</v>
      </c>
      <c r="B10" s="11">
        <f>SUM(StateSenatorSenateDistrict49General[Fulton County Vote Results])</f>
        <v>19060</v>
      </c>
      <c r="C10" s="11">
        <f>SUM(StateSenatorSenateDistrict49General[Hamilton County Vote Results])</f>
        <v>2935</v>
      </c>
      <c r="D10" s="11">
        <f>SUM(StateSenatorSenateDistrict49General[Part of Herkimer County Vote Results])</f>
        <v>20552</v>
      </c>
      <c r="E10" s="11">
        <f>SUM(StateSenatorSenateDistrict49General[Jefferson County Vote Results])</f>
        <v>31972</v>
      </c>
      <c r="F10" s="11">
        <f>SUM(StateSenatorSenateDistrict49General[Lewis County
Vote Results])</f>
        <v>10779</v>
      </c>
      <c r="G10" s="11">
        <f>SUM(StateSenatorSenateDistrict49General[Part of Oswego County Vote Results])</f>
        <v>10092</v>
      </c>
      <c r="H10" s="11">
        <f>SUM(StateSenatorSenateDistrict49General[Part of St. Lawrence County Vote Results])</f>
        <v>11883</v>
      </c>
      <c r="I10" s="3">
        <f>SUM(StateSenatorSenateDistrict49General[Total Votes by Party])</f>
        <v>107273</v>
      </c>
      <c r="J10" s="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153AB-E4FB-4A7E-B147-A6C0DFF2F050}">
  <sheetPr>
    <pageSetUpPr fitToPage="1"/>
  </sheetPr>
  <dimension ref="A1:D10"/>
  <sheetViews>
    <sheetView workbookViewId="0">
      <selection activeCell="F28" sqref="F2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75" customHeight="1" x14ac:dyDescent="0.2">
      <c r="A1" s="42" t="s">
        <v>78</v>
      </c>
    </row>
    <row r="2" spans="1:4" ht="25.5" x14ac:dyDescent="0.2">
      <c r="A2" s="9" t="s">
        <v>8</v>
      </c>
      <c r="B2" s="38" t="s">
        <v>30</v>
      </c>
      <c r="C2" s="8" t="s">
        <v>3</v>
      </c>
      <c r="D2" s="7" t="s">
        <v>4</v>
      </c>
    </row>
    <row r="3" spans="1:4" ht="25.5" x14ac:dyDescent="0.2">
      <c r="A3" s="29" t="s">
        <v>69</v>
      </c>
      <c r="B3" s="4">
        <v>51589</v>
      </c>
      <c r="C3" s="3">
        <f>StateSenatorSenateDistrict5General44[[#This Row],[Part of Nassau County Vote Results]]</f>
        <v>51589</v>
      </c>
      <c r="D3" s="6">
        <f>SUM(C3,C6)</f>
        <v>54191</v>
      </c>
    </row>
    <row r="4" spans="1:4" ht="25.5" x14ac:dyDescent="0.2">
      <c r="A4" s="29" t="s">
        <v>70</v>
      </c>
      <c r="B4" s="4">
        <v>75879</v>
      </c>
      <c r="C4" s="3">
        <f>StateSenatorSenateDistrict5General44[[#This Row],[Part of Nassau County Vote Results]]</f>
        <v>75879</v>
      </c>
      <c r="D4" s="6">
        <f>SUM(C4,C5)</f>
        <v>82376</v>
      </c>
    </row>
    <row r="5" spans="1:4" ht="25.5" x14ac:dyDescent="0.2">
      <c r="A5" s="29" t="s">
        <v>71</v>
      </c>
      <c r="B5" s="4">
        <v>6497</v>
      </c>
      <c r="C5" s="3">
        <f>StateSenatorSenateDistrict5General44[[#This Row],[Part of Nassau County Vote Results]]</f>
        <v>6497</v>
      </c>
      <c r="D5" s="2"/>
    </row>
    <row r="6" spans="1:4" ht="25.5" x14ac:dyDescent="0.2">
      <c r="A6" s="29" t="s">
        <v>72</v>
      </c>
      <c r="B6" s="4">
        <v>2602</v>
      </c>
      <c r="C6" s="3">
        <f>StateSenatorSenateDistrict5General44[[#This Row],[Part of Nassau County Vote Results]]</f>
        <v>2602</v>
      </c>
      <c r="D6" s="2"/>
    </row>
    <row r="7" spans="1:4" x14ac:dyDescent="0.2">
      <c r="A7" s="30" t="s">
        <v>0</v>
      </c>
      <c r="B7" s="4">
        <v>380</v>
      </c>
      <c r="C7" s="3">
        <f>StateSenatorSenateDistrict5General44[[#This Row],[Part of Nassau County Vote Results]]</f>
        <v>380</v>
      </c>
      <c r="D7" s="2"/>
    </row>
    <row r="8" spans="1:4" x14ac:dyDescent="0.2">
      <c r="A8" s="30" t="s">
        <v>1</v>
      </c>
      <c r="B8" s="4">
        <v>55</v>
      </c>
      <c r="C8" s="3">
        <f>StateSenatorSenateDistrict5General44[[#This Row],[Part of Nassau County Vote Results]]</f>
        <v>55</v>
      </c>
      <c r="D8" s="2"/>
    </row>
    <row r="9" spans="1:4" x14ac:dyDescent="0.2">
      <c r="A9" s="30" t="s">
        <v>5</v>
      </c>
      <c r="B9" s="4">
        <v>122</v>
      </c>
      <c r="C9" s="3">
        <f>StateSenatorSenateDistrict5General44[[#This Row],[Part of Nassau County Vote Results]]</f>
        <v>122</v>
      </c>
      <c r="D9" s="2"/>
    </row>
    <row r="10" spans="1:4" x14ac:dyDescent="0.2">
      <c r="A10" s="31" t="s">
        <v>2</v>
      </c>
      <c r="B10" s="4">
        <f>SUM(StateSenatorSenateDistrict5General44[Part of Nassau County Vote Results])</f>
        <v>137124</v>
      </c>
      <c r="C10" s="3">
        <f>SUM(StateSenatorSenateDistrict5General44[Total Votes by Party])</f>
        <v>137124</v>
      </c>
      <c r="D10" s="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AC324-4DC2-42D8-8EFC-1F8219CE1A4F}">
  <sheetPr>
    <pageSetUpPr fitToPage="1"/>
  </sheetPr>
  <dimension ref="A1:E10"/>
  <sheetViews>
    <sheetView workbookViewId="0">
      <selection sqref="A1:XFD1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s="43" customFormat="1" ht="18.75" x14ac:dyDescent="0.2">
      <c r="A1" s="42" t="s">
        <v>123</v>
      </c>
    </row>
    <row r="2" spans="1:5" ht="25.5" x14ac:dyDescent="0.2">
      <c r="A2" s="9" t="s">
        <v>8</v>
      </c>
      <c r="B2" s="38" t="s">
        <v>60</v>
      </c>
      <c r="C2" s="38" t="s">
        <v>43</v>
      </c>
      <c r="D2" s="8" t="s">
        <v>3</v>
      </c>
      <c r="E2" s="7" t="s">
        <v>4</v>
      </c>
    </row>
    <row r="3" spans="1:5" ht="25.5" x14ac:dyDescent="0.2">
      <c r="A3" s="36" t="s">
        <v>69</v>
      </c>
      <c r="B3" s="11">
        <v>45886</v>
      </c>
      <c r="C3" s="11">
        <v>9931</v>
      </c>
      <c r="D3" s="3">
        <f>SUM(StateSenatorSenateDistrict50General[[#This Row],[Part of Onondago County Vote Results]:[Part of Oswego County Vote Results]])</f>
        <v>55817</v>
      </c>
      <c r="E3" s="6">
        <f>SUM(D3,D6)</f>
        <v>59486</v>
      </c>
    </row>
    <row r="4" spans="1:5" ht="25.5" x14ac:dyDescent="0.2">
      <c r="A4" s="36" t="s">
        <v>70</v>
      </c>
      <c r="B4" s="11">
        <v>38773</v>
      </c>
      <c r="C4" s="11">
        <v>17135</v>
      </c>
      <c r="D4" s="3">
        <f>SUM(StateSenatorSenateDistrict50General[[#This Row],[Part of Onondago County Vote Results]:[Part of Oswego County Vote Results]])</f>
        <v>55908</v>
      </c>
      <c r="E4" s="6">
        <f>SUM(D4,D5)</f>
        <v>65078</v>
      </c>
    </row>
    <row r="5" spans="1:5" ht="25.5" x14ac:dyDescent="0.2">
      <c r="A5" s="36" t="s">
        <v>71</v>
      </c>
      <c r="B5" s="11">
        <v>6741</v>
      </c>
      <c r="C5" s="11">
        <v>2429</v>
      </c>
      <c r="D5" s="3">
        <f>SUM(StateSenatorSenateDistrict50General[[#This Row],[Part of Onondago County Vote Results]:[Part of Oswego County Vote Results]])</f>
        <v>9170</v>
      </c>
      <c r="E5" s="2"/>
    </row>
    <row r="6" spans="1:5" ht="25.5" x14ac:dyDescent="0.2">
      <c r="A6" s="36" t="s">
        <v>72</v>
      </c>
      <c r="B6" s="11">
        <v>2977</v>
      </c>
      <c r="C6" s="11">
        <v>692</v>
      </c>
      <c r="D6" s="3">
        <f>SUM(StateSenatorSenateDistrict50General[[#This Row],[Part of Onondago County Vote Results]:[Part of Oswego County Vote Results]])</f>
        <v>3669</v>
      </c>
      <c r="E6" s="2"/>
    </row>
    <row r="7" spans="1:5" x14ac:dyDescent="0.2">
      <c r="A7" s="37" t="s">
        <v>0</v>
      </c>
      <c r="B7" s="11">
        <v>521</v>
      </c>
      <c r="C7" s="11">
        <v>157</v>
      </c>
      <c r="D7" s="3">
        <f>SUM(StateSenatorSenateDistrict50General[[#This Row],[Part of Onondago County Vote Results]:[Part of Oswego County Vote Results]])</f>
        <v>678</v>
      </c>
      <c r="E7" s="2"/>
    </row>
    <row r="8" spans="1:5" x14ac:dyDescent="0.2">
      <c r="A8" s="37" t="s">
        <v>1</v>
      </c>
      <c r="B8" s="11">
        <v>25</v>
      </c>
      <c r="C8" s="11">
        <v>3</v>
      </c>
      <c r="D8" s="3">
        <f>SUM(StateSenatorSenateDistrict50General[[#This Row],[Part of Onondago County Vote Results]:[Part of Oswego County Vote Results]])</f>
        <v>28</v>
      </c>
      <c r="E8" s="2"/>
    </row>
    <row r="9" spans="1:5" x14ac:dyDescent="0.2">
      <c r="A9" s="37" t="s">
        <v>5</v>
      </c>
      <c r="B9" s="11">
        <v>184</v>
      </c>
      <c r="C9" s="11">
        <v>50</v>
      </c>
      <c r="D9" s="3">
        <f>SUM(StateSenatorSenateDistrict50General[[#This Row],[Part of Onondago County Vote Results]:[Part of Oswego County Vote Results]])</f>
        <v>234</v>
      </c>
      <c r="E9" s="2"/>
    </row>
    <row r="10" spans="1:5" x14ac:dyDescent="0.2">
      <c r="A10" s="5" t="s">
        <v>2</v>
      </c>
      <c r="B10" s="11">
        <f>SUM(StateSenatorSenateDistrict50General[Part of Onondago County Vote Results])</f>
        <v>95107</v>
      </c>
      <c r="C10" s="11">
        <f>SUM(StateSenatorSenateDistrict50General[Part of Oswego County Vote Results])</f>
        <v>30397</v>
      </c>
      <c r="D10" s="3">
        <f>SUM(StateSenatorSenateDistrict50General[Total Votes by Party])</f>
        <v>125504</v>
      </c>
      <c r="E10" s="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1E381-E880-446D-9F22-2D5E1796567C}">
  <sheetPr>
    <pageSetUpPr fitToPage="1"/>
  </sheetPr>
  <dimension ref="A1:J10"/>
  <sheetViews>
    <sheetView workbookViewId="0">
      <pane xSplit="1" topLeftCell="B1" activePane="topRight" state="frozen"/>
      <selection activeCell="A32" sqref="A32:XFD32"/>
      <selection pane="topRight" sqref="A1:XFD1"/>
    </sheetView>
  </sheetViews>
  <sheetFormatPr defaultRowHeight="12.75" x14ac:dyDescent="0.2"/>
  <cols>
    <col min="1" max="1" width="25.5703125" customWidth="1"/>
    <col min="2" max="11" width="15.7109375" customWidth="1"/>
    <col min="12" max="13" width="23.5703125" customWidth="1"/>
  </cols>
  <sheetData>
    <row r="1" spans="1:10" s="43" customFormat="1" ht="18.75" x14ac:dyDescent="0.2">
      <c r="A1" s="42" t="s">
        <v>124</v>
      </c>
    </row>
    <row r="2" spans="1:10" ht="38.25" customHeight="1" x14ac:dyDescent="0.2">
      <c r="A2" s="9" t="s">
        <v>8</v>
      </c>
      <c r="B2" s="38" t="s">
        <v>62</v>
      </c>
      <c r="C2" s="38" t="s">
        <v>61</v>
      </c>
      <c r="D2" s="38" t="s">
        <v>39</v>
      </c>
      <c r="E2" s="38" t="s">
        <v>63</v>
      </c>
      <c r="F2" s="38" t="s">
        <v>7</v>
      </c>
      <c r="G2" s="38" t="s">
        <v>6</v>
      </c>
      <c r="H2" s="38" t="s">
        <v>37</v>
      </c>
      <c r="I2" s="8" t="s">
        <v>3</v>
      </c>
      <c r="J2" s="7" t="s">
        <v>4</v>
      </c>
    </row>
    <row r="3" spans="1:10" ht="25.5" x14ac:dyDescent="0.2">
      <c r="A3" s="36" t="s">
        <v>69</v>
      </c>
      <c r="B3" s="11">
        <v>3478</v>
      </c>
      <c r="C3" s="11">
        <v>3053</v>
      </c>
      <c r="D3" s="11">
        <v>5869</v>
      </c>
      <c r="E3" s="11">
        <v>8104</v>
      </c>
      <c r="F3" s="11">
        <v>3560</v>
      </c>
      <c r="G3" s="11">
        <v>8912</v>
      </c>
      <c r="H3" s="11">
        <v>9561</v>
      </c>
      <c r="I3" s="3">
        <f>SUM(StateSenatorSenateDistrict51General[[#This Row],[Part of Broome County Vote Results]:[Part of Ulster County Vote Results]])</f>
        <v>42537</v>
      </c>
      <c r="J3" s="6">
        <f>SUM(I3,I6)</f>
        <v>47008</v>
      </c>
    </row>
    <row r="4" spans="1:10" ht="25.5" x14ac:dyDescent="0.2">
      <c r="A4" s="36" t="s">
        <v>70</v>
      </c>
      <c r="B4" s="11">
        <v>8480</v>
      </c>
      <c r="C4" s="11">
        <v>6633</v>
      </c>
      <c r="D4" s="11">
        <v>11076</v>
      </c>
      <c r="E4" s="11">
        <v>11833</v>
      </c>
      <c r="F4" s="11">
        <v>7651</v>
      </c>
      <c r="G4" s="11">
        <v>13363</v>
      </c>
      <c r="H4" s="11">
        <v>8625</v>
      </c>
      <c r="I4" s="3">
        <f>SUM(StateSenatorSenateDistrict51General[[#This Row],[Part of Broome County Vote Results]:[Part of Ulster County Vote Results]])</f>
        <v>67661</v>
      </c>
      <c r="J4" s="6">
        <f>SUM(I4,I5)</f>
        <v>75550</v>
      </c>
    </row>
    <row r="5" spans="1:10" ht="25.5" x14ac:dyDescent="0.2">
      <c r="A5" s="36" t="s">
        <v>71</v>
      </c>
      <c r="B5" s="11">
        <v>764</v>
      </c>
      <c r="C5" s="11">
        <v>580</v>
      </c>
      <c r="D5" s="11">
        <v>1019</v>
      </c>
      <c r="E5" s="11">
        <v>1422</v>
      </c>
      <c r="F5" s="11">
        <v>1259</v>
      </c>
      <c r="G5" s="11">
        <v>1646</v>
      </c>
      <c r="H5" s="11">
        <v>1199</v>
      </c>
      <c r="I5" s="3">
        <f>SUM(StateSenatorSenateDistrict51General[[#This Row],[Part of Broome County Vote Results]:[Part of Ulster County Vote Results]])</f>
        <v>7889</v>
      </c>
      <c r="J5" s="2"/>
    </row>
    <row r="6" spans="1:10" ht="25.5" x14ac:dyDescent="0.2">
      <c r="A6" s="36" t="s">
        <v>72</v>
      </c>
      <c r="B6" s="11">
        <v>252</v>
      </c>
      <c r="C6" s="11">
        <v>205</v>
      </c>
      <c r="D6" s="11">
        <v>621</v>
      </c>
      <c r="E6" s="11">
        <v>691</v>
      </c>
      <c r="F6" s="11">
        <v>363</v>
      </c>
      <c r="G6" s="11">
        <v>847</v>
      </c>
      <c r="H6" s="11">
        <v>1492</v>
      </c>
      <c r="I6" s="3">
        <f>SUM(StateSenatorSenateDistrict51General[[#This Row],[Part of Broome County Vote Results]:[Part of Ulster County Vote Results]])</f>
        <v>4471</v>
      </c>
      <c r="J6" s="2"/>
    </row>
    <row r="7" spans="1:10" x14ac:dyDescent="0.2">
      <c r="A7" s="37" t="s">
        <v>0</v>
      </c>
      <c r="B7" s="11">
        <v>108</v>
      </c>
      <c r="C7" s="11">
        <v>4</v>
      </c>
      <c r="D7" s="11">
        <v>90</v>
      </c>
      <c r="E7" s="11">
        <v>124</v>
      </c>
      <c r="F7" s="11">
        <v>85</v>
      </c>
      <c r="G7" s="11">
        <v>187</v>
      </c>
      <c r="H7" s="11">
        <v>183</v>
      </c>
      <c r="I7" s="3">
        <f>SUM(StateSenatorSenateDistrict51General[[#This Row],[Part of Broome County Vote Results]:[Part of Ulster County Vote Results]])</f>
        <v>781</v>
      </c>
      <c r="J7" s="2"/>
    </row>
    <row r="8" spans="1:10" ht="12" customHeight="1" x14ac:dyDescent="0.2">
      <c r="A8" s="37" t="s">
        <v>1</v>
      </c>
      <c r="B8" s="11">
        <v>4</v>
      </c>
      <c r="C8" s="11">
        <v>44</v>
      </c>
      <c r="D8" s="11">
        <v>0</v>
      </c>
      <c r="E8" s="11">
        <v>6</v>
      </c>
      <c r="F8" s="11">
        <v>8</v>
      </c>
      <c r="G8" s="11">
        <v>31</v>
      </c>
      <c r="H8" s="11">
        <v>5</v>
      </c>
      <c r="I8" s="3">
        <f>SUM(StateSenatorSenateDistrict51General[[#This Row],[Part of Broome County Vote Results]:[Part of Ulster County Vote Results]])</f>
        <v>98</v>
      </c>
      <c r="J8" s="2"/>
    </row>
    <row r="9" spans="1:10" x14ac:dyDescent="0.2">
      <c r="A9" s="37" t="s">
        <v>5</v>
      </c>
      <c r="B9" s="11">
        <v>18</v>
      </c>
      <c r="C9" s="11">
        <v>20</v>
      </c>
      <c r="D9" s="11">
        <v>23</v>
      </c>
      <c r="E9" s="14">
        <v>52</v>
      </c>
      <c r="F9" s="11">
        <v>27</v>
      </c>
      <c r="G9" s="11">
        <v>19</v>
      </c>
      <c r="H9" s="11">
        <v>39</v>
      </c>
      <c r="I9" s="3">
        <f>SUM(StateSenatorSenateDistrict51General[[#This Row],[Part of Broome County Vote Results]:[Part of Ulster County Vote Results]])</f>
        <v>198</v>
      </c>
      <c r="J9" s="12"/>
    </row>
    <row r="10" spans="1:10" x14ac:dyDescent="0.2">
      <c r="A10" s="5" t="s">
        <v>2</v>
      </c>
      <c r="B10" s="11">
        <f>SUM(StateSenatorSenateDistrict51General[Part of Broome County Vote Results])</f>
        <v>13104</v>
      </c>
      <c r="C10" s="11">
        <f>SUM(StateSenatorSenateDistrict51General[Part of Chenango County Vote Results])</f>
        <v>10539</v>
      </c>
      <c r="D10" s="11">
        <f>SUM(StateSenatorSenateDistrict51General[Delaware County Vote Results])</f>
        <v>18698</v>
      </c>
      <c r="E10" s="11">
        <f>SUM(StateSenatorSenateDistrict51General[Otsego County Vote Results])</f>
        <v>22232</v>
      </c>
      <c r="F10" s="11">
        <f>SUM(StateSenatorSenateDistrict51General[Schoharie County Vote Results])</f>
        <v>12953</v>
      </c>
      <c r="G10" s="11">
        <f>SUM(StateSenatorSenateDistrict51General[Sullivan County Vote Results])</f>
        <v>25005</v>
      </c>
      <c r="H10" s="11">
        <f>SUM(StateSenatorSenateDistrict51General[Part of Ulster County Vote Results])</f>
        <v>21104</v>
      </c>
      <c r="I10" s="3">
        <f>SUM(StateSenatorSenateDistrict51General[Total Votes by Party])</f>
        <v>123635</v>
      </c>
      <c r="J10" s="2"/>
    </row>
  </sheetData>
  <pageMargins left="0.25" right="0.25" top="0.25" bottom="0.25" header="0.25" footer="0.25"/>
  <pageSetup paperSize="5" scale="88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78433-3F5C-4296-BE2F-AE582F9A5E27}">
  <sheetPr>
    <pageSetUpPr fitToPage="1"/>
  </sheetPr>
  <dimension ref="A1:F10"/>
  <sheetViews>
    <sheetView workbookViewId="0">
      <selection sqref="A1:XFD1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s="43" customFormat="1" ht="18.75" x14ac:dyDescent="0.2">
      <c r="A1" s="42" t="s">
        <v>125</v>
      </c>
    </row>
    <row r="2" spans="1:6" ht="25.5" x14ac:dyDescent="0.2">
      <c r="A2" s="9" t="s">
        <v>8</v>
      </c>
      <c r="B2" s="38" t="s">
        <v>62</v>
      </c>
      <c r="C2" s="38" t="s">
        <v>38</v>
      </c>
      <c r="D2" s="38" t="s">
        <v>41</v>
      </c>
      <c r="E2" s="8" t="s">
        <v>3</v>
      </c>
      <c r="F2" s="7" t="s">
        <v>4</v>
      </c>
    </row>
    <row r="3" spans="1:6" ht="25.5" x14ac:dyDescent="0.2">
      <c r="A3" s="36" t="s">
        <v>69</v>
      </c>
      <c r="B3" s="11">
        <v>23794</v>
      </c>
      <c r="C3" s="11">
        <v>6299</v>
      </c>
      <c r="D3" s="11">
        <v>20685</v>
      </c>
      <c r="E3" s="3">
        <f>SUM(StateSenatorSenateDistrict52General[[#This Row],[Part of Broome County Vote Results]:[Tompkins County Vote Results]])</f>
        <v>50778</v>
      </c>
      <c r="F3" s="6">
        <f>SUM(E3,E6)</f>
        <v>58200</v>
      </c>
    </row>
    <row r="4" spans="1:6" ht="25.5" x14ac:dyDescent="0.2">
      <c r="A4" s="36" t="s">
        <v>70</v>
      </c>
      <c r="B4" s="11">
        <v>26062</v>
      </c>
      <c r="C4" s="11">
        <v>8349</v>
      </c>
      <c r="D4" s="11">
        <v>8639</v>
      </c>
      <c r="E4" s="3">
        <f>SUM(StateSenatorSenateDistrict52General[[#This Row],[Part of Broome County Vote Results]:[Tompkins County Vote Results]])</f>
        <v>43050</v>
      </c>
      <c r="F4" s="6">
        <f>SUM(E4,E5)</f>
        <v>48023</v>
      </c>
    </row>
    <row r="5" spans="1:6" ht="25.5" x14ac:dyDescent="0.2">
      <c r="A5" s="36" t="s">
        <v>71</v>
      </c>
      <c r="B5" s="11">
        <v>3037</v>
      </c>
      <c r="C5" s="11">
        <v>945</v>
      </c>
      <c r="D5" s="11">
        <v>991</v>
      </c>
      <c r="E5" s="3">
        <f>SUM(StateSenatorSenateDistrict52General[[#This Row],[Part of Broome County Vote Results]:[Tompkins County Vote Results]])</f>
        <v>4973</v>
      </c>
      <c r="F5" s="2"/>
    </row>
    <row r="6" spans="1:6" ht="25.5" x14ac:dyDescent="0.2">
      <c r="A6" s="36" t="s">
        <v>72</v>
      </c>
      <c r="B6" s="11">
        <v>2275</v>
      </c>
      <c r="C6" s="11">
        <v>513</v>
      </c>
      <c r="D6" s="11">
        <v>4634</v>
      </c>
      <c r="E6" s="3">
        <f>SUM(StateSenatorSenateDistrict52General[[#This Row],[Part of Broome County Vote Results]:[Tompkins County Vote Results]])</f>
        <v>7422</v>
      </c>
      <c r="F6" s="2"/>
    </row>
    <row r="7" spans="1:6" x14ac:dyDescent="0.2">
      <c r="A7" s="37" t="s">
        <v>0</v>
      </c>
      <c r="B7" s="11">
        <v>479</v>
      </c>
      <c r="C7" s="11">
        <v>129</v>
      </c>
      <c r="D7" s="11">
        <v>167</v>
      </c>
      <c r="E7" s="3">
        <f>SUM(StateSenatorSenateDistrict52General[[#This Row],[Part of Broome County Vote Results]:[Tompkins County Vote Results]])</f>
        <v>775</v>
      </c>
      <c r="F7" s="2"/>
    </row>
    <row r="8" spans="1:6" x14ac:dyDescent="0.2">
      <c r="A8" s="37" t="s">
        <v>1</v>
      </c>
      <c r="B8" s="11">
        <v>32</v>
      </c>
      <c r="C8" s="11">
        <v>1</v>
      </c>
      <c r="D8" s="11">
        <v>12</v>
      </c>
      <c r="E8" s="3">
        <f>SUM(StateSenatorSenateDistrict52General[[#This Row],[Part of Broome County Vote Results]:[Tompkins County Vote Results]])</f>
        <v>45</v>
      </c>
      <c r="F8" s="2"/>
    </row>
    <row r="9" spans="1:6" x14ac:dyDescent="0.2">
      <c r="A9" s="37" t="s">
        <v>5</v>
      </c>
      <c r="B9" s="11">
        <v>70</v>
      </c>
      <c r="C9" s="11">
        <v>43</v>
      </c>
      <c r="D9" s="11">
        <v>83</v>
      </c>
      <c r="E9" s="3">
        <f>SUM(StateSenatorSenateDistrict52General[[#This Row],[Part of Broome County Vote Results]:[Tompkins County Vote Results]])</f>
        <v>196</v>
      </c>
      <c r="F9" s="2"/>
    </row>
    <row r="10" spans="1:6" x14ac:dyDescent="0.2">
      <c r="A10" s="5" t="s">
        <v>2</v>
      </c>
      <c r="B10" s="11">
        <f>SUM(StateSenatorSenateDistrict52General[Part of Broome County Vote Results])</f>
        <v>55749</v>
      </c>
      <c r="C10" s="11">
        <f>SUM(StateSenatorSenateDistrict52General[Cortland County Vote Results])</f>
        <v>16279</v>
      </c>
      <c r="D10" s="11">
        <f>SUM(StateSenatorSenateDistrict52General[Tompkins County Vote Results])</f>
        <v>35211</v>
      </c>
      <c r="E10" s="3">
        <f>SUM(StateSenatorSenateDistrict52General[Total Votes by Party])</f>
        <v>107239</v>
      </c>
      <c r="F10" s="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32BCF-B4B7-42AB-BC90-F452A90BDE23}">
  <sheetPr>
    <pageSetUpPr fitToPage="1"/>
  </sheetPr>
  <dimension ref="A1:G10"/>
  <sheetViews>
    <sheetView workbookViewId="0">
      <selection sqref="A1:XFD1"/>
    </sheetView>
  </sheetViews>
  <sheetFormatPr defaultRowHeight="12.75" x14ac:dyDescent="0.2"/>
  <cols>
    <col min="1" max="1" width="25.5703125" customWidth="1"/>
    <col min="2" max="7" width="20.5703125" customWidth="1"/>
    <col min="8" max="9" width="23.5703125" customWidth="1"/>
  </cols>
  <sheetData>
    <row r="1" spans="1:7" s="43" customFormat="1" ht="18.75" x14ac:dyDescent="0.2">
      <c r="A1" s="42" t="s">
        <v>126</v>
      </c>
    </row>
    <row r="2" spans="1:7" ht="25.5" x14ac:dyDescent="0.2">
      <c r="A2" s="9" t="s">
        <v>8</v>
      </c>
      <c r="B2" s="38" t="s">
        <v>61</v>
      </c>
      <c r="C2" s="38" t="s">
        <v>59</v>
      </c>
      <c r="D2" s="38" t="s">
        <v>42</v>
      </c>
      <c r="E2" s="38" t="s">
        <v>64</v>
      </c>
      <c r="F2" s="8" t="s">
        <v>3</v>
      </c>
      <c r="G2" s="7" t="s">
        <v>4</v>
      </c>
    </row>
    <row r="3" spans="1:7" ht="25.5" x14ac:dyDescent="0.2">
      <c r="A3" s="36" t="s">
        <v>69</v>
      </c>
      <c r="B3" s="11">
        <v>1570</v>
      </c>
      <c r="C3" s="11">
        <v>302</v>
      </c>
      <c r="D3" s="11">
        <v>9438</v>
      </c>
      <c r="E3" s="11">
        <v>23658</v>
      </c>
      <c r="F3" s="3">
        <f>SUM(StateSenatorSenateDistrict53General[[#This Row],[Part of Chenango County Vote Results]:[Part of Oneida County Vote Results]])</f>
        <v>34968</v>
      </c>
      <c r="G3" s="6">
        <f>SUM(F3,F6)</f>
        <v>37584</v>
      </c>
    </row>
    <row r="4" spans="1:7" ht="25.5" x14ac:dyDescent="0.2">
      <c r="A4" s="36" t="s">
        <v>70</v>
      </c>
      <c r="B4" s="11">
        <v>4278</v>
      </c>
      <c r="C4" s="11">
        <v>1413</v>
      </c>
      <c r="D4" s="11">
        <v>13693</v>
      </c>
      <c r="E4" s="11">
        <v>44685</v>
      </c>
      <c r="F4" s="3">
        <f>SUM(StateSenatorSenateDistrict53General[[#This Row],[Part of Chenango County Vote Results]:[Part of Oneida County Vote Results]])</f>
        <v>64069</v>
      </c>
      <c r="G4" s="6">
        <f t="shared" ref="G4" si="0">SUM(F4,F5)</f>
        <v>72218</v>
      </c>
    </row>
    <row r="5" spans="1:7" ht="25.5" x14ac:dyDescent="0.2">
      <c r="A5" s="36" t="s">
        <v>71</v>
      </c>
      <c r="B5" s="11">
        <v>380</v>
      </c>
      <c r="C5" s="11">
        <v>184</v>
      </c>
      <c r="D5" s="11">
        <v>2279</v>
      </c>
      <c r="E5" s="11">
        <v>5306</v>
      </c>
      <c r="F5" s="3">
        <f>SUM(StateSenatorSenateDistrict53General[[#This Row],[Part of Chenango County Vote Results]:[Part of Oneida County Vote Results]])</f>
        <v>8149</v>
      </c>
      <c r="G5" s="2"/>
    </row>
    <row r="6" spans="1:7" ht="25.5" x14ac:dyDescent="0.2">
      <c r="A6" s="36" t="s">
        <v>72</v>
      </c>
      <c r="B6" s="11">
        <v>140</v>
      </c>
      <c r="C6" s="11">
        <v>22</v>
      </c>
      <c r="D6" s="11">
        <v>754</v>
      </c>
      <c r="E6" s="11">
        <v>1700</v>
      </c>
      <c r="F6" s="3">
        <f>SUM(StateSenatorSenateDistrict53General[[#This Row],[Part of Chenango County Vote Results]:[Part of Oneida County Vote Results]])</f>
        <v>2616</v>
      </c>
      <c r="G6" s="2"/>
    </row>
    <row r="7" spans="1:7" x14ac:dyDescent="0.2">
      <c r="A7" s="37" t="s">
        <v>0</v>
      </c>
      <c r="B7" s="11">
        <v>1</v>
      </c>
      <c r="C7" s="11">
        <v>15</v>
      </c>
      <c r="D7" s="11">
        <v>244</v>
      </c>
      <c r="E7" s="11">
        <v>472</v>
      </c>
      <c r="F7" s="3">
        <f>SUM(StateSenatorSenateDistrict53General[[#This Row],[Part of Chenango County Vote Results]:[Part of Oneida County Vote Results]])</f>
        <v>732</v>
      </c>
      <c r="G7" s="2"/>
    </row>
    <row r="8" spans="1:7" x14ac:dyDescent="0.2">
      <c r="A8" s="37" t="s">
        <v>1</v>
      </c>
      <c r="B8" s="11">
        <v>33</v>
      </c>
      <c r="C8" s="11">
        <v>7</v>
      </c>
      <c r="D8" s="11">
        <v>7</v>
      </c>
      <c r="E8" s="14">
        <v>15</v>
      </c>
      <c r="F8" s="3">
        <f>SUM(StateSenatorSenateDistrict53General[[#This Row],[Part of Chenango County Vote Results]:[Part of Oneida County Vote Results]])</f>
        <v>62</v>
      </c>
      <c r="G8" s="12"/>
    </row>
    <row r="9" spans="1:7" x14ac:dyDescent="0.2">
      <c r="A9" s="37" t="s">
        <v>5</v>
      </c>
      <c r="B9" s="11">
        <v>14</v>
      </c>
      <c r="C9" s="11"/>
      <c r="D9" s="11">
        <v>101</v>
      </c>
      <c r="E9" s="14">
        <v>170</v>
      </c>
      <c r="F9" s="3">
        <f>SUM(StateSenatorSenateDistrict53General[[#This Row],[Part of Chenango County Vote Results]:[Part of Oneida County Vote Results]])</f>
        <v>285</v>
      </c>
      <c r="G9" s="12"/>
    </row>
    <row r="10" spans="1:7" x14ac:dyDescent="0.2">
      <c r="A10" s="5" t="s">
        <v>2</v>
      </c>
      <c r="B10" s="11">
        <f>SUM(StateSenatorSenateDistrict53General[Part of Chenango County Vote Results])</f>
        <v>6416</v>
      </c>
      <c r="C10" s="11">
        <f>SUM(StateSenatorSenateDistrict53General[Part of Herkimer County Vote Results])</f>
        <v>1943</v>
      </c>
      <c r="D10" s="11">
        <f>SUM(StateSenatorSenateDistrict53General[Madison County Vote Results])</f>
        <v>26516</v>
      </c>
      <c r="E10" s="11">
        <f>SUM(StateSenatorSenateDistrict53General[Part of Oneida County Vote Results])</f>
        <v>76006</v>
      </c>
      <c r="F10" s="3">
        <f>SUM(StateSenatorSenateDistrict53General[Total Votes by Party])</f>
        <v>110881</v>
      </c>
      <c r="G10" s="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AF4DA-85F8-4883-9FEF-12B7F424F02F}">
  <sheetPr>
    <pageSetUpPr fitToPage="1"/>
  </sheetPr>
  <dimension ref="A1:G10"/>
  <sheetViews>
    <sheetView workbookViewId="0">
      <selection sqref="A1:XFD1"/>
    </sheetView>
  </sheetViews>
  <sheetFormatPr defaultRowHeight="12.75" x14ac:dyDescent="0.2"/>
  <cols>
    <col min="1" max="1" width="25.5703125" customWidth="1"/>
    <col min="2" max="8" width="20.5703125" customWidth="1"/>
    <col min="9" max="10" width="23.5703125" customWidth="1"/>
  </cols>
  <sheetData>
    <row r="1" spans="1:7" s="43" customFormat="1" ht="18.75" x14ac:dyDescent="0.2">
      <c r="A1" s="42" t="s">
        <v>127</v>
      </c>
    </row>
    <row r="2" spans="1:7" ht="30" customHeight="1" x14ac:dyDescent="0.2">
      <c r="A2" s="9" t="s">
        <v>8</v>
      </c>
      <c r="B2" s="38" t="s">
        <v>22</v>
      </c>
      <c r="C2" s="38" t="s">
        <v>65</v>
      </c>
      <c r="D2" s="38" t="s">
        <v>21</v>
      </c>
      <c r="E2" s="38" t="s">
        <v>18</v>
      </c>
      <c r="F2" s="8" t="s">
        <v>3</v>
      </c>
      <c r="G2" s="7" t="s">
        <v>4</v>
      </c>
    </row>
    <row r="3" spans="1:7" ht="25.5" x14ac:dyDescent="0.2">
      <c r="A3" s="36" t="s">
        <v>69</v>
      </c>
      <c r="B3" s="11">
        <v>7551</v>
      </c>
      <c r="C3" s="11">
        <v>9699</v>
      </c>
      <c r="D3" s="11">
        <v>18945</v>
      </c>
      <c r="E3" s="11">
        <v>10074</v>
      </c>
      <c r="F3" s="3">
        <f>SUM(StateSenatorSenateDistrict54General[[#This Row],[Livingston County Vote Results]:[Wayne County Vote Results]])</f>
        <v>46269</v>
      </c>
      <c r="G3" s="6">
        <f>SUM(F3,F6)</f>
        <v>49543</v>
      </c>
    </row>
    <row r="4" spans="1:7" ht="25.5" x14ac:dyDescent="0.2">
      <c r="A4" s="36" t="s">
        <v>70</v>
      </c>
      <c r="B4" s="11">
        <v>13922</v>
      </c>
      <c r="C4" s="11">
        <v>11346</v>
      </c>
      <c r="D4" s="11">
        <v>22154</v>
      </c>
      <c r="E4" s="11">
        <v>19081</v>
      </c>
      <c r="F4" s="3">
        <f>SUM(StateSenatorSenateDistrict54General[[#This Row],[Livingston County Vote Results]:[Wayne County Vote Results]])</f>
        <v>66503</v>
      </c>
      <c r="G4" s="6">
        <f>SUM(F4,F5)</f>
        <v>78873</v>
      </c>
    </row>
    <row r="5" spans="1:7" ht="25.5" x14ac:dyDescent="0.2">
      <c r="A5" s="36" t="s">
        <v>71</v>
      </c>
      <c r="B5" s="11">
        <v>2246</v>
      </c>
      <c r="C5" s="11">
        <v>2557</v>
      </c>
      <c r="D5" s="11">
        <v>3825</v>
      </c>
      <c r="E5" s="11">
        <v>3742</v>
      </c>
      <c r="F5" s="3">
        <f>SUM(StateSenatorSenateDistrict54General[[#This Row],[Livingston County Vote Results]:[Wayne County Vote Results]])</f>
        <v>12370</v>
      </c>
      <c r="G5" s="2"/>
    </row>
    <row r="6" spans="1:7" ht="25.5" x14ac:dyDescent="0.2">
      <c r="A6" s="36" t="s">
        <v>72</v>
      </c>
      <c r="B6" s="11">
        <v>585</v>
      </c>
      <c r="C6" s="11">
        <v>728</v>
      </c>
      <c r="D6" s="11">
        <v>1221</v>
      </c>
      <c r="E6" s="11">
        <v>740</v>
      </c>
      <c r="F6" s="3">
        <f>SUM(StateSenatorSenateDistrict54General[[#This Row],[Livingston County Vote Results]:[Wayne County Vote Results]])</f>
        <v>3274</v>
      </c>
      <c r="G6" s="2"/>
    </row>
    <row r="7" spans="1:7" x14ac:dyDescent="0.2">
      <c r="A7" s="37" t="s">
        <v>0</v>
      </c>
      <c r="B7" s="11">
        <v>156</v>
      </c>
      <c r="C7" s="11">
        <v>144</v>
      </c>
      <c r="D7" s="11">
        <v>324</v>
      </c>
      <c r="E7" s="11">
        <v>173</v>
      </c>
      <c r="F7" s="3">
        <f>SUM(StateSenatorSenateDistrict54General[[#This Row],[Livingston County Vote Results]:[Wayne County Vote Results]])</f>
        <v>797</v>
      </c>
      <c r="G7" s="2"/>
    </row>
    <row r="8" spans="1:7" x14ac:dyDescent="0.2">
      <c r="A8" s="37" t="s">
        <v>1</v>
      </c>
      <c r="B8" s="11">
        <v>6</v>
      </c>
      <c r="C8" s="11"/>
      <c r="D8" s="11">
        <v>8</v>
      </c>
      <c r="E8" s="11">
        <v>5</v>
      </c>
      <c r="F8" s="3">
        <f>SUM(StateSenatorSenateDistrict54General[[#This Row],[Livingston County Vote Results]:[Wayne County Vote Results]])</f>
        <v>19</v>
      </c>
      <c r="G8" s="2"/>
    </row>
    <row r="9" spans="1:7" x14ac:dyDescent="0.2">
      <c r="A9" s="37" t="s">
        <v>5</v>
      </c>
      <c r="B9" s="11">
        <v>46</v>
      </c>
      <c r="C9" s="14">
        <v>35</v>
      </c>
      <c r="D9" s="11">
        <v>83</v>
      </c>
      <c r="E9" s="14">
        <v>57</v>
      </c>
      <c r="F9" s="3">
        <f>SUM(StateSenatorSenateDistrict54General[[#This Row],[Livingston County Vote Results]:[Wayne County Vote Results]])</f>
        <v>221</v>
      </c>
      <c r="G9" s="12"/>
    </row>
    <row r="10" spans="1:7" x14ac:dyDescent="0.2">
      <c r="A10" s="5" t="s">
        <v>2</v>
      </c>
      <c r="B10" s="11">
        <f>SUM(StateSenatorSenateDistrict54General[Livingston County Vote Results])</f>
        <v>24512</v>
      </c>
      <c r="C10" s="11">
        <f>SUM(StateSenatorSenateDistrict54General[Part of Monroe County Vote Results])</f>
        <v>24509</v>
      </c>
      <c r="D10" s="11">
        <f>SUM(StateSenatorSenateDistrict54General[Ontario County Vote Results])</f>
        <v>46560</v>
      </c>
      <c r="E10" s="11">
        <f>SUM(StateSenatorSenateDistrict54General[Wayne County Vote Results])</f>
        <v>33872</v>
      </c>
      <c r="F10" s="3">
        <f>SUM(StateSenatorSenateDistrict54General[Total Votes by Party])</f>
        <v>129453</v>
      </c>
      <c r="G10" s="2"/>
    </row>
  </sheetData>
  <pageMargins left="0.25" right="0.25" top="0.25" bottom="0.25" header="0.25" footer="0.25"/>
  <pageSetup paperSize="5" scale="92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AD636-4DEE-42A5-BEAA-51704F155216}">
  <sheetPr>
    <pageSetUpPr fitToPage="1"/>
  </sheetPr>
  <dimension ref="A1:D10"/>
  <sheetViews>
    <sheetView workbookViewId="0">
      <selection sqref="A1:XFD1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s="43" customFormat="1" ht="18.75" x14ac:dyDescent="0.2">
      <c r="A1" s="42" t="s">
        <v>128</v>
      </c>
    </row>
    <row r="2" spans="1:4" ht="25.5" x14ac:dyDescent="0.2">
      <c r="A2" s="9" t="s">
        <v>8</v>
      </c>
      <c r="B2" s="38" t="s">
        <v>65</v>
      </c>
      <c r="C2" s="8" t="s">
        <v>3</v>
      </c>
      <c r="D2" s="7" t="s">
        <v>4</v>
      </c>
    </row>
    <row r="3" spans="1:4" ht="25.5" x14ac:dyDescent="0.2">
      <c r="A3" s="36" t="s">
        <v>69</v>
      </c>
      <c r="B3" s="11">
        <v>69233</v>
      </c>
      <c r="C3" s="3">
        <f>StateSenatorSenateDistrict55General[[#This Row],[Part of Monroe County Vote Results]]</f>
        <v>69233</v>
      </c>
      <c r="D3" s="6">
        <f>SUM(C3,C6)</f>
        <v>75271</v>
      </c>
    </row>
    <row r="4" spans="1:4" ht="25.5" x14ac:dyDescent="0.2">
      <c r="A4" s="36" t="s">
        <v>70</v>
      </c>
      <c r="B4" s="11">
        <v>43697</v>
      </c>
      <c r="C4" s="3">
        <f>StateSenatorSenateDistrict55General[[#This Row],[Part of Monroe County Vote Results]]</f>
        <v>43697</v>
      </c>
      <c r="D4" s="6">
        <f>SUM(C4,C5)</f>
        <v>51941</v>
      </c>
    </row>
    <row r="5" spans="1:4" ht="25.5" x14ac:dyDescent="0.2">
      <c r="A5" s="36" t="s">
        <v>71</v>
      </c>
      <c r="B5" s="11">
        <v>8244</v>
      </c>
      <c r="C5" s="3">
        <f>StateSenatorSenateDistrict55General[[#This Row],[Part of Monroe County Vote Results]]</f>
        <v>8244</v>
      </c>
      <c r="D5" s="2"/>
    </row>
    <row r="6" spans="1:4" ht="25.5" x14ac:dyDescent="0.2">
      <c r="A6" s="36" t="s">
        <v>72</v>
      </c>
      <c r="B6" s="11">
        <v>6038</v>
      </c>
      <c r="C6" s="3">
        <f>StateSenatorSenateDistrict55General[[#This Row],[Part of Monroe County Vote Results]]</f>
        <v>6038</v>
      </c>
      <c r="D6" s="2"/>
    </row>
    <row r="7" spans="1:4" x14ac:dyDescent="0.2">
      <c r="A7" s="37" t="s">
        <v>0</v>
      </c>
      <c r="B7" s="11">
        <v>846</v>
      </c>
      <c r="C7" s="3">
        <f>StateSenatorSenateDistrict55General[[#This Row],[Part of Monroe County Vote Results]]</f>
        <v>846</v>
      </c>
      <c r="D7" s="2"/>
    </row>
    <row r="8" spans="1:4" x14ac:dyDescent="0.2">
      <c r="A8" s="37" t="s">
        <v>1</v>
      </c>
      <c r="B8" s="11"/>
      <c r="C8" s="3">
        <f>StateSenatorSenateDistrict55General[[#This Row],[Part of Monroe County Vote Results]]</f>
        <v>0</v>
      </c>
      <c r="D8" s="2"/>
    </row>
    <row r="9" spans="1:4" x14ac:dyDescent="0.2">
      <c r="A9" s="37" t="s">
        <v>5</v>
      </c>
      <c r="B9" s="11">
        <v>245</v>
      </c>
      <c r="C9" s="3">
        <f>StateSenatorSenateDistrict55General[[#This Row],[Part of Monroe County Vote Results]]</f>
        <v>245</v>
      </c>
      <c r="D9" s="2"/>
    </row>
    <row r="10" spans="1:4" x14ac:dyDescent="0.2">
      <c r="A10" s="5" t="s">
        <v>2</v>
      </c>
      <c r="B10" s="11">
        <f>SUM(StateSenatorSenateDistrict55General[Part of Monroe County Vote Results])</f>
        <v>128303</v>
      </c>
      <c r="C10" s="3">
        <f>SUM(StateSenatorSenateDistrict55General[Total Votes by Party])</f>
        <v>128303</v>
      </c>
      <c r="D10" s="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76B3A-C151-49C5-833D-6BBC9821C27E}">
  <sheetPr>
    <pageSetUpPr fitToPage="1"/>
  </sheetPr>
  <dimension ref="A1:D10"/>
  <sheetViews>
    <sheetView workbookViewId="0">
      <selection sqref="A1:XFD1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s="43" customFormat="1" ht="18.75" x14ac:dyDescent="0.2">
      <c r="A1" s="42" t="s">
        <v>129</v>
      </c>
    </row>
    <row r="2" spans="1:4" ht="25.5" x14ac:dyDescent="0.2">
      <c r="A2" s="9" t="s">
        <v>8</v>
      </c>
      <c r="B2" s="38" t="s">
        <v>65</v>
      </c>
      <c r="C2" s="8" t="s">
        <v>3</v>
      </c>
      <c r="D2" s="7" t="s">
        <v>4</v>
      </c>
    </row>
    <row r="3" spans="1:4" ht="25.5" x14ac:dyDescent="0.2">
      <c r="A3" s="36" t="s">
        <v>69</v>
      </c>
      <c r="B3" s="11">
        <v>50179</v>
      </c>
      <c r="C3" s="3">
        <f>StateSenatorSenateDistrict56General[[#This Row],[Part of Monroe County Vote Results]]</f>
        <v>50179</v>
      </c>
      <c r="D3" s="6">
        <f>SUM(C3,C6)</f>
        <v>53908</v>
      </c>
    </row>
    <row r="4" spans="1:4" ht="25.5" x14ac:dyDescent="0.2">
      <c r="A4" s="36" t="s">
        <v>70</v>
      </c>
      <c r="B4" s="11">
        <v>35752</v>
      </c>
      <c r="C4" s="3">
        <f>StateSenatorSenateDistrict56General[[#This Row],[Part of Monroe County Vote Results]]</f>
        <v>35752</v>
      </c>
      <c r="D4" s="6">
        <f>SUM(C4,C5)</f>
        <v>42741</v>
      </c>
    </row>
    <row r="5" spans="1:4" ht="25.5" x14ac:dyDescent="0.2">
      <c r="A5" s="36" t="s">
        <v>71</v>
      </c>
      <c r="B5" s="11">
        <v>6989</v>
      </c>
      <c r="C5" s="3">
        <f>StateSenatorSenateDistrict56General[[#This Row],[Part of Monroe County Vote Results]]</f>
        <v>6989</v>
      </c>
      <c r="D5" s="2"/>
    </row>
    <row r="6" spans="1:4" ht="25.5" x14ac:dyDescent="0.2">
      <c r="A6" s="36" t="s">
        <v>72</v>
      </c>
      <c r="B6" s="11">
        <v>3729</v>
      </c>
      <c r="C6" s="3">
        <f>StateSenatorSenateDistrict56General[[#This Row],[Part of Monroe County Vote Results]]</f>
        <v>3729</v>
      </c>
      <c r="D6" s="2"/>
    </row>
    <row r="7" spans="1:4" x14ac:dyDescent="0.2">
      <c r="A7" s="37" t="s">
        <v>0</v>
      </c>
      <c r="B7" s="11">
        <v>863</v>
      </c>
      <c r="C7" s="3">
        <f>StateSenatorSenateDistrict56General[[#This Row],[Part of Monroe County Vote Results]]</f>
        <v>863</v>
      </c>
      <c r="D7" s="2"/>
    </row>
    <row r="8" spans="1:4" x14ac:dyDescent="0.2">
      <c r="A8" s="37" t="s">
        <v>1</v>
      </c>
      <c r="B8" s="11"/>
      <c r="C8" s="3">
        <f>StateSenatorSenateDistrict56General[[#This Row],[Part of Monroe County Vote Results]]</f>
        <v>0</v>
      </c>
      <c r="D8" s="2"/>
    </row>
    <row r="9" spans="1:4" x14ac:dyDescent="0.2">
      <c r="A9" s="37" t="s">
        <v>5</v>
      </c>
      <c r="B9" s="11">
        <v>217</v>
      </c>
      <c r="C9" s="3">
        <f>StateSenatorSenateDistrict56General[[#This Row],[Part of Monroe County Vote Results]]</f>
        <v>217</v>
      </c>
      <c r="D9" s="2"/>
    </row>
    <row r="10" spans="1:4" x14ac:dyDescent="0.2">
      <c r="A10" s="5" t="s">
        <v>2</v>
      </c>
      <c r="B10" s="11">
        <f>SUM(StateSenatorSenateDistrict56General[Part of Monroe County Vote Results])</f>
        <v>97729</v>
      </c>
      <c r="C10" s="3">
        <f>SUM(StateSenatorSenateDistrict56General[Total Votes by Party])</f>
        <v>97729</v>
      </c>
      <c r="D10" s="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A4BAE-F478-4ABF-BFE7-DDF661C878FC}">
  <sheetPr>
    <pageSetUpPr fitToPage="1"/>
  </sheetPr>
  <dimension ref="A1:H10"/>
  <sheetViews>
    <sheetView workbookViewId="0">
      <pane xSplit="1" topLeftCell="B1" activePane="topRight" state="frozen"/>
      <selection pane="topRight" sqref="A1:XFD1"/>
    </sheetView>
  </sheetViews>
  <sheetFormatPr defaultRowHeight="12.75" x14ac:dyDescent="0.2"/>
  <cols>
    <col min="1" max="1" width="25.5703125" customWidth="1"/>
    <col min="2" max="8" width="20.5703125" customWidth="1"/>
    <col min="9" max="10" width="23.5703125" customWidth="1"/>
  </cols>
  <sheetData>
    <row r="1" spans="1:8" s="43" customFormat="1" ht="18.75" x14ac:dyDescent="0.2">
      <c r="A1" s="42" t="s">
        <v>130</v>
      </c>
    </row>
    <row r="2" spans="1:8" ht="25.5" x14ac:dyDescent="0.2">
      <c r="A2" s="9" t="s">
        <v>8</v>
      </c>
      <c r="B2" s="38" t="s">
        <v>66</v>
      </c>
      <c r="C2" s="38" t="s">
        <v>28</v>
      </c>
      <c r="D2" s="38" t="s">
        <v>67</v>
      </c>
      <c r="E2" s="38" t="s">
        <v>27</v>
      </c>
      <c r="F2" s="38" t="s">
        <v>24</v>
      </c>
      <c r="G2" s="8" t="s">
        <v>3</v>
      </c>
      <c r="H2" s="7" t="s">
        <v>4</v>
      </c>
    </row>
    <row r="3" spans="1:8" ht="25.5" x14ac:dyDescent="0.2">
      <c r="A3" s="36" t="s">
        <v>69</v>
      </c>
      <c r="B3" s="11">
        <v>1540</v>
      </c>
      <c r="C3" s="11">
        <v>7291</v>
      </c>
      <c r="D3" s="11">
        <v>14180</v>
      </c>
      <c r="E3" s="11">
        <v>5823</v>
      </c>
      <c r="F3" s="11">
        <v>3041</v>
      </c>
      <c r="G3" s="3">
        <f>SUM(StateSenatorSenateDistrict57General[[#This Row],[Part of Allegany County Vote Results]:[Wyoming County Vote Results]])</f>
        <v>31875</v>
      </c>
      <c r="H3" s="6">
        <f>SUM(G3,G6)</f>
        <v>34245</v>
      </c>
    </row>
    <row r="4" spans="1:8" ht="25.5" x14ac:dyDescent="0.2">
      <c r="A4" s="36" t="s">
        <v>70</v>
      </c>
      <c r="B4" s="11">
        <v>5809</v>
      </c>
      <c r="C4" s="11">
        <v>16219</v>
      </c>
      <c r="D4" s="11">
        <v>24668</v>
      </c>
      <c r="E4" s="11">
        <v>13558</v>
      </c>
      <c r="F4" s="11">
        <v>10376</v>
      </c>
      <c r="G4" s="3">
        <f>SUM(StateSenatorSenateDistrict57General[[#This Row],[Part of Allegany County Vote Results]:[Wyoming County Vote Results]])</f>
        <v>70630</v>
      </c>
      <c r="H4" s="6">
        <f>SUM(G4,G5)</f>
        <v>80927</v>
      </c>
    </row>
    <row r="5" spans="1:8" ht="25.5" x14ac:dyDescent="0.2">
      <c r="A5" s="36" t="s">
        <v>71</v>
      </c>
      <c r="B5" s="11">
        <v>604</v>
      </c>
      <c r="C5" s="11">
        <v>2046</v>
      </c>
      <c r="D5" s="11">
        <v>3600</v>
      </c>
      <c r="E5" s="11">
        <v>2445</v>
      </c>
      <c r="F5" s="11">
        <v>1602</v>
      </c>
      <c r="G5" s="3">
        <f>SUM(StateSenatorSenateDistrict57General[[#This Row],[Part of Allegany County Vote Results]:[Wyoming County Vote Results]])</f>
        <v>10297</v>
      </c>
      <c r="H5" s="2"/>
    </row>
    <row r="6" spans="1:8" ht="25.5" x14ac:dyDescent="0.2">
      <c r="A6" s="36" t="s">
        <v>72</v>
      </c>
      <c r="B6" s="11">
        <v>107</v>
      </c>
      <c r="C6" s="11">
        <v>504</v>
      </c>
      <c r="D6" s="11">
        <v>1057</v>
      </c>
      <c r="E6" s="11">
        <v>451</v>
      </c>
      <c r="F6" s="11">
        <v>251</v>
      </c>
      <c r="G6" s="3">
        <f>SUM(StateSenatorSenateDistrict57General[[#This Row],[Part of Allegany County Vote Results]:[Wyoming County Vote Results]])</f>
        <v>2370</v>
      </c>
      <c r="H6" s="2"/>
    </row>
    <row r="7" spans="1:8" x14ac:dyDescent="0.2">
      <c r="A7" s="37" t="s">
        <v>0</v>
      </c>
      <c r="B7" s="11">
        <v>44</v>
      </c>
      <c r="C7" s="11">
        <v>238</v>
      </c>
      <c r="D7" s="11">
        <v>237</v>
      </c>
      <c r="E7" s="11">
        <v>123</v>
      </c>
      <c r="F7" s="11">
        <v>82</v>
      </c>
      <c r="G7" s="3">
        <f>SUM(StateSenatorSenateDistrict57General[[#This Row],[Part of Allegany County Vote Results]:[Wyoming County Vote Results]])</f>
        <v>724</v>
      </c>
      <c r="H7" s="2"/>
    </row>
    <row r="8" spans="1:8" x14ac:dyDescent="0.2">
      <c r="A8" s="37" t="s">
        <v>1</v>
      </c>
      <c r="B8" s="11">
        <v>0</v>
      </c>
      <c r="C8" s="11">
        <v>21</v>
      </c>
      <c r="D8" s="11">
        <v>17</v>
      </c>
      <c r="E8" s="11">
        <v>19</v>
      </c>
      <c r="F8" s="11">
        <v>8</v>
      </c>
      <c r="G8" s="3">
        <f>SUM(StateSenatorSenateDistrict57General[[#This Row],[Part of Allegany County Vote Results]:[Wyoming County Vote Results]])</f>
        <v>65</v>
      </c>
      <c r="H8" s="2"/>
    </row>
    <row r="9" spans="1:8" x14ac:dyDescent="0.2">
      <c r="A9" s="37" t="s">
        <v>5</v>
      </c>
      <c r="B9" s="11">
        <v>20</v>
      </c>
      <c r="C9" s="11">
        <v>31</v>
      </c>
      <c r="D9" s="11">
        <v>56</v>
      </c>
      <c r="E9" s="11">
        <v>35</v>
      </c>
      <c r="F9" s="11">
        <v>27</v>
      </c>
      <c r="G9" s="3">
        <f>SUM(StateSenatorSenateDistrict57General[[#This Row],[Part of Allegany County Vote Results]:[Wyoming County Vote Results]])</f>
        <v>169</v>
      </c>
      <c r="H9" s="12"/>
    </row>
    <row r="10" spans="1:8" x14ac:dyDescent="0.2">
      <c r="A10" s="5" t="s">
        <v>2</v>
      </c>
      <c r="B10" s="11">
        <f>SUM(StateSenatorSenateDistrict57General[Part of Allegany County Vote Results])</f>
        <v>8124</v>
      </c>
      <c r="C10" s="11">
        <f>SUM(StateSenatorSenateDistrict57General[Cattaraugus County Vote Results])</f>
        <v>26350</v>
      </c>
      <c r="D10" s="11">
        <f>SUM(StateSenatorSenateDistrict57General[[ Chautauqua County Vote Results]])</f>
        <v>43815</v>
      </c>
      <c r="E10" s="11">
        <f>SUM(StateSenatorSenateDistrict57General[Genesee County Vote Results])</f>
        <v>22454</v>
      </c>
      <c r="F10" s="11">
        <f>SUM(StateSenatorSenateDistrict57General[Wyoming County Vote Results])</f>
        <v>15387</v>
      </c>
      <c r="G10" s="3">
        <f>SUM(StateSenatorSenateDistrict57General[Total Votes by Party])</f>
        <v>116130</v>
      </c>
      <c r="H10" s="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50163-DD0D-49E9-82B7-DEA4BEF61611}">
  <sheetPr>
    <pageSetUpPr fitToPage="1"/>
  </sheetPr>
  <dimension ref="A1:J10"/>
  <sheetViews>
    <sheetView workbookViewId="0">
      <pane xSplit="1" topLeftCell="B1" activePane="topRight" state="frozen"/>
      <selection activeCell="A32" sqref="A32:XFD32"/>
      <selection pane="topRight" sqref="A1:XFD1"/>
    </sheetView>
  </sheetViews>
  <sheetFormatPr defaultRowHeight="12.75" x14ac:dyDescent="0.2"/>
  <cols>
    <col min="1" max="1" width="25.5703125" customWidth="1"/>
    <col min="2" max="8" width="17.28515625" customWidth="1"/>
    <col min="9" max="10" width="20.5703125" customWidth="1"/>
    <col min="11" max="12" width="23.5703125" customWidth="1"/>
  </cols>
  <sheetData>
    <row r="1" spans="1:10" s="43" customFormat="1" ht="18.75" x14ac:dyDescent="0.2">
      <c r="A1" s="42" t="s">
        <v>131</v>
      </c>
    </row>
    <row r="2" spans="1:10" ht="25.5" x14ac:dyDescent="0.2">
      <c r="A2" s="9" t="s">
        <v>8</v>
      </c>
      <c r="B2" s="38" t="s">
        <v>66</v>
      </c>
      <c r="C2" s="38" t="s">
        <v>44</v>
      </c>
      <c r="D2" s="38" t="s">
        <v>68</v>
      </c>
      <c r="E2" s="38" t="s">
        <v>20</v>
      </c>
      <c r="F2" s="38" t="s">
        <v>19</v>
      </c>
      <c r="G2" s="38" t="s">
        <v>40</v>
      </c>
      <c r="H2" s="38" t="s">
        <v>17</v>
      </c>
      <c r="I2" s="8" t="s">
        <v>3</v>
      </c>
      <c r="J2" s="7" t="s">
        <v>4</v>
      </c>
    </row>
    <row r="3" spans="1:10" ht="25.5" x14ac:dyDescent="0.2">
      <c r="A3" s="36" t="s">
        <v>69</v>
      </c>
      <c r="B3" s="11">
        <v>2073</v>
      </c>
      <c r="C3" s="11">
        <v>8998</v>
      </c>
      <c r="D3" s="11">
        <v>2436</v>
      </c>
      <c r="E3" s="11">
        <v>4226</v>
      </c>
      <c r="F3" s="11">
        <v>9053</v>
      </c>
      <c r="G3" s="11">
        <v>5723</v>
      </c>
      <c r="H3" s="11">
        <v>2715</v>
      </c>
      <c r="I3" s="3">
        <f>SUM(StateSenatorSenateDistrict58General[[#This Row],[Part of Allegany County Vote Results]:[Yates County Vote Results]])</f>
        <v>35224</v>
      </c>
      <c r="J3" s="6">
        <f>SUM(I3,I6)</f>
        <v>37591</v>
      </c>
    </row>
    <row r="4" spans="1:10" ht="25.5" x14ac:dyDescent="0.2">
      <c r="A4" s="36" t="s">
        <v>70</v>
      </c>
      <c r="B4" s="11">
        <v>5053</v>
      </c>
      <c r="C4" s="11">
        <v>16781</v>
      </c>
      <c r="D4" s="11">
        <v>4613</v>
      </c>
      <c r="E4" s="11">
        <v>6267</v>
      </c>
      <c r="F4" s="11">
        <v>22815</v>
      </c>
      <c r="G4" s="11">
        <v>11863</v>
      </c>
      <c r="H4" s="11">
        <v>4729</v>
      </c>
      <c r="I4" s="3">
        <f>SUM(StateSenatorSenateDistrict58General[[#This Row],[Part of Allegany County Vote Results]:[Yates County Vote Results]])</f>
        <v>72121</v>
      </c>
      <c r="J4" s="6">
        <f>SUM(I4,I5)</f>
        <v>79138</v>
      </c>
    </row>
    <row r="5" spans="1:10" ht="25.5" x14ac:dyDescent="0.2">
      <c r="A5" s="36" t="s">
        <v>71</v>
      </c>
      <c r="B5" s="11">
        <v>508</v>
      </c>
      <c r="C5" s="11">
        <v>1583</v>
      </c>
      <c r="D5" s="11">
        <v>479</v>
      </c>
      <c r="E5" s="11">
        <v>735</v>
      </c>
      <c r="F5" s="11">
        <v>2071</v>
      </c>
      <c r="G5" s="11">
        <v>1008</v>
      </c>
      <c r="H5" s="11">
        <v>633</v>
      </c>
      <c r="I5" s="3">
        <f>SUM(StateSenatorSenateDistrict58General[[#This Row],[Part of Allegany County Vote Results]:[Yates County Vote Results]])</f>
        <v>7017</v>
      </c>
      <c r="J5" s="2"/>
    </row>
    <row r="6" spans="1:10" ht="25.5" x14ac:dyDescent="0.2">
      <c r="A6" s="36" t="s">
        <v>72</v>
      </c>
      <c r="B6" s="11">
        <v>148</v>
      </c>
      <c r="C6" s="11">
        <v>476</v>
      </c>
      <c r="D6" s="11">
        <v>225</v>
      </c>
      <c r="E6" s="11">
        <v>325</v>
      </c>
      <c r="F6" s="11">
        <v>613</v>
      </c>
      <c r="G6" s="11">
        <v>394</v>
      </c>
      <c r="H6" s="11">
        <v>186</v>
      </c>
      <c r="I6" s="3">
        <f>SUM(StateSenatorSenateDistrict58General[[#This Row],[Part of Allegany County Vote Results]:[Yates County Vote Results]])</f>
        <v>2367</v>
      </c>
      <c r="J6" s="2"/>
    </row>
    <row r="7" spans="1:10" x14ac:dyDescent="0.2">
      <c r="A7" s="37" t="s">
        <v>0</v>
      </c>
      <c r="B7" s="11">
        <v>48</v>
      </c>
      <c r="C7" s="11">
        <v>159</v>
      </c>
      <c r="D7" s="11">
        <v>26</v>
      </c>
      <c r="E7" s="11">
        <v>53</v>
      </c>
      <c r="F7" s="11">
        <v>121</v>
      </c>
      <c r="G7" s="11">
        <v>106</v>
      </c>
      <c r="H7" s="11">
        <v>52</v>
      </c>
      <c r="I7" s="3">
        <f>SUM(StateSenatorSenateDistrict58General[[#This Row],[Part of Allegany County Vote Results]:[Yates County Vote Results]])</f>
        <v>565</v>
      </c>
      <c r="J7" s="2"/>
    </row>
    <row r="8" spans="1:10" x14ac:dyDescent="0.2">
      <c r="A8" s="37" t="s">
        <v>1</v>
      </c>
      <c r="B8" s="11">
        <v>2</v>
      </c>
      <c r="C8" s="11">
        <v>0</v>
      </c>
      <c r="D8" s="11">
        <v>1</v>
      </c>
      <c r="E8" s="11">
        <v>4</v>
      </c>
      <c r="F8" s="11">
        <v>13</v>
      </c>
      <c r="G8" s="11">
        <v>7</v>
      </c>
      <c r="H8" s="14">
        <v>2</v>
      </c>
      <c r="I8" s="3">
        <f>SUM(StateSenatorSenateDistrict58General[[#This Row],[Part of Allegany County Vote Results]:[Yates County Vote Results]])</f>
        <v>29</v>
      </c>
      <c r="J8" s="12"/>
    </row>
    <row r="9" spans="1:10" x14ac:dyDescent="0.2">
      <c r="A9" s="37" t="s">
        <v>5</v>
      </c>
      <c r="B9" s="11">
        <v>26</v>
      </c>
      <c r="C9" s="11">
        <v>72</v>
      </c>
      <c r="D9" s="11">
        <v>25</v>
      </c>
      <c r="E9" s="11">
        <v>24</v>
      </c>
      <c r="F9" s="11">
        <v>56</v>
      </c>
      <c r="G9" s="11">
        <v>27</v>
      </c>
      <c r="H9" s="14">
        <v>28</v>
      </c>
      <c r="I9" s="3">
        <f>SUM(StateSenatorSenateDistrict58General[[#This Row],[Part of Allegany County Vote Results]:[Yates County Vote Results]])</f>
        <v>258</v>
      </c>
      <c r="J9" s="12"/>
    </row>
    <row r="10" spans="1:10" x14ac:dyDescent="0.2">
      <c r="A10" s="5" t="s">
        <v>2</v>
      </c>
      <c r="B10" s="11">
        <f>SUM(StateSenatorSenateDistrict58General[Part of Allegany County Vote Results])</f>
        <v>7858</v>
      </c>
      <c r="C10" s="11">
        <f>SUM(StateSenatorSenateDistrict58General[Chemung County Vote Results])</f>
        <v>28069</v>
      </c>
      <c r="D10" s="11">
        <f>SUM(StateSenatorSenateDistrict58General[Schuyler County Vote Results])</f>
        <v>7805</v>
      </c>
      <c r="E10" s="11">
        <f>SUM(StateSenatorSenateDistrict58General[Seneca County Vote Results])</f>
        <v>11634</v>
      </c>
      <c r="F10" s="11">
        <f>SUM(StateSenatorSenateDistrict58General[Steuben County Vote Results])</f>
        <v>34742</v>
      </c>
      <c r="G10" s="11">
        <f>SUM(StateSenatorSenateDistrict58General[Tioga County Vote Results])</f>
        <v>19128</v>
      </c>
      <c r="H10" s="11">
        <f>SUM(StateSenatorSenateDistrict58General[Yates County Vote Results])</f>
        <v>8345</v>
      </c>
      <c r="I10" s="3">
        <f>SUM(StateSenatorSenateDistrict58General[Total Votes by Party])</f>
        <v>117581</v>
      </c>
      <c r="J10" s="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FF446-99A2-4E57-9B23-D5436297B2CF}">
  <sheetPr>
    <pageSetUpPr fitToPage="1"/>
  </sheetPr>
  <dimension ref="A1:F10"/>
  <sheetViews>
    <sheetView workbookViewId="0">
      <selection sqref="A1:XFD1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s="43" customFormat="1" ht="18.75" x14ac:dyDescent="0.2">
      <c r="A1" s="42" t="s">
        <v>132</v>
      </c>
    </row>
    <row r="2" spans="1:6" ht="25.5" x14ac:dyDescent="0.2">
      <c r="A2" s="9" t="s">
        <v>8</v>
      </c>
      <c r="B2" s="38" t="s">
        <v>32</v>
      </c>
      <c r="C2" s="38" t="s">
        <v>33</v>
      </c>
      <c r="D2" s="38" t="s">
        <v>31</v>
      </c>
      <c r="E2" s="8" t="s">
        <v>3</v>
      </c>
      <c r="F2" s="7" t="s">
        <v>4</v>
      </c>
    </row>
    <row r="3" spans="1:6" ht="25.5" x14ac:dyDescent="0.2">
      <c r="A3" s="36" t="s">
        <v>69</v>
      </c>
      <c r="B3" s="11">
        <v>13135</v>
      </c>
      <c r="C3" s="11">
        <v>21891</v>
      </c>
      <c r="D3" s="11">
        <v>21171</v>
      </c>
      <c r="E3" s="3">
        <f>SUM(StateSenatorSenateDistrict59General[[#This Row],[Part of Kings County Vote Results]:[Part of Queens County Vote Results]])</f>
        <v>56197</v>
      </c>
      <c r="F3" s="6">
        <f>SUM(E3,E6)</f>
        <v>66786</v>
      </c>
    </row>
    <row r="4" spans="1:6" ht="25.5" x14ac:dyDescent="0.2">
      <c r="A4" s="36" t="s">
        <v>70</v>
      </c>
      <c r="B4" s="11">
        <v>2586</v>
      </c>
      <c r="C4" s="11">
        <v>5193</v>
      </c>
      <c r="D4" s="11">
        <v>5993</v>
      </c>
      <c r="E4" s="3">
        <f>SUM(StateSenatorSenateDistrict59General[[#This Row],[Part of Kings County Vote Results]:[Part of Queens County Vote Results]])</f>
        <v>13772</v>
      </c>
      <c r="F4" s="6">
        <f t="shared" ref="F4" si="0">SUM(E4,E5)</f>
        <v>14957</v>
      </c>
    </row>
    <row r="5" spans="1:6" ht="25.5" x14ac:dyDescent="0.2">
      <c r="A5" s="36" t="s">
        <v>71</v>
      </c>
      <c r="B5" s="11">
        <v>210</v>
      </c>
      <c r="C5" s="11">
        <v>472</v>
      </c>
      <c r="D5" s="11">
        <v>503</v>
      </c>
      <c r="E5" s="3">
        <f>SUM(StateSenatorSenateDistrict59General[[#This Row],[Part of Kings County Vote Results]:[Part of Queens County Vote Results]])</f>
        <v>1185</v>
      </c>
      <c r="F5" s="2"/>
    </row>
    <row r="6" spans="1:6" ht="25.5" x14ac:dyDescent="0.2">
      <c r="A6" s="36" t="s">
        <v>72</v>
      </c>
      <c r="B6" s="11">
        <v>3876</v>
      </c>
      <c r="C6" s="11">
        <v>2161</v>
      </c>
      <c r="D6" s="11">
        <v>4552</v>
      </c>
      <c r="E6" s="3">
        <f>SUM(StateSenatorSenateDistrict59General[[#This Row],[Part of Kings County Vote Results]:[Part of Queens County Vote Results]])</f>
        <v>10589</v>
      </c>
      <c r="F6" s="2"/>
    </row>
    <row r="7" spans="1:6" x14ac:dyDescent="0.2">
      <c r="A7" s="37" t="s">
        <v>0</v>
      </c>
      <c r="B7" s="11">
        <v>84</v>
      </c>
      <c r="C7" s="11">
        <v>151</v>
      </c>
      <c r="D7" s="11">
        <v>186</v>
      </c>
      <c r="E7" s="3">
        <f>SUM(StateSenatorSenateDistrict59General[[#This Row],[Part of Kings County Vote Results]:[Part of Queens County Vote Results]])</f>
        <v>421</v>
      </c>
      <c r="F7" s="2"/>
    </row>
    <row r="8" spans="1:6" x14ac:dyDescent="0.2">
      <c r="A8" s="37" t="s">
        <v>1</v>
      </c>
      <c r="B8" s="11"/>
      <c r="C8" s="11"/>
      <c r="D8" s="11"/>
      <c r="E8" s="3">
        <f>SUM(StateSenatorSenateDistrict59General[[#This Row],[Part of Kings County Vote Results]:[Part of Queens County Vote Results]])</f>
        <v>0</v>
      </c>
      <c r="F8" s="12"/>
    </row>
    <row r="9" spans="1:6" x14ac:dyDescent="0.2">
      <c r="A9" s="37" t="s">
        <v>5</v>
      </c>
      <c r="B9" s="11">
        <v>27</v>
      </c>
      <c r="C9" s="11">
        <v>74</v>
      </c>
      <c r="D9" s="11">
        <v>73</v>
      </c>
      <c r="E9" s="3">
        <f>SUM(StateSenatorSenateDistrict59General[[#This Row],[Part of Kings County Vote Results]:[Part of Queens County Vote Results]])</f>
        <v>174</v>
      </c>
      <c r="F9" s="12"/>
    </row>
    <row r="10" spans="1:6" x14ac:dyDescent="0.2">
      <c r="A10" s="5" t="s">
        <v>2</v>
      </c>
      <c r="B10" s="11">
        <f>SUM(StateSenatorSenateDistrict59General[Part of Kings County Vote Results])</f>
        <v>19918</v>
      </c>
      <c r="C10" s="11">
        <f>SUM(StateSenatorSenateDistrict59General[Part of New York County Vote Results])</f>
        <v>29942</v>
      </c>
      <c r="D10" s="11">
        <f>SUM(StateSenatorSenateDistrict59General[Part of Queens County Vote Results])</f>
        <v>32478</v>
      </c>
      <c r="E10" s="3">
        <f>SUM(StateSenatorSenateDistrict59General[Total Votes by Party])</f>
        <v>82338</v>
      </c>
      <c r="F10" s="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F7CB-EC8C-49BF-A8EF-FC5BD7E06DC1}">
  <sheetPr>
    <pageSetUpPr fitToPage="1"/>
  </sheetPr>
  <dimension ref="A1:D10"/>
  <sheetViews>
    <sheetView workbookViewId="0">
      <selection activeCell="F12" sqref="F1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42" t="s">
        <v>79</v>
      </c>
    </row>
    <row r="2" spans="1:4" ht="24.95" customHeight="1" x14ac:dyDescent="0.2">
      <c r="A2" s="9" t="s">
        <v>8</v>
      </c>
      <c r="B2" s="38" t="s">
        <v>30</v>
      </c>
      <c r="C2" s="8" t="s">
        <v>3</v>
      </c>
      <c r="D2" s="7" t="s">
        <v>4</v>
      </c>
    </row>
    <row r="3" spans="1:4" ht="25.5" x14ac:dyDescent="0.2">
      <c r="A3" s="29" t="s">
        <v>69</v>
      </c>
      <c r="B3" s="11">
        <v>53065</v>
      </c>
      <c r="C3" s="3">
        <f>StateSenatorSenateDistrict6General45[[#This Row],[Part of Nassau County Vote Results]]</f>
        <v>53065</v>
      </c>
      <c r="D3" s="6">
        <f>SUM(C3,C6)</f>
        <v>54960</v>
      </c>
    </row>
    <row r="4" spans="1:4" ht="25.5" x14ac:dyDescent="0.2">
      <c r="A4" s="29" t="s">
        <v>70</v>
      </c>
      <c r="B4" s="11">
        <v>36134</v>
      </c>
      <c r="C4" s="3">
        <f>StateSenatorSenateDistrict6General45[[#This Row],[Part of Nassau County Vote Results]]</f>
        <v>36134</v>
      </c>
      <c r="D4" s="6">
        <f>SUM(C4,C5)</f>
        <v>39368</v>
      </c>
    </row>
    <row r="5" spans="1:4" ht="25.5" x14ac:dyDescent="0.2">
      <c r="A5" s="29" t="s">
        <v>71</v>
      </c>
      <c r="B5" s="11">
        <v>3234</v>
      </c>
      <c r="C5" s="3">
        <f>StateSenatorSenateDistrict6General45[[#This Row],[Part of Nassau County Vote Results]]</f>
        <v>3234</v>
      </c>
      <c r="D5" s="2"/>
    </row>
    <row r="6" spans="1:4" ht="25.5" x14ac:dyDescent="0.2">
      <c r="A6" s="29" t="s">
        <v>72</v>
      </c>
      <c r="B6" s="11">
        <v>1895</v>
      </c>
      <c r="C6" s="3">
        <f>StateSenatorSenateDistrict6General45[[#This Row],[Part of Nassau County Vote Results]]</f>
        <v>1895</v>
      </c>
      <c r="D6" s="2"/>
    </row>
    <row r="7" spans="1:4" x14ac:dyDescent="0.2">
      <c r="A7" s="30" t="s">
        <v>0</v>
      </c>
      <c r="B7" s="11">
        <v>463</v>
      </c>
      <c r="C7" s="3">
        <f>StateSenatorSenateDistrict6General45[[#This Row],[Part of Nassau County Vote Results]]</f>
        <v>463</v>
      </c>
      <c r="D7" s="2"/>
    </row>
    <row r="8" spans="1:4" x14ac:dyDescent="0.2">
      <c r="A8" s="30" t="s">
        <v>1</v>
      </c>
      <c r="B8" s="11">
        <v>68</v>
      </c>
      <c r="C8" s="3">
        <f>StateSenatorSenateDistrict6General45[[#This Row],[Part of Nassau County Vote Results]]</f>
        <v>68</v>
      </c>
      <c r="D8" s="2"/>
    </row>
    <row r="9" spans="1:4" x14ac:dyDescent="0.2">
      <c r="A9" s="30" t="s">
        <v>5</v>
      </c>
      <c r="B9" s="11">
        <v>68</v>
      </c>
      <c r="C9" s="3">
        <f>StateSenatorSenateDistrict6General45[[#This Row],[Part of Nassau County Vote Results]]</f>
        <v>68</v>
      </c>
      <c r="D9" s="2"/>
    </row>
    <row r="10" spans="1:4" x14ac:dyDescent="0.2">
      <c r="A10" s="31" t="s">
        <v>2</v>
      </c>
      <c r="B10" s="11">
        <f>SUM(StateSenatorSenateDistrict6General45[Part of Nassau County Vote Results])</f>
        <v>94927</v>
      </c>
      <c r="C10" s="3">
        <f>SUM(StateSenatorSenateDistrict6General45[Total Votes by Party])</f>
        <v>94927</v>
      </c>
      <c r="D10" s="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7740D-E8F5-4B2A-8117-54D57F5ECAC7}">
  <sheetPr>
    <pageSetUpPr fitToPage="1"/>
  </sheetPr>
  <dimension ref="A1:D10"/>
  <sheetViews>
    <sheetView workbookViewId="0">
      <selection sqref="A1:XFD1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s="43" customFormat="1" ht="18.75" x14ac:dyDescent="0.2">
      <c r="A1" s="42" t="s">
        <v>133</v>
      </c>
    </row>
    <row r="2" spans="1:4" ht="25.5" x14ac:dyDescent="0.2">
      <c r="A2" s="9" t="s">
        <v>8</v>
      </c>
      <c r="B2" s="38" t="s">
        <v>45</v>
      </c>
      <c r="C2" s="8" t="s">
        <v>3</v>
      </c>
      <c r="D2" s="7" t="s">
        <v>4</v>
      </c>
    </row>
    <row r="3" spans="1:4" ht="25.5" x14ac:dyDescent="0.2">
      <c r="A3" s="36" t="s">
        <v>69</v>
      </c>
      <c r="B3" s="11">
        <v>57103</v>
      </c>
      <c r="C3" s="3">
        <f>StateSenatorSenateDistrict60General[[#This Row],[Part of Erie County Vote Results]]</f>
        <v>57103</v>
      </c>
      <c r="D3" s="6">
        <f>SUM(C3,C6)</f>
        <v>61487</v>
      </c>
    </row>
    <row r="4" spans="1:4" ht="25.5" x14ac:dyDescent="0.2">
      <c r="A4" s="36" t="s">
        <v>70</v>
      </c>
      <c r="B4" s="11">
        <v>69241</v>
      </c>
      <c r="C4" s="3">
        <f>StateSenatorSenateDistrict60General[[#This Row],[Part of Erie County Vote Results]]</f>
        <v>69241</v>
      </c>
      <c r="D4" s="6">
        <f t="shared" ref="D4" si="0">SUM(C4,C5)</f>
        <v>87279</v>
      </c>
    </row>
    <row r="5" spans="1:4" ht="25.5" x14ac:dyDescent="0.2">
      <c r="A5" s="36" t="s">
        <v>71</v>
      </c>
      <c r="B5" s="11">
        <v>18038</v>
      </c>
      <c r="C5" s="3">
        <f>StateSenatorSenateDistrict60General[[#This Row],[Part of Erie County Vote Results]]</f>
        <v>18038</v>
      </c>
      <c r="D5" s="2"/>
    </row>
    <row r="6" spans="1:4" ht="25.5" x14ac:dyDescent="0.2">
      <c r="A6" s="36" t="s">
        <v>72</v>
      </c>
      <c r="B6" s="11">
        <v>4384</v>
      </c>
      <c r="C6" s="3">
        <f>StateSenatorSenateDistrict60General[[#This Row],[Part of Erie County Vote Results]]</f>
        <v>4384</v>
      </c>
      <c r="D6" s="2"/>
    </row>
    <row r="7" spans="1:4" x14ac:dyDescent="0.2">
      <c r="A7" s="37" t="s">
        <v>0</v>
      </c>
      <c r="B7" s="11">
        <v>1638</v>
      </c>
      <c r="C7" s="3">
        <f>StateSenatorSenateDistrict60General[[#This Row],[Part of Erie County Vote Results]]</f>
        <v>1638</v>
      </c>
      <c r="D7" s="2"/>
    </row>
    <row r="8" spans="1:4" x14ac:dyDescent="0.2">
      <c r="A8" s="37" t="s">
        <v>1</v>
      </c>
      <c r="B8" s="26">
        <v>34</v>
      </c>
      <c r="C8" s="13">
        <f>StateSenatorSenateDistrict60General[[#This Row],[Part of Erie County Vote Results]]</f>
        <v>34</v>
      </c>
      <c r="D8" s="2"/>
    </row>
    <row r="9" spans="1:4" x14ac:dyDescent="0.2">
      <c r="A9" s="37" t="s">
        <v>5</v>
      </c>
      <c r="B9" s="26">
        <v>267</v>
      </c>
      <c r="C9" s="13">
        <f>StateSenatorSenateDistrict60General[[#This Row],[Part of Erie County Vote Results]]</f>
        <v>267</v>
      </c>
      <c r="D9" s="2"/>
    </row>
    <row r="10" spans="1:4" x14ac:dyDescent="0.2">
      <c r="A10" s="5" t="s">
        <v>2</v>
      </c>
      <c r="B10" s="11">
        <f>SUM(StateSenatorSenateDistrict60General[Part of Erie County Vote Results])</f>
        <v>150705</v>
      </c>
      <c r="C10" s="3">
        <f>SUM(StateSenatorSenateDistrict60General[Total Votes by Party])</f>
        <v>150705</v>
      </c>
      <c r="D10" s="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5B8B4-75F5-4C71-8846-C9230EFA0928}">
  <sheetPr>
    <pageSetUpPr fitToPage="1"/>
  </sheetPr>
  <dimension ref="A1:D10"/>
  <sheetViews>
    <sheetView workbookViewId="0">
      <selection sqref="A1:XFD1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s="43" customFormat="1" ht="18.75" x14ac:dyDescent="0.2">
      <c r="A1" s="42" t="s">
        <v>134</v>
      </c>
    </row>
    <row r="2" spans="1:4" ht="25.5" x14ac:dyDescent="0.2">
      <c r="A2" s="9" t="s">
        <v>8</v>
      </c>
      <c r="B2" s="38" t="s">
        <v>45</v>
      </c>
      <c r="C2" s="8" t="s">
        <v>3</v>
      </c>
      <c r="D2" s="7" t="s">
        <v>4</v>
      </c>
    </row>
    <row r="3" spans="1:4" ht="25.5" x14ac:dyDescent="0.2">
      <c r="A3" s="36" t="s">
        <v>69</v>
      </c>
      <c r="B3" s="11">
        <v>61690</v>
      </c>
      <c r="C3" s="3">
        <f>StateSenatorSenateDistrict61General[[#This Row],[Part of Erie County Vote Results]]</f>
        <v>61690</v>
      </c>
      <c r="D3" s="6">
        <f>SUM(C3,C6)</f>
        <v>67600</v>
      </c>
    </row>
    <row r="4" spans="1:4" ht="25.5" x14ac:dyDescent="0.2">
      <c r="A4" s="36" t="s">
        <v>70</v>
      </c>
      <c r="B4" s="11">
        <v>37129</v>
      </c>
      <c r="C4" s="3">
        <f>StateSenatorSenateDistrict61General[[#This Row],[Part of Erie County Vote Results]]</f>
        <v>37129</v>
      </c>
      <c r="D4" s="6">
        <f>SUM(C4,C5)</f>
        <v>46022</v>
      </c>
    </row>
    <row r="5" spans="1:4" ht="25.5" x14ac:dyDescent="0.2">
      <c r="A5" s="36" t="s">
        <v>71</v>
      </c>
      <c r="B5" s="11">
        <v>8893</v>
      </c>
      <c r="C5" s="3">
        <f>StateSenatorSenateDistrict61General[[#This Row],[Part of Erie County Vote Results]]</f>
        <v>8893</v>
      </c>
      <c r="D5" s="2"/>
    </row>
    <row r="6" spans="1:4" ht="25.5" x14ac:dyDescent="0.2">
      <c r="A6" s="36" t="s">
        <v>72</v>
      </c>
      <c r="B6" s="11">
        <v>5910</v>
      </c>
      <c r="C6" s="3">
        <f>StateSenatorSenateDistrict61General[[#This Row],[Part of Erie County Vote Results]]</f>
        <v>5910</v>
      </c>
      <c r="D6" s="2"/>
    </row>
    <row r="7" spans="1:4" x14ac:dyDescent="0.2">
      <c r="A7" s="37" t="s">
        <v>0</v>
      </c>
      <c r="B7" s="11">
        <v>1620</v>
      </c>
      <c r="C7" s="3">
        <f>StateSenatorSenateDistrict61General[[#This Row],[Part of Erie County Vote Results]]</f>
        <v>1620</v>
      </c>
      <c r="D7" s="2"/>
    </row>
    <row r="8" spans="1:4" x14ac:dyDescent="0.2">
      <c r="A8" s="37" t="s">
        <v>1</v>
      </c>
      <c r="B8" s="11">
        <v>23</v>
      </c>
      <c r="C8" s="3">
        <f>StateSenatorSenateDistrict61General[[#This Row],[Part of Erie County Vote Results]]</f>
        <v>23</v>
      </c>
      <c r="D8" s="2"/>
    </row>
    <row r="9" spans="1:4" x14ac:dyDescent="0.2">
      <c r="A9" s="37" t="s">
        <v>5</v>
      </c>
      <c r="B9" s="11">
        <v>229</v>
      </c>
      <c r="C9" s="3">
        <f>StateSenatorSenateDistrict61General[[#This Row],[Part of Erie County Vote Results]]</f>
        <v>229</v>
      </c>
      <c r="D9" s="2"/>
    </row>
    <row r="10" spans="1:4" x14ac:dyDescent="0.2">
      <c r="A10" s="5" t="s">
        <v>2</v>
      </c>
      <c r="B10" s="11">
        <f>SUM(StateSenatorSenateDistrict61General[Part of Erie County Vote Results])</f>
        <v>115494</v>
      </c>
      <c r="C10" s="3">
        <f>SUM(StateSenatorSenateDistrict61General[Total Votes by Party])</f>
        <v>115494</v>
      </c>
      <c r="D10" s="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E5D14-8C66-409E-B11A-3D507F8B82A8}">
  <sheetPr>
    <pageSetUpPr fitToPage="1"/>
  </sheetPr>
  <dimension ref="A1:F10"/>
  <sheetViews>
    <sheetView workbookViewId="0"/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ht="18.75" x14ac:dyDescent="0.2">
      <c r="A1" s="42" t="s">
        <v>135</v>
      </c>
    </row>
    <row r="2" spans="1:6" ht="25.5" x14ac:dyDescent="0.2">
      <c r="A2" s="9" t="s">
        <v>8</v>
      </c>
      <c r="B2" s="38" t="s">
        <v>65</v>
      </c>
      <c r="C2" s="38" t="s">
        <v>26</v>
      </c>
      <c r="D2" s="38" t="s">
        <v>25</v>
      </c>
      <c r="E2" s="8" t="s">
        <v>3</v>
      </c>
      <c r="F2" s="7" t="s">
        <v>4</v>
      </c>
    </row>
    <row r="3" spans="1:6" ht="25.5" x14ac:dyDescent="0.2">
      <c r="A3" s="36" t="s">
        <v>69</v>
      </c>
      <c r="B3" s="11">
        <v>8501</v>
      </c>
      <c r="C3" s="11">
        <v>27791</v>
      </c>
      <c r="D3" s="11">
        <v>3086</v>
      </c>
      <c r="E3" s="3">
        <f>SUM(StateSenatorSenateDistrict62General[[#This Row],[Part of Monroe County Vote Results]:[Orleans County Vote Results]])</f>
        <v>39378</v>
      </c>
      <c r="F3" s="6">
        <f>SUM(E3,E6)</f>
        <v>42121</v>
      </c>
    </row>
    <row r="4" spans="1:6" ht="25.5" x14ac:dyDescent="0.2">
      <c r="A4" s="36" t="s">
        <v>70</v>
      </c>
      <c r="B4" s="11">
        <v>14904</v>
      </c>
      <c r="C4" s="11">
        <v>38338</v>
      </c>
      <c r="D4" s="11">
        <v>8988</v>
      </c>
      <c r="E4" s="3">
        <f>SUM(StateSenatorSenateDistrict62General[[#This Row],[Part of Monroe County Vote Results]:[Orleans County Vote Results]])</f>
        <v>62230</v>
      </c>
      <c r="F4" s="6">
        <f t="shared" ref="F4" si="0">SUM(E4,E5)</f>
        <v>75061</v>
      </c>
    </row>
    <row r="5" spans="1:6" ht="25.5" x14ac:dyDescent="0.2">
      <c r="A5" s="36" t="s">
        <v>71</v>
      </c>
      <c r="B5" s="11">
        <v>3154</v>
      </c>
      <c r="C5" s="11">
        <v>8289</v>
      </c>
      <c r="D5" s="11">
        <v>1388</v>
      </c>
      <c r="E5" s="3">
        <f>SUM(StateSenatorSenateDistrict62General[[#This Row],[Part of Monroe County Vote Results]:[Orleans County Vote Results]])</f>
        <v>12831</v>
      </c>
      <c r="F5" s="2"/>
    </row>
    <row r="6" spans="1:6" ht="25.5" x14ac:dyDescent="0.2">
      <c r="A6" s="36" t="s">
        <v>72</v>
      </c>
      <c r="B6" s="11">
        <v>659</v>
      </c>
      <c r="C6" s="11">
        <v>1878</v>
      </c>
      <c r="D6" s="11">
        <v>206</v>
      </c>
      <c r="E6" s="3">
        <f>SUM(StateSenatorSenateDistrict62General[[#This Row],[Part of Monroe County Vote Results]:[Orleans County Vote Results]])</f>
        <v>2743</v>
      </c>
      <c r="F6" s="2"/>
    </row>
    <row r="7" spans="1:6" x14ac:dyDescent="0.2">
      <c r="A7" s="37" t="s">
        <v>0</v>
      </c>
      <c r="B7" s="11">
        <v>169</v>
      </c>
      <c r="C7" s="11">
        <v>548</v>
      </c>
      <c r="D7" s="11">
        <v>86</v>
      </c>
      <c r="E7" s="3">
        <f>SUM(StateSenatorSenateDistrict62General[[#This Row],[Part of Monroe County Vote Results]:[Orleans County Vote Results]])</f>
        <v>803</v>
      </c>
      <c r="F7" s="2"/>
    </row>
    <row r="8" spans="1:6" x14ac:dyDescent="0.2">
      <c r="A8" s="37" t="s">
        <v>1</v>
      </c>
      <c r="B8" s="11"/>
      <c r="C8" s="11">
        <v>14</v>
      </c>
      <c r="D8" s="11">
        <v>11</v>
      </c>
      <c r="E8" s="3">
        <f>SUM(StateSenatorSenateDistrict62General[[#This Row],[Part of Monroe County Vote Results]:[Orleans County Vote Results]])</f>
        <v>25</v>
      </c>
      <c r="F8" s="12"/>
    </row>
    <row r="9" spans="1:6" x14ac:dyDescent="0.2">
      <c r="A9" s="37" t="s">
        <v>5</v>
      </c>
      <c r="B9" s="11">
        <v>55</v>
      </c>
      <c r="C9" s="11">
        <v>128</v>
      </c>
      <c r="D9" s="11">
        <v>20</v>
      </c>
      <c r="E9" s="3">
        <f>SUM(StateSenatorSenateDistrict62General[[#This Row],[Part of Monroe County Vote Results]:[Orleans County Vote Results]])</f>
        <v>203</v>
      </c>
      <c r="F9" s="12"/>
    </row>
    <row r="10" spans="1:6" x14ac:dyDescent="0.2">
      <c r="A10" s="5" t="s">
        <v>2</v>
      </c>
      <c r="B10" s="11">
        <f>SUM(StateSenatorSenateDistrict62General[Part of Monroe County Vote Results])</f>
        <v>27442</v>
      </c>
      <c r="C10" s="11">
        <f>SUM(StateSenatorSenateDistrict62General[Niagara County Vote Results])</f>
        <v>76986</v>
      </c>
      <c r="D10" s="11">
        <f>SUM(StateSenatorSenateDistrict62General[Orleans County Vote Results])</f>
        <v>13785</v>
      </c>
      <c r="E10" s="3">
        <f>SUM(StateSenatorSenateDistrict62General[Total Votes by Party])</f>
        <v>118213</v>
      </c>
      <c r="F10" s="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A089A-FC18-439B-9C05-2F50F7D14306}">
  <sheetPr>
    <pageSetUpPr fitToPage="1"/>
  </sheetPr>
  <dimension ref="A1:D10"/>
  <sheetViews>
    <sheetView workbookViewId="0">
      <selection sqref="A1:XFD1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s="43" customFormat="1" ht="18.75" x14ac:dyDescent="0.2">
      <c r="A1" s="42" t="s">
        <v>136</v>
      </c>
    </row>
    <row r="2" spans="1:4" ht="25.5" x14ac:dyDescent="0.2">
      <c r="A2" s="9" t="s">
        <v>8</v>
      </c>
      <c r="B2" s="38" t="s">
        <v>45</v>
      </c>
      <c r="C2" s="8" t="s">
        <v>3</v>
      </c>
      <c r="D2" s="7" t="s">
        <v>4</v>
      </c>
    </row>
    <row r="3" spans="1:4" ht="25.5" x14ac:dyDescent="0.2">
      <c r="A3" s="36" t="s">
        <v>69</v>
      </c>
      <c r="B3" s="11">
        <v>47746</v>
      </c>
      <c r="C3" s="3">
        <f>StateSenatorSenateDistrict63General[[#This Row],[Part of Erie County Vote Results]]</f>
        <v>47746</v>
      </c>
      <c r="D3" s="6">
        <f>SUM(C3,C6)</f>
        <v>51539</v>
      </c>
    </row>
    <row r="4" spans="1:4" ht="25.5" x14ac:dyDescent="0.2">
      <c r="A4" s="36" t="s">
        <v>70</v>
      </c>
      <c r="B4" s="11">
        <v>21638</v>
      </c>
      <c r="C4" s="3">
        <f>StateSenatorSenateDistrict63General[[#This Row],[Part of Erie County Vote Results]]</f>
        <v>21638</v>
      </c>
      <c r="D4" s="6">
        <f>SUM(C4,C5)</f>
        <v>26703</v>
      </c>
    </row>
    <row r="5" spans="1:4" ht="25.5" x14ac:dyDescent="0.2">
      <c r="A5" s="36" t="s">
        <v>71</v>
      </c>
      <c r="B5" s="11">
        <v>5065</v>
      </c>
      <c r="C5" s="3">
        <f>StateSenatorSenateDistrict63General[[#This Row],[Part of Erie County Vote Results]]</f>
        <v>5065</v>
      </c>
      <c r="D5" s="2"/>
    </row>
    <row r="6" spans="1:4" ht="25.5" x14ac:dyDescent="0.2">
      <c r="A6" s="36" t="s">
        <v>72</v>
      </c>
      <c r="B6" s="11">
        <v>3793</v>
      </c>
      <c r="C6" s="3">
        <f>StateSenatorSenateDistrict63General[[#This Row],[Part of Erie County Vote Results]]</f>
        <v>3793</v>
      </c>
      <c r="D6" s="2"/>
    </row>
    <row r="7" spans="1:4" x14ac:dyDescent="0.2">
      <c r="A7" s="37" t="s">
        <v>0</v>
      </c>
      <c r="B7" s="11">
        <v>1421</v>
      </c>
      <c r="C7" s="3">
        <f>StateSenatorSenateDistrict63General[[#This Row],[Part of Erie County Vote Results]]</f>
        <v>1421</v>
      </c>
      <c r="D7" s="2"/>
    </row>
    <row r="8" spans="1:4" x14ac:dyDescent="0.2">
      <c r="A8" s="37" t="s">
        <v>1</v>
      </c>
      <c r="B8" s="11">
        <v>42</v>
      </c>
      <c r="C8" s="3">
        <f>StateSenatorSenateDistrict63General[[#This Row],[Part of Erie County Vote Results]]</f>
        <v>42</v>
      </c>
      <c r="D8" s="2"/>
    </row>
    <row r="9" spans="1:4" x14ac:dyDescent="0.2">
      <c r="A9" s="37" t="s">
        <v>5</v>
      </c>
      <c r="B9" s="26">
        <v>183</v>
      </c>
      <c r="C9" s="13">
        <f>StateSenatorSenateDistrict63General[[#This Row],[Part of Erie County Vote Results]]</f>
        <v>183</v>
      </c>
      <c r="D9" s="2"/>
    </row>
    <row r="10" spans="1:4" x14ac:dyDescent="0.2">
      <c r="A10" s="5" t="s">
        <v>2</v>
      </c>
      <c r="B10" s="11">
        <f>SUM(StateSenatorSenateDistrict63General[Part of Erie County Vote Results])</f>
        <v>79888</v>
      </c>
      <c r="C10" s="3">
        <f>SUM(StateSenatorSenateDistrict63General[Total Votes by Party])</f>
        <v>79888</v>
      </c>
      <c r="D10" s="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61B3D-D29F-46F9-842C-CB822452B3E2}">
  <sheetPr>
    <pageSetUpPr fitToPage="1"/>
  </sheetPr>
  <dimension ref="A1:D10"/>
  <sheetViews>
    <sheetView workbookViewId="0"/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42" t="s">
        <v>80</v>
      </c>
    </row>
    <row r="2" spans="1:4" ht="24.95" customHeight="1" x14ac:dyDescent="0.2">
      <c r="A2" s="9" t="s">
        <v>8</v>
      </c>
      <c r="B2" s="38" t="s">
        <v>30</v>
      </c>
      <c r="C2" s="8" t="s">
        <v>3</v>
      </c>
      <c r="D2" s="7" t="s">
        <v>4</v>
      </c>
    </row>
    <row r="3" spans="1:4" ht="25.5" x14ac:dyDescent="0.2">
      <c r="A3" s="29" t="s">
        <v>69</v>
      </c>
      <c r="B3" s="11">
        <v>55227</v>
      </c>
      <c r="C3" s="3">
        <f>StateSenatorSenateDistrict7General46[[#This Row],[Part of Nassau County Vote Results]]</f>
        <v>55227</v>
      </c>
      <c r="D3" s="6">
        <f>SUM(C3,C6)</f>
        <v>57673</v>
      </c>
    </row>
    <row r="4" spans="1:4" ht="25.5" x14ac:dyDescent="0.2">
      <c r="A4" s="29" t="s">
        <v>70</v>
      </c>
      <c r="B4" s="11">
        <v>63017</v>
      </c>
      <c r="C4" s="3">
        <f>StateSenatorSenateDistrict7General46[[#This Row],[Part of Nassau County Vote Results]]</f>
        <v>63017</v>
      </c>
      <c r="D4" s="6">
        <f>SUM(C4,C5)</f>
        <v>67637</v>
      </c>
    </row>
    <row r="5" spans="1:4" ht="25.5" x14ac:dyDescent="0.2">
      <c r="A5" s="29" t="s">
        <v>71</v>
      </c>
      <c r="B5" s="11">
        <v>4620</v>
      </c>
      <c r="C5" s="3">
        <f>StateSenatorSenateDistrict7General46[[#This Row],[Part of Nassau County Vote Results]]</f>
        <v>4620</v>
      </c>
      <c r="D5" s="2"/>
    </row>
    <row r="6" spans="1:4" ht="25.5" x14ac:dyDescent="0.2">
      <c r="A6" s="29" t="s">
        <v>72</v>
      </c>
      <c r="B6" s="11">
        <v>2446</v>
      </c>
      <c r="C6" s="3">
        <f>StateSenatorSenateDistrict7General46[[#This Row],[Part of Nassau County Vote Results]]</f>
        <v>2446</v>
      </c>
      <c r="D6" s="2"/>
    </row>
    <row r="7" spans="1:4" x14ac:dyDescent="0.2">
      <c r="A7" s="30" t="s">
        <v>0</v>
      </c>
      <c r="B7" s="11">
        <v>533</v>
      </c>
      <c r="C7" s="3">
        <f>StateSenatorSenateDistrict7General46[[#This Row],[Part of Nassau County Vote Results]]</f>
        <v>533</v>
      </c>
      <c r="D7" s="2"/>
    </row>
    <row r="8" spans="1:4" x14ac:dyDescent="0.2">
      <c r="A8" s="30" t="s">
        <v>1</v>
      </c>
      <c r="B8" s="11">
        <v>50</v>
      </c>
      <c r="C8" s="3">
        <f>StateSenatorSenateDistrict7General46[[#This Row],[Part of Nassau County Vote Results]]</f>
        <v>50</v>
      </c>
      <c r="D8" s="2"/>
    </row>
    <row r="9" spans="1:4" x14ac:dyDescent="0.2">
      <c r="A9" s="30" t="s">
        <v>5</v>
      </c>
      <c r="B9" s="11">
        <v>116</v>
      </c>
      <c r="C9" s="3">
        <f>StateSenatorSenateDistrict7General46[[#This Row],[Part of Nassau County Vote Results]]</f>
        <v>116</v>
      </c>
      <c r="D9" s="2"/>
    </row>
    <row r="10" spans="1:4" x14ac:dyDescent="0.2">
      <c r="A10" s="31" t="s">
        <v>2</v>
      </c>
      <c r="B10" s="11">
        <f>SUM(StateSenatorSenateDistrict7General46[Part of Nassau County Vote Results])</f>
        <v>126009</v>
      </c>
      <c r="C10" s="3">
        <f>SUM(StateSenatorSenateDistrict7General46[Total Votes by Party])</f>
        <v>126009</v>
      </c>
      <c r="D10" s="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00E29-41CD-40A0-A1F6-22E5F98E5374}">
  <sheetPr>
    <pageSetUpPr fitToPage="1"/>
  </sheetPr>
  <dimension ref="A1:E10"/>
  <sheetViews>
    <sheetView workbookViewId="0"/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75" customHeight="1" x14ac:dyDescent="0.2">
      <c r="A1" s="42" t="s">
        <v>81</v>
      </c>
    </row>
    <row r="2" spans="1:5" ht="25.5" x14ac:dyDescent="0.2">
      <c r="A2" s="9" t="s">
        <v>8</v>
      </c>
      <c r="B2" s="38" t="s">
        <v>30</v>
      </c>
      <c r="C2" s="38" t="s">
        <v>29</v>
      </c>
      <c r="D2" s="8" t="s">
        <v>3</v>
      </c>
      <c r="E2" s="7" t="s">
        <v>4</v>
      </c>
    </row>
    <row r="3" spans="1:5" ht="25.5" x14ac:dyDescent="0.2">
      <c r="A3" s="29" t="s">
        <v>69</v>
      </c>
      <c r="B3" s="11">
        <v>12616</v>
      </c>
      <c r="C3" s="4">
        <v>31617</v>
      </c>
      <c r="D3" s="3">
        <f>SUM(StateSenatorSenateDistrict8General[[#This Row],[Part of Nassau County Vote Results]:[Part of Suffolk County Vote Results]])</f>
        <v>44233</v>
      </c>
      <c r="E3" s="6">
        <f>SUM(D3,D6)</f>
        <v>46795</v>
      </c>
    </row>
    <row r="4" spans="1:5" ht="25.5" x14ac:dyDescent="0.2">
      <c r="A4" s="29" t="s">
        <v>70</v>
      </c>
      <c r="B4" s="11">
        <v>29568</v>
      </c>
      <c r="C4" s="4">
        <v>55929</v>
      </c>
      <c r="D4" s="3">
        <f>SUM(StateSenatorSenateDistrict8General[[#This Row],[Part of Nassau County Vote Results]:[Part of Suffolk County Vote Results]])</f>
        <v>85497</v>
      </c>
      <c r="E4" s="6">
        <f>SUM(D4,D5)</f>
        <v>97072</v>
      </c>
    </row>
    <row r="5" spans="1:5" ht="25.5" x14ac:dyDescent="0.2">
      <c r="A5" s="29" t="s">
        <v>71</v>
      </c>
      <c r="B5" s="11">
        <v>2505</v>
      </c>
      <c r="C5" s="4">
        <v>9070</v>
      </c>
      <c r="D5" s="3">
        <f>SUM(StateSenatorSenateDistrict8General[[#This Row],[Part of Nassau County Vote Results]:[Part of Suffolk County Vote Results]])</f>
        <v>11575</v>
      </c>
      <c r="E5" s="2"/>
    </row>
    <row r="6" spans="1:5" ht="25.5" x14ac:dyDescent="0.2">
      <c r="A6" s="29" t="s">
        <v>72</v>
      </c>
      <c r="B6" s="11">
        <v>675</v>
      </c>
      <c r="C6" s="4">
        <v>1887</v>
      </c>
      <c r="D6" s="3">
        <f>SUM(StateSenatorSenateDistrict8General[[#This Row],[Part of Nassau County Vote Results]:[Part of Suffolk County Vote Results]])</f>
        <v>2562</v>
      </c>
      <c r="E6" s="2"/>
    </row>
    <row r="7" spans="1:5" x14ac:dyDescent="0.2">
      <c r="A7" s="30" t="s">
        <v>0</v>
      </c>
      <c r="B7" s="11">
        <v>113</v>
      </c>
      <c r="C7" s="4">
        <v>348</v>
      </c>
      <c r="D7" s="3">
        <f>SUM(StateSenatorSenateDistrict8General[[#This Row],[Part of Nassau County Vote Results]:[Part of Suffolk County Vote Results]])</f>
        <v>461</v>
      </c>
      <c r="E7" s="2"/>
    </row>
    <row r="8" spans="1:5" x14ac:dyDescent="0.2">
      <c r="A8" s="30" t="s">
        <v>1</v>
      </c>
      <c r="B8" s="11">
        <v>16</v>
      </c>
      <c r="C8" s="4">
        <v>28</v>
      </c>
      <c r="D8" s="3">
        <f>SUM(StateSenatorSenateDistrict8General[[#This Row],[Part of Nassau County Vote Results]:[Part of Suffolk County Vote Results]])</f>
        <v>44</v>
      </c>
      <c r="E8" s="2"/>
    </row>
    <row r="9" spans="1:5" x14ac:dyDescent="0.2">
      <c r="A9" s="30" t="s">
        <v>5</v>
      </c>
      <c r="B9" s="14">
        <v>42</v>
      </c>
      <c r="C9" s="4">
        <v>83</v>
      </c>
      <c r="D9" s="3">
        <f>SUM(StateSenatorSenateDistrict8General[[#This Row],[Part of Nassau County Vote Results]:[Part of Suffolk County Vote Results]])</f>
        <v>125</v>
      </c>
      <c r="E9" s="12"/>
    </row>
    <row r="10" spans="1:5" x14ac:dyDescent="0.2">
      <c r="A10" s="5" t="s">
        <v>2</v>
      </c>
      <c r="B10" s="11">
        <f>SUM(StateSenatorSenateDistrict8General[Part of Nassau County Vote Results])</f>
        <v>45535</v>
      </c>
      <c r="C10" s="4">
        <f>SUM(StateSenatorSenateDistrict8General[Part of Suffolk County Vote Results])</f>
        <v>98962</v>
      </c>
      <c r="D10" s="3">
        <f>SUM(StateSenatorSenateDistrict8General[Total Votes by Party])</f>
        <v>144497</v>
      </c>
      <c r="E10" s="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0683D-9AA4-460D-8B10-51D89826FB57}">
  <sheetPr>
    <pageSetUpPr fitToPage="1"/>
  </sheetPr>
  <dimension ref="A1:D10"/>
  <sheetViews>
    <sheetView workbookViewId="0">
      <selection activeCell="G29" sqref="G29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42" t="s">
        <v>82</v>
      </c>
    </row>
    <row r="2" spans="1:4" ht="24.95" customHeight="1" x14ac:dyDescent="0.2">
      <c r="A2" s="9" t="s">
        <v>8</v>
      </c>
      <c r="B2" s="38" t="s">
        <v>30</v>
      </c>
      <c r="C2" s="8" t="s">
        <v>3</v>
      </c>
      <c r="D2" s="7" t="s">
        <v>4</v>
      </c>
    </row>
    <row r="3" spans="1:4" ht="25.5" x14ac:dyDescent="0.2">
      <c r="A3" s="29" t="s">
        <v>69</v>
      </c>
      <c r="B3" s="11">
        <v>49808</v>
      </c>
      <c r="C3" s="3">
        <f>StateSenatorSenateDistrict9General[[#This Row],[Part of Nassau County Vote Results]]</f>
        <v>49808</v>
      </c>
      <c r="D3" s="6">
        <f>SUM(C3,C6)</f>
        <v>51921</v>
      </c>
    </row>
    <row r="4" spans="1:4" ht="25.5" x14ac:dyDescent="0.2">
      <c r="A4" s="29" t="s">
        <v>70</v>
      </c>
      <c r="B4" s="11">
        <v>60138</v>
      </c>
      <c r="C4" s="3">
        <f>StateSenatorSenateDistrict9General[[#This Row],[Part of Nassau County Vote Results]]</f>
        <v>60138</v>
      </c>
      <c r="D4" s="6">
        <f>SUM(C4,C5)</f>
        <v>64693</v>
      </c>
    </row>
    <row r="5" spans="1:4" ht="25.5" x14ac:dyDescent="0.2">
      <c r="A5" s="29" t="s">
        <v>71</v>
      </c>
      <c r="B5" s="11">
        <v>4555</v>
      </c>
      <c r="C5" s="3">
        <f>StateSenatorSenateDistrict9General[[#This Row],[Part of Nassau County Vote Results]]</f>
        <v>4555</v>
      </c>
      <c r="D5" s="2"/>
    </row>
    <row r="6" spans="1:4" ht="25.5" x14ac:dyDescent="0.2">
      <c r="A6" s="29" t="s">
        <v>72</v>
      </c>
      <c r="B6" s="11">
        <v>2113</v>
      </c>
      <c r="C6" s="3">
        <f>StateSenatorSenateDistrict9General[[#This Row],[Part of Nassau County Vote Results]]</f>
        <v>2113</v>
      </c>
      <c r="D6" s="2"/>
    </row>
    <row r="7" spans="1:4" x14ac:dyDescent="0.2">
      <c r="A7" s="30" t="s">
        <v>0</v>
      </c>
      <c r="B7" s="11">
        <v>458</v>
      </c>
      <c r="C7" s="3">
        <f>StateSenatorSenateDistrict9General[[#This Row],[Part of Nassau County Vote Results]]</f>
        <v>458</v>
      </c>
      <c r="D7" s="2"/>
    </row>
    <row r="8" spans="1:4" x14ac:dyDescent="0.2">
      <c r="A8" s="30" t="s">
        <v>1</v>
      </c>
      <c r="B8" s="11">
        <v>81</v>
      </c>
      <c r="C8" s="3">
        <f>StateSenatorSenateDistrict9General[[#This Row],[Part of Nassau County Vote Results]]</f>
        <v>81</v>
      </c>
      <c r="D8" s="2"/>
    </row>
    <row r="9" spans="1:4" x14ac:dyDescent="0.2">
      <c r="A9" s="30" t="s">
        <v>5</v>
      </c>
      <c r="B9" s="11">
        <v>109</v>
      </c>
      <c r="C9" s="3">
        <f>StateSenatorSenateDistrict9General[[#This Row],[Part of Nassau County Vote Results]]</f>
        <v>109</v>
      </c>
      <c r="D9" s="2"/>
    </row>
    <row r="10" spans="1:4" x14ac:dyDescent="0.2">
      <c r="A10" s="31" t="s">
        <v>2</v>
      </c>
      <c r="B10" s="11">
        <f>SUM(StateSenatorSenateDistrict9General[Part of Nassau County Vote Results])</f>
        <v>117262</v>
      </c>
      <c r="C10" s="3">
        <f>SUM(StateSenatorSenateDistrict9General[Total Votes by Party])</f>
        <v>117262</v>
      </c>
      <c r="D10" s="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63</vt:i4>
      </vt:variant>
      <vt:variant>
        <vt:lpstr>Named Ranges</vt:lpstr>
      </vt:variant>
      <vt:variant>
        <vt:i4>1</vt:i4>
      </vt:variant>
    </vt:vector>
  </HeadingPairs>
  <TitlesOfParts>
    <vt:vector size="64" baseType="lpstr">
      <vt:lpstr>Gov by 1st SD</vt:lpstr>
      <vt:lpstr>Gov by 2nd SD</vt:lpstr>
      <vt:lpstr>Gov by 3rd SD</vt:lpstr>
      <vt:lpstr>Gov by 4th SD</vt:lpstr>
      <vt:lpstr>Gov by 5th SD</vt:lpstr>
      <vt:lpstr>Gov by 6th SD</vt:lpstr>
      <vt:lpstr>Gov by 7th SD</vt:lpstr>
      <vt:lpstr>Gov by 8th SD</vt:lpstr>
      <vt:lpstr>Gov by 9th SD</vt:lpstr>
      <vt:lpstr>Gov by 10th SD</vt:lpstr>
      <vt:lpstr>Gov by 11th SD</vt:lpstr>
      <vt:lpstr>Gov by 12th SD</vt:lpstr>
      <vt:lpstr>Gov by 13th SD</vt:lpstr>
      <vt:lpstr>Gov by 14th SD</vt:lpstr>
      <vt:lpstr>Gov by 15th SD</vt:lpstr>
      <vt:lpstr>Gov by 16th SD</vt:lpstr>
      <vt:lpstr>Gov by 17th SD</vt:lpstr>
      <vt:lpstr>Gov by 18th SD</vt:lpstr>
      <vt:lpstr>Gov by 19th SD</vt:lpstr>
      <vt:lpstr>Gov by 20th SD</vt:lpstr>
      <vt:lpstr>Gov by 21st SD</vt:lpstr>
      <vt:lpstr>Gov by 22nd SD</vt:lpstr>
      <vt:lpstr>Gov by 23rd SD</vt:lpstr>
      <vt:lpstr>Gov by 24th SD</vt:lpstr>
      <vt:lpstr>Gov by 25th SD</vt:lpstr>
      <vt:lpstr>Gov by 26th SD</vt:lpstr>
      <vt:lpstr>Gov by 27th SD</vt:lpstr>
      <vt:lpstr>Gov by 28th SD</vt:lpstr>
      <vt:lpstr>Gov by 29th SD</vt:lpstr>
      <vt:lpstr>Gov by 30th SD</vt:lpstr>
      <vt:lpstr>Gov by 31st SD</vt:lpstr>
      <vt:lpstr>Gov by 32nd SD</vt:lpstr>
      <vt:lpstr>Gov by 33rd SD</vt:lpstr>
      <vt:lpstr>Gov by 34th SD</vt:lpstr>
      <vt:lpstr>Gov by 35th SD</vt:lpstr>
      <vt:lpstr>Gov by 36th SD</vt:lpstr>
      <vt:lpstr>Gov by 37th SD</vt:lpstr>
      <vt:lpstr>Gov by 38th SD</vt:lpstr>
      <vt:lpstr>Gov by 39th SD</vt:lpstr>
      <vt:lpstr>Gov by 40th SD</vt:lpstr>
      <vt:lpstr>Gov by 41st SD</vt:lpstr>
      <vt:lpstr>Gov by 42nd SD</vt:lpstr>
      <vt:lpstr>Gov by 43rd SD</vt:lpstr>
      <vt:lpstr>Gov by 44th SD</vt:lpstr>
      <vt:lpstr>Gov by 45th SD</vt:lpstr>
      <vt:lpstr>Gov by 46th SD</vt:lpstr>
      <vt:lpstr>Gov by 47th SD</vt:lpstr>
      <vt:lpstr>Gov by 48th SD</vt:lpstr>
      <vt:lpstr>Gov by 49th SD</vt:lpstr>
      <vt:lpstr>Gov by 50th SD</vt:lpstr>
      <vt:lpstr>Gov by 51st SD</vt:lpstr>
      <vt:lpstr>Gov by 52nd SD</vt:lpstr>
      <vt:lpstr>Gov by 53rd SD</vt:lpstr>
      <vt:lpstr>Gov by 54th SD</vt:lpstr>
      <vt:lpstr>Gov by 55th SD</vt:lpstr>
      <vt:lpstr>Gov by 56th SD</vt:lpstr>
      <vt:lpstr>Gov by 57th SD</vt:lpstr>
      <vt:lpstr>Gov by 58th SD</vt:lpstr>
      <vt:lpstr>Gov by 59th SD</vt:lpstr>
      <vt:lpstr>Gov by 60th SD</vt:lpstr>
      <vt:lpstr>Gov by 61st SD</vt:lpstr>
      <vt:lpstr>Gov by 62nd SD</vt:lpstr>
      <vt:lpstr>Gov by 63rd SD</vt:lpstr>
      <vt:lpstr>'Gov by 1st SD'!Print_Area</vt:lpstr>
    </vt:vector>
  </TitlesOfParts>
  <Manager/>
  <Company>NYSBOE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pjorczak</dc:creator>
  <cp:keywords/>
  <dc:description/>
  <cp:lastModifiedBy>Joyce Cornell</cp:lastModifiedBy>
  <cp:revision/>
  <cp:lastPrinted>2021-03-04T21:31:11Z</cp:lastPrinted>
  <dcterms:created xsi:type="dcterms:W3CDTF">2008-10-28T18:22:21Z</dcterms:created>
  <dcterms:modified xsi:type="dcterms:W3CDTF">2023-04-06T15:30:38Z</dcterms:modified>
  <cp:category/>
  <cp:contentStatus/>
</cp:coreProperties>
</file>