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B1B8FB87-942E-492D-8F7C-57FFD4607C72}" xr6:coauthVersionLast="47" xr6:coauthVersionMax="47" xr10:uidLastSave="{00000000-0000-0000-0000-000000000000}"/>
  <bookViews>
    <workbookView xWindow="23880" yWindow="-120" windowWidth="21840" windowHeight="13140" tabRatio="672" firstSheet="20" xr2:uid="{00000000-000D-0000-FFFF-FFFF00000000}"/>
  </bookViews>
  <sheets>
    <sheet name="Gov by 1st CD" sheetId="523" r:id="rId1"/>
    <sheet name="Gov by 2nd CD" sheetId="524" r:id="rId2"/>
    <sheet name="Gov by 3rd CD" sheetId="525" r:id="rId3"/>
    <sheet name="Gov by 4th CD" sheetId="526" r:id="rId4"/>
    <sheet name="Gov by 5th CD" sheetId="527" r:id="rId5"/>
    <sheet name="Gov by 6th CD" sheetId="528" r:id="rId6"/>
    <sheet name="Gov by 7th CD" sheetId="529" r:id="rId7"/>
    <sheet name="Gov by 8th CD" sheetId="530" r:id="rId8"/>
    <sheet name="Gov by 9th CD" sheetId="531" r:id="rId9"/>
    <sheet name="Gov by 10th CD" sheetId="532" r:id="rId10"/>
    <sheet name="Gov by 11th CD" sheetId="533" r:id="rId11"/>
    <sheet name="Gov by 12th CD" sheetId="534" r:id="rId12"/>
    <sheet name="Gov by 13th CD" sheetId="535" r:id="rId13"/>
    <sheet name="Gov by 14th CD" sheetId="536" r:id="rId14"/>
    <sheet name="Gov by 15th CD" sheetId="537" r:id="rId15"/>
    <sheet name="Gov by 16th CD" sheetId="538" r:id="rId16"/>
    <sheet name="Gov by 17th CD" sheetId="539" r:id="rId17"/>
    <sheet name="Gov by 18th CD" sheetId="540" r:id="rId18"/>
    <sheet name="Gov by 19th CD" sheetId="541" r:id="rId19"/>
    <sheet name="Gov by 20th CD" sheetId="542" r:id="rId20"/>
    <sheet name="Gov by 21st CD" sheetId="543" r:id="rId21"/>
    <sheet name="Gov by 22nd CD" sheetId="544" r:id="rId22"/>
    <sheet name="Gov by 23rd CD" sheetId="545" r:id="rId23"/>
    <sheet name="Gov by 24th CD" sheetId="546" r:id="rId24"/>
    <sheet name="Gov by 25th CD" sheetId="547" r:id="rId25"/>
    <sheet name="Gov by 26th CD" sheetId="548" r:id="rId2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535" l="1"/>
  <c r="D5" i="535"/>
  <c r="D6" i="535"/>
  <c r="D3" i="535"/>
  <c r="C3" i="523" l="1"/>
  <c r="C4" i="523"/>
  <c r="C5" i="523"/>
  <c r="C6" i="523"/>
  <c r="C7" i="523"/>
  <c r="C8" i="523"/>
  <c r="C9" i="523"/>
  <c r="N9" i="546"/>
  <c r="I9" i="545"/>
  <c r="F9" i="544"/>
  <c r="D9" i="538"/>
  <c r="C8" i="537"/>
  <c r="C9" i="537"/>
  <c r="D7" i="535"/>
  <c r="D8" i="535"/>
  <c r="D9" i="535"/>
  <c r="D9" i="533"/>
  <c r="C9" i="531"/>
  <c r="C9" i="530"/>
  <c r="C9" i="527"/>
  <c r="C9" i="526"/>
  <c r="D3" i="523" l="1"/>
  <c r="D4" i="523"/>
  <c r="C10" i="529" l="1"/>
  <c r="C10" i="540" l="1"/>
  <c r="C10" i="539"/>
  <c r="D10" i="539"/>
  <c r="C6" i="531"/>
  <c r="C7" i="531"/>
  <c r="C8" i="531"/>
  <c r="C5" i="531"/>
  <c r="C4" i="531"/>
  <c r="C3" i="531"/>
  <c r="D4" i="531" l="1"/>
  <c r="D3" i="531"/>
  <c r="C10" i="548" l="1"/>
  <c r="B10" i="548"/>
  <c r="D9" i="548"/>
  <c r="D8" i="548"/>
  <c r="D7" i="548"/>
  <c r="D6" i="548"/>
  <c r="D5" i="548"/>
  <c r="D4" i="548"/>
  <c r="D3" i="548"/>
  <c r="C10" i="547"/>
  <c r="B10" i="547"/>
  <c r="D9" i="547"/>
  <c r="D8" i="547"/>
  <c r="D7" i="547"/>
  <c r="D6" i="547"/>
  <c r="D5" i="547"/>
  <c r="D4" i="547"/>
  <c r="D3" i="547"/>
  <c r="H10" i="546"/>
  <c r="I10" i="546"/>
  <c r="J10" i="546"/>
  <c r="K10" i="546"/>
  <c r="L10" i="546"/>
  <c r="M10" i="546"/>
  <c r="G10" i="546"/>
  <c r="F10" i="546"/>
  <c r="E10" i="546"/>
  <c r="D10" i="546"/>
  <c r="C10" i="546"/>
  <c r="B10" i="546"/>
  <c r="N8" i="546"/>
  <c r="N7" i="546"/>
  <c r="N6" i="546"/>
  <c r="N5" i="546"/>
  <c r="N4" i="546"/>
  <c r="N3" i="546"/>
  <c r="E10" i="545"/>
  <c r="F10" i="545"/>
  <c r="G10" i="545"/>
  <c r="H10" i="545"/>
  <c r="D10" i="545"/>
  <c r="C10" i="545"/>
  <c r="B10" i="545"/>
  <c r="I8" i="545"/>
  <c r="I7" i="545"/>
  <c r="I6" i="545"/>
  <c r="I5" i="545"/>
  <c r="I4" i="545"/>
  <c r="I3" i="545"/>
  <c r="E10" i="544"/>
  <c r="D10" i="544"/>
  <c r="C10" i="544"/>
  <c r="B10" i="544"/>
  <c r="F8" i="544"/>
  <c r="F7" i="544"/>
  <c r="F6" i="544"/>
  <c r="F5" i="544"/>
  <c r="F4" i="544"/>
  <c r="F3" i="544"/>
  <c r="L10" i="543"/>
  <c r="M10" i="543"/>
  <c r="N10" i="543"/>
  <c r="O10" i="543"/>
  <c r="P10" i="543"/>
  <c r="K10" i="543"/>
  <c r="J10" i="543"/>
  <c r="I10" i="543"/>
  <c r="H10" i="543"/>
  <c r="G10" i="543"/>
  <c r="F10" i="543"/>
  <c r="E10" i="543"/>
  <c r="D10" i="543"/>
  <c r="C10" i="543"/>
  <c r="B10" i="543"/>
  <c r="Q9" i="543"/>
  <c r="Q8" i="543"/>
  <c r="Q7" i="543"/>
  <c r="Q6" i="543"/>
  <c r="Q5" i="543"/>
  <c r="Q4" i="543"/>
  <c r="Q3" i="543"/>
  <c r="E10" i="542"/>
  <c r="D10" i="542"/>
  <c r="C10" i="542"/>
  <c r="B10" i="542"/>
  <c r="F9" i="542"/>
  <c r="F8" i="542"/>
  <c r="F7" i="542"/>
  <c r="F6" i="542"/>
  <c r="F5" i="542"/>
  <c r="F4" i="542"/>
  <c r="F3" i="542"/>
  <c r="C10" i="541"/>
  <c r="D10" i="541"/>
  <c r="E10" i="541"/>
  <c r="F10" i="541"/>
  <c r="G10" i="541"/>
  <c r="H10" i="541"/>
  <c r="I10" i="541"/>
  <c r="J10" i="541"/>
  <c r="K10" i="541"/>
  <c r="L10" i="541"/>
  <c r="B10" i="541"/>
  <c r="M9" i="541"/>
  <c r="M8" i="541"/>
  <c r="M7" i="541"/>
  <c r="M6" i="541"/>
  <c r="M5" i="541"/>
  <c r="M4" i="541"/>
  <c r="M3" i="541"/>
  <c r="D10" i="540"/>
  <c r="B10" i="540"/>
  <c r="E9" i="540"/>
  <c r="E8" i="540"/>
  <c r="E7" i="540"/>
  <c r="E6" i="540"/>
  <c r="E5" i="540"/>
  <c r="E4" i="540"/>
  <c r="E3" i="540"/>
  <c r="F5" i="539"/>
  <c r="E10" i="539"/>
  <c r="B10" i="539"/>
  <c r="F9" i="539"/>
  <c r="F8" i="539"/>
  <c r="F7" i="539"/>
  <c r="F6" i="539"/>
  <c r="F4" i="539"/>
  <c r="F3" i="539"/>
  <c r="D4" i="538"/>
  <c r="D5" i="538"/>
  <c r="D6" i="538"/>
  <c r="D7" i="538"/>
  <c r="D8" i="538"/>
  <c r="D3" i="538"/>
  <c r="C10" i="538"/>
  <c r="B10" i="538"/>
  <c r="E3" i="538" l="1"/>
  <c r="E4" i="538"/>
  <c r="O3" i="546"/>
  <c r="J3" i="545"/>
  <c r="G3" i="544"/>
  <c r="E4" i="548"/>
  <c r="G3" i="539"/>
  <c r="G3" i="542"/>
  <c r="R4" i="543"/>
  <c r="J4" i="545"/>
  <c r="F4" i="540"/>
  <c r="G4" i="544"/>
  <c r="G4" i="542"/>
  <c r="O4" i="546"/>
  <c r="R3" i="543"/>
  <c r="G4" i="539"/>
  <c r="E10" i="540"/>
  <c r="F3" i="540"/>
  <c r="N3" i="541"/>
  <c r="D10" i="547"/>
  <c r="E3" i="547"/>
  <c r="N4" i="541"/>
  <c r="E4" i="547"/>
  <c r="D10" i="548"/>
  <c r="E3" i="548"/>
  <c r="N10" i="546"/>
  <c r="I10" i="545"/>
  <c r="F10" i="544"/>
  <c r="Q10" i="543"/>
  <c r="F10" i="542"/>
  <c r="M10" i="541"/>
  <c r="F10" i="539"/>
  <c r="D10" i="538"/>
  <c r="B10" i="537"/>
  <c r="C7" i="537"/>
  <c r="C6" i="537"/>
  <c r="C5" i="537"/>
  <c r="C4" i="537"/>
  <c r="C3" i="537"/>
  <c r="D4" i="536"/>
  <c r="D5" i="536"/>
  <c r="D6" i="536"/>
  <c r="D7" i="536"/>
  <c r="D8" i="536"/>
  <c r="D9" i="536"/>
  <c r="D3" i="536"/>
  <c r="C10" i="536"/>
  <c r="B10" i="536"/>
  <c r="C10" i="535"/>
  <c r="B10" i="535"/>
  <c r="C4" i="534"/>
  <c r="C5" i="534"/>
  <c r="C6" i="534"/>
  <c r="C7" i="534"/>
  <c r="C8" i="534"/>
  <c r="C9" i="534"/>
  <c r="C3" i="534"/>
  <c r="B10" i="534"/>
  <c r="C10" i="533"/>
  <c r="B10" i="533"/>
  <c r="D8" i="533"/>
  <c r="D7" i="533"/>
  <c r="D6" i="533"/>
  <c r="D5" i="533"/>
  <c r="D4" i="533"/>
  <c r="D3" i="533"/>
  <c r="C10" i="532"/>
  <c r="D4" i="532"/>
  <c r="D5" i="532"/>
  <c r="D6" i="532"/>
  <c r="D7" i="532"/>
  <c r="D8" i="532"/>
  <c r="D9" i="532"/>
  <c r="D3" i="532"/>
  <c r="E3" i="532" s="1"/>
  <c r="B10" i="532"/>
  <c r="B10" i="531"/>
  <c r="B10" i="530"/>
  <c r="C7" i="530"/>
  <c r="C6" i="530"/>
  <c r="C5" i="530"/>
  <c r="C4" i="530"/>
  <c r="C3" i="530"/>
  <c r="D4" i="529"/>
  <c r="D5" i="529"/>
  <c r="D6" i="529"/>
  <c r="D7" i="529"/>
  <c r="D8" i="529"/>
  <c r="D3" i="529"/>
  <c r="B10" i="529"/>
  <c r="D9" i="529" s="1"/>
  <c r="C6" i="528"/>
  <c r="B10" i="528"/>
  <c r="C9" i="528"/>
  <c r="C8" i="528"/>
  <c r="C7" i="528"/>
  <c r="C5" i="528"/>
  <c r="C4" i="528"/>
  <c r="D4" i="528" s="1"/>
  <c r="C3" i="528"/>
  <c r="B10" i="527"/>
  <c r="C8" i="527"/>
  <c r="C7" i="527"/>
  <c r="C6" i="527"/>
  <c r="C5" i="527"/>
  <c r="C4" i="527"/>
  <c r="C3" i="527"/>
  <c r="D3" i="527" s="1"/>
  <c r="C4" i="526"/>
  <c r="C5" i="526"/>
  <c r="C6" i="526"/>
  <c r="C7" i="526"/>
  <c r="C8" i="526"/>
  <c r="C3" i="526"/>
  <c r="D3" i="526" s="1"/>
  <c r="B10" i="526"/>
  <c r="C10" i="525"/>
  <c r="B10" i="525"/>
  <c r="D9" i="525"/>
  <c r="D8" i="525"/>
  <c r="D7" i="525"/>
  <c r="D6" i="525"/>
  <c r="D5" i="525"/>
  <c r="D4" i="525"/>
  <c r="D3" i="525"/>
  <c r="C10" i="524"/>
  <c r="D4" i="524"/>
  <c r="D5" i="524"/>
  <c r="D6" i="524"/>
  <c r="D7" i="524"/>
  <c r="D8" i="524"/>
  <c r="D9" i="524"/>
  <c r="D3" i="524"/>
  <c r="B10" i="524"/>
  <c r="B10" i="523"/>
  <c r="D3" i="530" l="1"/>
  <c r="D3" i="528"/>
  <c r="E4" i="536"/>
  <c r="D4" i="537"/>
  <c r="E3" i="533"/>
  <c r="D4" i="534"/>
  <c r="D3" i="537"/>
  <c r="E3" i="535"/>
  <c r="E4" i="535"/>
  <c r="C8" i="530"/>
  <c r="C10" i="530" s="1"/>
  <c r="E3" i="536"/>
  <c r="E3" i="524"/>
  <c r="E4" i="524"/>
  <c r="E3" i="529"/>
  <c r="E3" i="525"/>
  <c r="E4" i="533"/>
  <c r="D3" i="534"/>
  <c r="C10" i="527"/>
  <c r="D4" i="526"/>
  <c r="C10" i="528"/>
  <c r="D10" i="529"/>
  <c r="E4" i="529"/>
  <c r="E4" i="532"/>
  <c r="E4" i="525"/>
  <c r="D10" i="525"/>
  <c r="D4" i="527"/>
  <c r="D4" i="530"/>
  <c r="C10" i="537"/>
  <c r="D10" i="536"/>
  <c r="D10" i="535"/>
  <c r="C10" i="534"/>
  <c r="D10" i="533"/>
  <c r="D10" i="532"/>
  <c r="C10" i="531"/>
  <c r="C10" i="526"/>
  <c r="D10" i="524"/>
  <c r="C10" i="523"/>
</calcChain>
</file>

<file path=xl/sharedStrings.xml><?xml version="1.0" encoding="utf-8"?>
<sst xmlns="http://schemas.openxmlformats.org/spreadsheetml/2006/main" count="400" uniqueCount="99">
  <si>
    <t>Blank</t>
  </si>
  <si>
    <t>Void</t>
  </si>
  <si>
    <t>Total Votes by County</t>
  </si>
  <si>
    <t>Total Votes by Party</t>
  </si>
  <si>
    <t>Total Votes by Candidate</t>
  </si>
  <si>
    <t>Scattering</t>
  </si>
  <si>
    <t>Sullivan County Vote Results</t>
  </si>
  <si>
    <t>Schoharie County Vote Results</t>
  </si>
  <si>
    <t>Greene County Vote Results</t>
  </si>
  <si>
    <t>Columbia County Vote Results</t>
  </si>
  <si>
    <t>Albany County Vote Results</t>
  </si>
  <si>
    <t>Candidate Name (Party)</t>
  </si>
  <si>
    <t>Washington County Vote Results</t>
  </si>
  <si>
    <t>Warren County Vote Results</t>
  </si>
  <si>
    <t>Schenectady County Vote Results</t>
  </si>
  <si>
    <t>Saratoga County Vote Results</t>
  </si>
  <si>
    <t>St. Lawrence County Vote Results</t>
  </si>
  <si>
    <t>Montgomery County Vote Results</t>
  </si>
  <si>
    <t>Hamilton County Vote Results</t>
  </si>
  <si>
    <t>Fulton County Vote Results</t>
  </si>
  <si>
    <t>Franklin County Vote Results</t>
  </si>
  <si>
    <t>Essex County Vote Results</t>
  </si>
  <si>
    <t>Clinton County Vote Results</t>
  </si>
  <si>
    <t>Onondaga County Vote Results</t>
  </si>
  <si>
    <t>Oneida County Vote Results</t>
  </si>
  <si>
    <t>Lewis County Vote Results</t>
  </si>
  <si>
    <t>Herkimer County Vote Results</t>
  </si>
  <si>
    <t>Yates County Vote Results</t>
  </si>
  <si>
    <t>Wayne County Vote Results</t>
  </si>
  <si>
    <t>Steuben County Vote Results</t>
  </si>
  <si>
    <t>Seneca County Vote Results</t>
  </si>
  <si>
    <t>Ontario County Vote Results</t>
  </si>
  <si>
    <t>Monroe County Vote Results</t>
  </si>
  <si>
    <t>Livingston County Vote Results</t>
  </si>
  <si>
    <t>Cayuga County Vote Results</t>
  </si>
  <si>
    <t>Wyoming County Vote Results</t>
  </si>
  <si>
    <t>Genesee County Vote Results</t>
  </si>
  <si>
    <t>Chautauqua County Vote Results</t>
  </si>
  <si>
    <t>Cattaraugus County Vote Results</t>
  </si>
  <si>
    <t>Allegany County Vote Results</t>
  </si>
  <si>
    <t>Rockland County Vote Results</t>
  </si>
  <si>
    <t>Putnam County Vote Results</t>
  </si>
  <si>
    <t>Orange County Vote Results</t>
  </si>
  <si>
    <t>Part of Suffolk County Vote Results</t>
  </si>
  <si>
    <t>Part of Nassau County Vote Results</t>
  </si>
  <si>
    <t>Part of Queens County Vote Results</t>
  </si>
  <si>
    <t>Part of Kings County Vote Results</t>
  </si>
  <si>
    <t>Part of New York County Vote Results</t>
  </si>
  <si>
    <t>Richmond County Vote Results</t>
  </si>
  <si>
    <t>Part of Bronx County Vote Results</t>
  </si>
  <si>
    <t>Part of Westchester County Vote Results</t>
  </si>
  <si>
    <t>Part of Dutchess County Vote Results</t>
  </si>
  <si>
    <t>Part of Ulster County Vote Results</t>
  </si>
  <si>
    <t>Broome County Vote Results</t>
  </si>
  <si>
    <t>Chenango County Vote Results</t>
  </si>
  <si>
    <t>Cortland County Vote Results</t>
  </si>
  <si>
    <t>Delaware County Vote Results</t>
  </si>
  <si>
    <t>Tioga County Vote Results</t>
  </si>
  <si>
    <t>Tompkins County Vote Results</t>
  </si>
  <si>
    <t>Part of Otsego County Vote Results</t>
  </si>
  <si>
    <t>Part of Rensselaer County Vote Results</t>
  </si>
  <si>
    <t>Part of Jefferson County Vote Results</t>
  </si>
  <si>
    <t>Madison County Vote Results</t>
  </si>
  <si>
    <t>Part of Oswego County Vote Results</t>
  </si>
  <si>
    <t>Chemung County Vote Results</t>
  </si>
  <si>
    <t>Part of Erie County Vote Results</t>
  </si>
  <si>
    <t>Part of Orleans County Vote Results</t>
  </si>
  <si>
    <t>Part of Niagara County Vote Results</t>
  </si>
  <si>
    <t>Schuyler County Vote Results</t>
  </si>
  <si>
    <t>Kathy C. Hochul/Antonio Delgado (DEM)</t>
  </si>
  <si>
    <t>Lee Zeldin/Alison Esposito (REP)</t>
  </si>
  <si>
    <t>Lee Zeldin/Alison Esposito (CON)</t>
  </si>
  <si>
    <t>Kathy C. Hochul/Antonio Delgado (WOR)</t>
  </si>
  <si>
    <t>Governor Vote by Congress 1st Congressional District - General Election - November 8, 2022</t>
  </si>
  <si>
    <t>Governor Vote by Congress 2nd Congressional District - General Election - November 8, 2022</t>
  </si>
  <si>
    <t>Governor Vote by Congress 3rd Congressional District - General Election - November 8, 2022</t>
  </si>
  <si>
    <t>Governor Vote by Congress 4th Congressional District - General Election - November 8, 2022</t>
  </si>
  <si>
    <t>Governor Vote by Congress 5th Congressional District - General Election - November 8, 2022</t>
  </si>
  <si>
    <t>Governor Vote by Congress 6th Congressional District - General Election - November 8, 2022</t>
  </si>
  <si>
    <t>Governor Vote by Congress 7th Congressional District - General Election - November 8, 2022</t>
  </si>
  <si>
    <t>Governor Vote by Congress 8th Congressional District - General Election - November 8, 2022</t>
  </si>
  <si>
    <t>Governor Vote by Congress 9th Congressional District - General Election - November 8, 2022</t>
  </si>
  <si>
    <t>Governor Vote by Congress 10th Congressional District - General Election - November 8, 2022</t>
  </si>
  <si>
    <t>Governor Vote by Congress 11th Congressional District - General Election - November 8, 2022</t>
  </si>
  <si>
    <t>Governor Vote by Congress 12th Congressional District - General Election - November 8, 2022</t>
  </si>
  <si>
    <t>Governor Vote by Congress 13th Congressional District - General Election - November 8, 2022</t>
  </si>
  <si>
    <t>Governor Vote by Congress 14th Congressional District - General Election - November 8, 2022</t>
  </si>
  <si>
    <t>Governor Vote by Congress 15th Congressional District - General Election - November 8, 2022</t>
  </si>
  <si>
    <t>Governor Vote byCongress 16th Congressional District - General Election - November 8, 2022</t>
  </si>
  <si>
    <t>Governor Vote by Congress 17th Congressional District - General Election - November 8, 2022</t>
  </si>
  <si>
    <t>Governor Vote by Congress 18th Congressional District - General Election - November 8, 2022</t>
  </si>
  <si>
    <t>Governor Vote by Congress 19th Congressional District - General Election - November 8, 2022</t>
  </si>
  <si>
    <t>Governor Vote by Congress 20th Congressional District - General Election - November 8, 2022</t>
  </si>
  <si>
    <t>Governor Vote by Congress 21st Congressional District - General Election - November 8, 2022</t>
  </si>
  <si>
    <t>Governor Vote by Congress 22nd Congressional District - General Election - November 8, 2022</t>
  </si>
  <si>
    <t>Governor Vote by Congress 23rd Congressional District - General Election - November 8, 2022</t>
  </si>
  <si>
    <t>Governor Vote by Congress 24th Congressional District - General Election - November 8, 2022</t>
  </si>
  <si>
    <t>Governor Vote by Congress 25th Congressional District - General Election - November 8, 2022</t>
  </si>
  <si>
    <t>Governor Vote by Congress 26th Congressional District - General Election - November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</si>
</sst>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4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4" borderId="1" xfId="0" applyNumberFormat="1" applyFont="1" applyFill="1" applyBorder="1"/>
    <xf numFmtId="0" fontId="4" fillId="3" borderId="1" xfId="0" applyFont="1" applyFill="1" applyBorder="1"/>
    <xf numFmtId="0" fontId="4" fillId="3" borderId="3" xfId="0" applyFont="1" applyFill="1" applyBorder="1"/>
    <xf numFmtId="3" fontId="3" fillId="7" borderId="1" xfId="0" applyNumberFormat="1" applyFont="1" applyFill="1" applyBorder="1"/>
    <xf numFmtId="0" fontId="4" fillId="6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3" fontId="3" fillId="0" borderId="1" xfId="0" applyNumberFormat="1" applyFont="1" applyBorder="1"/>
    <xf numFmtId="3" fontId="4" fillId="4" borderId="1" xfId="0" applyNumberFormat="1" applyFont="1" applyFill="1" applyBorder="1"/>
    <xf numFmtId="3" fontId="3" fillId="0" borderId="1" xfId="0" applyNumberFormat="1" applyFont="1" applyFill="1" applyBorder="1"/>
    <xf numFmtId="0" fontId="4" fillId="2" borderId="2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2B212D93-90E7-4867-B12F-C2CA1705CBA1}"/>
  </cellStyles>
  <dxfs count="4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722974F-2FCD-4914-835B-88B273B42C21}" name="StateSenatorSenateDistrict7General14" displayName="StateSenatorSenateDistrict7General14" ref="A2:D10" totalsRowCount="1" headerRowDxfId="487" dataDxfId="485" totalsRowDxfId="483" headerRowBorderDxfId="486" tableBorderDxfId="484" totalsRowBorderDxfId="482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B2E16876-6E79-434C-BDC5-81FF28312457}" name="Candidate Name (Party)" totalsRowLabel="Total Votes by County" dataDxfId="481" totalsRowDxfId="480"/>
    <tableColumn id="5" xr3:uid="{B4BCBE3E-0F89-454A-9EC4-24E4A7437D95}" name="Part of Suffolk County Vote Results" totalsRowFunction="custom" dataDxfId="479" totalsRowDxfId="478">
      <totalsRowFormula>SUM(StateSenatorSenateDistrict7General14[Part of Suffolk County Vote Results])</totalsRowFormula>
    </tableColumn>
    <tableColumn id="3" xr3:uid="{8B806684-C532-4E51-8897-A5E0EFF4BE72}" name="Total Votes by Party" totalsRowFunction="custom" dataDxfId="477" totalsRowDxfId="476">
      <calculatedColumnFormula>SUM(StateSenatorSenateDistrict7General14[[#This Row],[Part of Suffolk County Vote Results]])</calculatedColumnFormula>
      <totalsRowFormula>SUM(StateSenatorSenateDistrict7General14[Total Votes by Party])</totalsRowFormula>
    </tableColumn>
    <tableColumn id="2" xr3:uid="{F517C2B1-83A7-456C-A376-F592E2BBD276}" name="Total Votes by Candidate" dataDxfId="475" totalsRowDxfId="474">
      <calculatedColumnFormula>SUM(StateSenatorSenateDistrict7General14[[#This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3B7D949-F689-4134-98F9-0E2E527F22FD}" name="StateSenatorSenateDistrict7General14151617181920212223" displayName="StateSenatorSenateDistrict7General14151617181920212223" ref="A2:E10" totalsRowCount="1" headerRowDxfId="355" dataDxfId="353" totalsRowDxfId="351" headerRowBorderDxfId="354" tableBorderDxfId="352" totalsRowBorderDxfId="350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CE398AA-6963-45AA-8CE4-3279B3D54782}" name="Candidate Name (Party)" totalsRowLabel="Total Votes by County" dataDxfId="349" totalsRowDxfId="348"/>
    <tableColumn id="5" xr3:uid="{5586E333-54A5-4DB1-AE9F-20EE08850870}" name="Part of Kings County Vote Results" totalsRowFunction="custom" dataDxfId="347" totalsRowDxfId="346">
      <totalsRowFormula>SUM(StateSenatorSenateDistrict7General14151617181920212223[Part of Kings County Vote Results])</totalsRowFormula>
    </tableColumn>
    <tableColumn id="7" xr3:uid="{90D2C75D-DD05-4933-8FFC-D945E55DF2ED}" name="Part of New York County Vote Results" totalsRowFunction="custom" dataDxfId="345" totalsRowDxfId="344">
      <totalsRowFormula>SUM(StateSenatorSenateDistrict7General14151617181920212223[Part of New York County Vote Results])</totalsRowFormula>
    </tableColumn>
    <tableColumn id="3" xr3:uid="{E1B94CC8-7C81-41C0-8FDD-5EE91DD77879}" name="Total Votes by Party" totalsRowFunction="custom" dataDxfId="343" totalsRowDxfId="342">
      <calculatedColumnFormula>SUM(B3:C3)</calculatedColumnFormula>
      <totalsRowFormula>SUM(StateSenatorSenateDistrict7General14151617181920212223[Total Votes by Party])</totalsRowFormula>
    </tableColumn>
    <tableColumn id="2" xr3:uid="{38D2C3E5-8F14-4E93-905B-2E00768DB3BB}" name="Total Votes by Candidate" dataDxfId="341" totalsRowDxfId="340">
      <calculatedColumnFormula>SUM(StateSenatorSenateDistrict7General14151617181920212223[[#This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D8887B4-2AC4-4606-B62C-59D059F8895D}" name="StateSenatorSenateDistrict7General1415161718192021222324" displayName="StateSenatorSenateDistrict7General1415161718192021222324" ref="A2:E10" totalsRowCount="1" headerRowDxfId="339" dataDxfId="337" totalsRowDxfId="335" headerRowBorderDxfId="338" tableBorderDxfId="336" totalsRowBorderDxfId="334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CD9432-30BE-4694-A740-742A55EDEBC5}" name="Candidate Name (Party)" totalsRowLabel="Total Votes by County" dataDxfId="333" totalsRowDxfId="332"/>
    <tableColumn id="5" xr3:uid="{4E7B4594-CECC-4D92-BF0E-D4BE55EDAB00}" name="Part of Kings County Vote Results" totalsRowFunction="custom" dataDxfId="331" totalsRowDxfId="330">
      <totalsRowFormula>SUM(StateSenatorSenateDistrict7General1415161718192021222324[Part of Kings County Vote Results])</totalsRowFormula>
    </tableColumn>
    <tableColumn id="7" xr3:uid="{397945BA-D23D-46B0-813C-A06021F39E44}" name="Richmond County Vote Results" totalsRowFunction="custom" dataDxfId="329" totalsRowDxfId="328">
      <totalsRowFormula>SUM(StateSenatorSenateDistrict7General1415161718192021222324[Richmond County Vote Results])</totalsRowFormula>
    </tableColumn>
    <tableColumn id="3" xr3:uid="{2EC362A8-278A-446F-86AE-E44707FD1D5D}" name="Total Votes by Party" totalsRowFunction="custom" dataDxfId="327" totalsRowDxfId="326">
      <calculatedColumnFormula>SUM(B3:C3)</calculatedColumnFormula>
      <totalsRowFormula>SUM(StateSenatorSenateDistrict7General1415161718192021222324[Total Votes by Party])</totalsRowFormula>
    </tableColumn>
    <tableColumn id="2" xr3:uid="{7C821627-382E-41C7-951B-5632FA8450C0}" name="Total Votes by Candidate" dataDxfId="325" totalsRowDxfId="324">
      <calculatedColumnFormula>SUM(StateSenatorSenateDistrict7General1415161718192021222324[[#This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6FC1E12-D0AB-4FB4-A865-E7755B1388AF}" name="StateSenatorSenateDistrict7General141516171819202122232425" displayName="StateSenatorSenateDistrict7General141516171819202122232425" ref="A2:D10" totalsRowCount="1" headerRowDxfId="323" dataDxfId="321" totalsRowDxfId="319" headerRowBorderDxfId="322" tableBorderDxfId="320" totalsRowBorderDxfId="318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5DD28F8D-7AF0-46D2-BEE9-ECC69CE11F2F}" name="Candidate Name (Party)" totalsRowLabel="Total Votes by County" dataDxfId="317" totalsRowDxfId="316"/>
    <tableColumn id="5" xr3:uid="{CB8BDA31-E10E-46A6-A1B8-5EFAC3FC5FFA}" name="Part of New York County Vote Results" totalsRowFunction="custom" dataDxfId="315" totalsRowDxfId="314">
      <totalsRowFormula>SUM(StateSenatorSenateDistrict7General141516171819202122232425[Part of New York County Vote Results])</totalsRowFormula>
    </tableColumn>
    <tableColumn id="3" xr3:uid="{5757AA7E-4997-4AC3-A78B-D86DF73E3D63}" name="Total Votes by Party" totalsRowFunction="custom" dataDxfId="313" totalsRowDxfId="312">
      <calculatedColumnFormula>SUM(B3)</calculatedColumnFormula>
      <totalsRowFormula>SUM(StateSenatorSenateDistrict7General141516171819202122232425[Total Votes by Party])</totalsRowFormula>
    </tableColumn>
    <tableColumn id="2" xr3:uid="{EEEB92D9-8765-4072-AAD8-2A8076A18F1C}" name="Total Votes by Candidate" dataDxfId="311" totalsRowDxfId="310">
      <calculatedColumnFormula>SUM(StateSenatorSenateDistrict7General141516171819202122232425[[#This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E7D013F-D3EE-4389-9368-8475E31196DB}" name="StateSenatorSenateDistrict7General14151617181920212223242526" displayName="StateSenatorSenateDistrict7General14151617181920212223242526" ref="A2:E10" totalsRowCount="1" headerRowDxfId="309" dataDxfId="307" totalsRowDxfId="305" headerRowBorderDxfId="308" tableBorderDxfId="306" totalsRowBorderDxfId="304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027A7C7-1610-4037-A27A-7D09D2658A78}" name="Candidate Name (Party)" totalsRowLabel="Total Votes by County" dataDxfId="303" totalsRowDxfId="302"/>
    <tableColumn id="5" xr3:uid="{E7DA541D-9EBB-4063-A5CD-9EC0BD6E5774}" name="Part of Bronx County Vote Results" totalsRowFunction="custom" dataDxfId="301" totalsRowDxfId="300">
      <totalsRowFormula>SUM(StateSenatorSenateDistrict7General14151617181920212223242526[Part of Bronx County Vote Results])</totalsRowFormula>
    </tableColumn>
    <tableColumn id="4" xr3:uid="{DEFFB708-481C-438F-967A-3A3A785A8DBD}" name="Part of New York County Vote Results" totalsRowFunction="custom" dataDxfId="299" totalsRowDxfId="298">
      <totalsRowFormula>SUM(StateSenatorSenateDistrict7General14151617181920212223242526[Part of New York County Vote Results])</totalsRowFormula>
    </tableColumn>
    <tableColumn id="3" xr3:uid="{50192814-BF84-44D6-861B-EB563AFC0ECF}" name="Total Votes by Party" totalsRowFunction="custom" dataDxfId="297" totalsRowDxfId="296">
      <calculatedColumnFormula>SUM(B3)</calculatedColumnFormula>
      <totalsRowFormula>SUM(StateSenatorSenateDistrict7General14151617181920212223242526[Total Votes by Party])</totalsRowFormula>
    </tableColumn>
    <tableColumn id="2" xr3:uid="{4E493321-F44D-4E00-ABC3-DBC2563575A7}" name="Total Votes by Candidate" dataDxfId="295" totalsRowDxfId="294">
      <calculatedColumnFormula>SUM(D3)</calculatedColumnFormula>
    </tableColumn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77271D7-540A-4D98-81A4-4332E80FA85C}" name="StateSenatorSenateDistrict7General14151617181920212223242527" displayName="StateSenatorSenateDistrict7General14151617181920212223242527" ref="A2:E10" totalsRowCount="1" headerRowDxfId="293" dataDxfId="291" totalsRowDxfId="289" headerRowBorderDxfId="292" tableBorderDxfId="290" totalsRowBorderDxfId="288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EDDD2A1-2E86-481B-8778-309F4327000C}" name="Candidate Name (Party)" totalsRowLabel="Total Votes by County" dataDxfId="287" totalsRowDxfId="286"/>
    <tableColumn id="5" xr3:uid="{43127CEE-7582-4B0A-8222-E3A7A196E4C0}" name="Part of Bronx County Vote Results" totalsRowFunction="custom" dataDxfId="285" totalsRowDxfId="284">
      <totalsRowFormula>SUM(StateSenatorSenateDistrict7General14151617181920212223242527[Part of Bronx County Vote Results])</totalsRowFormula>
    </tableColumn>
    <tableColumn id="4" xr3:uid="{906AEA31-634C-40DA-B5A7-A6A44CAD0317}" name="Part of Queens County Vote Results" totalsRowFunction="custom" dataDxfId="283" totalsRowDxfId="282">
      <totalsRowFormula>SUM(StateSenatorSenateDistrict7General14151617181920212223242527[Part of Queens County Vote Results])</totalsRowFormula>
    </tableColumn>
    <tableColumn id="3" xr3:uid="{737B8979-DB9A-46AC-B8B1-4433C046B1F0}" name="Total Votes by Party" totalsRowFunction="custom" dataDxfId="281" totalsRowDxfId="280">
      <calculatedColumnFormula>SUM(B3:C3)</calculatedColumnFormula>
      <totalsRowFormula>SUM(StateSenatorSenateDistrict7General14151617181920212223242527[Total Votes by Party])</totalsRowFormula>
    </tableColumn>
    <tableColumn id="2" xr3:uid="{CA023199-9957-4126-ACF7-E6A2019A1829}" name="Total Votes by Candidate" dataDxfId="279" totalsRowDxfId="278">
      <calculatedColumnFormula>SUM(StateSenatorSenateDistrict7General14151617181920212223242527[[#This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3B65E73-F4CD-47EE-8C25-114B6D4C8683}" name="StateSenatorSenateDistrict7General14151617181920212223242528" displayName="StateSenatorSenateDistrict7General14151617181920212223242528" ref="A2:D10" totalsRowCount="1" headerRowDxfId="277" dataDxfId="275" totalsRowDxfId="273" headerRowBorderDxfId="276" tableBorderDxfId="274" totalsRowBorderDxfId="272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3E18311E-BA48-46C5-A4A1-CC3D197F6C7F}" name="Candidate Name (Party)" totalsRowLabel="Total Votes by County" dataDxfId="271" totalsRowDxfId="270"/>
    <tableColumn id="5" xr3:uid="{8EF2702E-9E66-4977-9299-CCA10F26C503}" name="Part of Bronx County Vote Results" totalsRowFunction="custom" dataDxfId="269" totalsRowDxfId="268">
      <totalsRowFormula>SUM(StateSenatorSenateDistrict7General14151617181920212223242528[Part of Bronx County Vote Results])</totalsRowFormula>
    </tableColumn>
    <tableColumn id="3" xr3:uid="{A5471F96-7835-4DE2-AB53-5657C41237B8}" name="Total Votes by Party" totalsRowFunction="custom" dataDxfId="267" totalsRowDxfId="266">
      <calculatedColumnFormula>SUM(B3)</calculatedColumnFormula>
      <totalsRowFormula>SUM(StateSenatorSenateDistrict7General14151617181920212223242528[Total Votes by Party])</totalsRowFormula>
    </tableColumn>
    <tableColumn id="2" xr3:uid="{857735CA-AE72-46DE-8526-0A3F4B56DEF8}" name="Total Votes by Candidate" dataDxfId="265" totalsRowDxfId="264">
      <calculatedColumnFormula>SUM(StateSenatorSenateDistrict7General14151617181920212223242528[[#This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9AB4643-9AFA-4C78-8A77-1A2412B2E8C4}" name="StateSenatorSenateDistrict7General1415161718192021222324252829" displayName="StateSenatorSenateDistrict7General1415161718192021222324252829" ref="A2:E10" totalsRowCount="1" headerRowDxfId="263" dataDxfId="261" totalsRowDxfId="259" headerRowBorderDxfId="262" tableBorderDxfId="260" totalsRowBorderDxfId="258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1FD13BA-322F-46FF-9890-61B590A41ABC}" name="Candidate Name (Party)" totalsRowLabel="Total Votes by County" dataDxfId="257" totalsRowDxfId="256"/>
    <tableColumn id="5" xr3:uid="{28E0AFA7-42EE-4E45-943B-C9E24AAB156E}" name="Part of Bronx County Vote Results" totalsRowFunction="custom" dataDxfId="255" totalsRowDxfId="254">
      <totalsRowFormula>SUM(StateSenatorSenateDistrict7General1415161718192021222324252829[Part of Bronx County Vote Results])</totalsRowFormula>
    </tableColumn>
    <tableColumn id="4" xr3:uid="{B7DC8F6C-8282-400D-89B4-B4C7A6AB54FE}" name="Part of Westchester County Vote Results" totalsRowFunction="custom" dataDxfId="253" totalsRowDxfId="252">
      <totalsRowFormula>SUM(StateSenatorSenateDistrict7General1415161718192021222324252829[Part of Westchester County Vote Results])</totalsRowFormula>
    </tableColumn>
    <tableColumn id="3" xr3:uid="{2012E786-5D5B-463A-9C7C-45F532BD9EAB}" name="Total Votes by Party" totalsRowFunction="custom" dataDxfId="251" totalsRowDxfId="250">
      <calculatedColumnFormula>SUM(B3:C3)</calculatedColumnFormula>
      <totalsRowFormula>SUM(StateSenatorSenateDistrict7General1415161718192021222324252829[Total Votes by Party])</totalsRowFormula>
    </tableColumn>
    <tableColumn id="2" xr3:uid="{555B8357-AD79-4976-8963-5E6506DF6274}" name="Total Votes by Candidate" dataDxfId="249" totalsRowDxfId="248">
      <calculatedColumnFormula>SUM(StateSenatorSenateDistrict7General1415161718192021222324252829[[#This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A5D25DD-9070-4F44-9752-445A2313CF18}" name="StateSenatorSenateDistrict7General141516171819202122232425282930" displayName="StateSenatorSenateDistrict7General141516171819202122232425282930" ref="A2:G10" totalsRowCount="1" headerRowDxfId="247" dataDxfId="245" totalsRowDxfId="243" headerRowBorderDxfId="246" tableBorderDxfId="244" totalsRowBorderDxfId="242">
  <autoFilter ref="A2:G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7364EE3-F128-40E7-B6A3-B2645C721B4A}" name="Candidate Name (Party)" totalsRowLabel="Total Votes by County" dataDxfId="241" totalsRowDxfId="240"/>
    <tableColumn id="5" xr3:uid="{515DC793-3F39-43EB-A8BB-2806CB4C7B5C}" name="Part of Dutchess County Vote Results" totalsRowFunction="custom" dataDxfId="239" totalsRowDxfId="238">
      <totalsRowFormula>SUM(StateSenatorSenateDistrict7General141516171819202122232425282930[Part of Dutchess County Vote Results])</totalsRowFormula>
    </tableColumn>
    <tableColumn id="7" xr3:uid="{E814B1F0-A439-4445-91F4-1CB265B0E9EC}" name="Putnam County Vote Results" totalsRowFunction="custom" dataDxfId="237" totalsRowDxfId="236">
      <totalsRowFormula>SUM(StateSenatorSenateDistrict7General141516171819202122232425282930[Putnam County Vote Results])</totalsRowFormula>
    </tableColumn>
    <tableColumn id="6" xr3:uid="{5781B4A2-E543-4041-9D13-8D1CF4260641}" name="Rockland County Vote Results" totalsRowFunction="custom" dataDxfId="235" totalsRowDxfId="234">
      <totalsRowFormula>SUM(StateSenatorSenateDistrict7General141516171819202122232425282930[Rockland County Vote Results])</totalsRowFormula>
    </tableColumn>
    <tableColumn id="4" xr3:uid="{00B34EE4-E1E4-4993-A905-D0E4FCBD5692}" name="Part of Westchester County Vote Results" totalsRowFunction="custom" dataDxfId="233" totalsRowDxfId="232">
      <totalsRowFormula>SUM(StateSenatorSenateDistrict7General141516171819202122232425282930[Part of Westchester County Vote Results])</totalsRowFormula>
    </tableColumn>
    <tableColumn id="3" xr3:uid="{BEC480DF-232D-4CF7-BA41-F19A9D2821F2}" name="Total Votes by Party" totalsRowFunction="custom" dataDxfId="231" totalsRowDxfId="230">
      <calculatedColumnFormula>SUM(B3:E3)</calculatedColumnFormula>
      <totalsRowFormula>SUM(StateSenatorSenateDistrict7General141516171819202122232425282930[Total Votes by Party])</totalsRowFormula>
    </tableColumn>
    <tableColumn id="2" xr3:uid="{7355E532-6EB2-405F-AFF2-ACF5961E0D27}" name="Total Votes by Candidate" dataDxfId="229" totalsRowDxfId="228">
      <calculatedColumnFormula>SUM(StateSenatorSenateDistrict7General141516171819202122232425282930[[#This Row],[Total Votes by Party]],F3,#REF!,#REF!)</calculatedColumnFormula>
    </tableColumn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8B8023C-BAF0-486C-9733-18578A6E9552}" name="StateSenatorSenateDistrict7General14151617181920212223242528293031" displayName="StateSenatorSenateDistrict7General14151617181920212223242528293031" ref="A2:F10" totalsRowCount="1" headerRowDxfId="227" dataDxfId="225" totalsRowDxfId="223" headerRowBorderDxfId="226" tableBorderDxfId="224" totalsRowBorderDxfId="222">
  <autoFilter ref="A2:F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CE8D7D5-7ABF-4F5E-8E79-EF6045024D16}" name="Candidate Name (Party)" totalsRowLabel="Total Votes by County" dataDxfId="221" totalsRowDxfId="220"/>
    <tableColumn id="5" xr3:uid="{912512E8-32F4-48BE-B674-746C160201D6}" name="Part of Dutchess County Vote Results" totalsRowFunction="custom" dataDxfId="219" totalsRowDxfId="218">
      <totalsRowFormula>SUM(StateSenatorSenateDistrict7General14151617181920212223242528293031[Part of Dutchess County Vote Results])</totalsRowFormula>
    </tableColumn>
    <tableColumn id="7" xr3:uid="{B883D287-1D5D-4979-A52D-AC61C5202F93}" name="Orange County Vote Results" totalsRowFunction="custom" dataDxfId="217" totalsRowDxfId="216">
      <totalsRowFormula>SUM(StateSenatorSenateDistrict7General14151617181920212223242528293031[Orange County Vote Results])</totalsRowFormula>
    </tableColumn>
    <tableColumn id="4" xr3:uid="{DB699BC5-6B21-4DF5-9C64-546B051E89DB}" name="Part of Ulster County Vote Results" totalsRowFunction="custom" dataDxfId="215" totalsRowDxfId="214">
      <totalsRowFormula>SUM(StateSenatorSenateDistrict7General14151617181920212223242528293031[Part of Ulster County Vote Results])</totalsRowFormula>
    </tableColumn>
    <tableColumn id="3" xr3:uid="{46EF9E23-70CD-45A9-9AA1-5EF13093EEF6}" name="Total Votes by Party" totalsRowFunction="custom" dataDxfId="213" totalsRowDxfId="212">
      <calculatedColumnFormula>SUM(B3:D3)</calculatedColumnFormula>
      <totalsRowFormula>SUM(StateSenatorSenateDistrict7General14151617181920212223242528293031[Total Votes by Party])</totalsRowFormula>
    </tableColumn>
    <tableColumn id="2" xr3:uid="{42061A54-E75C-458F-B752-73402146F8E8}" name="Total Votes by Candidate" dataDxfId="211" totalsRowDxfId="210">
      <calculatedColumnFormula>SUM(StateSenatorSenateDistrict7General14151617181920212223242528293031[[#This Row],[Total Votes by Party]],E3,#REF!,#REF!)</calculatedColumnFormula>
    </tableColumn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B8BAC9F-0C6B-41A5-95CF-3DFAD15C6DE5}" name="StateSenatorSenateDistrict7General1415161718192021222324252829303132" displayName="StateSenatorSenateDistrict7General1415161718192021222324252829303132" ref="A2:N10" totalsRowCount="1" headerRowDxfId="209" dataDxfId="207" totalsRowDxfId="205" headerRowBorderDxfId="208" tableBorderDxfId="206" totalsRowBorderDxfId="204">
  <autoFilter ref="A2:N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F643FE6-BEAA-449F-9518-6BAB443C0E5C}" name="Candidate Name (Party)" totalsRowLabel="Total Votes by County" dataDxfId="203" totalsRowDxfId="202"/>
    <tableColumn id="5" xr3:uid="{3D03E8FF-776D-4984-ADDC-6A073804A0B8}" name="Broome County Vote Results" totalsRowFunction="custom" dataDxfId="201" totalsRowDxfId="200">
      <totalsRowFormula>SUM(StateSenatorSenateDistrict7General1415161718192021222324252829303132[Broome County Vote Results])</totalsRowFormula>
    </tableColumn>
    <tableColumn id="7" xr3:uid="{F9D021A2-3F0A-4A58-8D82-35BC7AAB6206}" name="Chenango County Vote Results" totalsRowFunction="custom" dataDxfId="199" totalsRowDxfId="198">
      <totalsRowFormula>SUM(StateSenatorSenateDistrict7General1415161718192021222324252829303132[Chenango County Vote Results])</totalsRowFormula>
    </tableColumn>
    <tableColumn id="9" xr3:uid="{C81F64F7-F84B-4C2E-831F-C8A5D27EE6E9}" name="Columbia County Vote Results" totalsRowFunction="custom" dataDxfId="197" totalsRowDxfId="196">
      <totalsRowFormula>SUM(StateSenatorSenateDistrict7General1415161718192021222324252829303132[Columbia County Vote Results])</totalsRowFormula>
    </tableColumn>
    <tableColumn id="8" xr3:uid="{3EAC7E9A-D560-44F9-ADE3-95185D283366}" name="Cortland County Vote Results" totalsRowFunction="custom" dataDxfId="195" totalsRowDxfId="194">
      <totalsRowFormula>SUM(StateSenatorSenateDistrict7General1415161718192021222324252829303132[Cortland County Vote Results])</totalsRowFormula>
    </tableColumn>
    <tableColumn id="11" xr3:uid="{86C89AC9-7ECA-4147-BF3C-DAF1EB34E69B}" name="Delaware County Vote Results" totalsRowFunction="custom" dataDxfId="193" totalsRowDxfId="192">
      <totalsRowFormula>SUM(StateSenatorSenateDistrict7General1415161718192021222324252829303132[Delaware County Vote Results])</totalsRowFormula>
    </tableColumn>
    <tableColumn id="10" xr3:uid="{8F63AE24-755D-4AA7-869A-DCEF6D8F5F61}" name="Greene County Vote Results" totalsRowFunction="custom" dataDxfId="191" totalsRowDxfId="190">
      <totalsRowFormula>SUM(StateSenatorSenateDistrict7General1415161718192021222324252829303132[Greene County Vote Results])</totalsRowFormula>
    </tableColumn>
    <tableColumn id="15" xr3:uid="{A0DA73F6-445D-42F8-8D73-D990727BFA82}" name="Part of Otsego County Vote Results" totalsRowFunction="custom" dataDxfId="189" totalsRowDxfId="188">
      <totalsRowFormula>SUM(StateSenatorSenateDistrict7General1415161718192021222324252829303132[Part of Otsego County Vote Results])</totalsRowFormula>
    </tableColumn>
    <tableColumn id="14" xr3:uid="{FF5C5718-BAB2-420A-9017-F6B09C5B6D9C}" name="Sullivan County Vote Results" totalsRowFunction="custom" dataDxfId="187" totalsRowDxfId="186">
      <totalsRowFormula>SUM(StateSenatorSenateDistrict7General1415161718192021222324252829303132[Sullivan County Vote Results])</totalsRowFormula>
    </tableColumn>
    <tableColumn id="13" xr3:uid="{423FB105-1505-4844-AA10-28115924CD66}" name="Tioga County Vote Results" totalsRowFunction="custom" dataDxfId="185" totalsRowDxfId="184">
      <totalsRowFormula>SUM(StateSenatorSenateDistrict7General1415161718192021222324252829303132[Tioga County Vote Results])</totalsRowFormula>
    </tableColumn>
    <tableColumn id="12" xr3:uid="{C76E796A-BE0E-4AFA-B3D8-3E3A55C2B6AB}" name="Tompkins County Vote Results" totalsRowFunction="custom" dataDxfId="183" totalsRowDxfId="182">
      <totalsRowFormula>SUM(StateSenatorSenateDistrict7General1415161718192021222324252829303132[Tompkins County Vote Results])</totalsRowFormula>
    </tableColumn>
    <tableColumn id="4" xr3:uid="{EF4EE13C-7450-40E1-8B44-68F5BCFCAAF2}" name="Part of Ulster County Vote Results" totalsRowFunction="custom" dataDxfId="181" totalsRowDxfId="180">
      <totalsRowFormula>SUM(StateSenatorSenateDistrict7General1415161718192021222324252829303132[Part of Ulster County Vote Results])</totalsRowFormula>
    </tableColumn>
    <tableColumn id="3" xr3:uid="{78045AA7-825E-43D5-87A7-FD133C45BD44}" name="Total Votes by Party" totalsRowFunction="custom" dataDxfId="179" totalsRowDxfId="178">
      <calculatedColumnFormula>SUM(B3:L3)</calculatedColumnFormula>
      <totalsRowFormula>SUM(StateSenatorSenateDistrict7General1415161718192021222324252829303132[Total Votes by Party])</totalsRowFormula>
    </tableColumn>
    <tableColumn id="2" xr3:uid="{036056F5-D403-4BA5-BC36-510F283F9F1E}" name="Total Votes by Candidate" dataDxfId="177" totalsRowDxfId="176">
      <calculatedColumnFormula>SUM(StateSenatorSenateDistrict7General1415161718192021222324252829303132[[#This Row],[Total Votes by Party]],M3,#REF!,#REF!)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9F1E713-9541-4EE8-97BB-45D7BB7B3011}" name="StateSenatorSenateDistrict7General1415" displayName="StateSenatorSenateDistrict7General1415" ref="A2:E10" totalsRowCount="1" headerRowDxfId="473" dataDxfId="471" totalsRowDxfId="469" headerRowBorderDxfId="472" tableBorderDxfId="470" totalsRowBorderDxfId="468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E7196D8-0918-4FED-AC3E-559E7798F468}" name="Candidate Name (Party)" totalsRowLabel="Total Votes by County" dataDxfId="467" totalsRowDxfId="466"/>
    <tableColumn id="5" xr3:uid="{5173ACD0-A3BA-464F-9C6B-54BCAA3F792F}" name="Part of Nassau County Vote Results" totalsRowFunction="custom" dataDxfId="465" totalsRowDxfId="464">
      <totalsRowFormula>SUM(StateSenatorSenateDistrict7General1415[Part of Nassau County Vote Results])</totalsRowFormula>
    </tableColumn>
    <tableColumn id="4" xr3:uid="{6A49282B-184E-491F-A1C9-5C58E26428F2}" name="Part of Suffolk County Vote Results" totalsRowFunction="custom" dataDxfId="463" totalsRowDxfId="462">
      <totalsRowFormula>SUM(StateSenatorSenateDistrict7General1415[Part of Suffolk County Vote Results])</totalsRowFormula>
    </tableColumn>
    <tableColumn id="3" xr3:uid="{5ED070AB-D5BF-4C27-A8CB-B63356632CD5}" name="Total Votes by Party" totalsRowFunction="custom" dataDxfId="461" totalsRowDxfId="460">
      <calculatedColumnFormula>SUM(B3:C3)</calculatedColumnFormula>
      <totalsRowFormula>SUM(StateSenatorSenateDistrict7General1415[Total Votes by Party])</totalsRowFormula>
    </tableColumn>
    <tableColumn id="2" xr3:uid="{4C1AB162-FD9C-4CD6-A340-08D941D03290}" name="Total Votes by Candidate" dataDxfId="459" totalsRowDxfId="458">
      <calculatedColumnFormula>SUM(StateSenatorSenateDistrict7General1415[[#This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86FB056-CC08-49BC-A6DD-2AFD76295079}" name="StateSenatorSenateDistrict7General141516171819202122232425282930313233" displayName="StateSenatorSenateDistrict7General141516171819202122232425282930313233" ref="A2:G10" totalsRowCount="1" headerRowDxfId="175" dataDxfId="173" totalsRowDxfId="171" headerRowBorderDxfId="174" tableBorderDxfId="172" totalsRowBorderDxfId="170">
  <autoFilter ref="A2:G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BB60BFD-0319-44C7-82EC-2BEB231CBE7A}" name="Candidate Name (Party)" totalsRowLabel="Total Votes by County" dataDxfId="169" totalsRowDxfId="168"/>
    <tableColumn id="5" xr3:uid="{CD6566CE-4DE8-4A63-B63C-36785542DA7C}" name="Albany County Vote Results" totalsRowFunction="custom" dataDxfId="167" totalsRowDxfId="166">
      <totalsRowFormula>SUM(StateSenatorSenateDistrict7General141516171819202122232425282930313233[Albany County Vote Results])</totalsRowFormula>
    </tableColumn>
    <tableColumn id="7" xr3:uid="{EEB5D8C1-0A82-42B8-B127-1D4212ADF906}" name="Part of Rensselaer County Vote Results" totalsRowFunction="custom" dataDxfId="165" totalsRowDxfId="164">
      <totalsRowFormula>SUM(StateSenatorSenateDistrict7General141516171819202122232425282930313233[Part of Rensselaer County Vote Results])</totalsRowFormula>
    </tableColumn>
    <tableColumn id="9" xr3:uid="{95692F54-FDA0-43CB-9861-060E9DD782D3}" name="Saratoga County Vote Results" totalsRowFunction="custom" dataDxfId="163" totalsRowDxfId="162">
      <totalsRowFormula>SUM(StateSenatorSenateDistrict7General141516171819202122232425282930313233[Saratoga County Vote Results])</totalsRowFormula>
    </tableColumn>
    <tableColumn id="4" xr3:uid="{258DF9EA-F4A7-4DF8-B8C5-BF801CC7A792}" name="Schenectady County Vote Results" totalsRowFunction="custom" dataDxfId="161" totalsRowDxfId="160">
      <totalsRowFormula>SUM(StateSenatorSenateDistrict7General141516171819202122232425282930313233[Schenectady County Vote Results])</totalsRowFormula>
    </tableColumn>
    <tableColumn id="3" xr3:uid="{3F77700A-A1C9-4E15-965B-A90C8A8F2BB9}" name="Total Votes by Party" totalsRowFunction="custom" dataDxfId="159" totalsRowDxfId="158">
      <calculatedColumnFormula>SUM(B3:E3)</calculatedColumnFormula>
      <totalsRowFormula>SUM(StateSenatorSenateDistrict7General141516171819202122232425282930313233[Total Votes by Party])</totalsRowFormula>
    </tableColumn>
    <tableColumn id="2" xr3:uid="{CED4D707-3ED9-4EBA-BE5C-8B840A16681B}" name="Total Votes by Candidate" dataDxfId="157" totalsRowDxfId="156">
      <calculatedColumnFormula>SUM(StateSenatorSenateDistrict7General141516171819202122232425282930313233[[#This Row],[Total Votes by Party]],F3,#REF!,#REF!)</calculatedColumnFormula>
    </tableColumn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398C60E-2317-4F1A-9AA0-306AFDCA4034}" name="StateSenatorSenateDistrict7General141516171819202122232425282930313234" displayName="StateSenatorSenateDistrict7General141516171819202122232425282930313234" ref="A2:R10" totalsRowCount="1" headerRowDxfId="155" dataDxfId="153" totalsRowDxfId="151" headerRowBorderDxfId="154" tableBorderDxfId="152" totalsRowBorderDxfId="150">
  <autoFilter ref="A2:R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3B9A24B6-9720-4216-B658-6494BA5B9582}" name="Candidate Name (Party)" totalsRowLabel="Total Votes by County" dataDxfId="149" totalsRowDxfId="148"/>
    <tableColumn id="5" xr3:uid="{6041838A-46AC-4116-BF1C-7C7980552D6E}" name="Clinton County Vote Results" totalsRowFunction="custom" dataDxfId="147" totalsRowDxfId="146">
      <totalsRowFormula>SUM(StateSenatorSenateDistrict7General141516171819202122232425282930313234[Clinton County Vote Results])</totalsRowFormula>
    </tableColumn>
    <tableColumn id="7" xr3:uid="{02E309DE-EEC2-4026-BD3F-906EEDC961D9}" name="Essex County Vote Results" totalsRowFunction="custom" dataDxfId="145" totalsRowDxfId="144">
      <totalsRowFormula>SUM(StateSenatorSenateDistrict7General141516171819202122232425282930313234[Essex County Vote Results])</totalsRowFormula>
    </tableColumn>
    <tableColumn id="9" xr3:uid="{A5C16D37-A801-42CA-B82B-32F218477D6E}" name="Franklin County Vote Results" totalsRowFunction="custom" dataDxfId="143" totalsRowDxfId="142">
      <totalsRowFormula>SUM(StateSenatorSenateDistrict7General141516171819202122232425282930313234[Franklin County Vote Results])</totalsRowFormula>
    </tableColumn>
    <tableColumn id="8" xr3:uid="{23E3AE4C-1256-40F9-A9A4-84B9FEAD9952}" name="Fulton County Vote Results" totalsRowFunction="custom" dataDxfId="141" totalsRowDxfId="140">
      <totalsRowFormula>SUM(StateSenatorSenateDistrict7General141516171819202122232425282930313234[Fulton County Vote Results])</totalsRowFormula>
    </tableColumn>
    <tableColumn id="11" xr3:uid="{BED0CE9C-0434-4053-8111-F88102D7E867}" name="Hamilton County Vote Results" totalsRowFunction="custom" dataDxfId="139" totalsRowDxfId="138">
      <totalsRowFormula>SUM(StateSenatorSenateDistrict7General141516171819202122232425282930313234[Hamilton County Vote Results])</totalsRowFormula>
    </tableColumn>
    <tableColumn id="10" xr3:uid="{833A40CE-67AD-46C5-B769-202D0D04DC6E}" name="Herkimer County Vote Results" totalsRowFunction="custom" dataDxfId="137" totalsRowDxfId="136">
      <totalsRowFormula>SUM(StateSenatorSenateDistrict7General141516171819202122232425282930313234[Herkimer County Vote Results])</totalsRowFormula>
    </tableColumn>
    <tableColumn id="15" xr3:uid="{4B7C331E-4F87-4654-8E04-2DDF68F29B02}" name="Part of Jefferson County Vote Results" totalsRowFunction="custom" dataDxfId="135" totalsRowDxfId="134">
      <totalsRowFormula>SUM(StateSenatorSenateDistrict7General141516171819202122232425282930313234[Part of Jefferson County Vote Results])</totalsRowFormula>
    </tableColumn>
    <tableColumn id="14" xr3:uid="{2DF0A951-4312-4D2F-B675-507A18FF567F}" name="Lewis County Vote Results" totalsRowFunction="custom" dataDxfId="133" totalsRowDxfId="132">
      <totalsRowFormula>SUM(StateSenatorSenateDistrict7General141516171819202122232425282930313234[Lewis County Vote Results])</totalsRowFormula>
    </tableColumn>
    <tableColumn id="13" xr3:uid="{C04FCADA-76ED-4824-AC96-9E051127A1C0}" name="Montgomery County Vote Results" totalsRowFunction="custom" dataDxfId="131" totalsRowDxfId="130">
      <totalsRowFormula>SUM(StateSenatorSenateDistrict7General141516171819202122232425282930313234[Montgomery County Vote Results])</totalsRowFormula>
    </tableColumn>
    <tableColumn id="12" xr3:uid="{4E82CA08-D02D-4540-AE6B-D985C969485D}" name="Part of Otsego County Vote Results" totalsRowFunction="custom" dataDxfId="129" totalsRowDxfId="128">
      <totalsRowFormula>SUM(StateSenatorSenateDistrict7General141516171819202122232425282930313234[Part of Otsego County Vote Results])</totalsRowFormula>
    </tableColumn>
    <tableColumn id="19" xr3:uid="{173C97E3-FDC0-43B9-94B8-001AFC086EC7}" name="Part of Rensselaer County Vote Results" totalsRowFunction="custom" dataDxfId="127" totalsRowDxfId="126">
      <totalsRowFormula>SUM(StateSenatorSenateDistrict7General141516171819202122232425282930313234[Part of Rensselaer County Vote Results])</totalsRowFormula>
    </tableColumn>
    <tableColumn id="18" xr3:uid="{8F1B4170-CB7E-45B9-BC44-C5149157E57E}" name="St. Lawrence County Vote Results" totalsRowFunction="custom" dataDxfId="125" totalsRowDxfId="124">
      <totalsRowFormula>SUM(StateSenatorSenateDistrict7General141516171819202122232425282930313234[St. Lawrence County Vote Results])</totalsRowFormula>
    </tableColumn>
    <tableColumn id="17" xr3:uid="{DFFF2437-18FA-445D-86ED-ADB73AC6CA33}" name="Schoharie County Vote Results" totalsRowFunction="custom" dataDxfId="123" totalsRowDxfId="122">
      <totalsRowFormula>SUM(StateSenatorSenateDistrict7General141516171819202122232425282930313234[Schoharie County Vote Results])</totalsRowFormula>
    </tableColumn>
    <tableColumn id="16" xr3:uid="{58495F77-1976-4893-BDA2-F07E64B044DB}" name="Warren County Vote Results" totalsRowFunction="custom" dataDxfId="121" totalsRowDxfId="120">
      <totalsRowFormula>SUM(StateSenatorSenateDistrict7General141516171819202122232425282930313234[Warren County Vote Results])</totalsRowFormula>
    </tableColumn>
    <tableColumn id="4" xr3:uid="{84FA4B02-43BB-4012-B4DF-74EB34283562}" name="Washington County Vote Results" totalsRowFunction="custom" dataDxfId="119" totalsRowDxfId="118">
      <totalsRowFormula>SUM(StateSenatorSenateDistrict7General141516171819202122232425282930313234[Washington County Vote Results])</totalsRowFormula>
    </tableColumn>
    <tableColumn id="3" xr3:uid="{F4E4195E-83AD-4785-9AE5-B9F4B4C26CBF}" name="Total Votes by Party" totalsRowFunction="custom" dataDxfId="117" totalsRowDxfId="116">
      <calculatedColumnFormula>SUM(B3:P3)</calculatedColumnFormula>
      <totalsRowFormula>SUM(StateSenatorSenateDistrict7General141516171819202122232425282930313234[Total Votes by Party])</totalsRowFormula>
    </tableColumn>
    <tableColumn id="2" xr3:uid="{DE48B22A-09DA-497B-8CA1-468DA935C7CA}" name="Total Votes by Candidate" dataDxfId="115" totalsRowDxfId="114">
      <calculatedColumnFormula>SUM(StateSenatorSenateDistrict7General141516171819202122232425282930313234[[#This Row],[Total Votes by Party]],Q3,#REF!,#REF!)</calculatedColumnFormula>
    </tableColumn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B75ED5F-F515-415D-A52E-BBD58C6F1280}" name="StateSenatorSenateDistrict7General14151617181920212223242528293031323435" displayName="StateSenatorSenateDistrict7General14151617181920212223242528293031323435" ref="A2:G10" totalsRowCount="1" headerRowDxfId="113" dataDxfId="111" totalsRowDxfId="109" headerRowBorderDxfId="112" tableBorderDxfId="110" totalsRowBorderDxfId="108">
  <autoFilter ref="A2:G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0F25416-EF6D-436B-A579-9F9E003520F0}" name="Candidate Name (Party)" totalsRowLabel="Total Votes by County" dataDxfId="107" totalsRowDxfId="106"/>
    <tableColumn id="5" xr3:uid="{6C1458F1-D4C8-4B1D-9D1E-918C018B8E74}" name="Madison County Vote Results" totalsRowFunction="custom" dataDxfId="105" totalsRowDxfId="104">
      <totalsRowFormula>SUM(StateSenatorSenateDistrict7General14151617181920212223242528293031323435[Madison County Vote Results])</totalsRowFormula>
    </tableColumn>
    <tableColumn id="7" xr3:uid="{2BEB903F-F46A-4439-B85B-2AC89AA613B2}" name="Oneida County Vote Results" totalsRowFunction="custom" dataDxfId="103" totalsRowDxfId="102">
      <totalsRowFormula>SUM(StateSenatorSenateDistrict7General14151617181920212223242528293031323435[Oneida County Vote Results])</totalsRowFormula>
    </tableColumn>
    <tableColumn id="9" xr3:uid="{CD1F2D32-3426-44CD-91A4-1BFE47972C62}" name="Onondaga County Vote Results" totalsRowFunction="custom" dataDxfId="101" totalsRowDxfId="100">
      <totalsRowFormula>SUM(StateSenatorSenateDistrict7General14151617181920212223242528293031323435[Onondaga County Vote Results])</totalsRowFormula>
    </tableColumn>
    <tableColumn id="4" xr3:uid="{972E5D35-1C02-430F-BE27-1881440B5C50}" name="Part of Oswego County Vote Results" totalsRowFunction="custom" dataDxfId="99" totalsRowDxfId="98">
      <totalsRowFormula>SUM(StateSenatorSenateDistrict7General14151617181920212223242528293031323435[Part of Oswego County Vote Results])</totalsRowFormula>
    </tableColumn>
    <tableColumn id="3" xr3:uid="{5E46DDEA-722F-4552-B4A5-20DE4F1E7ED0}" name="Total Votes by Party" totalsRowFunction="custom" dataDxfId="97" totalsRowDxfId="96">
      <calculatedColumnFormula>SUM(B3:E3)</calculatedColumnFormula>
      <totalsRowFormula>SUM(StateSenatorSenateDistrict7General14151617181920212223242528293031323435[Total Votes by Party])</totalsRowFormula>
    </tableColumn>
    <tableColumn id="2" xr3:uid="{8D51598C-BA71-4591-8AFE-CA9F228CE27E}" name="Total Votes by Candidate" dataDxfId="95" totalsRowDxfId="94">
      <calculatedColumnFormula>SUM(StateSenatorSenateDistrict7General14151617181920212223242528293031323435[[#This Row],[Total Votes by Party]],F3,#REF!,#REF!)</calculatedColumnFormula>
    </tableColumn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85D8E48-C2CE-46A2-8C97-AFA06D8EBD3D}" name="StateSenatorSenateDistrict7General1415161718192021222324252829303132343536" displayName="StateSenatorSenateDistrict7General1415161718192021222324252829303132343536" ref="A2:J10" totalsRowCount="1" headerRowDxfId="93" dataDxfId="91" totalsRowDxfId="89" headerRowBorderDxfId="92" tableBorderDxfId="90" totalsRowBorderDxfId="88">
  <autoFilter ref="A2:J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9640906-E42C-438E-AFC6-6C6CACBDA4D6}" name="Candidate Name (Party)" totalsRowLabel="Total Votes by County" dataDxfId="87" totalsRowDxfId="86"/>
    <tableColumn id="5" xr3:uid="{12B7E3DA-CFAE-4171-842E-71BED4205289}" name="Allegany County Vote Results" totalsRowFunction="custom" dataDxfId="85" totalsRowDxfId="84">
      <totalsRowFormula>SUM(StateSenatorSenateDistrict7General1415161718192021222324252829303132343536[Allegany County Vote Results])</totalsRowFormula>
    </tableColumn>
    <tableColumn id="7" xr3:uid="{6244D5B5-AB30-40F6-B400-C136050EE247}" name="Cattaraugus County Vote Results" totalsRowFunction="custom" dataDxfId="83" totalsRowDxfId="82">
      <totalsRowFormula>SUM(StateSenatorSenateDistrict7General1415161718192021222324252829303132343536[Cattaraugus County Vote Results])</totalsRowFormula>
    </tableColumn>
    <tableColumn id="9" xr3:uid="{FEA8CCD6-5057-4081-9596-0B82CA9CAA6C}" name="Chautauqua County Vote Results" totalsRowFunction="custom" dataDxfId="81" totalsRowDxfId="80">
      <totalsRowFormula>SUM(StateSenatorSenateDistrict7General1415161718192021222324252829303132343536[Chautauqua County Vote Results])</totalsRowFormula>
    </tableColumn>
    <tableColumn id="22" xr3:uid="{844F0D49-8E3B-4D7E-A434-5928D54E4645}" name="Chemung County Vote Results" totalsRowFunction="custom" dataDxfId="79" totalsRowDxfId="78">
      <totalsRowFormula>SUM(StateSenatorSenateDistrict7General1415161718192021222324252829303132343536[Chemung County Vote Results])</totalsRowFormula>
    </tableColumn>
    <tableColumn id="21" xr3:uid="{83873E96-68ED-42A1-87EA-AE920D73E16E}" name="Part of Erie County Vote Results" totalsRowFunction="custom" dataDxfId="77" totalsRowDxfId="76">
      <totalsRowFormula>SUM(StateSenatorSenateDistrict7General1415161718192021222324252829303132343536[Part of Erie County Vote Results])</totalsRowFormula>
    </tableColumn>
    <tableColumn id="20" xr3:uid="{9ACAE2F7-806D-43B8-AF20-9CCBA317F197}" name="Schuyler County Vote Results" totalsRowFunction="custom" dataDxfId="75" totalsRowDxfId="74">
      <totalsRowFormula>SUM(StateSenatorSenateDistrict7General1415161718192021222324252829303132343536[Schuyler County Vote Results])</totalsRowFormula>
    </tableColumn>
    <tableColumn id="4" xr3:uid="{BBA9DA1C-7008-43F5-B347-1BC7F4C9F6FC}" name="Steuben County Vote Results" totalsRowFunction="custom" dataDxfId="73" totalsRowDxfId="72">
      <totalsRowFormula>SUM(StateSenatorSenateDistrict7General1415161718192021222324252829303132343536[Steuben County Vote Results])</totalsRowFormula>
    </tableColumn>
    <tableColumn id="3" xr3:uid="{7F450F7A-E2F3-4CD1-9532-CBDBC6C3D1CA}" name="Total Votes by Party" totalsRowFunction="custom" dataDxfId="71" totalsRowDxfId="70">
      <calculatedColumnFormula>SUM(B3:H3)</calculatedColumnFormula>
      <totalsRowFormula>SUM(StateSenatorSenateDistrict7General1415161718192021222324252829303132343536[Total Votes by Party])</totalsRowFormula>
    </tableColumn>
    <tableColumn id="2" xr3:uid="{1D49201B-8E6B-429E-9C8B-459910ADD1EE}" name="Total Votes by Candidate" dataDxfId="69" totalsRowDxfId="68">
      <calculatedColumnFormula>SUM(StateSenatorSenateDistrict7General1415161718192021222324252829303132343536[[#This Row],[Total Votes by Party]],I3,#REF!,#REF!)</calculatedColumnFormula>
    </tableColumn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45EFDCF-0DD6-4596-BCEE-4D63F55F3042}" name="StateSenatorSenateDistrict7General141516171819202122232425282930313234353637" displayName="StateSenatorSenateDistrict7General141516171819202122232425282930313234353637" ref="A2:O10" totalsRowCount="1" headerRowDxfId="67" dataDxfId="65" totalsRowDxfId="63" headerRowBorderDxfId="66" tableBorderDxfId="64" totalsRowBorderDxfId="62">
  <autoFilter ref="A2:O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78E423D6-4E97-4C8E-9E32-21EC6A99EF59}" name="Candidate Name (Party)" totalsRowLabel="Total Votes by County" dataDxfId="61" totalsRowDxfId="60"/>
    <tableColumn id="5" xr3:uid="{3DCDCF87-82E4-4332-BF2A-FD07E2722981}" name="Cayuga County Vote Results" totalsRowFunction="custom" dataDxfId="59" totalsRowDxfId="58">
      <totalsRowFormula>SUM(StateSenatorSenateDistrict7General141516171819202122232425282930313234353637[Cayuga County Vote Results])</totalsRowFormula>
    </tableColumn>
    <tableColumn id="7" xr3:uid="{968EE76B-7994-4829-9711-738C91A9D622}" name="Genesee County Vote Results" totalsRowFunction="custom" dataDxfId="57" totalsRowDxfId="56">
      <totalsRowFormula>SUM(StateSenatorSenateDistrict7General141516171819202122232425282930313234353637[Genesee County Vote Results])</totalsRowFormula>
    </tableColumn>
    <tableColumn id="9" xr3:uid="{B329576B-CAFE-4658-BD8C-F423A4F761D7}" name="Part of Jefferson County Vote Results" totalsRowFunction="custom" dataDxfId="55" totalsRowDxfId="54">
      <totalsRowFormula>SUM(StateSenatorSenateDistrict7General141516171819202122232425282930313234353637[Part of Jefferson County Vote Results])</totalsRowFormula>
    </tableColumn>
    <tableColumn id="22" xr3:uid="{EC2E2893-2DB5-4CC1-AA67-C52D38D1A0EB}" name="Livingston County Vote Results" totalsRowFunction="custom" dataDxfId="53" totalsRowDxfId="52">
      <totalsRowFormula>SUM(StateSenatorSenateDistrict7General141516171819202122232425282930313234353637[Livingston County Vote Results])</totalsRowFormula>
    </tableColumn>
    <tableColumn id="21" xr3:uid="{94F7B011-9054-40CC-A129-CA7832E38667}" name="Part of Niagara County Vote Results" totalsRowFunction="custom" dataDxfId="51" totalsRowDxfId="50">
      <totalsRowFormula>SUM(StateSenatorSenateDistrict7General141516171819202122232425282930313234353637[Part of Niagara County Vote Results])</totalsRowFormula>
    </tableColumn>
    <tableColumn id="20" xr3:uid="{0ABBE94A-B8D2-4E3B-AFCD-A53094F90716}" name="Ontario County Vote Results" totalsRowFunction="custom" dataDxfId="49" totalsRowDxfId="48">
      <totalsRowFormula>SUM(StateSenatorSenateDistrict7General141516171819202122232425282930313234353637[Ontario County Vote Results])</totalsRowFormula>
    </tableColumn>
    <tableColumn id="24" xr3:uid="{61D8F4B1-28FB-40C8-BD5A-3BBB882A588D}" name="Part of Orleans County Vote Results" totalsRowFunction="custom" dataDxfId="47" totalsRowDxfId="46">
      <totalsRowFormula>SUM(StateSenatorSenateDistrict7General141516171819202122232425282930313234353637[Part of Orleans County Vote Results])</totalsRowFormula>
    </tableColumn>
    <tableColumn id="23" xr3:uid="{E130DB12-E816-4771-8709-F935DCAD52D3}" name="Part of Oswego County Vote Results" totalsRowFunction="custom" dataDxfId="45" totalsRowDxfId="44">
      <totalsRowFormula>SUM(StateSenatorSenateDistrict7General141516171819202122232425282930313234353637[Part of Oswego County Vote Results])</totalsRowFormula>
    </tableColumn>
    <tableColumn id="27" xr3:uid="{671415F2-1811-496E-904A-03B39ADDB2BC}" name="Seneca County Vote Results" totalsRowFunction="custom" dataDxfId="43" totalsRowDxfId="42">
      <totalsRowFormula>SUM(StateSenatorSenateDistrict7General141516171819202122232425282930313234353637[Seneca County Vote Results])</totalsRowFormula>
    </tableColumn>
    <tableColumn id="26" xr3:uid="{C3457507-C65D-4C32-8220-1EA26AC6EFA4}" name="Wayne County Vote Results" totalsRowFunction="custom" dataDxfId="41" totalsRowDxfId="40">
      <totalsRowFormula>SUM(StateSenatorSenateDistrict7General141516171819202122232425282930313234353637[Wayne County Vote Results])</totalsRowFormula>
    </tableColumn>
    <tableColumn id="25" xr3:uid="{C891E615-25A4-4965-B09E-0E0B129A21AF}" name="Wyoming County Vote Results" totalsRowFunction="custom" dataDxfId="39" totalsRowDxfId="38">
      <totalsRowFormula>SUM(StateSenatorSenateDistrict7General141516171819202122232425282930313234353637[Wyoming County Vote Results])</totalsRowFormula>
    </tableColumn>
    <tableColumn id="4" xr3:uid="{7FC0D690-3FE6-492C-8AAE-7D5279951E5D}" name="Yates County Vote Results" totalsRowFunction="custom" dataDxfId="37" totalsRowDxfId="36">
      <totalsRowFormula>SUM(StateSenatorSenateDistrict7General141516171819202122232425282930313234353637[Yates County Vote Results])</totalsRowFormula>
    </tableColumn>
    <tableColumn id="3" xr3:uid="{828D5D28-7455-4FB9-9502-ED972FCE9323}" name="Total Votes by Party" totalsRowFunction="custom" dataDxfId="35" totalsRowDxfId="34">
      <calculatedColumnFormula>SUM(B3:M3)</calculatedColumnFormula>
      <totalsRowFormula>SUM(StateSenatorSenateDistrict7General141516171819202122232425282930313234353637[Total Votes by Party])</totalsRowFormula>
    </tableColumn>
    <tableColumn id="2" xr3:uid="{B70A8BD9-0137-4205-B9E3-9301744B307C}" name="Total Votes by Candidate" dataDxfId="33" totalsRowDxfId="32">
      <calculatedColumnFormula>SUM(StateSenatorSenateDistrict7General141516171819202122232425282930313234353637[[#This Row],[Total Votes by Party]],N3,#REF!,#REF!)</calculatedColumnFormula>
    </tableColumn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D1BBB14-E98F-423D-BAF6-7A111611F024}" name="StateSenatorSenateDistrict7General1415161718192021222324252738" displayName="StateSenatorSenateDistrict7General1415161718192021222324252738" ref="A2:E10" totalsRowCount="1" headerRowDxfId="31" dataDxfId="29" totalsRowDxfId="27" headerRowBorderDxfId="30" tableBorderDxfId="28" totalsRowBorderDxfId="26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9F8146A-EA66-4E93-ACB5-42CEC7253B9B}" name="Candidate Name (Party)" totalsRowLabel="Total Votes by County" dataDxfId="25" totalsRowDxfId="24"/>
    <tableColumn id="5" xr3:uid="{D66233A5-C7A7-4761-80F4-D33D68C3A0A8}" name="Monroe County Vote Results" totalsRowFunction="custom" dataDxfId="23" totalsRowDxfId="22">
      <totalsRowFormula>SUM(StateSenatorSenateDistrict7General1415161718192021222324252738[Monroe County Vote Results])</totalsRowFormula>
    </tableColumn>
    <tableColumn id="4" xr3:uid="{54AFDC4D-1E94-45C0-BDA5-5C8F8E695372}" name="Part of Orleans County Vote Results" totalsRowFunction="custom" dataDxfId="21" totalsRowDxfId="20">
      <totalsRowFormula>SUM(StateSenatorSenateDistrict7General1415161718192021222324252738[Part of Orleans County Vote Results])</totalsRowFormula>
    </tableColumn>
    <tableColumn id="3" xr3:uid="{4BD443A6-F411-4AB2-AAA1-EE3A7987B7EC}" name="Total Votes by Party" totalsRowFunction="custom" dataDxfId="19" totalsRowDxfId="18">
      <calculatedColumnFormula>SUM(B3:C3)</calculatedColumnFormula>
      <totalsRowFormula>SUM(StateSenatorSenateDistrict7General1415161718192021222324252738[Total Votes by Party])</totalsRowFormula>
    </tableColumn>
    <tableColumn id="2" xr3:uid="{E6B1B97F-85D1-45A7-8F02-8894AE0B1F52}" name="Total Votes by Candidate" dataDxfId="17" totalsRowDxfId="16">
      <calculatedColumnFormula>SUM(StateSenatorSenateDistrict7General1415161718192021222324252738[[#This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508E81B-B7CC-4700-8E2B-BBB341C27C3E}" name="StateSenatorSenateDistrict7General141516171819202122232425273839" displayName="StateSenatorSenateDistrict7General141516171819202122232425273839" ref="A2:E10" totalsRowCount="1" headerRowDxfId="15" dataDxfId="13" totalsRowDxfId="11" headerRowBorderDxfId="14" tableBorderDxfId="12" totalsRowBorderDxfId="10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3492490-20AA-46E3-83CC-19B8D6C12E3E}" name="Candidate Name (Party)" totalsRowLabel="Total Votes by County" dataDxfId="9" totalsRowDxfId="8"/>
    <tableColumn id="5" xr3:uid="{90FACD34-DA38-4AFE-AA78-169E6BF38C14}" name="Part of Erie County Vote Results" totalsRowFunction="custom" dataDxfId="7" totalsRowDxfId="6">
      <totalsRowFormula>SUM(StateSenatorSenateDistrict7General141516171819202122232425273839[Part of Erie County Vote Results])</totalsRowFormula>
    </tableColumn>
    <tableColumn id="4" xr3:uid="{502C5652-8E9C-41FD-B4F4-9866418938DE}" name="Part of Niagara County Vote Results" totalsRowFunction="custom" dataDxfId="5" totalsRowDxfId="4">
      <totalsRowFormula>SUM(StateSenatorSenateDistrict7General141516171819202122232425273839[Part of Niagara County Vote Results])</totalsRowFormula>
    </tableColumn>
    <tableColumn id="3" xr3:uid="{BDFC06B7-6EA1-462E-8BCF-7117DFB1CB15}" name="Total Votes by Party" totalsRowFunction="custom" dataDxfId="3" totalsRowDxfId="2">
      <calculatedColumnFormula>SUM(B3:C3)</calculatedColumnFormula>
      <totalsRowFormula>SUM(StateSenatorSenateDistrict7General141516171819202122232425273839[Total Votes by Party])</totalsRowFormula>
    </tableColumn>
    <tableColumn id="2" xr3:uid="{EC4E6D92-B359-4D15-BF20-2E8F4BA94451}" name="Total Votes by Candidate" dataDxfId="1" totalsRowDxfId="0">
      <calculatedColumnFormula>SUM(StateSenatorSenateDistrict7General141516171819202122232425273839[[#This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A88ECC2-F873-4885-85A8-D546A1ABC472}" name="StateSenatorSenateDistrict7General141516" displayName="StateSenatorSenateDistrict7General141516" ref="A2:E10" totalsRowCount="1" headerRowDxfId="457" dataDxfId="455" totalsRowDxfId="453" headerRowBorderDxfId="456" tableBorderDxfId="454" totalsRowBorderDxfId="452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28B04D7-8205-42EE-953C-C3173DF6EFD1}" name="Candidate Name (Party)" totalsRowLabel="Total Votes by County" dataDxfId="451" totalsRowDxfId="450"/>
    <tableColumn id="5" xr3:uid="{A9E7D17E-A4C6-41DB-AE1C-589E9070C708}" name="Part of Nassau County Vote Results" totalsRowFunction="custom" dataDxfId="449" totalsRowDxfId="448">
      <totalsRowFormula>SUM(StateSenatorSenateDistrict7General141516[Part of Nassau County Vote Results])</totalsRowFormula>
    </tableColumn>
    <tableColumn id="4" xr3:uid="{74BF5C24-1694-4AEC-87DB-60D8C4C0E347}" name="Part of Queens County Vote Results" totalsRowFunction="custom" dataDxfId="447" totalsRowDxfId="446">
      <totalsRowFormula>SUM(StateSenatorSenateDistrict7General141516[Part of Queens County Vote Results])</totalsRowFormula>
    </tableColumn>
    <tableColumn id="3" xr3:uid="{B7946760-C317-4305-8AAC-91A4A91EE9D2}" name="Total Votes by Party" totalsRowFunction="custom" dataDxfId="445" totalsRowDxfId="444">
      <calculatedColumnFormula>SUM(B3:C3)</calculatedColumnFormula>
      <totalsRowFormula>SUM(StateSenatorSenateDistrict7General141516[Total Votes by Party])</totalsRowFormula>
    </tableColumn>
    <tableColumn id="2" xr3:uid="{B7E52A1F-CE56-4215-A16D-B975E8C06F67}" name="Total Votes by Candidate" dataDxfId="443" totalsRowDxfId="442">
      <calculatedColumnFormula>SUM(StateSenatorSenateDistrict7General141516[[#This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53F45F3-2761-4EB5-BB05-87799DB85C00}" name="StateSenatorSenateDistrict7General14151617" displayName="StateSenatorSenateDistrict7General14151617" ref="A2:D10" totalsRowCount="1" headerRowDxfId="441" dataDxfId="439" totalsRowDxfId="437" headerRowBorderDxfId="440" tableBorderDxfId="438" totalsRowBorderDxfId="436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15DE7279-453B-4E7B-85A1-7D7FBE5C13B4}" name="Candidate Name (Party)" totalsRowLabel="Total Votes by County" dataDxfId="435" totalsRowDxfId="434"/>
    <tableColumn id="5" xr3:uid="{60A0C16D-990F-4C65-9832-E4509824B3BA}" name="Part of Nassau County Vote Results" totalsRowFunction="custom" dataDxfId="433" totalsRowDxfId="432">
      <totalsRowFormula>SUM(StateSenatorSenateDistrict7General14151617[Part of Nassau County Vote Results])</totalsRowFormula>
    </tableColumn>
    <tableColumn id="3" xr3:uid="{035C593B-BD45-47FB-9E73-A2C6899C41D7}" name="Total Votes by Party" totalsRowFunction="custom" dataDxfId="431" totalsRowDxfId="430">
      <calculatedColumnFormula>SUM(B3)</calculatedColumnFormula>
      <totalsRowFormula>SUM(StateSenatorSenateDistrict7General14151617[Total Votes by Party])</totalsRowFormula>
    </tableColumn>
    <tableColumn id="2" xr3:uid="{BABB6092-A166-4660-90CD-34E894BBF7B7}" name="Total Votes by Candidate" dataDxfId="429" totalsRowDxfId="428">
      <calculatedColumnFormula>SUM(StateSenatorSenateDistrict7General14151617[[#This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0594C2E-870F-46BD-92E3-29734906D545}" name="StateSenatorSenateDistrict7General1415161718" displayName="StateSenatorSenateDistrict7General1415161718" ref="A2:D10" totalsRowCount="1" headerRowDxfId="427" dataDxfId="425" totalsRowDxfId="423" headerRowBorderDxfId="426" tableBorderDxfId="424" totalsRowBorderDxfId="422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A16B06E3-04F1-4910-BE7B-434C30DB29ED}" name="Candidate Name (Party)" totalsRowLabel="Total Votes by County" dataDxfId="421" totalsRowDxfId="420"/>
    <tableColumn id="5" xr3:uid="{F3C584AA-E477-4294-95CD-56A523D2D5F9}" name="Part of Queens County Vote Results" totalsRowFunction="custom" dataDxfId="419" totalsRowDxfId="418">
      <totalsRowFormula>SUM(StateSenatorSenateDistrict7General1415161718[Part of Queens County Vote Results])</totalsRowFormula>
    </tableColumn>
    <tableColumn id="3" xr3:uid="{B48BBBA8-E658-436D-B49D-756593684D36}" name="Total Votes by Party" totalsRowFunction="custom" dataDxfId="417" totalsRowDxfId="416">
      <calculatedColumnFormula>SUM(B3)</calculatedColumnFormula>
      <totalsRowFormula>SUM(StateSenatorSenateDistrict7General1415161718[Total Votes by Party])</totalsRowFormula>
    </tableColumn>
    <tableColumn id="2" xr3:uid="{C6282FEB-3D05-4535-9AB6-25BD59BCFA14}" name="Total Votes by Candidate" dataDxfId="415" totalsRowDxfId="414">
      <calculatedColumnFormula>SUM(StateSenatorSenateDistrict7General1415161718[[#This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D31B9F5-9A94-4247-84D1-E03C73397F7E}" name="StateSenatorSenateDistrict7General141516171819" displayName="StateSenatorSenateDistrict7General141516171819" ref="A2:D10" totalsRowCount="1" headerRowDxfId="413" dataDxfId="411" totalsRowDxfId="409" headerRowBorderDxfId="412" tableBorderDxfId="410" totalsRowBorderDxfId="408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CB237F92-0F8C-431C-86AE-8012B386C32C}" name="Candidate Name (Party)" totalsRowLabel="Total Votes by County" dataDxfId="407" totalsRowDxfId="406"/>
    <tableColumn id="5" xr3:uid="{CB17FD1B-3F27-4274-8B50-79C54F635C00}" name="Part of Queens County Vote Results" totalsRowFunction="custom" dataDxfId="405" totalsRowDxfId="404">
      <totalsRowFormula>SUM(StateSenatorSenateDistrict7General141516171819[Part of Queens County Vote Results])</totalsRowFormula>
    </tableColumn>
    <tableColumn id="3" xr3:uid="{D50F92D0-4531-4032-91D3-707150638521}" name="Total Votes by Party" totalsRowFunction="custom" dataDxfId="403" totalsRowDxfId="402">
      <calculatedColumnFormula>SUM(B3)</calculatedColumnFormula>
      <totalsRowFormula>SUM(StateSenatorSenateDistrict7General141516171819[Total Votes by Party])</totalsRowFormula>
    </tableColumn>
    <tableColumn id="2" xr3:uid="{20DEF2B0-BCB1-4AC9-859B-86FAE7A1A738}" name="Total Votes by Candidate" dataDxfId="401" totalsRowDxfId="400">
      <calculatedColumnFormula>SUM(StateSenatorSenateDistrict7General141516171819[[#This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6875283-530B-44AF-8C8B-6F4C5445792C}" name="StateSenatorSenateDistrict7General14151617181920" displayName="StateSenatorSenateDistrict7General14151617181920" ref="A2:E10" totalsRowCount="1" headerRowDxfId="399" dataDxfId="397" totalsRowDxfId="395" headerRowBorderDxfId="398" tableBorderDxfId="396" totalsRowBorderDxfId="394">
  <autoFilter ref="A2:E9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6DD6CAC-4318-4196-BF91-E3C7FE097B4C}" name="Candidate Name (Party)" totalsRowLabel="Total Votes by County" dataDxfId="393" totalsRowDxfId="392"/>
    <tableColumn id="5" xr3:uid="{64A8C057-A7A3-4BDB-804A-8A22B8CF6A2B}" name="Part of Kings County Vote Results" totalsRowFunction="custom" dataDxfId="391" totalsRowDxfId="390">
      <totalsRowFormula>SUM(StateSenatorSenateDistrict7General14151617181920[Part of Kings County Vote Results])</totalsRowFormula>
    </tableColumn>
    <tableColumn id="6" xr3:uid="{9AE8347E-9D54-4AA4-90FE-A2AEC84E0D5F}" name="Part of Queens County Vote Results" totalsRowFunction="custom" dataDxfId="389" totalsRowDxfId="388">
      <totalsRowFormula>SUM(StateSenatorSenateDistrict7General14151617181920[Part of Queens County Vote Results])</totalsRowFormula>
    </tableColumn>
    <tableColumn id="3" xr3:uid="{6CA8BEB6-3D0C-41A4-AEA4-E0EE3AFFE7C6}" name="Total Votes by Party" totalsRowFunction="custom" dataDxfId="387" totalsRowDxfId="386">
      <calculatedColumnFormula>SUM(B3:C4)</calculatedColumnFormula>
      <totalsRowFormula>SUM(StateSenatorSenateDistrict7General14151617181920[Total Votes by Party])</totalsRowFormula>
    </tableColumn>
    <tableColumn id="2" xr3:uid="{0ADABC05-7D4C-46AE-88A0-60583FE269B9}" name="Total Votes by Candidate" dataDxfId="385" totalsRowDxfId="384">
      <calculatedColumnFormula>SUM(StateSenatorSenateDistrict7General14151617181920[[#This Row],[Total Votes by Party]],D3,#REF!,#REF!)</calculatedColumnFormula>
    </tableColumn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1CAD859-4843-426D-A8D6-8267210D8E7B}" name="StateSenatorSenateDistrict7General1415161718192021" displayName="StateSenatorSenateDistrict7General1415161718192021" ref="A2:D10" totalsRowCount="1" headerRowDxfId="383" dataDxfId="381" totalsRowDxfId="379" headerRowBorderDxfId="382" tableBorderDxfId="380" totalsRowBorderDxfId="378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130E5169-3B4C-4AF2-BF3E-483939B713EF}" name="Candidate Name (Party)" totalsRowLabel="Total Votes by County" dataDxfId="377" totalsRowDxfId="376"/>
    <tableColumn id="5" xr3:uid="{71C1CEB9-B7A6-4EF7-A82E-1C3C3F1F3BE8}" name="Part of Kings County Vote Results" totalsRowFunction="custom" dataDxfId="375" totalsRowDxfId="374">
      <totalsRowFormula>SUM(StateSenatorSenateDistrict7General1415161718192021[Part of Kings County Vote Results])</totalsRowFormula>
    </tableColumn>
    <tableColumn id="3" xr3:uid="{C6A7E008-BC3C-4DBF-9156-03208A943EC4}" name="Total Votes by Party" totalsRowFunction="custom" dataDxfId="373" totalsRowDxfId="372">
      <calculatedColumnFormula>SUM(B3:B4)</calculatedColumnFormula>
      <totalsRowFormula>SUM(StateSenatorSenateDistrict7General1415161718192021[Total Votes by Party])</totalsRowFormula>
    </tableColumn>
    <tableColumn id="2" xr3:uid="{98A8FAD6-0458-45A3-BD03-27B7BBEFA94A}" name="Total Votes by Candidate" dataDxfId="371" totalsRowDxfId="370">
      <calculatedColumnFormula>SUM(StateSenatorSenateDistrict7General1415161718192021[[#This Row],[Total Votes by Party]],C3,#REF!,#REF!)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A4A0AB3-D153-41D4-BB34-4B3E98AE3A16}" name="StateSenatorSenateDistrict7General141516171819202122" displayName="StateSenatorSenateDistrict7General141516171819202122" ref="A2:D10" totalsRowCount="1" headerRowDxfId="369" dataDxfId="367" totalsRowDxfId="365" headerRowBorderDxfId="368" tableBorderDxfId="366" totalsRowBorderDxfId="364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BDDE75F1-EFF5-4BC1-B2D5-E9BB138B3404}" name="Candidate Name (Party)" totalsRowLabel="Total Votes by County" dataDxfId="363" totalsRowDxfId="362"/>
    <tableColumn id="5" xr3:uid="{F2D9FE4C-9292-4B1E-A567-07D088EB2858}" name="Part of Kings County Vote Results" totalsRowFunction="custom" dataDxfId="361" totalsRowDxfId="360">
      <totalsRowFormula>SUM(StateSenatorSenateDistrict7General141516171819202122[Part of Kings County Vote Results])</totalsRowFormula>
    </tableColumn>
    <tableColumn id="3" xr3:uid="{915C9471-C8EC-4997-8E10-DBDE8BBB16F0}" name="Total Votes by Party" totalsRowFunction="custom" dataDxfId="359" totalsRowDxfId="358">
      <calculatedColumnFormula>SUM(B3:B4)</calculatedColumnFormula>
      <totalsRowFormula>SUM(StateSenatorSenateDistrict7General141516171819202122[Total Votes by Party])</totalsRowFormula>
    </tableColumn>
    <tableColumn id="2" xr3:uid="{8AF40300-2941-426D-B128-60488E0EC894}" name="Total Votes by Candidate" dataDxfId="357" totalsRowDxfId="356">
      <calculatedColumnFormula>SUM(StateSenatorSenateDistrict7General141516171819202122[[#This Row],[Total Votes by Party]],C3,#REF!,#REF!)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0213-A332-42C7-99C1-3CD0BA96D0B5}">
  <sheetPr>
    <pageSetUpPr fitToPage="1"/>
  </sheetPr>
  <dimension ref="A1:D10"/>
  <sheetViews>
    <sheetView tabSelected="1" workbookViewId="0">
      <selection activeCell="C34" sqref="C34"/>
    </sheetView>
  </sheetViews>
  <sheetFormatPr defaultRowHeight="12.75" x14ac:dyDescent="0.2"/>
  <cols>
    <col min="1" max="1" width="25.5703125" style="1" customWidth="1"/>
    <col min="2" max="4" width="20.5703125" customWidth="1"/>
    <col min="5" max="6" width="23.5703125" customWidth="1"/>
  </cols>
  <sheetData>
    <row r="1" spans="1:4" ht="24.95" customHeight="1" x14ac:dyDescent="0.2">
      <c r="A1" s="19" t="s">
        <v>73</v>
      </c>
    </row>
    <row r="2" spans="1:4" ht="24.95" customHeight="1" x14ac:dyDescent="0.2">
      <c r="A2" s="20" t="s">
        <v>11</v>
      </c>
      <c r="B2" s="21" t="s">
        <v>43</v>
      </c>
      <c r="C2" s="9" t="s">
        <v>3</v>
      </c>
      <c r="D2" s="8" t="s">
        <v>4</v>
      </c>
    </row>
    <row r="3" spans="1:4" ht="25.5" x14ac:dyDescent="0.2">
      <c r="A3" s="16" t="s">
        <v>69</v>
      </c>
      <c r="B3" s="11">
        <v>132573</v>
      </c>
      <c r="C3" s="4">
        <f>SUM(StateSenatorSenateDistrict7General14[[#This Row],[Part of Suffolk County Vote Results]])</f>
        <v>132573</v>
      </c>
      <c r="D3" s="7">
        <f>SUM(C3,C6)</f>
        <v>139584</v>
      </c>
    </row>
    <row r="4" spans="1:4" ht="25.5" x14ac:dyDescent="0.2">
      <c r="A4" s="16" t="s">
        <v>70</v>
      </c>
      <c r="B4" s="11">
        <v>163056</v>
      </c>
      <c r="C4" s="4">
        <f>SUM(StateSenatorSenateDistrict7General14[[#This Row],[Part of Suffolk County Vote Results]])</f>
        <v>163056</v>
      </c>
      <c r="D4" s="7">
        <f>SUM(C4,C5)</f>
        <v>185489</v>
      </c>
    </row>
    <row r="5" spans="1:4" ht="25.5" x14ac:dyDescent="0.2">
      <c r="A5" s="16" t="s">
        <v>71</v>
      </c>
      <c r="B5" s="11">
        <v>22433</v>
      </c>
      <c r="C5" s="4">
        <f>SUM(StateSenatorSenateDistrict7General14[[#This Row],[Part of Suffolk County Vote Results]])</f>
        <v>22433</v>
      </c>
      <c r="D5" s="3"/>
    </row>
    <row r="6" spans="1:4" ht="25.5" x14ac:dyDescent="0.2">
      <c r="A6" s="16" t="s">
        <v>72</v>
      </c>
      <c r="B6" s="11">
        <v>7011</v>
      </c>
      <c r="C6" s="4">
        <f>SUM(StateSenatorSenateDistrict7General14[[#This Row],[Part of Suffolk County Vote Results]])</f>
        <v>7011</v>
      </c>
      <c r="D6" s="3"/>
    </row>
    <row r="7" spans="1:4" x14ac:dyDescent="0.2">
      <c r="A7" s="17" t="s">
        <v>0</v>
      </c>
      <c r="B7" s="11">
        <v>1254</v>
      </c>
      <c r="C7" s="4">
        <f>SUM(StateSenatorSenateDistrict7General14[[#This Row],[Part of Suffolk County Vote Results]])</f>
        <v>1254</v>
      </c>
      <c r="D7" s="3"/>
    </row>
    <row r="8" spans="1:4" x14ac:dyDescent="0.2">
      <c r="A8" s="17" t="s">
        <v>1</v>
      </c>
      <c r="B8" s="11">
        <v>103</v>
      </c>
      <c r="C8" s="4">
        <f>SUM(StateSenatorSenateDistrict7General14[[#This Row],[Part of Suffolk County Vote Results]])</f>
        <v>103</v>
      </c>
      <c r="D8" s="3"/>
    </row>
    <row r="9" spans="1:4" x14ac:dyDescent="0.2">
      <c r="A9" s="17" t="s">
        <v>5</v>
      </c>
      <c r="B9" s="11">
        <v>240</v>
      </c>
      <c r="C9" s="4">
        <f>SUM(StateSenatorSenateDistrict7General14[[#This Row],[Part of Suffolk County Vote Results]])</f>
        <v>240</v>
      </c>
      <c r="D9" s="3"/>
    </row>
    <row r="10" spans="1:4" x14ac:dyDescent="0.2">
      <c r="A10" s="18" t="s">
        <v>2</v>
      </c>
      <c r="B10" s="11">
        <f>SUM(StateSenatorSenateDistrict7General14[Part of Suffolk County Vote Results])</f>
        <v>326670</v>
      </c>
      <c r="C10" s="4">
        <f>SUM(StateSenatorSenateDistrict7General14[Total Votes by Party])</f>
        <v>326670</v>
      </c>
      <c r="D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BAE8A-E86A-4949-8989-89046FEED307}">
  <sheetPr>
    <pageSetUpPr fitToPage="1"/>
  </sheetPr>
  <dimension ref="A1:E10"/>
  <sheetViews>
    <sheetView workbookViewId="0"/>
  </sheetViews>
  <sheetFormatPr defaultRowHeight="12.75" x14ac:dyDescent="0.2"/>
  <cols>
    <col min="1" max="1" width="25.5703125" style="1" customWidth="1"/>
    <col min="2" max="5" width="20.5703125" customWidth="1"/>
    <col min="6" max="7" width="23.5703125" customWidth="1"/>
  </cols>
  <sheetData>
    <row r="1" spans="1:5" ht="24.95" customHeight="1" x14ac:dyDescent="0.2">
      <c r="A1" s="19" t="s">
        <v>82</v>
      </c>
    </row>
    <row r="2" spans="1:5" ht="24.95" customHeight="1" x14ac:dyDescent="0.2">
      <c r="A2" s="20" t="s">
        <v>11</v>
      </c>
      <c r="B2" s="21" t="s">
        <v>46</v>
      </c>
      <c r="C2" s="21" t="s">
        <v>47</v>
      </c>
      <c r="D2" s="9" t="s">
        <v>3</v>
      </c>
      <c r="E2" s="8" t="s">
        <v>4</v>
      </c>
    </row>
    <row r="3" spans="1:5" ht="25.5" x14ac:dyDescent="0.2">
      <c r="A3" s="16" t="s">
        <v>69</v>
      </c>
      <c r="B3" s="11">
        <v>70577</v>
      </c>
      <c r="C3" s="11">
        <v>62660</v>
      </c>
      <c r="D3" s="4">
        <f>SUM(B3:C3)</f>
        <v>133237</v>
      </c>
      <c r="E3" s="7">
        <f>SUM(D3,D6)</f>
        <v>161111</v>
      </c>
    </row>
    <row r="4" spans="1:5" ht="25.5" x14ac:dyDescent="0.2">
      <c r="A4" s="16" t="s">
        <v>70</v>
      </c>
      <c r="B4" s="11">
        <v>19507</v>
      </c>
      <c r="C4" s="11">
        <v>15697</v>
      </c>
      <c r="D4" s="4">
        <f t="shared" ref="D4:D9" si="0">SUM(B4:C4)</f>
        <v>35204</v>
      </c>
      <c r="E4" s="7">
        <f>SUM(D4,D5)</f>
        <v>38102</v>
      </c>
    </row>
    <row r="5" spans="1:5" ht="25.5" x14ac:dyDescent="0.2">
      <c r="A5" s="16" t="s">
        <v>71</v>
      </c>
      <c r="B5" s="11">
        <v>1742</v>
      </c>
      <c r="C5" s="11">
        <v>1156</v>
      </c>
      <c r="D5" s="4">
        <f t="shared" si="0"/>
        <v>2898</v>
      </c>
      <c r="E5" s="3"/>
    </row>
    <row r="6" spans="1:5" ht="25.5" x14ac:dyDescent="0.2">
      <c r="A6" s="16" t="s">
        <v>72</v>
      </c>
      <c r="B6" s="13">
        <v>20275</v>
      </c>
      <c r="C6" s="11">
        <v>7599</v>
      </c>
      <c r="D6" s="4">
        <f t="shared" si="0"/>
        <v>27874</v>
      </c>
      <c r="E6" s="3"/>
    </row>
    <row r="7" spans="1:5" x14ac:dyDescent="0.2">
      <c r="A7" s="17" t="s">
        <v>0</v>
      </c>
      <c r="B7" s="11">
        <v>580</v>
      </c>
      <c r="C7" s="11">
        <v>612</v>
      </c>
      <c r="D7" s="4">
        <f t="shared" si="0"/>
        <v>1192</v>
      </c>
      <c r="E7" s="3"/>
    </row>
    <row r="8" spans="1:5" x14ac:dyDescent="0.2">
      <c r="A8" s="17" t="s">
        <v>1</v>
      </c>
      <c r="B8" s="11"/>
      <c r="C8" s="11"/>
      <c r="D8" s="4">
        <f t="shared" si="0"/>
        <v>0</v>
      </c>
      <c r="E8" s="3"/>
    </row>
    <row r="9" spans="1:5" x14ac:dyDescent="0.2">
      <c r="A9" s="17" t="s">
        <v>5</v>
      </c>
      <c r="B9" s="11">
        <v>234</v>
      </c>
      <c r="C9" s="11">
        <v>200</v>
      </c>
      <c r="D9" s="4">
        <f t="shared" si="0"/>
        <v>434</v>
      </c>
      <c r="E9" s="3"/>
    </row>
    <row r="10" spans="1:5" x14ac:dyDescent="0.2">
      <c r="A10" s="18" t="s">
        <v>2</v>
      </c>
      <c r="B10" s="11">
        <f>SUM(StateSenatorSenateDistrict7General14151617181920212223[Part of Kings County Vote Results])</f>
        <v>112915</v>
      </c>
      <c r="C10" s="11">
        <f>SUM(StateSenatorSenateDistrict7General14151617181920212223[Part of New York County Vote Results])</f>
        <v>87924</v>
      </c>
      <c r="D10" s="4">
        <f>SUM(StateSenatorSenateDistrict7General14151617181920212223[Total Votes by Party])</f>
        <v>200839</v>
      </c>
      <c r="E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5121-8096-44BC-A1E6-06BA0262AE97}">
  <sheetPr>
    <pageSetUpPr fitToPage="1"/>
  </sheetPr>
  <dimension ref="A1:E10"/>
  <sheetViews>
    <sheetView workbookViewId="0">
      <selection activeCell="F31" sqref="F31"/>
    </sheetView>
  </sheetViews>
  <sheetFormatPr defaultRowHeight="12.75" x14ac:dyDescent="0.2"/>
  <cols>
    <col min="1" max="1" width="25.5703125" style="1" customWidth="1"/>
    <col min="2" max="5" width="20.5703125" customWidth="1"/>
    <col min="6" max="7" width="23.5703125" customWidth="1"/>
  </cols>
  <sheetData>
    <row r="1" spans="1:5" ht="24.95" customHeight="1" x14ac:dyDescent="0.2">
      <c r="A1" s="19" t="s">
        <v>83</v>
      </c>
    </row>
    <row r="2" spans="1:5" ht="24.95" customHeight="1" x14ac:dyDescent="0.2">
      <c r="A2" s="20" t="s">
        <v>11</v>
      </c>
      <c r="B2" s="21" t="s">
        <v>46</v>
      </c>
      <c r="C2" s="21" t="s">
        <v>48</v>
      </c>
      <c r="D2" s="9" t="s">
        <v>3</v>
      </c>
      <c r="E2" s="8" t="s">
        <v>4</v>
      </c>
    </row>
    <row r="3" spans="1:5" ht="25.5" x14ac:dyDescent="0.2">
      <c r="A3" s="16" t="s">
        <v>69</v>
      </c>
      <c r="B3" s="11">
        <v>19475</v>
      </c>
      <c r="C3" s="11">
        <v>44481</v>
      </c>
      <c r="D3" s="4">
        <f>SUM(B3:C3)</f>
        <v>63956</v>
      </c>
      <c r="E3" s="7">
        <f>SUM(D3,D6)</f>
        <v>68805</v>
      </c>
    </row>
    <row r="4" spans="1:5" ht="25.5" x14ac:dyDescent="0.2">
      <c r="A4" s="16" t="s">
        <v>70</v>
      </c>
      <c r="B4" s="11">
        <v>24635</v>
      </c>
      <c r="C4" s="11">
        <v>87263</v>
      </c>
      <c r="D4" s="4">
        <f t="shared" ref="D4:D8" si="0">SUM(B4:C4)</f>
        <v>111898</v>
      </c>
      <c r="E4" s="7">
        <f>SUM(D4,D5)</f>
        <v>120484</v>
      </c>
    </row>
    <row r="5" spans="1:5" ht="25.5" x14ac:dyDescent="0.2">
      <c r="A5" s="16" t="s">
        <v>71</v>
      </c>
      <c r="B5" s="11">
        <v>2031</v>
      </c>
      <c r="C5" s="11">
        <v>6555</v>
      </c>
      <c r="D5" s="4">
        <f t="shared" si="0"/>
        <v>8586</v>
      </c>
      <c r="E5" s="3"/>
    </row>
    <row r="6" spans="1:5" ht="25.5" x14ac:dyDescent="0.2">
      <c r="A6" s="16" t="s">
        <v>72</v>
      </c>
      <c r="B6" s="11">
        <v>2195</v>
      </c>
      <c r="C6" s="11">
        <v>2654</v>
      </c>
      <c r="D6" s="4">
        <f t="shared" si="0"/>
        <v>4849</v>
      </c>
      <c r="E6" s="3"/>
    </row>
    <row r="7" spans="1:5" x14ac:dyDescent="0.2">
      <c r="A7" s="17" t="s">
        <v>0</v>
      </c>
      <c r="B7" s="11">
        <v>569</v>
      </c>
      <c r="C7" s="11">
        <v>767</v>
      </c>
      <c r="D7" s="4">
        <f t="shared" si="0"/>
        <v>1336</v>
      </c>
      <c r="E7" s="3"/>
    </row>
    <row r="8" spans="1:5" x14ac:dyDescent="0.2">
      <c r="A8" s="17" t="s">
        <v>1</v>
      </c>
      <c r="B8" s="11"/>
      <c r="C8" s="11"/>
      <c r="D8" s="4">
        <f t="shared" si="0"/>
        <v>0</v>
      </c>
      <c r="E8" s="3"/>
    </row>
    <row r="9" spans="1:5" x14ac:dyDescent="0.2">
      <c r="A9" s="17" t="s">
        <v>5</v>
      </c>
      <c r="B9" s="13">
        <v>86</v>
      </c>
      <c r="C9" s="11">
        <v>180</v>
      </c>
      <c r="D9" s="12">
        <f t="shared" ref="D9" si="1">SUM(B9:C9)</f>
        <v>266</v>
      </c>
      <c r="E9" s="3"/>
    </row>
    <row r="10" spans="1:5" x14ac:dyDescent="0.2">
      <c r="A10" s="18" t="s">
        <v>2</v>
      </c>
      <c r="B10" s="11">
        <f>SUM(StateSenatorSenateDistrict7General1415161718192021222324[Part of Kings County Vote Results])</f>
        <v>48991</v>
      </c>
      <c r="C10" s="11">
        <f>SUM(StateSenatorSenateDistrict7General1415161718192021222324[Richmond County Vote Results])</f>
        <v>141900</v>
      </c>
      <c r="D10" s="4">
        <f>SUM(StateSenatorSenateDistrict7General1415161718192021222324[Total Votes by Party])</f>
        <v>190891</v>
      </c>
      <c r="E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3C9EC-6F69-4215-81BB-501AD3AF8C22}">
  <sheetPr>
    <pageSetUpPr fitToPage="1"/>
  </sheetPr>
  <dimension ref="A1:D10"/>
  <sheetViews>
    <sheetView workbookViewId="0"/>
  </sheetViews>
  <sheetFormatPr defaultRowHeight="12.75" x14ac:dyDescent="0.2"/>
  <cols>
    <col min="1" max="1" width="25.5703125" style="1" customWidth="1"/>
    <col min="2" max="4" width="20.5703125" customWidth="1"/>
    <col min="5" max="6" width="23.5703125" customWidth="1"/>
  </cols>
  <sheetData>
    <row r="1" spans="1:4" ht="24.95" customHeight="1" x14ac:dyDescent="0.2">
      <c r="A1" s="19" t="s">
        <v>84</v>
      </c>
    </row>
    <row r="2" spans="1:4" ht="24.95" customHeight="1" x14ac:dyDescent="0.2">
      <c r="A2" s="20" t="s">
        <v>11</v>
      </c>
      <c r="B2" s="21" t="s">
        <v>47</v>
      </c>
      <c r="C2" s="9" t="s">
        <v>3</v>
      </c>
      <c r="D2" s="8" t="s">
        <v>4</v>
      </c>
    </row>
    <row r="3" spans="1:4" ht="25.5" x14ac:dyDescent="0.2">
      <c r="A3" s="16" t="s">
        <v>69</v>
      </c>
      <c r="B3" s="11">
        <v>182512</v>
      </c>
      <c r="C3" s="4">
        <f t="shared" ref="C3:C9" si="0">SUM(B3)</f>
        <v>182512</v>
      </c>
      <c r="D3" s="7">
        <f>SUM(C3,C6)</f>
        <v>198080</v>
      </c>
    </row>
    <row r="4" spans="1:4" ht="25.5" x14ac:dyDescent="0.2">
      <c r="A4" s="16" t="s">
        <v>70</v>
      </c>
      <c r="B4" s="13">
        <v>45839</v>
      </c>
      <c r="C4" s="4">
        <f t="shared" si="0"/>
        <v>45839</v>
      </c>
      <c r="D4" s="7">
        <f>SUM(C4,C5)</f>
        <v>49092</v>
      </c>
    </row>
    <row r="5" spans="1:4" ht="25.5" x14ac:dyDescent="0.2">
      <c r="A5" s="16" t="s">
        <v>71</v>
      </c>
      <c r="B5" s="13">
        <v>3253</v>
      </c>
      <c r="C5" s="4">
        <f t="shared" si="0"/>
        <v>3253</v>
      </c>
      <c r="D5" s="3"/>
    </row>
    <row r="6" spans="1:4" ht="25.5" x14ac:dyDescent="0.2">
      <c r="A6" s="16" t="s">
        <v>72</v>
      </c>
      <c r="B6" s="13">
        <v>15568</v>
      </c>
      <c r="C6" s="4">
        <f t="shared" si="0"/>
        <v>15568</v>
      </c>
      <c r="D6" s="3"/>
    </row>
    <row r="7" spans="1:4" x14ac:dyDescent="0.2">
      <c r="A7" s="17" t="s">
        <v>0</v>
      </c>
      <c r="B7" s="11">
        <v>1158</v>
      </c>
      <c r="C7" s="4">
        <f t="shared" si="0"/>
        <v>1158</v>
      </c>
      <c r="D7" s="3"/>
    </row>
    <row r="8" spans="1:4" x14ac:dyDescent="0.2">
      <c r="A8" s="17" t="s">
        <v>1</v>
      </c>
      <c r="B8" s="11"/>
      <c r="C8" s="4">
        <f t="shared" si="0"/>
        <v>0</v>
      </c>
      <c r="D8" s="3"/>
    </row>
    <row r="9" spans="1:4" x14ac:dyDescent="0.2">
      <c r="A9" s="17" t="s">
        <v>5</v>
      </c>
      <c r="B9" s="11">
        <v>545</v>
      </c>
      <c r="C9" s="4">
        <f t="shared" si="0"/>
        <v>545</v>
      </c>
      <c r="D9" s="3"/>
    </row>
    <row r="10" spans="1:4" x14ac:dyDescent="0.2">
      <c r="A10" s="18" t="s">
        <v>2</v>
      </c>
      <c r="B10" s="11">
        <f>SUM(StateSenatorSenateDistrict7General141516171819202122232425[Part of New York County Vote Results])</f>
        <v>248875</v>
      </c>
      <c r="C10" s="4">
        <f>SUM(StateSenatorSenateDistrict7General141516171819202122232425[Total Votes by Party])</f>
        <v>248875</v>
      </c>
      <c r="D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F2C4-D5F7-4DB4-BEF0-3C190A95034A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19" t="s">
        <v>85</v>
      </c>
    </row>
    <row r="2" spans="1:5" ht="24.95" customHeight="1" x14ac:dyDescent="0.2">
      <c r="A2" s="10" t="s">
        <v>11</v>
      </c>
      <c r="B2" s="21" t="s">
        <v>49</v>
      </c>
      <c r="C2" s="21" t="s">
        <v>47</v>
      </c>
      <c r="D2" s="9" t="s">
        <v>3</v>
      </c>
      <c r="E2" s="8" t="s">
        <v>4</v>
      </c>
    </row>
    <row r="3" spans="1:5" ht="25.5" x14ac:dyDescent="0.2">
      <c r="A3" s="2" t="s">
        <v>69</v>
      </c>
      <c r="B3" s="11">
        <v>16371</v>
      </c>
      <c r="C3" s="11">
        <v>91565</v>
      </c>
      <c r="D3" s="4">
        <f>SUM(B3,StateSenatorSenateDistrict7General14151617181920212223242526[[#This Row],[Part of New York County Vote Results]])</f>
        <v>107936</v>
      </c>
      <c r="E3" s="7">
        <f>SUM(D3,D6)</f>
        <v>121178</v>
      </c>
    </row>
    <row r="4" spans="1:5" ht="25.5" x14ac:dyDescent="0.2">
      <c r="A4" s="2" t="s">
        <v>70</v>
      </c>
      <c r="B4" s="11">
        <v>4662</v>
      </c>
      <c r="C4" s="11">
        <v>13056</v>
      </c>
      <c r="D4" s="4">
        <f>SUM(B4,StateSenatorSenateDistrict7General14151617181920212223242526[[#This Row],[Part of New York County Vote Results]])</f>
        <v>17718</v>
      </c>
      <c r="E4" s="7">
        <f>SUM(D4,D5)</f>
        <v>19201</v>
      </c>
    </row>
    <row r="5" spans="1:5" ht="25.5" x14ac:dyDescent="0.2">
      <c r="A5" s="2" t="s">
        <v>71</v>
      </c>
      <c r="B5" s="11">
        <v>325</v>
      </c>
      <c r="C5" s="11">
        <v>1158</v>
      </c>
      <c r="D5" s="4">
        <f>SUM(B5,StateSenatorSenateDistrict7General14151617181920212223242526[[#This Row],[Part of New York County Vote Results]])</f>
        <v>1483</v>
      </c>
      <c r="E5" s="3"/>
    </row>
    <row r="6" spans="1:5" ht="25.5" x14ac:dyDescent="0.2">
      <c r="A6" s="2" t="s">
        <v>72</v>
      </c>
      <c r="B6" s="11">
        <v>997</v>
      </c>
      <c r="C6" s="11">
        <v>12245</v>
      </c>
      <c r="D6" s="4">
        <f>SUM(B6,StateSenatorSenateDistrict7General14151617181920212223242526[[#This Row],[Part of New York County Vote Results]])</f>
        <v>13242</v>
      </c>
      <c r="E6" s="3"/>
    </row>
    <row r="7" spans="1:5" x14ac:dyDescent="0.2">
      <c r="A7" s="6" t="s">
        <v>0</v>
      </c>
      <c r="B7" s="13">
        <v>342</v>
      </c>
      <c r="C7" s="11">
        <v>1277</v>
      </c>
      <c r="D7" s="12">
        <f t="shared" ref="D7:D9" si="0">SUM(B7)</f>
        <v>342</v>
      </c>
      <c r="E7" s="3"/>
    </row>
    <row r="8" spans="1:5" x14ac:dyDescent="0.2">
      <c r="A8" s="6" t="s">
        <v>1</v>
      </c>
      <c r="B8" s="13"/>
      <c r="C8" s="11"/>
      <c r="D8" s="12">
        <f t="shared" si="0"/>
        <v>0</v>
      </c>
      <c r="E8" s="3"/>
    </row>
    <row r="9" spans="1:5" x14ac:dyDescent="0.2">
      <c r="A9" s="6" t="s">
        <v>5</v>
      </c>
      <c r="B9" s="13">
        <v>29</v>
      </c>
      <c r="C9" s="11">
        <v>258</v>
      </c>
      <c r="D9" s="12">
        <f t="shared" si="0"/>
        <v>29</v>
      </c>
      <c r="E9" s="3"/>
    </row>
    <row r="10" spans="1:5" x14ac:dyDescent="0.2">
      <c r="A10" s="5" t="s">
        <v>2</v>
      </c>
      <c r="B10" s="11">
        <f>SUM(StateSenatorSenateDistrict7General14151617181920212223242526[Part of Bronx County Vote Results])</f>
        <v>22726</v>
      </c>
      <c r="C10" s="11">
        <f>SUM(StateSenatorSenateDistrict7General14151617181920212223242526[Part of New York County Vote Results])</f>
        <v>119559</v>
      </c>
      <c r="D10" s="4">
        <f>SUM(StateSenatorSenateDistrict7General14151617181920212223242526[Total Votes by Party])</f>
        <v>140750</v>
      </c>
      <c r="E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F7C-27A3-48D7-917E-6C666F9384B3}">
  <sheetPr>
    <pageSetUpPr fitToPage="1"/>
  </sheetPr>
  <dimension ref="A1:E10"/>
  <sheetViews>
    <sheetView workbookViewId="0"/>
  </sheetViews>
  <sheetFormatPr defaultRowHeight="12.75" x14ac:dyDescent="0.2"/>
  <cols>
    <col min="1" max="1" width="25.5703125" style="1" customWidth="1"/>
    <col min="2" max="5" width="20.5703125" customWidth="1"/>
    <col min="6" max="7" width="23.5703125" customWidth="1"/>
  </cols>
  <sheetData>
    <row r="1" spans="1:5" ht="24.95" customHeight="1" x14ac:dyDescent="0.2">
      <c r="A1" s="19" t="s">
        <v>86</v>
      </c>
    </row>
    <row r="2" spans="1:5" ht="24.95" customHeight="1" x14ac:dyDescent="0.2">
      <c r="A2" s="20" t="s">
        <v>11</v>
      </c>
      <c r="B2" s="21" t="s">
        <v>49</v>
      </c>
      <c r="C2" s="21" t="s">
        <v>45</v>
      </c>
      <c r="D2" s="9" t="s">
        <v>3</v>
      </c>
      <c r="E2" s="8" t="s">
        <v>4</v>
      </c>
    </row>
    <row r="3" spans="1:5" ht="25.5" x14ac:dyDescent="0.2">
      <c r="A3" s="16" t="s">
        <v>69</v>
      </c>
      <c r="B3" s="11">
        <v>46292</v>
      </c>
      <c r="C3" s="11">
        <v>30848</v>
      </c>
      <c r="D3" s="4">
        <f t="shared" ref="D3:D9" si="0">SUM(B3:C3)</f>
        <v>77140</v>
      </c>
      <c r="E3" s="7">
        <f>SUM(D3,D6)</f>
        <v>85086</v>
      </c>
    </row>
    <row r="4" spans="1:5" ht="25.5" x14ac:dyDescent="0.2">
      <c r="A4" s="16" t="s">
        <v>70</v>
      </c>
      <c r="B4" s="13">
        <v>17244</v>
      </c>
      <c r="C4" s="13">
        <v>16136</v>
      </c>
      <c r="D4" s="4">
        <f t="shared" si="0"/>
        <v>33380</v>
      </c>
      <c r="E4" s="7">
        <f>SUM(D4,D5)</f>
        <v>35933</v>
      </c>
    </row>
    <row r="5" spans="1:5" ht="25.5" x14ac:dyDescent="0.2">
      <c r="A5" s="16" t="s">
        <v>71</v>
      </c>
      <c r="B5" s="13">
        <v>1375</v>
      </c>
      <c r="C5" s="13">
        <v>1178</v>
      </c>
      <c r="D5" s="4">
        <f t="shared" si="0"/>
        <v>2553</v>
      </c>
      <c r="E5" s="3"/>
    </row>
    <row r="6" spans="1:5" ht="25.5" x14ac:dyDescent="0.2">
      <c r="A6" s="16" t="s">
        <v>72</v>
      </c>
      <c r="B6" s="13">
        <v>2095</v>
      </c>
      <c r="C6" s="13">
        <v>5851</v>
      </c>
      <c r="D6" s="4">
        <f t="shared" si="0"/>
        <v>7946</v>
      </c>
      <c r="E6" s="3"/>
    </row>
    <row r="7" spans="1:5" x14ac:dyDescent="0.2">
      <c r="A7" s="17" t="s">
        <v>0</v>
      </c>
      <c r="B7" s="11">
        <v>687</v>
      </c>
      <c r="C7" s="11">
        <v>406</v>
      </c>
      <c r="D7" s="4">
        <f t="shared" si="0"/>
        <v>1093</v>
      </c>
      <c r="E7" s="3"/>
    </row>
    <row r="8" spans="1:5" x14ac:dyDescent="0.2">
      <c r="A8" s="17" t="s">
        <v>1</v>
      </c>
      <c r="B8" s="11"/>
      <c r="C8" s="11"/>
      <c r="D8" s="4">
        <f t="shared" si="0"/>
        <v>0</v>
      </c>
      <c r="E8" s="3"/>
    </row>
    <row r="9" spans="1:5" x14ac:dyDescent="0.2">
      <c r="A9" s="17" t="s">
        <v>5</v>
      </c>
      <c r="B9" s="11">
        <v>72</v>
      </c>
      <c r="C9" s="11">
        <v>108</v>
      </c>
      <c r="D9" s="4">
        <f t="shared" si="0"/>
        <v>180</v>
      </c>
      <c r="E9" s="3"/>
    </row>
    <row r="10" spans="1:5" x14ac:dyDescent="0.2">
      <c r="A10" s="18" t="s">
        <v>2</v>
      </c>
      <c r="B10" s="11">
        <f>SUM(StateSenatorSenateDistrict7General14151617181920212223242527[Part of Bronx County Vote Results])</f>
        <v>67765</v>
      </c>
      <c r="C10" s="11">
        <f>SUM(StateSenatorSenateDistrict7General14151617181920212223242527[Part of Queens County Vote Results])</f>
        <v>54527</v>
      </c>
      <c r="D10" s="4">
        <f>SUM(StateSenatorSenateDistrict7General14151617181920212223242527[Total Votes by Party])</f>
        <v>122292</v>
      </c>
      <c r="E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50FC-58BA-427D-A274-7D6818DB7819}">
  <sheetPr>
    <pageSetUpPr fitToPage="1"/>
  </sheetPr>
  <dimension ref="A1:D10"/>
  <sheetViews>
    <sheetView workbookViewId="0"/>
  </sheetViews>
  <sheetFormatPr defaultRowHeight="12.75" x14ac:dyDescent="0.2"/>
  <cols>
    <col min="1" max="1" width="25.5703125" style="1" customWidth="1"/>
    <col min="2" max="4" width="20.5703125" customWidth="1"/>
    <col min="5" max="6" width="23.5703125" customWidth="1"/>
  </cols>
  <sheetData>
    <row r="1" spans="1:4" ht="24.95" customHeight="1" x14ac:dyDescent="0.2">
      <c r="A1" s="19" t="s">
        <v>87</v>
      </c>
    </row>
    <row r="2" spans="1:4" ht="24.95" customHeight="1" x14ac:dyDescent="0.2">
      <c r="A2" s="20" t="s">
        <v>11</v>
      </c>
      <c r="B2" s="21" t="s">
        <v>49</v>
      </c>
      <c r="C2" s="9" t="s">
        <v>3</v>
      </c>
      <c r="D2" s="8" t="s">
        <v>4</v>
      </c>
    </row>
    <row r="3" spans="1:4" ht="25.5" x14ac:dyDescent="0.2">
      <c r="A3" s="16" t="s">
        <v>69</v>
      </c>
      <c r="B3" s="11">
        <v>75815</v>
      </c>
      <c r="C3" s="4">
        <f t="shared" ref="C3:C7" si="0">SUM(B3)</f>
        <v>75815</v>
      </c>
      <c r="D3" s="7">
        <f>SUM(C3,C6)</f>
        <v>79919</v>
      </c>
    </row>
    <row r="4" spans="1:4" ht="25.5" x14ac:dyDescent="0.2">
      <c r="A4" s="16" t="s">
        <v>70</v>
      </c>
      <c r="B4" s="13">
        <v>18808</v>
      </c>
      <c r="C4" s="4">
        <f t="shared" si="0"/>
        <v>18808</v>
      </c>
      <c r="D4" s="7">
        <f>SUM(C4,C5)</f>
        <v>20296</v>
      </c>
    </row>
    <row r="5" spans="1:4" ht="25.5" x14ac:dyDescent="0.2">
      <c r="A5" s="16" t="s">
        <v>71</v>
      </c>
      <c r="B5" s="11">
        <v>1488</v>
      </c>
      <c r="C5" s="4">
        <f t="shared" si="0"/>
        <v>1488</v>
      </c>
      <c r="D5" s="3"/>
    </row>
    <row r="6" spans="1:4" ht="25.5" x14ac:dyDescent="0.2">
      <c r="A6" s="16" t="s">
        <v>72</v>
      </c>
      <c r="B6" s="11">
        <v>4104</v>
      </c>
      <c r="C6" s="4">
        <f t="shared" si="0"/>
        <v>4104</v>
      </c>
      <c r="D6" s="3"/>
    </row>
    <row r="7" spans="1:4" x14ac:dyDescent="0.2">
      <c r="A7" s="17" t="s">
        <v>0</v>
      </c>
      <c r="B7" s="11">
        <v>1185</v>
      </c>
      <c r="C7" s="4">
        <f t="shared" si="0"/>
        <v>1185</v>
      </c>
      <c r="D7" s="3"/>
    </row>
    <row r="8" spans="1:4" x14ac:dyDescent="0.2">
      <c r="A8" s="17" t="s">
        <v>1</v>
      </c>
      <c r="B8" s="13"/>
      <c r="C8" s="12">
        <f t="shared" ref="C8:C9" si="1">SUM(B8)</f>
        <v>0</v>
      </c>
      <c r="D8" s="3"/>
    </row>
    <row r="9" spans="1:4" x14ac:dyDescent="0.2">
      <c r="A9" s="17" t="s">
        <v>5</v>
      </c>
      <c r="B9" s="13">
        <v>122</v>
      </c>
      <c r="C9" s="12">
        <f t="shared" si="1"/>
        <v>122</v>
      </c>
      <c r="D9" s="3"/>
    </row>
    <row r="10" spans="1:4" x14ac:dyDescent="0.2">
      <c r="A10" s="18" t="s">
        <v>2</v>
      </c>
      <c r="B10" s="11">
        <f>SUM(StateSenatorSenateDistrict7General14151617181920212223242528[Part of Bronx County Vote Results])</f>
        <v>101522</v>
      </c>
      <c r="C10" s="4">
        <f>SUM(StateSenatorSenateDistrict7General14151617181920212223242528[Total Votes by Party])</f>
        <v>101522</v>
      </c>
      <c r="D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725C-C0FF-4AEF-90F1-EDF8B60BA55E}">
  <sheetPr>
    <pageSetUpPr fitToPage="1"/>
  </sheetPr>
  <dimension ref="A1:E10"/>
  <sheetViews>
    <sheetView workbookViewId="0"/>
  </sheetViews>
  <sheetFormatPr defaultRowHeight="12.75" x14ac:dyDescent="0.2"/>
  <cols>
    <col min="1" max="1" width="25.5703125" style="1" customWidth="1"/>
    <col min="2" max="5" width="20.5703125" customWidth="1"/>
    <col min="6" max="7" width="23.5703125" customWidth="1"/>
  </cols>
  <sheetData>
    <row r="1" spans="1:5" ht="24.95" customHeight="1" x14ac:dyDescent="0.2">
      <c r="A1" s="19" t="s">
        <v>88</v>
      </c>
    </row>
    <row r="2" spans="1:5" ht="24.95" customHeight="1" x14ac:dyDescent="0.2">
      <c r="A2" s="20" t="s">
        <v>11</v>
      </c>
      <c r="B2" s="21" t="s">
        <v>49</v>
      </c>
      <c r="C2" s="21" t="s">
        <v>50</v>
      </c>
      <c r="D2" s="9" t="s">
        <v>3</v>
      </c>
      <c r="E2" s="8" t="s">
        <v>4</v>
      </c>
    </row>
    <row r="3" spans="1:5" ht="25.5" x14ac:dyDescent="0.2">
      <c r="A3" s="16" t="s">
        <v>69</v>
      </c>
      <c r="B3" s="11">
        <v>9653</v>
      </c>
      <c r="C3" s="11">
        <v>122889</v>
      </c>
      <c r="D3" s="4">
        <f t="shared" ref="D3:D8" si="0">SUM(B3:C3)</f>
        <v>132542</v>
      </c>
      <c r="E3" s="7">
        <f>SUM(D3,D6)</f>
        <v>139453</v>
      </c>
    </row>
    <row r="4" spans="1:5" ht="25.5" x14ac:dyDescent="0.2">
      <c r="A4" s="16" t="s">
        <v>70</v>
      </c>
      <c r="B4" s="13">
        <v>971</v>
      </c>
      <c r="C4" s="11">
        <v>72383</v>
      </c>
      <c r="D4" s="4">
        <f t="shared" si="0"/>
        <v>73354</v>
      </c>
      <c r="E4" s="7">
        <f>SUM(D4,D5)</f>
        <v>79695</v>
      </c>
    </row>
    <row r="5" spans="1:5" ht="25.5" x14ac:dyDescent="0.2">
      <c r="A5" s="16" t="s">
        <v>71</v>
      </c>
      <c r="B5" s="13">
        <v>75</v>
      </c>
      <c r="C5" s="13">
        <v>6266</v>
      </c>
      <c r="D5" s="4">
        <f t="shared" si="0"/>
        <v>6341</v>
      </c>
      <c r="E5" s="3"/>
    </row>
    <row r="6" spans="1:5" ht="25.5" x14ac:dyDescent="0.2">
      <c r="A6" s="16" t="s">
        <v>72</v>
      </c>
      <c r="B6" s="11">
        <v>237</v>
      </c>
      <c r="C6" s="11">
        <v>6674</v>
      </c>
      <c r="D6" s="4">
        <f t="shared" si="0"/>
        <v>6911</v>
      </c>
      <c r="E6" s="3"/>
    </row>
    <row r="7" spans="1:5" x14ac:dyDescent="0.2">
      <c r="A7" s="17" t="s">
        <v>0</v>
      </c>
      <c r="B7" s="11">
        <v>110</v>
      </c>
      <c r="C7" s="11">
        <v>2144</v>
      </c>
      <c r="D7" s="4">
        <f t="shared" si="0"/>
        <v>2254</v>
      </c>
      <c r="E7" s="3"/>
    </row>
    <row r="8" spans="1:5" x14ac:dyDescent="0.2">
      <c r="A8" s="17" t="s">
        <v>1</v>
      </c>
      <c r="B8" s="11"/>
      <c r="C8" s="11">
        <v>0</v>
      </c>
      <c r="D8" s="4">
        <f t="shared" si="0"/>
        <v>0</v>
      </c>
      <c r="E8" s="3"/>
    </row>
    <row r="9" spans="1:5" x14ac:dyDescent="0.2">
      <c r="A9" s="17" t="s">
        <v>5</v>
      </c>
      <c r="B9" s="13">
        <v>4</v>
      </c>
      <c r="C9" s="11">
        <v>180</v>
      </c>
      <c r="D9" s="12">
        <f t="shared" ref="D9" si="1">SUM(B9:C9)</f>
        <v>184</v>
      </c>
      <c r="E9" s="3"/>
    </row>
    <row r="10" spans="1:5" x14ac:dyDescent="0.2">
      <c r="A10" s="18" t="s">
        <v>2</v>
      </c>
      <c r="B10" s="11">
        <f>SUM(StateSenatorSenateDistrict7General1415161718192021222324252829[Part of Bronx County Vote Results])</f>
        <v>11050</v>
      </c>
      <c r="C10" s="11">
        <f>SUM(StateSenatorSenateDistrict7General1415161718192021222324252829[Part of Westchester County Vote Results])</f>
        <v>210536</v>
      </c>
      <c r="D10" s="4">
        <f>SUM(StateSenatorSenateDistrict7General1415161718192021222324252829[Total Votes by Party])</f>
        <v>221586</v>
      </c>
      <c r="E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D682-9271-46C7-983C-9A5597B6BB75}">
  <sheetPr>
    <pageSetUpPr fitToPage="1"/>
  </sheetPr>
  <dimension ref="A1:G10"/>
  <sheetViews>
    <sheetView workbookViewId="0">
      <selection activeCell="D24" sqref="D24"/>
    </sheetView>
  </sheetViews>
  <sheetFormatPr defaultRowHeight="12.75" x14ac:dyDescent="0.2"/>
  <cols>
    <col min="1" max="1" width="25.5703125" style="1" customWidth="1"/>
    <col min="2" max="7" width="20.5703125" customWidth="1"/>
    <col min="8" max="9" width="23.5703125" customWidth="1"/>
  </cols>
  <sheetData>
    <row r="1" spans="1:7" ht="24.95" customHeight="1" x14ac:dyDescent="0.2">
      <c r="A1" s="19" t="s">
        <v>89</v>
      </c>
    </row>
    <row r="2" spans="1:7" ht="24.95" customHeight="1" x14ac:dyDescent="0.2">
      <c r="A2" s="20" t="s">
        <v>11</v>
      </c>
      <c r="B2" s="21" t="s">
        <v>51</v>
      </c>
      <c r="C2" s="21" t="s">
        <v>41</v>
      </c>
      <c r="D2" s="21" t="s">
        <v>40</v>
      </c>
      <c r="E2" s="21" t="s">
        <v>50</v>
      </c>
      <c r="F2" s="9" t="s">
        <v>3</v>
      </c>
      <c r="G2" s="8" t="s">
        <v>4</v>
      </c>
    </row>
    <row r="3" spans="1:7" ht="25.5" x14ac:dyDescent="0.2">
      <c r="A3" s="16" t="s">
        <v>69</v>
      </c>
      <c r="B3" s="11">
        <v>6076</v>
      </c>
      <c r="C3" s="11">
        <v>15108</v>
      </c>
      <c r="D3" s="11">
        <v>45258</v>
      </c>
      <c r="E3" s="11">
        <v>64453</v>
      </c>
      <c r="F3" s="4">
        <f t="shared" ref="F3:F9" si="0">SUM(B3:E3)</f>
        <v>130895</v>
      </c>
      <c r="G3" s="7">
        <f>SUM(F3,F6)</f>
        <v>139380</v>
      </c>
    </row>
    <row r="4" spans="1:7" ht="25.5" x14ac:dyDescent="0.2">
      <c r="A4" s="16" t="s">
        <v>70</v>
      </c>
      <c r="B4" s="13">
        <v>10484</v>
      </c>
      <c r="C4" s="13">
        <v>22195</v>
      </c>
      <c r="D4" s="13">
        <v>51462</v>
      </c>
      <c r="E4" s="11">
        <v>46969</v>
      </c>
      <c r="F4" s="4">
        <f t="shared" si="0"/>
        <v>131110</v>
      </c>
      <c r="G4" s="7">
        <f>SUM(F4,F5)</f>
        <v>149051</v>
      </c>
    </row>
    <row r="5" spans="1:7" ht="25.5" x14ac:dyDescent="0.2">
      <c r="A5" s="16" t="s">
        <v>71</v>
      </c>
      <c r="B5" s="13">
        <v>1265</v>
      </c>
      <c r="C5" s="13">
        <v>2703</v>
      </c>
      <c r="D5" s="13">
        <v>9556</v>
      </c>
      <c r="E5" s="11">
        <v>4417</v>
      </c>
      <c r="F5" s="12">
        <f>SUM(B5:E5)</f>
        <v>17941</v>
      </c>
      <c r="G5" s="3"/>
    </row>
    <row r="6" spans="1:7" ht="25.5" x14ac:dyDescent="0.2">
      <c r="A6" s="16" t="s">
        <v>72</v>
      </c>
      <c r="B6" s="13">
        <v>398</v>
      </c>
      <c r="C6" s="13">
        <v>1305</v>
      </c>
      <c r="D6" s="13">
        <v>2596</v>
      </c>
      <c r="E6" s="13">
        <v>4186</v>
      </c>
      <c r="F6" s="4">
        <f t="shared" si="0"/>
        <v>8485</v>
      </c>
      <c r="G6" s="3"/>
    </row>
    <row r="7" spans="1:7" x14ac:dyDescent="0.2">
      <c r="A7" s="17" t="s">
        <v>0</v>
      </c>
      <c r="B7" s="11">
        <v>63</v>
      </c>
      <c r="C7" s="11">
        <v>329</v>
      </c>
      <c r="D7" s="11">
        <v>1180</v>
      </c>
      <c r="E7" s="11">
        <v>923</v>
      </c>
      <c r="F7" s="4">
        <f t="shared" si="0"/>
        <v>2495</v>
      </c>
      <c r="G7" s="3"/>
    </row>
    <row r="8" spans="1:7" x14ac:dyDescent="0.2">
      <c r="A8" s="17" t="s">
        <v>1</v>
      </c>
      <c r="B8" s="11">
        <v>1</v>
      </c>
      <c r="C8" s="11">
        <v>0</v>
      </c>
      <c r="D8" s="11">
        <v>58</v>
      </c>
      <c r="E8" s="11"/>
      <c r="F8" s="4">
        <f t="shared" si="0"/>
        <v>59</v>
      </c>
      <c r="G8" s="3"/>
    </row>
    <row r="9" spans="1:7" x14ac:dyDescent="0.2">
      <c r="A9" s="17" t="s">
        <v>5</v>
      </c>
      <c r="B9" s="11">
        <v>15</v>
      </c>
      <c r="C9" s="11">
        <v>39</v>
      </c>
      <c r="D9" s="11">
        <v>157</v>
      </c>
      <c r="E9" s="11">
        <v>102</v>
      </c>
      <c r="F9" s="4">
        <f t="shared" si="0"/>
        <v>313</v>
      </c>
      <c r="G9" s="3"/>
    </row>
    <row r="10" spans="1:7" x14ac:dyDescent="0.2">
      <c r="A10" s="18" t="s">
        <v>2</v>
      </c>
      <c r="B10" s="11">
        <f>SUM(StateSenatorSenateDistrict7General141516171819202122232425282930[Part of Dutchess County Vote Results])</f>
        <v>18302</v>
      </c>
      <c r="C10" s="11">
        <f>SUM(StateSenatorSenateDistrict7General141516171819202122232425282930[Putnam County Vote Results])</f>
        <v>41679</v>
      </c>
      <c r="D10" s="11">
        <f>SUM(StateSenatorSenateDistrict7General141516171819202122232425282930[Rockland County Vote Results])</f>
        <v>110267</v>
      </c>
      <c r="E10" s="11">
        <f>SUM(StateSenatorSenateDistrict7General141516171819202122232425282930[Part of Westchester County Vote Results])</f>
        <v>121050</v>
      </c>
      <c r="F10" s="4">
        <f>SUM(StateSenatorSenateDistrict7General141516171819202122232425282930[Total Votes by Party])</f>
        <v>291298</v>
      </c>
      <c r="G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48F0-46A2-4D35-8C34-EB459FA0832A}">
  <sheetPr>
    <pageSetUpPr fitToPage="1"/>
  </sheetPr>
  <dimension ref="A1:F10"/>
  <sheetViews>
    <sheetView workbookViewId="0"/>
  </sheetViews>
  <sheetFormatPr defaultRowHeight="12.75" x14ac:dyDescent="0.2"/>
  <cols>
    <col min="1" max="1" width="25.5703125" style="1" customWidth="1"/>
    <col min="2" max="6" width="20.5703125" customWidth="1"/>
    <col min="7" max="8" width="23.5703125" customWidth="1"/>
  </cols>
  <sheetData>
    <row r="1" spans="1:6" ht="24.95" customHeight="1" x14ac:dyDescent="0.2">
      <c r="A1" s="19" t="s">
        <v>90</v>
      </c>
    </row>
    <row r="2" spans="1:6" ht="24.95" customHeight="1" x14ac:dyDescent="0.2">
      <c r="A2" s="20" t="s">
        <v>11</v>
      </c>
      <c r="B2" s="21" t="s">
        <v>51</v>
      </c>
      <c r="C2" s="21" t="s">
        <v>42</v>
      </c>
      <c r="D2" s="21" t="s">
        <v>52</v>
      </c>
      <c r="E2" s="9" t="s">
        <v>3</v>
      </c>
      <c r="F2" s="8" t="s">
        <v>4</v>
      </c>
    </row>
    <row r="3" spans="1:6" ht="25.5" x14ac:dyDescent="0.2">
      <c r="A3" s="16" t="s">
        <v>69</v>
      </c>
      <c r="B3" s="11">
        <v>44891</v>
      </c>
      <c r="C3" s="11">
        <v>51397</v>
      </c>
      <c r="D3" s="11">
        <v>23900</v>
      </c>
      <c r="E3" s="4">
        <f t="shared" ref="E3:E9" si="0">SUM(B3:D3)</f>
        <v>120188</v>
      </c>
      <c r="F3" s="7">
        <f>SUM(E3,E6)</f>
        <v>131550</v>
      </c>
    </row>
    <row r="4" spans="1:6" ht="25.5" x14ac:dyDescent="0.2">
      <c r="A4" s="16" t="s">
        <v>70</v>
      </c>
      <c r="B4" s="13">
        <v>42319</v>
      </c>
      <c r="C4" s="13">
        <v>62845</v>
      </c>
      <c r="D4" s="11">
        <v>18752</v>
      </c>
      <c r="E4" s="4">
        <f t="shared" si="0"/>
        <v>123916</v>
      </c>
      <c r="F4" s="7">
        <f>SUM(E4,E5)</f>
        <v>138760</v>
      </c>
    </row>
    <row r="5" spans="1:6" ht="25.5" x14ac:dyDescent="0.2">
      <c r="A5" s="16" t="s">
        <v>71</v>
      </c>
      <c r="B5" s="13">
        <v>5418</v>
      </c>
      <c r="C5" s="13">
        <v>6713</v>
      </c>
      <c r="D5" s="11">
        <v>2713</v>
      </c>
      <c r="E5" s="12">
        <f>SUM(B5:D5)</f>
        <v>14844</v>
      </c>
      <c r="F5" s="3"/>
    </row>
    <row r="6" spans="1:6" ht="25.5" x14ac:dyDescent="0.2">
      <c r="A6" s="16" t="s">
        <v>72</v>
      </c>
      <c r="B6" s="13">
        <v>4154</v>
      </c>
      <c r="C6" s="13">
        <v>2989</v>
      </c>
      <c r="D6" s="13">
        <v>4219</v>
      </c>
      <c r="E6" s="4">
        <f t="shared" si="0"/>
        <v>11362</v>
      </c>
      <c r="F6" s="3"/>
    </row>
    <row r="7" spans="1:6" x14ac:dyDescent="0.2">
      <c r="A7" s="17" t="s">
        <v>0</v>
      </c>
      <c r="B7" s="11">
        <v>480</v>
      </c>
      <c r="C7" s="11">
        <v>697</v>
      </c>
      <c r="D7" s="11"/>
      <c r="E7" s="4">
        <f t="shared" si="0"/>
        <v>1177</v>
      </c>
      <c r="F7" s="3"/>
    </row>
    <row r="8" spans="1:6" x14ac:dyDescent="0.2">
      <c r="A8" s="17" t="s">
        <v>1</v>
      </c>
      <c r="B8" s="11">
        <v>32</v>
      </c>
      <c r="C8" s="11">
        <v>36</v>
      </c>
      <c r="D8" s="11"/>
      <c r="E8" s="4">
        <f t="shared" si="0"/>
        <v>68</v>
      </c>
      <c r="F8" s="3"/>
    </row>
    <row r="9" spans="1:6" x14ac:dyDescent="0.2">
      <c r="A9" s="17" t="s">
        <v>5</v>
      </c>
      <c r="B9" s="11">
        <v>130</v>
      </c>
      <c r="C9" s="11">
        <v>198</v>
      </c>
      <c r="D9" s="11"/>
      <c r="E9" s="4">
        <f t="shared" si="0"/>
        <v>328</v>
      </c>
      <c r="F9" s="3"/>
    </row>
    <row r="10" spans="1:6" x14ac:dyDescent="0.2">
      <c r="A10" s="18" t="s">
        <v>2</v>
      </c>
      <c r="B10" s="11">
        <f>SUM(StateSenatorSenateDistrict7General14151617181920212223242528293031[Part of Dutchess County Vote Results])</f>
        <v>97424</v>
      </c>
      <c r="C10" s="11">
        <f>SUM(StateSenatorSenateDistrict7General14151617181920212223242528293031[Orange County Vote Results])</f>
        <v>124875</v>
      </c>
      <c r="D10" s="11">
        <f>SUM(StateSenatorSenateDistrict7General14151617181920212223242528293031[Part of Ulster County Vote Results])</f>
        <v>49584</v>
      </c>
      <c r="E10" s="4">
        <f>SUM(StateSenatorSenateDistrict7General14151617181920212223242528293031[Total Votes by Party])</f>
        <v>271883</v>
      </c>
      <c r="F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1D81-7D01-4649-AD4E-DF5F7C175673}">
  <sheetPr>
    <pageSetUpPr fitToPage="1"/>
  </sheetPr>
  <dimension ref="A1:N10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2.42578125" style="1" customWidth="1"/>
    <col min="2" max="14" width="14.7109375" customWidth="1"/>
    <col min="15" max="16" width="23.5703125" customWidth="1"/>
  </cols>
  <sheetData>
    <row r="1" spans="1:14" ht="24.95" customHeight="1" x14ac:dyDescent="0.2">
      <c r="A1" s="19" t="s">
        <v>91</v>
      </c>
    </row>
    <row r="2" spans="1:14" ht="24.95" customHeight="1" x14ac:dyDescent="0.2">
      <c r="A2" s="20" t="s">
        <v>11</v>
      </c>
      <c r="B2" s="21" t="s">
        <v>53</v>
      </c>
      <c r="C2" s="21" t="s">
        <v>54</v>
      </c>
      <c r="D2" s="21" t="s">
        <v>9</v>
      </c>
      <c r="E2" s="21" t="s">
        <v>55</v>
      </c>
      <c r="F2" s="21" t="s">
        <v>56</v>
      </c>
      <c r="G2" s="21" t="s">
        <v>8</v>
      </c>
      <c r="H2" s="21" t="s">
        <v>59</v>
      </c>
      <c r="I2" s="21" t="s">
        <v>6</v>
      </c>
      <c r="J2" s="21" t="s">
        <v>57</v>
      </c>
      <c r="K2" s="21" t="s">
        <v>58</v>
      </c>
      <c r="L2" s="21" t="s">
        <v>52</v>
      </c>
      <c r="M2" s="14" t="s">
        <v>3</v>
      </c>
      <c r="N2" s="15" t="s">
        <v>4</v>
      </c>
    </row>
    <row r="3" spans="1:14" ht="25.5" x14ac:dyDescent="0.2">
      <c r="A3" s="16" t="s">
        <v>69</v>
      </c>
      <c r="B3" s="11">
        <v>27272</v>
      </c>
      <c r="C3" s="11">
        <v>4623</v>
      </c>
      <c r="D3" s="11">
        <v>14382</v>
      </c>
      <c r="E3" s="11">
        <v>6299</v>
      </c>
      <c r="F3" s="11">
        <v>5869</v>
      </c>
      <c r="G3" s="11">
        <v>6730</v>
      </c>
      <c r="H3" s="11">
        <v>5080</v>
      </c>
      <c r="I3" s="11">
        <v>8912</v>
      </c>
      <c r="J3" s="11">
        <v>5723</v>
      </c>
      <c r="K3" s="11">
        <v>20685</v>
      </c>
      <c r="L3" s="11">
        <v>14307</v>
      </c>
      <c r="M3" s="4">
        <f t="shared" ref="M3:M9" si="0">SUM(B3:L3)</f>
        <v>119882</v>
      </c>
      <c r="N3" s="7">
        <f>SUM(M3,M6)</f>
        <v>134974</v>
      </c>
    </row>
    <row r="4" spans="1:14" ht="25.5" x14ac:dyDescent="0.2">
      <c r="A4" s="16" t="s">
        <v>70</v>
      </c>
      <c r="B4" s="13">
        <v>34542</v>
      </c>
      <c r="C4" s="13">
        <v>10911</v>
      </c>
      <c r="D4" s="13">
        <v>11693</v>
      </c>
      <c r="E4" s="13">
        <v>8349</v>
      </c>
      <c r="F4" s="13">
        <v>11076</v>
      </c>
      <c r="G4" s="13">
        <v>10722</v>
      </c>
      <c r="H4" s="13">
        <v>6644</v>
      </c>
      <c r="I4" s="13">
        <v>13363</v>
      </c>
      <c r="J4" s="13">
        <v>11863</v>
      </c>
      <c r="K4" s="13">
        <v>8639</v>
      </c>
      <c r="L4" s="11">
        <v>10186</v>
      </c>
      <c r="M4" s="4">
        <f t="shared" si="0"/>
        <v>137988</v>
      </c>
      <c r="N4" s="7">
        <f>SUM(M4,M5)</f>
        <v>154381</v>
      </c>
    </row>
    <row r="5" spans="1:14" ht="25.5" x14ac:dyDescent="0.2">
      <c r="A5" s="16" t="s">
        <v>71</v>
      </c>
      <c r="B5" s="13">
        <v>3801</v>
      </c>
      <c r="C5" s="13">
        <v>960</v>
      </c>
      <c r="D5" s="13">
        <v>1908</v>
      </c>
      <c r="E5" s="13">
        <v>945</v>
      </c>
      <c r="F5" s="13">
        <v>1019</v>
      </c>
      <c r="G5" s="13">
        <v>1770</v>
      </c>
      <c r="H5" s="13">
        <v>649</v>
      </c>
      <c r="I5" s="13">
        <v>1646</v>
      </c>
      <c r="J5" s="13">
        <v>1008</v>
      </c>
      <c r="K5" s="13">
        <v>991</v>
      </c>
      <c r="L5" s="11">
        <v>1696</v>
      </c>
      <c r="M5" s="12">
        <f>SUM(B5:L5)</f>
        <v>16393</v>
      </c>
      <c r="N5" s="3"/>
    </row>
    <row r="6" spans="1:14" ht="25.5" x14ac:dyDescent="0.2">
      <c r="A6" s="16" t="s">
        <v>72</v>
      </c>
      <c r="B6" s="13">
        <v>2527</v>
      </c>
      <c r="C6" s="13">
        <v>345</v>
      </c>
      <c r="D6" s="13">
        <v>1678</v>
      </c>
      <c r="E6" s="13">
        <v>513</v>
      </c>
      <c r="F6" s="13">
        <v>621</v>
      </c>
      <c r="G6" s="13">
        <v>921</v>
      </c>
      <c r="H6" s="13">
        <v>453</v>
      </c>
      <c r="I6" s="13">
        <v>847</v>
      </c>
      <c r="J6" s="13">
        <v>394</v>
      </c>
      <c r="K6" s="13">
        <v>4634</v>
      </c>
      <c r="L6" s="13">
        <v>2159</v>
      </c>
      <c r="M6" s="4">
        <f t="shared" si="0"/>
        <v>15092</v>
      </c>
      <c r="N6" s="3"/>
    </row>
    <row r="7" spans="1:14" x14ac:dyDescent="0.2">
      <c r="A7" s="17" t="s">
        <v>0</v>
      </c>
      <c r="B7" s="11">
        <v>587</v>
      </c>
      <c r="C7" s="11">
        <v>77</v>
      </c>
      <c r="D7" s="11">
        <v>175</v>
      </c>
      <c r="E7" s="11">
        <v>129</v>
      </c>
      <c r="F7" s="11">
        <v>90</v>
      </c>
      <c r="G7" s="11">
        <v>193</v>
      </c>
      <c r="H7" s="11">
        <v>79</v>
      </c>
      <c r="I7" s="11">
        <v>187</v>
      </c>
      <c r="J7" s="11">
        <v>106</v>
      </c>
      <c r="K7" s="11">
        <v>167</v>
      </c>
      <c r="L7" s="11"/>
      <c r="M7" s="4">
        <f t="shared" si="0"/>
        <v>1790</v>
      </c>
      <c r="N7" s="3"/>
    </row>
    <row r="8" spans="1:14" x14ac:dyDescent="0.2">
      <c r="A8" s="17" t="s">
        <v>1</v>
      </c>
      <c r="B8" s="11">
        <v>36</v>
      </c>
      <c r="C8" s="11">
        <v>5</v>
      </c>
      <c r="D8" s="11">
        <v>11</v>
      </c>
      <c r="E8" s="11">
        <v>1</v>
      </c>
      <c r="F8" s="11">
        <v>0</v>
      </c>
      <c r="G8" s="11">
        <v>9</v>
      </c>
      <c r="H8" s="11">
        <v>4</v>
      </c>
      <c r="I8" s="11">
        <v>31</v>
      </c>
      <c r="J8" s="11">
        <v>7</v>
      </c>
      <c r="K8" s="11">
        <v>2</v>
      </c>
      <c r="L8" s="11"/>
      <c r="M8" s="4">
        <f t="shared" si="0"/>
        <v>106</v>
      </c>
      <c r="N8" s="3"/>
    </row>
    <row r="9" spans="1:14" x14ac:dyDescent="0.2">
      <c r="A9" s="17" t="s">
        <v>5</v>
      </c>
      <c r="B9" s="11">
        <v>88</v>
      </c>
      <c r="C9" s="11">
        <v>34</v>
      </c>
      <c r="D9" s="11">
        <v>61</v>
      </c>
      <c r="E9" s="11">
        <v>43</v>
      </c>
      <c r="F9" s="11">
        <v>23</v>
      </c>
      <c r="G9" s="11">
        <v>22</v>
      </c>
      <c r="H9" s="11">
        <v>18</v>
      </c>
      <c r="I9" s="11">
        <v>19</v>
      </c>
      <c r="J9" s="11">
        <v>27</v>
      </c>
      <c r="K9" s="11">
        <v>83</v>
      </c>
      <c r="L9" s="11"/>
      <c r="M9" s="4">
        <f t="shared" si="0"/>
        <v>418</v>
      </c>
      <c r="N9" s="3"/>
    </row>
    <row r="10" spans="1:14" x14ac:dyDescent="0.2">
      <c r="A10" s="18" t="s">
        <v>2</v>
      </c>
      <c r="B10" s="11">
        <f>SUM(StateSenatorSenateDistrict7General1415161718192021222324252829303132[Broome County Vote Results])</f>
        <v>68853</v>
      </c>
      <c r="C10" s="11">
        <f>SUM(StateSenatorSenateDistrict7General1415161718192021222324252829303132[Chenango County Vote Results])</f>
        <v>16955</v>
      </c>
      <c r="D10" s="11">
        <f>SUM(StateSenatorSenateDistrict7General1415161718192021222324252829303132[Columbia County Vote Results])</f>
        <v>29908</v>
      </c>
      <c r="E10" s="11">
        <f>SUM(StateSenatorSenateDistrict7General1415161718192021222324252829303132[Cortland County Vote Results])</f>
        <v>16279</v>
      </c>
      <c r="F10" s="11">
        <f>SUM(StateSenatorSenateDistrict7General1415161718192021222324252829303132[Delaware County Vote Results])</f>
        <v>18698</v>
      </c>
      <c r="G10" s="11">
        <f>SUM(StateSenatorSenateDistrict7General1415161718192021222324252829303132[Greene County Vote Results])</f>
        <v>20367</v>
      </c>
      <c r="H10" s="11">
        <f>SUM(StateSenatorSenateDistrict7General1415161718192021222324252829303132[Part of Otsego County Vote Results])</f>
        <v>12927</v>
      </c>
      <c r="I10" s="11">
        <f>SUM(StateSenatorSenateDistrict7General1415161718192021222324252829303132[Sullivan County Vote Results])</f>
        <v>25005</v>
      </c>
      <c r="J10" s="11">
        <f>SUM(StateSenatorSenateDistrict7General1415161718192021222324252829303132[Tioga County Vote Results])</f>
        <v>19128</v>
      </c>
      <c r="K10" s="11">
        <f>SUM(StateSenatorSenateDistrict7General1415161718192021222324252829303132[Tompkins County Vote Results])</f>
        <v>35201</v>
      </c>
      <c r="L10" s="11">
        <f>SUM(StateSenatorSenateDistrict7General1415161718192021222324252829303132[Part of Ulster County Vote Results])</f>
        <v>28348</v>
      </c>
      <c r="M10" s="4">
        <f>SUM(StateSenatorSenateDistrict7General1415161718192021222324252829303132[Total Votes by Party])</f>
        <v>291669</v>
      </c>
      <c r="N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7BD1-5773-4271-8525-0745BFC1C1D5}">
  <sheetPr>
    <pageSetUpPr fitToPage="1"/>
  </sheetPr>
  <dimension ref="A1:E10"/>
  <sheetViews>
    <sheetView workbookViewId="0">
      <selection activeCell="C27" sqref="C27"/>
    </sheetView>
  </sheetViews>
  <sheetFormatPr defaultRowHeight="12.75" x14ac:dyDescent="0.2"/>
  <cols>
    <col min="1" max="1" width="25.5703125" style="1" customWidth="1"/>
    <col min="2" max="5" width="20.5703125" customWidth="1"/>
    <col min="6" max="7" width="23.5703125" customWidth="1"/>
  </cols>
  <sheetData>
    <row r="1" spans="1:5" ht="24.95" customHeight="1" x14ac:dyDescent="0.2">
      <c r="A1" s="19" t="s">
        <v>74</v>
      </c>
    </row>
    <row r="2" spans="1:5" ht="24.95" customHeight="1" x14ac:dyDescent="0.2">
      <c r="A2" s="20" t="s">
        <v>11</v>
      </c>
      <c r="B2" s="21" t="s">
        <v>44</v>
      </c>
      <c r="C2" s="21" t="s">
        <v>43</v>
      </c>
      <c r="D2" s="9" t="s">
        <v>3</v>
      </c>
      <c r="E2" s="8" t="s">
        <v>4</v>
      </c>
    </row>
    <row r="3" spans="1:5" ht="25.5" x14ac:dyDescent="0.2">
      <c r="A3" s="16" t="s">
        <v>69</v>
      </c>
      <c r="B3" s="11">
        <v>3737</v>
      </c>
      <c r="C3" s="11">
        <v>91115</v>
      </c>
      <c r="D3" s="4">
        <f t="shared" ref="D3:D9" si="0">SUM(B3:C3)</f>
        <v>94852</v>
      </c>
      <c r="E3" s="7">
        <f>SUM(D3,D6)</f>
        <v>100077</v>
      </c>
    </row>
    <row r="4" spans="1:5" ht="25.5" x14ac:dyDescent="0.2">
      <c r="A4" s="16" t="s">
        <v>70</v>
      </c>
      <c r="B4" s="11">
        <v>9062</v>
      </c>
      <c r="C4" s="11">
        <v>126021</v>
      </c>
      <c r="D4" s="4">
        <f t="shared" si="0"/>
        <v>135083</v>
      </c>
      <c r="E4" s="7">
        <f>SUM(D4,D5)</f>
        <v>154618</v>
      </c>
    </row>
    <row r="5" spans="1:5" ht="25.5" x14ac:dyDescent="0.2">
      <c r="A5" s="16" t="s">
        <v>71</v>
      </c>
      <c r="B5" s="11">
        <v>708</v>
      </c>
      <c r="C5" s="11">
        <v>18827</v>
      </c>
      <c r="D5" s="4">
        <f t="shared" si="0"/>
        <v>19535</v>
      </c>
      <c r="E5" s="3"/>
    </row>
    <row r="6" spans="1:5" ht="25.5" x14ac:dyDescent="0.2">
      <c r="A6" s="16" t="s">
        <v>72</v>
      </c>
      <c r="B6" s="11">
        <v>188</v>
      </c>
      <c r="C6" s="11">
        <v>5037</v>
      </c>
      <c r="D6" s="4">
        <f t="shared" si="0"/>
        <v>5225</v>
      </c>
      <c r="E6" s="3"/>
    </row>
    <row r="7" spans="1:5" x14ac:dyDescent="0.2">
      <c r="A7" s="17" t="s">
        <v>0</v>
      </c>
      <c r="B7" s="11">
        <v>43</v>
      </c>
      <c r="C7" s="11">
        <v>951</v>
      </c>
      <c r="D7" s="4">
        <f t="shared" si="0"/>
        <v>994</v>
      </c>
      <c r="E7" s="3"/>
    </row>
    <row r="8" spans="1:5" x14ac:dyDescent="0.2">
      <c r="A8" s="17" t="s">
        <v>1</v>
      </c>
      <c r="B8" s="11">
        <v>0</v>
      </c>
      <c r="C8" s="11">
        <v>77</v>
      </c>
      <c r="D8" s="4">
        <f t="shared" si="0"/>
        <v>77</v>
      </c>
      <c r="E8" s="3"/>
    </row>
    <row r="9" spans="1:5" x14ac:dyDescent="0.2">
      <c r="A9" s="17" t="s">
        <v>5</v>
      </c>
      <c r="B9" s="11">
        <v>17</v>
      </c>
      <c r="C9" s="11">
        <v>178</v>
      </c>
      <c r="D9" s="4">
        <f t="shared" si="0"/>
        <v>195</v>
      </c>
      <c r="E9" s="3"/>
    </row>
    <row r="10" spans="1:5" x14ac:dyDescent="0.2">
      <c r="A10" s="18" t="s">
        <v>2</v>
      </c>
      <c r="B10" s="11">
        <f>SUM(StateSenatorSenateDistrict7General1415[Part of Nassau County Vote Results])</f>
        <v>13755</v>
      </c>
      <c r="C10" s="11">
        <f>SUM(StateSenatorSenateDistrict7General1415[Part of Suffolk County Vote Results])</f>
        <v>242206</v>
      </c>
      <c r="D10" s="4">
        <f>SUM(StateSenatorSenateDistrict7General1415[Total Votes by Party])</f>
        <v>255961</v>
      </c>
      <c r="E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8848-4E56-4185-934A-619028537ECC}">
  <sheetPr>
    <pageSetUpPr fitToPage="1"/>
  </sheetPr>
  <dimension ref="A1:G10"/>
  <sheetViews>
    <sheetView workbookViewId="0"/>
  </sheetViews>
  <sheetFormatPr defaultRowHeight="12.75" x14ac:dyDescent="0.2"/>
  <cols>
    <col min="1" max="1" width="25.5703125" style="1" customWidth="1"/>
    <col min="2" max="7" width="20.5703125" customWidth="1"/>
    <col min="8" max="9" width="23.5703125" customWidth="1"/>
  </cols>
  <sheetData>
    <row r="1" spans="1:7" ht="24.95" customHeight="1" x14ac:dyDescent="0.2">
      <c r="A1" s="19" t="s">
        <v>92</v>
      </c>
    </row>
    <row r="2" spans="1:7" ht="24.95" customHeight="1" x14ac:dyDescent="0.2">
      <c r="A2" s="20" t="s">
        <v>11</v>
      </c>
      <c r="B2" s="21" t="s">
        <v>10</v>
      </c>
      <c r="C2" s="21" t="s">
        <v>60</v>
      </c>
      <c r="D2" s="21" t="s">
        <v>15</v>
      </c>
      <c r="E2" s="21" t="s">
        <v>14</v>
      </c>
      <c r="F2" s="9" t="s">
        <v>3</v>
      </c>
      <c r="G2" s="8" t="s">
        <v>4</v>
      </c>
    </row>
    <row r="3" spans="1:7" ht="25.5" x14ac:dyDescent="0.2">
      <c r="A3" s="16" t="s">
        <v>69</v>
      </c>
      <c r="B3" s="11">
        <v>62307</v>
      </c>
      <c r="C3" s="11">
        <v>8801</v>
      </c>
      <c r="D3" s="11">
        <v>45052</v>
      </c>
      <c r="E3" s="11">
        <v>25310</v>
      </c>
      <c r="F3" s="4">
        <f t="shared" ref="F3:F9" si="0">SUM(B3:E3)</f>
        <v>141470</v>
      </c>
      <c r="G3" s="7">
        <f>SUM(F3,F6)</f>
        <v>154862</v>
      </c>
    </row>
    <row r="4" spans="1:7" ht="25.5" x14ac:dyDescent="0.2">
      <c r="A4" s="16" t="s">
        <v>70</v>
      </c>
      <c r="B4" s="13">
        <v>40410</v>
      </c>
      <c r="C4" s="13">
        <v>6169</v>
      </c>
      <c r="D4" s="13">
        <v>48463</v>
      </c>
      <c r="E4" s="11">
        <v>22557</v>
      </c>
      <c r="F4" s="4">
        <f t="shared" si="0"/>
        <v>117599</v>
      </c>
      <c r="G4" s="7">
        <f>SUM(F4,F5)</f>
        <v>137724</v>
      </c>
    </row>
    <row r="5" spans="1:7" ht="25.5" x14ac:dyDescent="0.2">
      <c r="A5" s="16" t="s">
        <v>71</v>
      </c>
      <c r="B5" s="13">
        <v>7128</v>
      </c>
      <c r="C5" s="13">
        <v>1421</v>
      </c>
      <c r="D5" s="13">
        <v>7361</v>
      </c>
      <c r="E5" s="11">
        <v>4215</v>
      </c>
      <c r="F5" s="4">
        <f>SUM(B5:E5)</f>
        <v>20125</v>
      </c>
      <c r="G5" s="3"/>
    </row>
    <row r="6" spans="1:7" ht="25.5" x14ac:dyDescent="0.2">
      <c r="A6" s="16" t="s">
        <v>72</v>
      </c>
      <c r="B6" s="13">
        <v>6708</v>
      </c>
      <c r="C6" s="13">
        <v>1231</v>
      </c>
      <c r="D6" s="13">
        <v>3131</v>
      </c>
      <c r="E6" s="13">
        <v>2322</v>
      </c>
      <c r="F6" s="4">
        <f t="shared" si="0"/>
        <v>13392</v>
      </c>
      <c r="G6" s="3"/>
    </row>
    <row r="7" spans="1:7" x14ac:dyDescent="0.2">
      <c r="A7" s="17" t="s">
        <v>0</v>
      </c>
      <c r="B7" s="11">
        <v>795</v>
      </c>
      <c r="C7" s="11">
        <v>187</v>
      </c>
      <c r="D7" s="11">
        <v>657</v>
      </c>
      <c r="E7" s="11">
        <v>26</v>
      </c>
      <c r="F7" s="4">
        <f t="shared" si="0"/>
        <v>1665</v>
      </c>
      <c r="G7" s="3"/>
    </row>
    <row r="8" spans="1:7" x14ac:dyDescent="0.2">
      <c r="A8" s="17" t="s">
        <v>1</v>
      </c>
      <c r="B8" s="11">
        <v>65</v>
      </c>
      <c r="C8" s="11">
        <v>1</v>
      </c>
      <c r="D8" s="11">
        <v>16</v>
      </c>
      <c r="E8" s="11">
        <v>468</v>
      </c>
      <c r="F8" s="4">
        <f t="shared" si="0"/>
        <v>550</v>
      </c>
      <c r="G8" s="3"/>
    </row>
    <row r="9" spans="1:7" x14ac:dyDescent="0.2">
      <c r="A9" s="17" t="s">
        <v>5</v>
      </c>
      <c r="B9" s="11">
        <v>385</v>
      </c>
      <c r="C9" s="11">
        <v>35</v>
      </c>
      <c r="D9" s="11">
        <v>166</v>
      </c>
      <c r="E9" s="11">
        <v>148</v>
      </c>
      <c r="F9" s="4">
        <f t="shared" si="0"/>
        <v>734</v>
      </c>
      <c r="G9" s="3"/>
    </row>
    <row r="10" spans="1:7" x14ac:dyDescent="0.2">
      <c r="A10" s="18" t="s">
        <v>2</v>
      </c>
      <c r="B10" s="11">
        <f>SUM(StateSenatorSenateDistrict7General141516171819202122232425282930313233[Albany County Vote Results])</f>
        <v>117798</v>
      </c>
      <c r="C10" s="11">
        <f>SUM(StateSenatorSenateDistrict7General141516171819202122232425282930313233[Part of Rensselaer County Vote Results])</f>
        <v>17845</v>
      </c>
      <c r="D10" s="11">
        <f>SUM(StateSenatorSenateDistrict7General141516171819202122232425282930313233[Saratoga County Vote Results])</f>
        <v>104846</v>
      </c>
      <c r="E10" s="11">
        <f>SUM(StateSenatorSenateDistrict7General141516171819202122232425282930313233[Schenectady County Vote Results])</f>
        <v>55046</v>
      </c>
      <c r="F10" s="4">
        <f>SUM(StateSenatorSenateDistrict7General141516171819202122232425282930313233[Total Votes by Party])</f>
        <v>295535</v>
      </c>
      <c r="G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C61E4-EBE3-4CF4-91D5-60608E060F54}">
  <sheetPr>
    <pageSetUpPr fitToPage="1"/>
  </sheetPr>
  <dimension ref="A1:R10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" width="25.5703125" style="1" customWidth="1"/>
    <col min="2" max="18" width="12.7109375" customWidth="1"/>
    <col min="19" max="20" width="23.5703125" customWidth="1"/>
  </cols>
  <sheetData>
    <row r="1" spans="1:18" ht="24.95" customHeight="1" x14ac:dyDescent="0.2">
      <c r="A1" s="19" t="s">
        <v>93</v>
      </c>
    </row>
    <row r="2" spans="1:18" ht="24.95" customHeight="1" x14ac:dyDescent="0.2">
      <c r="A2" s="20" t="s">
        <v>11</v>
      </c>
      <c r="B2" s="21" t="s">
        <v>22</v>
      </c>
      <c r="C2" s="21" t="s">
        <v>21</v>
      </c>
      <c r="D2" s="21" t="s">
        <v>20</v>
      </c>
      <c r="E2" s="21" t="s">
        <v>19</v>
      </c>
      <c r="F2" s="21" t="s">
        <v>18</v>
      </c>
      <c r="G2" s="21" t="s">
        <v>26</v>
      </c>
      <c r="H2" s="21" t="s">
        <v>61</v>
      </c>
      <c r="I2" s="21" t="s">
        <v>25</v>
      </c>
      <c r="J2" s="21" t="s">
        <v>17</v>
      </c>
      <c r="K2" s="21" t="s">
        <v>59</v>
      </c>
      <c r="L2" s="21" t="s">
        <v>60</v>
      </c>
      <c r="M2" s="21" t="s">
        <v>16</v>
      </c>
      <c r="N2" s="21" t="s">
        <v>7</v>
      </c>
      <c r="O2" s="21" t="s">
        <v>13</v>
      </c>
      <c r="P2" s="21" t="s">
        <v>12</v>
      </c>
      <c r="Q2" s="14" t="s">
        <v>3</v>
      </c>
      <c r="R2" s="15" t="s">
        <v>4</v>
      </c>
    </row>
    <row r="3" spans="1:18" ht="25.5" x14ac:dyDescent="0.2">
      <c r="A3" s="16" t="s">
        <v>69</v>
      </c>
      <c r="B3" s="11">
        <v>11124</v>
      </c>
      <c r="C3" s="11">
        <v>6484</v>
      </c>
      <c r="D3" s="11">
        <v>5628</v>
      </c>
      <c r="E3" s="11">
        <v>4915</v>
      </c>
      <c r="F3" s="11">
        <v>770</v>
      </c>
      <c r="G3" s="11">
        <v>5389</v>
      </c>
      <c r="H3" s="11">
        <v>1604</v>
      </c>
      <c r="I3" s="11">
        <v>1933</v>
      </c>
      <c r="J3" s="11">
        <v>4708</v>
      </c>
      <c r="K3" s="11">
        <v>3024</v>
      </c>
      <c r="L3" s="11">
        <v>16610</v>
      </c>
      <c r="M3" s="11">
        <v>10811</v>
      </c>
      <c r="N3" s="11">
        <v>3560</v>
      </c>
      <c r="O3" s="11">
        <v>11601</v>
      </c>
      <c r="P3" s="11">
        <v>7361</v>
      </c>
      <c r="Q3" s="4">
        <f t="shared" ref="Q3:Q9" si="0">SUM(B3:P3)</f>
        <v>95522</v>
      </c>
      <c r="R3" s="7">
        <f>SUM(Q3,Q6)</f>
        <v>103118</v>
      </c>
    </row>
    <row r="4" spans="1:18" ht="25.5" x14ac:dyDescent="0.2">
      <c r="A4" s="16" t="s">
        <v>70</v>
      </c>
      <c r="B4" s="13">
        <v>14223</v>
      </c>
      <c r="C4" s="13">
        <v>7878</v>
      </c>
      <c r="D4" s="13">
        <v>8385</v>
      </c>
      <c r="E4" s="13">
        <v>12342</v>
      </c>
      <c r="F4" s="13">
        <v>1871</v>
      </c>
      <c r="G4" s="13">
        <v>14984</v>
      </c>
      <c r="H4" s="13">
        <v>4392</v>
      </c>
      <c r="I4" s="13">
        <v>7876</v>
      </c>
      <c r="J4" s="13">
        <v>9457</v>
      </c>
      <c r="K4" s="13">
        <v>5189</v>
      </c>
      <c r="L4" s="13">
        <v>21533</v>
      </c>
      <c r="M4" s="13">
        <v>20167</v>
      </c>
      <c r="N4" s="13">
        <v>7651</v>
      </c>
      <c r="O4" s="13">
        <v>14131</v>
      </c>
      <c r="P4" s="11">
        <v>12655</v>
      </c>
      <c r="Q4" s="4">
        <f t="shared" si="0"/>
        <v>162734</v>
      </c>
      <c r="R4" s="7">
        <f>SUM(Q4,Q5)</f>
        <v>183345</v>
      </c>
    </row>
    <row r="5" spans="1:18" ht="25.5" x14ac:dyDescent="0.2">
      <c r="A5" s="16" t="s">
        <v>71</v>
      </c>
      <c r="B5" s="13">
        <v>1367</v>
      </c>
      <c r="C5" s="13">
        <v>644</v>
      </c>
      <c r="D5" s="13">
        <v>795</v>
      </c>
      <c r="E5" s="13">
        <v>1249</v>
      </c>
      <c r="F5" s="13">
        <v>180</v>
      </c>
      <c r="G5" s="13">
        <v>1545</v>
      </c>
      <c r="H5" s="13">
        <v>418</v>
      </c>
      <c r="I5" s="13">
        <v>704</v>
      </c>
      <c r="J5" s="13">
        <v>1401</v>
      </c>
      <c r="K5" s="13">
        <v>773</v>
      </c>
      <c r="L5" s="13">
        <v>4626</v>
      </c>
      <c r="M5" s="13">
        <v>2520</v>
      </c>
      <c r="N5" s="13">
        <v>1259</v>
      </c>
      <c r="O5" s="13">
        <v>1630</v>
      </c>
      <c r="P5" s="11">
        <v>1500</v>
      </c>
      <c r="Q5" s="12">
        <f>SUM(B5:P5)</f>
        <v>20611</v>
      </c>
      <c r="R5" s="3"/>
    </row>
    <row r="6" spans="1:18" ht="25.5" x14ac:dyDescent="0.2">
      <c r="A6" s="16" t="s">
        <v>72</v>
      </c>
      <c r="B6" s="13">
        <v>770</v>
      </c>
      <c r="C6" s="13">
        <v>508</v>
      </c>
      <c r="D6" s="13">
        <v>375</v>
      </c>
      <c r="E6" s="13">
        <v>340</v>
      </c>
      <c r="F6" s="13">
        <v>61</v>
      </c>
      <c r="G6" s="13">
        <v>364</v>
      </c>
      <c r="H6" s="13">
        <v>106</v>
      </c>
      <c r="I6" s="13">
        <v>135</v>
      </c>
      <c r="J6" s="13">
        <v>320</v>
      </c>
      <c r="K6" s="13">
        <v>238</v>
      </c>
      <c r="L6" s="13">
        <v>1879</v>
      </c>
      <c r="M6" s="13">
        <v>780</v>
      </c>
      <c r="N6" s="13">
        <v>363</v>
      </c>
      <c r="O6" s="13">
        <v>772</v>
      </c>
      <c r="P6" s="13">
        <v>585</v>
      </c>
      <c r="Q6" s="4">
        <f t="shared" si="0"/>
        <v>7596</v>
      </c>
      <c r="R6" s="3"/>
    </row>
    <row r="7" spans="1:18" x14ac:dyDescent="0.2">
      <c r="A7" s="17" t="s">
        <v>0</v>
      </c>
      <c r="B7" s="11">
        <v>297</v>
      </c>
      <c r="C7" s="11">
        <v>248</v>
      </c>
      <c r="D7" s="11">
        <v>165</v>
      </c>
      <c r="E7" s="11">
        <v>180</v>
      </c>
      <c r="F7" s="11">
        <v>51</v>
      </c>
      <c r="G7" s="11">
        <v>178</v>
      </c>
      <c r="H7" s="11">
        <v>47</v>
      </c>
      <c r="I7" s="11">
        <v>119</v>
      </c>
      <c r="J7" s="11">
        <v>143</v>
      </c>
      <c r="K7" s="11">
        <v>45</v>
      </c>
      <c r="L7" s="11">
        <v>238</v>
      </c>
      <c r="M7" s="11">
        <v>516</v>
      </c>
      <c r="N7" s="11">
        <v>85</v>
      </c>
      <c r="O7" s="11">
        <v>205</v>
      </c>
      <c r="P7" s="11">
        <v>121</v>
      </c>
      <c r="Q7" s="4">
        <f t="shared" si="0"/>
        <v>2638</v>
      </c>
      <c r="R7" s="3"/>
    </row>
    <row r="8" spans="1:18" x14ac:dyDescent="0.2">
      <c r="A8" s="17" t="s">
        <v>1</v>
      </c>
      <c r="B8" s="11">
        <v>11</v>
      </c>
      <c r="C8" s="11">
        <v>4</v>
      </c>
      <c r="D8" s="11">
        <v>2</v>
      </c>
      <c r="E8" s="11">
        <v>1</v>
      </c>
      <c r="F8" s="11">
        <v>2</v>
      </c>
      <c r="G8" s="11">
        <v>0</v>
      </c>
      <c r="H8" s="11">
        <v>3</v>
      </c>
      <c r="I8" s="11">
        <v>5</v>
      </c>
      <c r="J8" s="11">
        <v>4</v>
      </c>
      <c r="K8" s="11">
        <v>2</v>
      </c>
      <c r="L8" s="11">
        <v>1</v>
      </c>
      <c r="M8" s="11">
        <v>2</v>
      </c>
      <c r="N8" s="11">
        <v>8</v>
      </c>
      <c r="O8" s="11">
        <v>5</v>
      </c>
      <c r="P8" s="11">
        <v>5</v>
      </c>
      <c r="Q8" s="4">
        <f t="shared" si="0"/>
        <v>55</v>
      </c>
      <c r="R8" s="3"/>
    </row>
    <row r="9" spans="1:18" x14ac:dyDescent="0.2">
      <c r="A9" s="17" t="s">
        <v>5</v>
      </c>
      <c r="B9" s="11">
        <v>40</v>
      </c>
      <c r="C9" s="11">
        <v>22</v>
      </c>
      <c r="D9" s="11">
        <v>14</v>
      </c>
      <c r="E9" s="11">
        <v>33</v>
      </c>
      <c r="F9" s="11"/>
      <c r="G9" s="11">
        <v>36</v>
      </c>
      <c r="H9" s="11">
        <v>7</v>
      </c>
      <c r="I9" s="11">
        <v>7</v>
      </c>
      <c r="J9" s="11">
        <v>38</v>
      </c>
      <c r="K9" s="11">
        <v>34</v>
      </c>
      <c r="L9" s="11">
        <v>100</v>
      </c>
      <c r="M9" s="11">
        <v>42</v>
      </c>
      <c r="N9" s="11">
        <v>27</v>
      </c>
      <c r="O9" s="11">
        <v>49</v>
      </c>
      <c r="P9" s="11">
        <v>29</v>
      </c>
      <c r="Q9" s="4">
        <f t="shared" si="0"/>
        <v>478</v>
      </c>
      <c r="R9" s="3"/>
    </row>
    <row r="10" spans="1:18" x14ac:dyDescent="0.2">
      <c r="A10" s="18" t="s">
        <v>2</v>
      </c>
      <c r="B10" s="11">
        <f>SUM(StateSenatorSenateDistrict7General141516171819202122232425282930313234[Clinton County Vote Results])</f>
        <v>27832</v>
      </c>
      <c r="C10" s="11">
        <f>SUM(StateSenatorSenateDistrict7General141516171819202122232425282930313234[Essex County Vote Results])</f>
        <v>15788</v>
      </c>
      <c r="D10" s="11">
        <f>SUM(StateSenatorSenateDistrict7General141516171819202122232425282930313234[Franklin County Vote Results])</f>
        <v>15364</v>
      </c>
      <c r="E10" s="11">
        <f>SUM(StateSenatorSenateDistrict7General141516171819202122232425282930313234[Fulton County Vote Results])</f>
        <v>19060</v>
      </c>
      <c r="F10" s="11">
        <f>SUM(StateSenatorSenateDistrict7General141516171819202122232425282930313234[Hamilton County Vote Results])</f>
        <v>2935</v>
      </c>
      <c r="G10" s="11">
        <f>SUM(StateSenatorSenateDistrict7General141516171819202122232425282930313234[Herkimer County Vote Results])</f>
        <v>22496</v>
      </c>
      <c r="H10" s="11">
        <f>SUM(StateSenatorSenateDistrict7General141516171819202122232425282930313234[Part of Jefferson County Vote Results])</f>
        <v>6577</v>
      </c>
      <c r="I10" s="11">
        <f>SUM(StateSenatorSenateDistrict7General141516171819202122232425282930313234[Lewis County Vote Results])</f>
        <v>10779</v>
      </c>
      <c r="J10" s="11">
        <f>SUM(StateSenatorSenateDistrict7General141516171819202122232425282930313234[Montgomery County Vote Results])</f>
        <v>16071</v>
      </c>
      <c r="K10" s="11">
        <f>SUM(StateSenatorSenateDistrict7General141516171819202122232425282930313234[Part of Otsego County Vote Results])</f>
        <v>9305</v>
      </c>
      <c r="L10" s="11">
        <f>SUM(StateSenatorSenateDistrict7General141516171819202122232425282930313234[Part of Rensselaer County Vote Results])</f>
        <v>44987</v>
      </c>
      <c r="M10" s="11">
        <f>SUM(StateSenatorSenateDistrict7General141516171819202122232425282930313234[St. Lawrence County Vote Results])</f>
        <v>34838</v>
      </c>
      <c r="N10" s="11">
        <f>SUM(StateSenatorSenateDistrict7General141516171819202122232425282930313234[Schoharie County Vote Results])</f>
        <v>12953</v>
      </c>
      <c r="O10" s="11">
        <f>SUM(StateSenatorSenateDistrict7General141516171819202122232425282930313234[Warren County Vote Results])</f>
        <v>28393</v>
      </c>
      <c r="P10" s="11">
        <f>SUM(StateSenatorSenateDistrict7General141516171819202122232425282930313234[Washington County Vote Results])</f>
        <v>22256</v>
      </c>
      <c r="Q10" s="4">
        <f>SUM(StateSenatorSenateDistrict7General141516171819202122232425282930313234[Total Votes by Party])</f>
        <v>289634</v>
      </c>
      <c r="R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legacy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79C8-B942-4A6C-B7F1-9AAB7442D479}">
  <sheetPr>
    <pageSetUpPr fitToPage="1"/>
  </sheetPr>
  <dimension ref="A1:G10"/>
  <sheetViews>
    <sheetView workbookViewId="0"/>
  </sheetViews>
  <sheetFormatPr defaultRowHeight="12.75" x14ac:dyDescent="0.2"/>
  <cols>
    <col min="1" max="1" width="25.5703125" style="1" customWidth="1"/>
    <col min="2" max="7" width="20.5703125" customWidth="1"/>
    <col min="8" max="9" width="23.5703125" customWidth="1"/>
  </cols>
  <sheetData>
    <row r="1" spans="1:7" ht="24.95" customHeight="1" x14ac:dyDescent="0.2">
      <c r="A1" s="19" t="s">
        <v>94</v>
      </c>
    </row>
    <row r="2" spans="1:7" ht="24.95" customHeight="1" x14ac:dyDescent="0.2">
      <c r="A2" s="20" t="s">
        <v>11</v>
      </c>
      <c r="B2" s="21" t="s">
        <v>62</v>
      </c>
      <c r="C2" s="21" t="s">
        <v>24</v>
      </c>
      <c r="D2" s="21" t="s">
        <v>23</v>
      </c>
      <c r="E2" s="21" t="s">
        <v>63</v>
      </c>
      <c r="F2" s="9" t="s">
        <v>3</v>
      </c>
      <c r="G2" s="8" t="s">
        <v>4</v>
      </c>
    </row>
    <row r="3" spans="1:7" ht="25.5" x14ac:dyDescent="0.2">
      <c r="A3" s="16" t="s">
        <v>69</v>
      </c>
      <c r="B3" s="11">
        <v>9438</v>
      </c>
      <c r="C3" s="11">
        <v>23658</v>
      </c>
      <c r="D3" s="11">
        <v>85144</v>
      </c>
      <c r="E3" s="11">
        <v>28</v>
      </c>
      <c r="F3" s="4">
        <f t="shared" ref="F3:F8" si="0">SUM(B3:E3)</f>
        <v>118268</v>
      </c>
      <c r="G3" s="7">
        <f>SUM(F3,F6)</f>
        <v>126989</v>
      </c>
    </row>
    <row r="4" spans="1:7" ht="25.5" x14ac:dyDescent="0.2">
      <c r="A4" s="16" t="s">
        <v>70</v>
      </c>
      <c r="B4" s="13">
        <v>13693</v>
      </c>
      <c r="C4" s="13">
        <v>44685</v>
      </c>
      <c r="D4" s="13">
        <v>66148</v>
      </c>
      <c r="E4" s="11">
        <v>91</v>
      </c>
      <c r="F4" s="4">
        <f t="shared" si="0"/>
        <v>124617</v>
      </c>
      <c r="G4" s="7">
        <f>SUM(F4,F5)</f>
        <v>144310</v>
      </c>
    </row>
    <row r="5" spans="1:7" ht="25.5" x14ac:dyDescent="0.2">
      <c r="A5" s="16" t="s">
        <v>71</v>
      </c>
      <c r="B5" s="13">
        <v>2279</v>
      </c>
      <c r="C5" s="13">
        <v>5306</v>
      </c>
      <c r="D5" s="13">
        <v>12091</v>
      </c>
      <c r="E5" s="11">
        <v>17</v>
      </c>
      <c r="F5" s="12">
        <f>SUM(B5:E5)</f>
        <v>19693</v>
      </c>
      <c r="G5" s="3"/>
    </row>
    <row r="6" spans="1:7" ht="25.5" x14ac:dyDescent="0.2">
      <c r="A6" s="16" t="s">
        <v>72</v>
      </c>
      <c r="B6" s="11">
        <v>754</v>
      </c>
      <c r="C6" s="11">
        <v>1700</v>
      </c>
      <c r="D6" s="11">
        <v>6266</v>
      </c>
      <c r="E6" s="11">
        <v>1</v>
      </c>
      <c r="F6" s="4">
        <f t="shared" si="0"/>
        <v>8721</v>
      </c>
      <c r="G6" s="3"/>
    </row>
    <row r="7" spans="1:7" x14ac:dyDescent="0.2">
      <c r="A7" s="17" t="s">
        <v>0</v>
      </c>
      <c r="B7" s="11">
        <v>244</v>
      </c>
      <c r="C7" s="11">
        <v>472</v>
      </c>
      <c r="D7" s="11">
        <v>1173</v>
      </c>
      <c r="E7" s="11">
        <v>1</v>
      </c>
      <c r="F7" s="4">
        <f t="shared" si="0"/>
        <v>1890</v>
      </c>
      <c r="G7" s="3"/>
    </row>
    <row r="8" spans="1:7" x14ac:dyDescent="0.2">
      <c r="A8" s="17" t="s">
        <v>1</v>
      </c>
      <c r="B8" s="11">
        <v>7</v>
      </c>
      <c r="C8" s="11">
        <v>15</v>
      </c>
      <c r="D8" s="11">
        <v>59</v>
      </c>
      <c r="E8" s="11">
        <v>0</v>
      </c>
      <c r="F8" s="4">
        <f t="shared" si="0"/>
        <v>81</v>
      </c>
      <c r="G8" s="3"/>
    </row>
    <row r="9" spans="1:7" x14ac:dyDescent="0.2">
      <c r="A9" s="17" t="s">
        <v>5</v>
      </c>
      <c r="B9" s="13">
        <v>101</v>
      </c>
      <c r="C9" s="11">
        <v>170</v>
      </c>
      <c r="D9" s="11">
        <v>328</v>
      </c>
      <c r="E9" s="11">
        <v>0</v>
      </c>
      <c r="F9" s="12">
        <f t="shared" ref="F9" si="1">SUM(B9:E9)</f>
        <v>599</v>
      </c>
      <c r="G9" s="3"/>
    </row>
    <row r="10" spans="1:7" x14ac:dyDescent="0.2">
      <c r="A10" s="18" t="s">
        <v>2</v>
      </c>
      <c r="B10" s="11">
        <f>SUM(StateSenatorSenateDistrict7General14151617181920212223242528293031323435[Madison County Vote Results])</f>
        <v>26516</v>
      </c>
      <c r="C10" s="11">
        <f>SUM(StateSenatorSenateDistrict7General14151617181920212223242528293031323435[Oneida County Vote Results])</f>
        <v>76006</v>
      </c>
      <c r="D10" s="11">
        <f>SUM(StateSenatorSenateDistrict7General14151617181920212223242528293031323435[Onondaga County Vote Results])</f>
        <v>171209</v>
      </c>
      <c r="E10" s="11">
        <f>SUM(StateSenatorSenateDistrict7General14151617181920212223242528293031323435[Part of Oswego County Vote Results])</f>
        <v>138</v>
      </c>
      <c r="F10" s="4">
        <f>SUM(StateSenatorSenateDistrict7General14151617181920212223242528293031323435[Total Votes by Party])</f>
        <v>273869</v>
      </c>
      <c r="G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16F7-41CD-4A7A-AF23-7928EAE7DE33}">
  <sheetPr>
    <pageSetUpPr fitToPage="1"/>
  </sheetPr>
  <dimension ref="A1:J10"/>
  <sheetViews>
    <sheetView workbookViewId="0"/>
  </sheetViews>
  <sheetFormatPr defaultRowHeight="12.75" x14ac:dyDescent="0.2"/>
  <cols>
    <col min="1" max="1" width="25.5703125" style="1" customWidth="1"/>
    <col min="2" max="10" width="12.7109375" customWidth="1"/>
    <col min="11" max="12" width="23.5703125" customWidth="1"/>
  </cols>
  <sheetData>
    <row r="1" spans="1:10" ht="24.95" customHeight="1" x14ac:dyDescent="0.2">
      <c r="A1" s="19" t="s">
        <v>95</v>
      </c>
    </row>
    <row r="2" spans="1:10" ht="24.95" customHeight="1" x14ac:dyDescent="0.2">
      <c r="A2" s="20" t="s">
        <v>11</v>
      </c>
      <c r="B2" s="21" t="s">
        <v>39</v>
      </c>
      <c r="C2" s="21" t="s">
        <v>38</v>
      </c>
      <c r="D2" s="21" t="s">
        <v>37</v>
      </c>
      <c r="E2" s="21" t="s">
        <v>64</v>
      </c>
      <c r="F2" s="21" t="s">
        <v>65</v>
      </c>
      <c r="G2" s="21" t="s">
        <v>68</v>
      </c>
      <c r="H2" s="21" t="s">
        <v>29</v>
      </c>
      <c r="I2" s="14" t="s">
        <v>3</v>
      </c>
      <c r="J2" s="15" t="s">
        <v>4</v>
      </c>
    </row>
    <row r="3" spans="1:10" ht="25.5" x14ac:dyDescent="0.2">
      <c r="A3" s="16" t="s">
        <v>69</v>
      </c>
      <c r="B3" s="11">
        <v>3613</v>
      </c>
      <c r="C3" s="11">
        <v>7291</v>
      </c>
      <c r="D3" s="11">
        <v>14180</v>
      </c>
      <c r="E3" s="11">
        <v>8998</v>
      </c>
      <c r="F3" s="11">
        <v>56789</v>
      </c>
      <c r="G3" s="11">
        <v>2436</v>
      </c>
      <c r="H3" s="11">
        <v>9053</v>
      </c>
      <c r="I3" s="4">
        <f t="shared" ref="I3:I8" si="0">SUM(B3:H3)</f>
        <v>102360</v>
      </c>
      <c r="J3" s="7">
        <f>SUM(I3,I6)</f>
        <v>109765</v>
      </c>
    </row>
    <row r="4" spans="1:10" ht="25.5" x14ac:dyDescent="0.2">
      <c r="A4" s="16" t="s">
        <v>70</v>
      </c>
      <c r="B4" s="13">
        <v>10862</v>
      </c>
      <c r="C4" s="13">
        <v>16219</v>
      </c>
      <c r="D4" s="13">
        <v>24668</v>
      </c>
      <c r="E4" s="13">
        <v>16781</v>
      </c>
      <c r="F4" s="13">
        <v>68403</v>
      </c>
      <c r="G4" s="13">
        <v>4613</v>
      </c>
      <c r="H4" s="11">
        <v>22815</v>
      </c>
      <c r="I4" s="4">
        <f t="shared" si="0"/>
        <v>164361</v>
      </c>
      <c r="J4" s="7">
        <f>SUM(I4,I5)</f>
        <v>193064</v>
      </c>
    </row>
    <row r="5" spans="1:10" ht="25.5" x14ac:dyDescent="0.2">
      <c r="A5" s="16" t="s">
        <v>71</v>
      </c>
      <c r="B5" s="13">
        <v>1112</v>
      </c>
      <c r="C5" s="13">
        <v>2046</v>
      </c>
      <c r="D5" s="13">
        <v>3600</v>
      </c>
      <c r="E5" s="13">
        <v>1583</v>
      </c>
      <c r="F5" s="13">
        <v>17812</v>
      </c>
      <c r="G5" s="13">
        <v>479</v>
      </c>
      <c r="H5" s="11">
        <v>2071</v>
      </c>
      <c r="I5" s="12">
        <f t="shared" si="0"/>
        <v>28703</v>
      </c>
      <c r="J5" s="3"/>
    </row>
    <row r="6" spans="1:10" ht="25.5" x14ac:dyDescent="0.2">
      <c r="A6" s="16" t="s">
        <v>72</v>
      </c>
      <c r="B6" s="11">
        <v>255</v>
      </c>
      <c r="C6" s="11">
        <v>504</v>
      </c>
      <c r="D6" s="11">
        <v>1057</v>
      </c>
      <c r="E6" s="11">
        <v>476</v>
      </c>
      <c r="F6" s="11">
        <v>4275</v>
      </c>
      <c r="G6" s="11">
        <v>225</v>
      </c>
      <c r="H6" s="11">
        <v>613</v>
      </c>
      <c r="I6" s="4">
        <f t="shared" si="0"/>
        <v>7405</v>
      </c>
      <c r="J6" s="3"/>
    </row>
    <row r="7" spans="1:10" x14ac:dyDescent="0.2">
      <c r="A7" s="17" t="s">
        <v>0</v>
      </c>
      <c r="B7" s="11">
        <v>92</v>
      </c>
      <c r="C7" s="11">
        <v>238</v>
      </c>
      <c r="D7" s="11">
        <v>237</v>
      </c>
      <c r="E7" s="11">
        <v>159</v>
      </c>
      <c r="F7" s="11">
        <v>1643</v>
      </c>
      <c r="G7" s="11">
        <v>26</v>
      </c>
      <c r="H7" s="11">
        <v>121</v>
      </c>
      <c r="I7" s="4">
        <f t="shared" si="0"/>
        <v>2516</v>
      </c>
      <c r="J7" s="3"/>
    </row>
    <row r="8" spans="1:10" x14ac:dyDescent="0.2">
      <c r="A8" s="17" t="s">
        <v>1</v>
      </c>
      <c r="B8" s="11">
        <v>2</v>
      </c>
      <c r="C8" s="11">
        <v>21</v>
      </c>
      <c r="D8" s="11">
        <v>17</v>
      </c>
      <c r="E8" s="11">
        <v>0</v>
      </c>
      <c r="F8" s="11">
        <v>33</v>
      </c>
      <c r="G8" s="11">
        <v>1</v>
      </c>
      <c r="H8" s="11">
        <v>13</v>
      </c>
      <c r="I8" s="4">
        <f t="shared" si="0"/>
        <v>87</v>
      </c>
      <c r="J8" s="3"/>
    </row>
    <row r="9" spans="1:10" x14ac:dyDescent="0.2">
      <c r="A9" s="17" t="s">
        <v>5</v>
      </c>
      <c r="B9" s="13">
        <v>46</v>
      </c>
      <c r="C9" s="11">
        <v>31</v>
      </c>
      <c r="D9" s="11">
        <v>56</v>
      </c>
      <c r="E9" s="11">
        <v>72</v>
      </c>
      <c r="F9" s="11">
        <v>274</v>
      </c>
      <c r="G9" s="11">
        <v>25</v>
      </c>
      <c r="H9" s="11">
        <v>56</v>
      </c>
      <c r="I9" s="12">
        <f t="shared" ref="I9" si="1">SUM(B9:H9)</f>
        <v>560</v>
      </c>
      <c r="J9" s="3"/>
    </row>
    <row r="10" spans="1:10" x14ac:dyDescent="0.2">
      <c r="A10" s="18" t="s">
        <v>2</v>
      </c>
      <c r="B10" s="11">
        <f>SUM(StateSenatorSenateDistrict7General1415161718192021222324252829303132343536[Allegany County Vote Results])</f>
        <v>15982</v>
      </c>
      <c r="C10" s="11">
        <f>SUM(StateSenatorSenateDistrict7General1415161718192021222324252829303132343536[Cattaraugus County Vote Results])</f>
        <v>26350</v>
      </c>
      <c r="D10" s="11">
        <f>SUM(StateSenatorSenateDistrict7General1415161718192021222324252829303132343536[Chautauqua County Vote Results])</f>
        <v>43815</v>
      </c>
      <c r="E10" s="11">
        <f>SUM(StateSenatorSenateDistrict7General1415161718192021222324252829303132343536[Chemung County Vote Results])</f>
        <v>28069</v>
      </c>
      <c r="F10" s="11">
        <f>SUM(StateSenatorSenateDistrict7General1415161718192021222324252829303132343536[Part of Erie County Vote Results])</f>
        <v>149229</v>
      </c>
      <c r="G10" s="11">
        <f>SUM(StateSenatorSenateDistrict7General1415161718192021222324252829303132343536[Schuyler County Vote Results])</f>
        <v>7805</v>
      </c>
      <c r="H10" s="11">
        <f>SUM(StateSenatorSenateDistrict7General1415161718192021222324252829303132343536[Steuben County Vote Results])</f>
        <v>34742</v>
      </c>
      <c r="I10" s="4">
        <f>SUM(StateSenatorSenateDistrict7General1415161718192021222324252829303132343536[Total Votes by Party])</f>
        <v>305992</v>
      </c>
      <c r="J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A35F-08EF-41BA-AC45-F97A40C8334F}">
  <sheetPr>
    <pageSetUpPr fitToPage="1"/>
  </sheetPr>
  <dimension ref="A1:O10"/>
  <sheetViews>
    <sheetView zoomScaleNormal="100" workbookViewId="0">
      <pane xSplit="1" topLeftCell="B1" activePane="topRight" state="frozen"/>
      <selection pane="topRight"/>
    </sheetView>
  </sheetViews>
  <sheetFormatPr defaultRowHeight="12.75" x14ac:dyDescent="0.2"/>
  <cols>
    <col min="1" max="1" width="25.5703125" style="1" customWidth="1"/>
    <col min="2" max="15" width="13.7109375" customWidth="1"/>
    <col min="16" max="17" width="23.5703125" customWidth="1"/>
  </cols>
  <sheetData>
    <row r="1" spans="1:15" ht="24.95" customHeight="1" x14ac:dyDescent="0.2">
      <c r="A1" s="19" t="s">
        <v>96</v>
      </c>
    </row>
    <row r="2" spans="1:15" ht="24.95" customHeight="1" x14ac:dyDescent="0.2">
      <c r="A2" s="20" t="s">
        <v>11</v>
      </c>
      <c r="B2" s="21" t="s">
        <v>34</v>
      </c>
      <c r="C2" s="21" t="s">
        <v>36</v>
      </c>
      <c r="D2" s="21" t="s">
        <v>61</v>
      </c>
      <c r="E2" s="21" t="s">
        <v>33</v>
      </c>
      <c r="F2" s="21" t="s">
        <v>67</v>
      </c>
      <c r="G2" s="21" t="s">
        <v>31</v>
      </c>
      <c r="H2" s="21" t="s">
        <v>66</v>
      </c>
      <c r="I2" s="21" t="s">
        <v>63</v>
      </c>
      <c r="J2" s="21" t="s">
        <v>30</v>
      </c>
      <c r="K2" s="21" t="s">
        <v>28</v>
      </c>
      <c r="L2" s="21" t="s">
        <v>35</v>
      </c>
      <c r="M2" s="21" t="s">
        <v>27</v>
      </c>
      <c r="N2" s="14" t="s">
        <v>3</v>
      </c>
      <c r="O2" s="15" t="s">
        <v>4</v>
      </c>
    </row>
    <row r="3" spans="1:15" ht="25.5" x14ac:dyDescent="0.2">
      <c r="A3" s="16" t="s">
        <v>69</v>
      </c>
      <c r="B3" s="11">
        <v>9505</v>
      </c>
      <c r="C3" s="11">
        <v>5823</v>
      </c>
      <c r="D3" s="11">
        <v>7086</v>
      </c>
      <c r="E3" s="11">
        <v>7551</v>
      </c>
      <c r="F3" s="11">
        <v>7261</v>
      </c>
      <c r="G3" s="11">
        <v>18945</v>
      </c>
      <c r="H3" s="11">
        <v>1668</v>
      </c>
      <c r="I3" s="11">
        <v>12189</v>
      </c>
      <c r="J3" s="11">
        <v>4226</v>
      </c>
      <c r="K3" s="11">
        <v>10074</v>
      </c>
      <c r="L3" s="11">
        <v>3041</v>
      </c>
      <c r="M3" s="11">
        <v>2715</v>
      </c>
      <c r="N3" s="4">
        <f t="shared" ref="N3:N8" si="0">SUM(B3:M3)</f>
        <v>90084</v>
      </c>
      <c r="O3" s="7">
        <f>SUM(N3,N6)</f>
        <v>96533</v>
      </c>
    </row>
    <row r="4" spans="1:15" ht="25.5" x14ac:dyDescent="0.2">
      <c r="A4" s="16" t="s">
        <v>70</v>
      </c>
      <c r="B4" s="13">
        <v>14465</v>
      </c>
      <c r="C4" s="13">
        <v>13558</v>
      </c>
      <c r="D4" s="13">
        <v>16096</v>
      </c>
      <c r="E4" s="13">
        <v>13922</v>
      </c>
      <c r="F4" s="13">
        <v>11889</v>
      </c>
      <c r="G4" s="13">
        <v>22154</v>
      </c>
      <c r="H4" s="13">
        <v>4560</v>
      </c>
      <c r="I4" s="13">
        <v>23844</v>
      </c>
      <c r="J4" s="13">
        <v>6267</v>
      </c>
      <c r="K4" s="13">
        <v>19081</v>
      </c>
      <c r="L4" s="13">
        <v>10376</v>
      </c>
      <c r="M4" s="11">
        <v>4729</v>
      </c>
      <c r="N4" s="4">
        <f t="shared" si="0"/>
        <v>160941</v>
      </c>
      <c r="O4" s="7">
        <f>SUM(N4,N5)</f>
        <v>186582</v>
      </c>
    </row>
    <row r="5" spans="1:15" ht="25.5" x14ac:dyDescent="0.2">
      <c r="A5" s="16" t="s">
        <v>71</v>
      </c>
      <c r="B5" s="13">
        <v>2260</v>
      </c>
      <c r="C5" s="13">
        <v>2445</v>
      </c>
      <c r="D5" s="13">
        <v>1617</v>
      </c>
      <c r="E5" s="13">
        <v>2246</v>
      </c>
      <c r="F5" s="13">
        <v>2718</v>
      </c>
      <c r="G5" s="13">
        <v>3825</v>
      </c>
      <c r="H5" s="13">
        <v>676</v>
      </c>
      <c r="I5" s="13">
        <v>3142</v>
      </c>
      <c r="J5" s="13">
        <v>735</v>
      </c>
      <c r="K5" s="13">
        <v>3742</v>
      </c>
      <c r="L5" s="13">
        <v>1602</v>
      </c>
      <c r="M5" s="11">
        <v>633</v>
      </c>
      <c r="N5" s="12">
        <f t="shared" si="0"/>
        <v>25641</v>
      </c>
      <c r="O5" s="3"/>
    </row>
    <row r="6" spans="1:15" ht="25.5" x14ac:dyDescent="0.2">
      <c r="A6" s="16" t="s">
        <v>72</v>
      </c>
      <c r="B6" s="11">
        <v>670</v>
      </c>
      <c r="C6" s="11">
        <v>451</v>
      </c>
      <c r="D6" s="11">
        <v>408</v>
      </c>
      <c r="E6" s="11">
        <v>585</v>
      </c>
      <c r="F6" s="11">
        <v>598</v>
      </c>
      <c r="G6" s="11">
        <v>1221</v>
      </c>
      <c r="H6" s="11">
        <v>117</v>
      </c>
      <c r="I6" s="11">
        <v>897</v>
      </c>
      <c r="J6" s="11">
        <v>325</v>
      </c>
      <c r="K6" s="11">
        <v>740</v>
      </c>
      <c r="L6" s="11">
        <v>251</v>
      </c>
      <c r="M6" s="11">
        <v>186</v>
      </c>
      <c r="N6" s="4">
        <f t="shared" si="0"/>
        <v>6449</v>
      </c>
      <c r="O6" s="3"/>
    </row>
    <row r="7" spans="1:15" x14ac:dyDescent="0.2">
      <c r="A7" s="17" t="s">
        <v>0</v>
      </c>
      <c r="B7" s="11">
        <v>181</v>
      </c>
      <c r="C7" s="11">
        <v>123</v>
      </c>
      <c r="D7" s="11">
        <v>149</v>
      </c>
      <c r="E7" s="11">
        <v>156</v>
      </c>
      <c r="F7" s="11">
        <v>138</v>
      </c>
      <c r="G7" s="11">
        <v>324</v>
      </c>
      <c r="H7" s="11">
        <v>46</v>
      </c>
      <c r="I7" s="11">
        <v>201</v>
      </c>
      <c r="J7" s="11">
        <v>53</v>
      </c>
      <c r="K7" s="11">
        <v>173</v>
      </c>
      <c r="L7" s="11">
        <v>82</v>
      </c>
      <c r="M7" s="11">
        <v>52</v>
      </c>
      <c r="N7" s="4">
        <f t="shared" si="0"/>
        <v>1678</v>
      </c>
      <c r="O7" s="3"/>
    </row>
    <row r="8" spans="1:15" x14ac:dyDescent="0.2">
      <c r="A8" s="17" t="s">
        <v>1</v>
      </c>
      <c r="B8" s="11">
        <v>4</v>
      </c>
      <c r="C8" s="11">
        <v>19</v>
      </c>
      <c r="D8" s="11">
        <v>7</v>
      </c>
      <c r="E8" s="11">
        <v>6</v>
      </c>
      <c r="F8" s="11">
        <v>3</v>
      </c>
      <c r="G8" s="11">
        <v>8</v>
      </c>
      <c r="H8" s="11">
        <v>8</v>
      </c>
      <c r="I8" s="11">
        <v>6</v>
      </c>
      <c r="J8" s="11">
        <v>4</v>
      </c>
      <c r="K8" s="11">
        <v>5</v>
      </c>
      <c r="L8" s="11">
        <v>8</v>
      </c>
      <c r="M8" s="11">
        <v>2</v>
      </c>
      <c r="N8" s="4">
        <f t="shared" si="0"/>
        <v>80</v>
      </c>
      <c r="O8" s="3"/>
    </row>
    <row r="9" spans="1:15" x14ac:dyDescent="0.2">
      <c r="A9" s="17" t="s">
        <v>5</v>
      </c>
      <c r="B9" s="13">
        <v>49</v>
      </c>
      <c r="C9" s="11">
        <v>35</v>
      </c>
      <c r="D9" s="11">
        <v>32</v>
      </c>
      <c r="E9" s="11">
        <v>46</v>
      </c>
      <c r="F9" s="11">
        <v>49</v>
      </c>
      <c r="G9" s="11">
        <v>83</v>
      </c>
      <c r="H9" s="11">
        <v>11</v>
      </c>
      <c r="I9" s="11">
        <v>72</v>
      </c>
      <c r="J9" s="11">
        <v>24</v>
      </c>
      <c r="K9" s="11">
        <v>57</v>
      </c>
      <c r="L9" s="11">
        <v>27</v>
      </c>
      <c r="M9" s="11">
        <v>28</v>
      </c>
      <c r="N9" s="12">
        <f t="shared" ref="N9" si="1">SUM(B9:M9)</f>
        <v>513</v>
      </c>
      <c r="O9" s="3"/>
    </row>
    <row r="10" spans="1:15" x14ac:dyDescent="0.2">
      <c r="A10" s="18" t="s">
        <v>2</v>
      </c>
      <c r="B10" s="11">
        <f>SUM(StateSenatorSenateDistrict7General141516171819202122232425282930313234353637[Cayuga County Vote Results])</f>
        <v>27134</v>
      </c>
      <c r="C10" s="11">
        <f>SUM(StateSenatorSenateDistrict7General141516171819202122232425282930313234353637[Genesee County Vote Results])</f>
        <v>22454</v>
      </c>
      <c r="D10" s="11">
        <f>SUM(StateSenatorSenateDistrict7General141516171819202122232425282930313234353637[Part of Jefferson County Vote Results])</f>
        <v>25395</v>
      </c>
      <c r="E10" s="11">
        <f>SUM(StateSenatorSenateDistrict7General141516171819202122232425282930313234353637[Livingston County Vote Results])</f>
        <v>24512</v>
      </c>
      <c r="F10" s="11">
        <f>SUM(StateSenatorSenateDistrict7General141516171819202122232425282930313234353637[Part of Niagara County Vote Results])</f>
        <v>22656</v>
      </c>
      <c r="G10" s="11">
        <f>SUM(StateSenatorSenateDistrict7General141516171819202122232425282930313234353637[Ontario County Vote Results])</f>
        <v>46560</v>
      </c>
      <c r="H10" s="11">
        <f>SUM(StateSenatorSenateDistrict7General141516171819202122232425282930313234353637[Part of Orleans County Vote Results])</f>
        <v>7086</v>
      </c>
      <c r="I10" s="11">
        <f>SUM(StateSenatorSenateDistrict7General141516171819202122232425282930313234353637[Part of Oswego County Vote Results])</f>
        <v>40351</v>
      </c>
      <c r="J10" s="11">
        <f>SUM(StateSenatorSenateDistrict7General141516171819202122232425282930313234353637[Seneca County Vote Results])</f>
        <v>11634</v>
      </c>
      <c r="K10" s="11">
        <f>SUM(StateSenatorSenateDistrict7General141516171819202122232425282930313234353637[Wayne County Vote Results])</f>
        <v>33872</v>
      </c>
      <c r="L10" s="11">
        <f>SUM(StateSenatorSenateDistrict7General141516171819202122232425282930313234353637[Wyoming County Vote Results])</f>
        <v>15387</v>
      </c>
      <c r="M10" s="11">
        <f>SUM(StateSenatorSenateDistrict7General141516171819202122232425282930313234353637[Yates County Vote Results])</f>
        <v>8345</v>
      </c>
      <c r="N10" s="4">
        <f>SUM(StateSenatorSenateDistrict7General141516171819202122232425282930313234353637[Total Votes by Party])</f>
        <v>285386</v>
      </c>
      <c r="O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B11A-724C-4C82-9AF3-C10D38F1170B}">
  <sheetPr>
    <pageSetUpPr fitToPage="1"/>
  </sheetPr>
  <dimension ref="A1:E10"/>
  <sheetViews>
    <sheetView workbookViewId="0"/>
  </sheetViews>
  <sheetFormatPr defaultRowHeight="12.75" x14ac:dyDescent="0.2"/>
  <cols>
    <col min="1" max="1" width="25.5703125" style="1" customWidth="1"/>
    <col min="2" max="5" width="20.5703125" customWidth="1"/>
    <col min="6" max="7" width="23.5703125" customWidth="1"/>
  </cols>
  <sheetData>
    <row r="1" spans="1:5" ht="24.95" customHeight="1" x14ac:dyDescent="0.2">
      <c r="A1" s="19" t="s">
        <v>97</v>
      </c>
    </row>
    <row r="2" spans="1:5" ht="24.95" customHeight="1" x14ac:dyDescent="0.2">
      <c r="A2" s="20" t="s">
        <v>11</v>
      </c>
      <c r="B2" s="21" t="s">
        <v>32</v>
      </c>
      <c r="C2" s="21" t="s">
        <v>66</v>
      </c>
      <c r="D2" s="9" t="s">
        <v>3</v>
      </c>
      <c r="E2" s="8" t="s">
        <v>4</v>
      </c>
    </row>
    <row r="3" spans="1:5" ht="25.5" x14ac:dyDescent="0.2">
      <c r="A3" s="16" t="s">
        <v>69</v>
      </c>
      <c r="B3" s="11">
        <v>137612</v>
      </c>
      <c r="C3" s="11">
        <v>1418</v>
      </c>
      <c r="D3" s="4">
        <f t="shared" ref="D3:D9" si="0">SUM(B3:C3)</f>
        <v>139030</v>
      </c>
      <c r="E3" s="7">
        <f>SUM(D3,D6)</f>
        <v>150273</v>
      </c>
    </row>
    <row r="4" spans="1:5" ht="25.5" x14ac:dyDescent="0.2">
      <c r="A4" s="16" t="s">
        <v>70</v>
      </c>
      <c r="B4" s="13">
        <v>105699</v>
      </c>
      <c r="C4" s="13">
        <v>4428</v>
      </c>
      <c r="D4" s="4">
        <f t="shared" si="0"/>
        <v>110127</v>
      </c>
      <c r="E4" s="7">
        <f>SUM(D4,D5)</f>
        <v>131783</v>
      </c>
    </row>
    <row r="5" spans="1:5" ht="25.5" x14ac:dyDescent="0.2">
      <c r="A5" s="16" t="s">
        <v>71</v>
      </c>
      <c r="B5" s="13">
        <v>20944</v>
      </c>
      <c r="C5" s="13">
        <v>712</v>
      </c>
      <c r="D5" s="4">
        <f t="shared" si="0"/>
        <v>21656</v>
      </c>
      <c r="E5" s="3"/>
    </row>
    <row r="6" spans="1:5" ht="25.5" x14ac:dyDescent="0.2">
      <c r="A6" s="16" t="s">
        <v>72</v>
      </c>
      <c r="B6" s="13">
        <v>11154</v>
      </c>
      <c r="C6" s="13">
        <v>89</v>
      </c>
      <c r="D6" s="4">
        <f t="shared" si="0"/>
        <v>11243</v>
      </c>
      <c r="E6" s="3"/>
    </row>
    <row r="7" spans="1:5" x14ac:dyDescent="0.2">
      <c r="A7" s="17" t="s">
        <v>0</v>
      </c>
      <c r="B7" s="11">
        <v>1963</v>
      </c>
      <c r="C7" s="11">
        <v>40</v>
      </c>
      <c r="D7" s="4">
        <f t="shared" si="0"/>
        <v>2003</v>
      </c>
      <c r="E7" s="3"/>
    </row>
    <row r="8" spans="1:5" x14ac:dyDescent="0.2">
      <c r="A8" s="17" t="s">
        <v>1</v>
      </c>
      <c r="B8" s="11">
        <v>59</v>
      </c>
      <c r="C8" s="11">
        <v>3</v>
      </c>
      <c r="D8" s="4">
        <f t="shared" si="0"/>
        <v>62</v>
      </c>
      <c r="E8" s="3"/>
    </row>
    <row r="9" spans="1:5" x14ac:dyDescent="0.2">
      <c r="A9" s="17" t="s">
        <v>5</v>
      </c>
      <c r="B9" s="11">
        <v>552</v>
      </c>
      <c r="C9" s="11">
        <v>9</v>
      </c>
      <c r="D9" s="4">
        <f t="shared" si="0"/>
        <v>561</v>
      </c>
      <c r="E9" s="3"/>
    </row>
    <row r="10" spans="1:5" x14ac:dyDescent="0.2">
      <c r="A10" s="18" t="s">
        <v>2</v>
      </c>
      <c r="B10" s="11">
        <f>SUM(StateSenatorSenateDistrict7General1415161718192021222324252738[Monroe County Vote Results])</f>
        <v>277983</v>
      </c>
      <c r="C10" s="11">
        <f>SUM(StateSenatorSenateDistrict7General1415161718192021222324252738[Part of Orleans County Vote Results])</f>
        <v>6699</v>
      </c>
      <c r="D10" s="4">
        <f>SUM(StateSenatorSenateDistrict7General1415161718192021222324252738[Total Votes by Party])</f>
        <v>284682</v>
      </c>
      <c r="E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E53D-13F4-409E-856A-C09F2C8B04EA}">
  <sheetPr>
    <pageSetUpPr fitToPage="1"/>
  </sheetPr>
  <dimension ref="A1:E10"/>
  <sheetViews>
    <sheetView workbookViewId="0">
      <selection activeCell="G31" sqref="G31"/>
    </sheetView>
  </sheetViews>
  <sheetFormatPr defaultRowHeight="12.75" x14ac:dyDescent="0.2"/>
  <cols>
    <col min="1" max="1" width="25.5703125" style="1" customWidth="1"/>
    <col min="2" max="5" width="20.5703125" customWidth="1"/>
    <col min="6" max="7" width="23.5703125" customWidth="1"/>
  </cols>
  <sheetData>
    <row r="1" spans="1:5" ht="24.95" customHeight="1" x14ac:dyDescent="0.2">
      <c r="A1" s="19" t="s">
        <v>98</v>
      </c>
    </row>
    <row r="2" spans="1:5" ht="24.95" customHeight="1" x14ac:dyDescent="0.2">
      <c r="A2" s="20" t="s">
        <v>11</v>
      </c>
      <c r="B2" s="21" t="s">
        <v>65</v>
      </c>
      <c r="C2" s="21" t="s">
        <v>67</v>
      </c>
      <c r="D2" s="9" t="s">
        <v>3</v>
      </c>
      <c r="E2" s="8" t="s">
        <v>4</v>
      </c>
    </row>
    <row r="3" spans="1:5" ht="25.5" x14ac:dyDescent="0.2">
      <c r="A3" s="16" t="s">
        <v>69</v>
      </c>
      <c r="B3" s="11">
        <v>109750</v>
      </c>
      <c r="C3" s="11">
        <v>20530</v>
      </c>
      <c r="D3" s="4">
        <f t="shared" ref="D3:D9" si="0">SUM(B3:C3)</f>
        <v>130280</v>
      </c>
      <c r="E3" s="7">
        <f>SUM(D3,D6)</f>
        <v>141372</v>
      </c>
    </row>
    <row r="4" spans="1:5" ht="25.5" x14ac:dyDescent="0.2">
      <c r="A4" s="16" t="s">
        <v>70</v>
      </c>
      <c r="B4" s="13">
        <v>59605</v>
      </c>
      <c r="C4" s="13">
        <v>26449</v>
      </c>
      <c r="D4" s="4">
        <f t="shared" si="0"/>
        <v>86054</v>
      </c>
      <c r="E4" s="7">
        <f>SUM(D4,D5)</f>
        <v>105809</v>
      </c>
    </row>
    <row r="5" spans="1:5" ht="25.5" x14ac:dyDescent="0.2">
      <c r="A5" s="16" t="s">
        <v>71</v>
      </c>
      <c r="B5" s="13">
        <v>14184</v>
      </c>
      <c r="C5" s="13">
        <v>5571</v>
      </c>
      <c r="D5" s="4">
        <f t="shared" si="0"/>
        <v>19755</v>
      </c>
      <c r="E5" s="3"/>
    </row>
    <row r="6" spans="1:5" ht="25.5" x14ac:dyDescent="0.2">
      <c r="A6" s="16" t="s">
        <v>72</v>
      </c>
      <c r="B6" s="13">
        <v>9812</v>
      </c>
      <c r="C6" s="13">
        <v>1280</v>
      </c>
      <c r="D6" s="4">
        <f t="shared" si="0"/>
        <v>11092</v>
      </c>
      <c r="E6" s="3"/>
    </row>
    <row r="7" spans="1:5" x14ac:dyDescent="0.2">
      <c r="A7" s="17" t="s">
        <v>0</v>
      </c>
      <c r="B7" s="11">
        <v>3036</v>
      </c>
      <c r="C7" s="11">
        <v>410</v>
      </c>
      <c r="D7" s="4">
        <f t="shared" si="0"/>
        <v>3446</v>
      </c>
      <c r="E7" s="3"/>
    </row>
    <row r="8" spans="1:5" x14ac:dyDescent="0.2">
      <c r="A8" s="17" t="s">
        <v>1</v>
      </c>
      <c r="B8" s="11">
        <v>66</v>
      </c>
      <c r="C8" s="11">
        <v>11</v>
      </c>
      <c r="D8" s="4">
        <f t="shared" si="0"/>
        <v>77</v>
      </c>
      <c r="E8" s="3"/>
    </row>
    <row r="9" spans="1:5" x14ac:dyDescent="0.2">
      <c r="A9" s="17" t="s">
        <v>5</v>
      </c>
      <c r="B9" s="11">
        <v>405</v>
      </c>
      <c r="C9" s="11">
        <v>79</v>
      </c>
      <c r="D9" s="4">
        <f t="shared" si="0"/>
        <v>484</v>
      </c>
      <c r="E9" s="3"/>
    </row>
    <row r="10" spans="1:5" x14ac:dyDescent="0.2">
      <c r="A10" s="18" t="s">
        <v>2</v>
      </c>
      <c r="B10" s="11">
        <f>SUM(StateSenatorSenateDistrict7General141516171819202122232425273839[Part of Erie County Vote Results])</f>
        <v>196858</v>
      </c>
      <c r="C10" s="11">
        <f>SUM(StateSenatorSenateDistrict7General141516171819202122232425273839[Part of Niagara County Vote Results])</f>
        <v>54330</v>
      </c>
      <c r="D10" s="4">
        <f>SUM(StateSenatorSenateDistrict7General141516171819202122232425273839[Total Votes by Party])</f>
        <v>251188</v>
      </c>
      <c r="E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03C6-8ED0-43D6-96FF-AD8F11CAA773}">
  <sheetPr>
    <pageSetUpPr fitToPage="1"/>
  </sheetPr>
  <dimension ref="A1:E10"/>
  <sheetViews>
    <sheetView workbookViewId="0">
      <selection activeCell="B26" sqref="B26"/>
    </sheetView>
  </sheetViews>
  <sheetFormatPr defaultRowHeight="12.75" x14ac:dyDescent="0.2"/>
  <cols>
    <col min="1" max="1" width="25.5703125" style="1" customWidth="1"/>
    <col min="2" max="5" width="20.5703125" customWidth="1"/>
    <col min="6" max="7" width="23.5703125" customWidth="1"/>
  </cols>
  <sheetData>
    <row r="1" spans="1:5" ht="24.95" customHeight="1" x14ac:dyDescent="0.2">
      <c r="A1" s="19" t="s">
        <v>75</v>
      </c>
    </row>
    <row r="2" spans="1:5" ht="24.95" customHeight="1" x14ac:dyDescent="0.2">
      <c r="A2" s="20" t="s">
        <v>11</v>
      </c>
      <c r="B2" s="21" t="s">
        <v>44</v>
      </c>
      <c r="C2" s="21" t="s">
        <v>45</v>
      </c>
      <c r="D2" s="9" t="s">
        <v>3</v>
      </c>
      <c r="E2" s="8" t="s">
        <v>4</v>
      </c>
    </row>
    <row r="3" spans="1:5" ht="25.5" x14ac:dyDescent="0.2">
      <c r="A3" s="16" t="s">
        <v>69</v>
      </c>
      <c r="B3" s="11">
        <v>93494</v>
      </c>
      <c r="C3" s="11">
        <v>22766</v>
      </c>
      <c r="D3" s="4">
        <f t="shared" ref="D3:D9" si="0">SUM(B3:C3)</f>
        <v>116260</v>
      </c>
      <c r="E3" s="7">
        <f>SUM(D3,D6)</f>
        <v>122100</v>
      </c>
    </row>
    <row r="4" spans="1:5" ht="25.5" x14ac:dyDescent="0.2">
      <c r="A4" s="16" t="s">
        <v>70</v>
      </c>
      <c r="B4" s="11">
        <v>120443</v>
      </c>
      <c r="C4" s="11">
        <v>23408</v>
      </c>
      <c r="D4" s="4">
        <f t="shared" si="0"/>
        <v>143851</v>
      </c>
      <c r="E4" s="7">
        <f>SUM(D4,D5)</f>
        <v>155603</v>
      </c>
    </row>
    <row r="5" spans="1:5" ht="25.5" x14ac:dyDescent="0.2">
      <c r="A5" s="16" t="s">
        <v>71</v>
      </c>
      <c r="B5" s="11">
        <v>9702</v>
      </c>
      <c r="C5" s="11">
        <v>2050</v>
      </c>
      <c r="D5" s="4">
        <f t="shared" si="0"/>
        <v>11752</v>
      </c>
      <c r="E5" s="3"/>
    </row>
    <row r="6" spans="1:5" ht="25.5" x14ac:dyDescent="0.2">
      <c r="A6" s="16" t="s">
        <v>72</v>
      </c>
      <c r="B6" s="11">
        <v>4363</v>
      </c>
      <c r="C6" s="11">
        <v>1477</v>
      </c>
      <c r="D6" s="4">
        <f t="shared" si="0"/>
        <v>5840</v>
      </c>
      <c r="E6" s="3"/>
    </row>
    <row r="7" spans="1:5" x14ac:dyDescent="0.2">
      <c r="A7" s="17" t="s">
        <v>0</v>
      </c>
      <c r="B7" s="11">
        <v>830</v>
      </c>
      <c r="C7" s="11">
        <v>252</v>
      </c>
      <c r="D7" s="4">
        <f t="shared" si="0"/>
        <v>1082</v>
      </c>
      <c r="E7" s="3"/>
    </row>
    <row r="8" spans="1:5" x14ac:dyDescent="0.2">
      <c r="A8" s="17" t="s">
        <v>1</v>
      </c>
      <c r="B8" s="11">
        <v>105</v>
      </c>
      <c r="C8" s="11"/>
      <c r="D8" s="4">
        <f t="shared" si="0"/>
        <v>105</v>
      </c>
      <c r="E8" s="3"/>
    </row>
    <row r="9" spans="1:5" x14ac:dyDescent="0.2">
      <c r="A9" s="17" t="s">
        <v>5</v>
      </c>
      <c r="B9" s="11">
        <v>194</v>
      </c>
      <c r="C9" s="11">
        <v>59</v>
      </c>
      <c r="D9" s="4">
        <f t="shared" si="0"/>
        <v>253</v>
      </c>
      <c r="E9" s="3"/>
    </row>
    <row r="10" spans="1:5" x14ac:dyDescent="0.2">
      <c r="A10" s="18" t="s">
        <v>2</v>
      </c>
      <c r="B10" s="11">
        <f>SUM(StateSenatorSenateDistrict7General141516[Part of Nassau County Vote Results])</f>
        <v>229131</v>
      </c>
      <c r="C10" s="11">
        <f>SUM(StateSenatorSenateDistrict7General141516[Part of Queens County Vote Results])</f>
        <v>50012</v>
      </c>
      <c r="D10" s="4">
        <f>SUM(StateSenatorSenateDistrict7General141516[Total Votes by Party])</f>
        <v>279143</v>
      </c>
      <c r="E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C385-5304-4BFC-96BB-5FBF4BD457D2}">
  <sheetPr>
    <pageSetUpPr fitToPage="1"/>
  </sheetPr>
  <dimension ref="A1:D10"/>
  <sheetViews>
    <sheetView workbookViewId="0">
      <selection activeCell="C22" sqref="C22"/>
    </sheetView>
  </sheetViews>
  <sheetFormatPr defaultRowHeight="12.75" x14ac:dyDescent="0.2"/>
  <cols>
    <col min="1" max="1" width="25.5703125" style="1" customWidth="1"/>
    <col min="2" max="4" width="20.5703125" customWidth="1"/>
    <col min="5" max="6" width="23.5703125" customWidth="1"/>
  </cols>
  <sheetData>
    <row r="1" spans="1:4" ht="24.95" customHeight="1" x14ac:dyDescent="0.2">
      <c r="A1" s="19" t="s">
        <v>76</v>
      </c>
    </row>
    <row r="2" spans="1:4" ht="24.95" customHeight="1" x14ac:dyDescent="0.2">
      <c r="A2" s="20" t="s">
        <v>11</v>
      </c>
      <c r="B2" s="21" t="s">
        <v>44</v>
      </c>
      <c r="C2" s="9" t="s">
        <v>3</v>
      </c>
      <c r="D2" s="8" t="s">
        <v>4</v>
      </c>
    </row>
    <row r="3" spans="1:4" ht="25.5" x14ac:dyDescent="0.2">
      <c r="A3" s="16" t="s">
        <v>69</v>
      </c>
      <c r="B3" s="11">
        <v>125074</v>
      </c>
      <c r="C3" s="4">
        <f t="shared" ref="C3:C8" si="0">SUM(B3)</f>
        <v>125074</v>
      </c>
      <c r="D3" s="7">
        <f>SUM(C3,C6)</f>
        <v>130254</v>
      </c>
    </row>
    <row r="4" spans="1:4" ht="25.5" x14ac:dyDescent="0.2">
      <c r="A4" s="16" t="s">
        <v>70</v>
      </c>
      <c r="B4" s="11">
        <v>135231</v>
      </c>
      <c r="C4" s="4">
        <f t="shared" si="0"/>
        <v>135231</v>
      </c>
      <c r="D4" s="7">
        <f>SUM(C4,C5)</f>
        <v>146232</v>
      </c>
    </row>
    <row r="5" spans="1:4" ht="25.5" x14ac:dyDescent="0.2">
      <c r="A5" s="16" t="s">
        <v>71</v>
      </c>
      <c r="B5" s="11">
        <v>11001</v>
      </c>
      <c r="C5" s="4">
        <f t="shared" si="0"/>
        <v>11001</v>
      </c>
      <c r="D5" s="3"/>
    </row>
    <row r="6" spans="1:4" ht="25.5" x14ac:dyDescent="0.2">
      <c r="A6" s="16" t="s">
        <v>72</v>
      </c>
      <c r="B6" s="11">
        <v>5180</v>
      </c>
      <c r="C6" s="4">
        <f t="shared" si="0"/>
        <v>5180</v>
      </c>
      <c r="D6" s="3"/>
    </row>
    <row r="7" spans="1:4" x14ac:dyDescent="0.2">
      <c r="A7" s="17" t="s">
        <v>0</v>
      </c>
      <c r="B7" s="11">
        <v>1074</v>
      </c>
      <c r="C7" s="4">
        <f t="shared" si="0"/>
        <v>1074</v>
      </c>
      <c r="D7" s="3"/>
    </row>
    <row r="8" spans="1:4" x14ac:dyDescent="0.2">
      <c r="A8" s="17" t="s">
        <v>1</v>
      </c>
      <c r="B8" s="11">
        <v>165</v>
      </c>
      <c r="C8" s="4">
        <f t="shared" si="0"/>
        <v>165</v>
      </c>
      <c r="D8" s="3"/>
    </row>
    <row r="9" spans="1:4" x14ac:dyDescent="0.2">
      <c r="A9" s="17" t="s">
        <v>5</v>
      </c>
      <c r="B9" s="13">
        <v>246</v>
      </c>
      <c r="C9" s="12">
        <f t="shared" ref="C9" si="1">SUM(B9)</f>
        <v>246</v>
      </c>
      <c r="D9" s="3"/>
    </row>
    <row r="10" spans="1:4" x14ac:dyDescent="0.2">
      <c r="A10" s="18" t="s">
        <v>2</v>
      </c>
      <c r="B10" s="11">
        <f>SUM(StateSenatorSenateDistrict7General14151617[Part of Nassau County Vote Results])</f>
        <v>277971</v>
      </c>
      <c r="C10" s="4">
        <f>SUM(StateSenatorSenateDistrict7General14151617[Total Votes by Party])</f>
        <v>277971</v>
      </c>
      <c r="D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814F7-A08B-4AD1-9F57-6904BE6BBED9}">
  <sheetPr>
    <pageSetUpPr fitToPage="1"/>
  </sheetPr>
  <dimension ref="A1:D10"/>
  <sheetViews>
    <sheetView workbookViewId="0">
      <selection activeCell="C17" sqref="C17"/>
    </sheetView>
  </sheetViews>
  <sheetFormatPr defaultRowHeight="12.75" x14ac:dyDescent="0.2"/>
  <cols>
    <col min="1" max="1" width="25.5703125" style="1" customWidth="1"/>
    <col min="2" max="4" width="20.5703125" customWidth="1"/>
    <col min="5" max="6" width="23.5703125" customWidth="1"/>
  </cols>
  <sheetData>
    <row r="1" spans="1:4" ht="24.95" customHeight="1" x14ac:dyDescent="0.2">
      <c r="A1" s="19" t="s">
        <v>77</v>
      </c>
    </row>
    <row r="2" spans="1:4" ht="24.95" customHeight="1" x14ac:dyDescent="0.2">
      <c r="A2" s="20" t="s">
        <v>11</v>
      </c>
      <c r="B2" s="21" t="s">
        <v>45</v>
      </c>
      <c r="C2" s="9" t="s">
        <v>3</v>
      </c>
      <c r="D2" s="8" t="s">
        <v>4</v>
      </c>
    </row>
    <row r="3" spans="1:4" ht="25.5" x14ac:dyDescent="0.2">
      <c r="A3" s="16" t="s">
        <v>69</v>
      </c>
      <c r="B3" s="11">
        <v>100437</v>
      </c>
      <c r="C3" s="4">
        <f t="shared" ref="C3:C8" si="0">SUM(B3)</f>
        <v>100437</v>
      </c>
      <c r="D3" s="7">
        <f>SUM(C3,C6)</f>
        <v>104458</v>
      </c>
    </row>
    <row r="4" spans="1:4" ht="25.5" x14ac:dyDescent="0.2">
      <c r="A4" s="16" t="s">
        <v>70</v>
      </c>
      <c r="B4" s="11">
        <v>35395</v>
      </c>
      <c r="C4" s="4">
        <f t="shared" si="0"/>
        <v>35395</v>
      </c>
      <c r="D4" s="7">
        <f>SUM(C4,C5)</f>
        <v>38515</v>
      </c>
    </row>
    <row r="5" spans="1:4" ht="25.5" x14ac:dyDescent="0.2">
      <c r="A5" s="16" t="s">
        <v>71</v>
      </c>
      <c r="B5" s="11">
        <v>3120</v>
      </c>
      <c r="C5" s="4">
        <f t="shared" si="0"/>
        <v>3120</v>
      </c>
      <c r="D5" s="3"/>
    </row>
    <row r="6" spans="1:4" ht="25.5" x14ac:dyDescent="0.2">
      <c r="A6" s="16" t="s">
        <v>72</v>
      </c>
      <c r="B6" s="11">
        <v>4021</v>
      </c>
      <c r="C6" s="4">
        <f t="shared" si="0"/>
        <v>4021</v>
      </c>
      <c r="D6" s="3"/>
    </row>
    <row r="7" spans="1:4" x14ac:dyDescent="0.2">
      <c r="A7" s="17" t="s">
        <v>0</v>
      </c>
      <c r="B7" s="11">
        <v>915</v>
      </c>
      <c r="C7" s="4">
        <f t="shared" si="0"/>
        <v>915</v>
      </c>
      <c r="D7" s="3"/>
    </row>
    <row r="8" spans="1:4" x14ac:dyDescent="0.2">
      <c r="A8" s="17" t="s">
        <v>1</v>
      </c>
      <c r="B8" s="11"/>
      <c r="C8" s="4">
        <f t="shared" si="0"/>
        <v>0</v>
      </c>
      <c r="D8" s="3"/>
    </row>
    <row r="9" spans="1:4" x14ac:dyDescent="0.2">
      <c r="A9" s="17" t="s">
        <v>5</v>
      </c>
      <c r="B9" s="13">
        <v>204</v>
      </c>
      <c r="C9" s="12">
        <f t="shared" ref="C9" si="1">SUM(B9)</f>
        <v>204</v>
      </c>
      <c r="D9" s="3"/>
    </row>
    <row r="10" spans="1:4" x14ac:dyDescent="0.2">
      <c r="A10" s="18" t="s">
        <v>2</v>
      </c>
      <c r="B10" s="11">
        <f>SUM(StateSenatorSenateDistrict7General1415161718[Part of Queens County Vote Results])</f>
        <v>144092</v>
      </c>
      <c r="C10" s="4">
        <f>SUM(StateSenatorSenateDistrict7General1415161718[Total Votes by Party])</f>
        <v>144092</v>
      </c>
      <c r="D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0A17-1FD3-4FF8-9B87-CA6AEEF2F799}">
  <sheetPr>
    <pageSetUpPr fitToPage="1"/>
  </sheetPr>
  <dimension ref="A1:D10"/>
  <sheetViews>
    <sheetView workbookViewId="0">
      <selection activeCell="D28" sqref="D28"/>
    </sheetView>
  </sheetViews>
  <sheetFormatPr defaultRowHeight="12.75" x14ac:dyDescent="0.2"/>
  <cols>
    <col min="1" max="1" width="25.5703125" style="1" customWidth="1"/>
    <col min="2" max="4" width="20.5703125" customWidth="1"/>
    <col min="5" max="6" width="23.5703125" customWidth="1"/>
  </cols>
  <sheetData>
    <row r="1" spans="1:4" ht="24.95" customHeight="1" x14ac:dyDescent="0.2">
      <c r="A1" s="19" t="s">
        <v>78</v>
      </c>
    </row>
    <row r="2" spans="1:4" ht="24.95" customHeight="1" x14ac:dyDescent="0.2">
      <c r="A2" s="20" t="s">
        <v>11</v>
      </c>
      <c r="B2" s="21" t="s">
        <v>45</v>
      </c>
      <c r="C2" s="9" t="s">
        <v>3</v>
      </c>
      <c r="D2" s="8" t="s">
        <v>4</v>
      </c>
    </row>
    <row r="3" spans="1:4" ht="25.5" x14ac:dyDescent="0.2">
      <c r="A3" s="16" t="s">
        <v>69</v>
      </c>
      <c r="B3" s="11">
        <v>67298</v>
      </c>
      <c r="C3" s="4">
        <f t="shared" ref="C3:C9" si="0">SUM(B3)</f>
        <v>67298</v>
      </c>
      <c r="D3" s="7">
        <f>SUM(C3,C6)</f>
        <v>74399</v>
      </c>
    </row>
    <row r="4" spans="1:4" ht="25.5" x14ac:dyDescent="0.2">
      <c r="A4" s="16" t="s">
        <v>70</v>
      </c>
      <c r="B4" s="11">
        <v>57424</v>
      </c>
      <c r="C4" s="4">
        <f t="shared" si="0"/>
        <v>57424</v>
      </c>
      <c r="D4" s="7">
        <f>SUM(C4,C5)</f>
        <v>61500</v>
      </c>
    </row>
    <row r="5" spans="1:4" ht="25.5" x14ac:dyDescent="0.2">
      <c r="A5" s="16" t="s">
        <v>71</v>
      </c>
      <c r="B5" s="11">
        <v>4076</v>
      </c>
      <c r="C5" s="4">
        <f t="shared" si="0"/>
        <v>4076</v>
      </c>
      <c r="D5" s="3"/>
    </row>
    <row r="6" spans="1:4" ht="25.5" x14ac:dyDescent="0.2">
      <c r="A6" s="16" t="s">
        <v>72</v>
      </c>
      <c r="B6" s="13">
        <v>7101</v>
      </c>
      <c r="C6" s="12">
        <f>SUM(B6)</f>
        <v>7101</v>
      </c>
      <c r="D6" s="3"/>
    </row>
    <row r="7" spans="1:4" x14ac:dyDescent="0.2">
      <c r="A7" s="17" t="s">
        <v>0</v>
      </c>
      <c r="B7" s="11">
        <v>1007</v>
      </c>
      <c r="C7" s="4">
        <f t="shared" si="0"/>
        <v>1007</v>
      </c>
      <c r="D7" s="3"/>
    </row>
    <row r="8" spans="1:4" x14ac:dyDescent="0.2">
      <c r="A8" s="17" t="s">
        <v>1</v>
      </c>
      <c r="B8" s="11"/>
      <c r="C8" s="4">
        <f t="shared" si="0"/>
        <v>0</v>
      </c>
      <c r="D8" s="3"/>
    </row>
    <row r="9" spans="1:4" x14ac:dyDescent="0.2">
      <c r="A9" s="17" t="s">
        <v>5</v>
      </c>
      <c r="B9" s="11">
        <v>252</v>
      </c>
      <c r="C9" s="4">
        <f t="shared" si="0"/>
        <v>252</v>
      </c>
      <c r="D9" s="3"/>
    </row>
    <row r="10" spans="1:4" x14ac:dyDescent="0.2">
      <c r="A10" s="18" t="s">
        <v>2</v>
      </c>
      <c r="B10" s="11">
        <f>SUM(StateSenatorSenateDistrict7General141516171819[Part of Queens County Vote Results])</f>
        <v>137158</v>
      </c>
      <c r="C10" s="4">
        <f>SUM(StateSenatorSenateDistrict7General141516171819[Total Votes by Party])</f>
        <v>137158</v>
      </c>
      <c r="D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1432F-D83A-4056-8595-4C342968BF0C}">
  <sheetPr>
    <pageSetUpPr fitToPage="1"/>
  </sheetPr>
  <dimension ref="A1:E10"/>
  <sheetViews>
    <sheetView workbookViewId="0">
      <selection activeCell="D29" sqref="D29"/>
    </sheetView>
  </sheetViews>
  <sheetFormatPr defaultRowHeight="12.75" x14ac:dyDescent="0.2"/>
  <cols>
    <col min="1" max="1" width="25.5703125" style="1" customWidth="1"/>
    <col min="2" max="5" width="20.5703125" customWidth="1"/>
    <col min="6" max="7" width="23.5703125" customWidth="1"/>
  </cols>
  <sheetData>
    <row r="1" spans="1:5" ht="24.95" customHeight="1" x14ac:dyDescent="0.2">
      <c r="A1" s="19" t="s">
        <v>79</v>
      </c>
    </row>
    <row r="2" spans="1:5" ht="24.95" customHeight="1" x14ac:dyDescent="0.2">
      <c r="A2" s="20" t="s">
        <v>11</v>
      </c>
      <c r="B2" s="21" t="s">
        <v>46</v>
      </c>
      <c r="C2" s="21" t="s">
        <v>45</v>
      </c>
      <c r="D2" s="9" t="s">
        <v>3</v>
      </c>
      <c r="E2" s="8" t="s">
        <v>4</v>
      </c>
    </row>
    <row r="3" spans="1:5" ht="25.5" x14ac:dyDescent="0.2">
      <c r="A3" s="16" t="s">
        <v>69</v>
      </c>
      <c r="B3" s="11">
        <v>62594</v>
      </c>
      <c r="C3" s="11">
        <v>31303</v>
      </c>
      <c r="D3" s="4">
        <f t="shared" ref="D3:D9" si="0">SUM(B3:C4)</f>
        <v>127792</v>
      </c>
      <c r="E3" s="7">
        <f>SUM(D3,D6)</f>
        <v>150346</v>
      </c>
    </row>
    <row r="4" spans="1:5" ht="25.5" x14ac:dyDescent="0.2">
      <c r="A4" s="16" t="s">
        <v>70</v>
      </c>
      <c r="B4" s="11">
        <v>17792</v>
      </c>
      <c r="C4" s="11">
        <v>16103</v>
      </c>
      <c r="D4" s="4">
        <f t="shared" si="0"/>
        <v>36448</v>
      </c>
      <c r="E4" s="7">
        <f>SUM(D4,D5)</f>
        <v>60445</v>
      </c>
    </row>
    <row r="5" spans="1:5" ht="25.5" x14ac:dyDescent="0.2">
      <c r="A5" s="16" t="s">
        <v>71</v>
      </c>
      <c r="B5" s="11">
        <v>1164</v>
      </c>
      <c r="C5" s="11">
        <v>1389</v>
      </c>
      <c r="D5" s="4">
        <f t="shared" si="0"/>
        <v>23997</v>
      </c>
      <c r="E5" s="3"/>
    </row>
    <row r="6" spans="1:5" ht="25.5" x14ac:dyDescent="0.2">
      <c r="A6" s="16" t="s">
        <v>72</v>
      </c>
      <c r="B6" s="13">
        <v>15266</v>
      </c>
      <c r="C6" s="13">
        <v>6178</v>
      </c>
      <c r="D6" s="4">
        <f t="shared" si="0"/>
        <v>22554</v>
      </c>
      <c r="E6" s="3"/>
    </row>
    <row r="7" spans="1:5" x14ac:dyDescent="0.2">
      <c r="A7" s="17" t="s">
        <v>0</v>
      </c>
      <c r="B7" s="11">
        <v>773</v>
      </c>
      <c r="C7" s="11">
        <v>337</v>
      </c>
      <c r="D7" s="4">
        <f t="shared" si="0"/>
        <v>1110</v>
      </c>
      <c r="E7" s="3"/>
    </row>
    <row r="8" spans="1:5" x14ac:dyDescent="0.2">
      <c r="A8" s="17" t="s">
        <v>1</v>
      </c>
      <c r="B8" s="11"/>
      <c r="C8" s="11"/>
      <c r="D8" s="4">
        <f t="shared" si="0"/>
        <v>271</v>
      </c>
      <c r="E8" s="3"/>
    </row>
    <row r="9" spans="1:5" x14ac:dyDescent="0.2">
      <c r="A9" s="17" t="s">
        <v>5</v>
      </c>
      <c r="B9" s="11">
        <v>167</v>
      </c>
      <c r="C9" s="11">
        <v>104</v>
      </c>
      <c r="D9" s="4">
        <f t="shared" si="0"/>
        <v>153441</v>
      </c>
      <c r="E9" s="3"/>
    </row>
    <row r="10" spans="1:5" x14ac:dyDescent="0.2">
      <c r="A10" s="18" t="s">
        <v>2</v>
      </c>
      <c r="B10" s="11">
        <f>SUM(StateSenatorSenateDistrict7General14151617181920[Part of Kings County Vote Results])</f>
        <v>97756</v>
      </c>
      <c r="C10" s="11">
        <f>SUM(StateSenatorSenateDistrict7General14151617181920[Part of Queens County Vote Results])</f>
        <v>55414</v>
      </c>
      <c r="D10" s="4">
        <f>SUM(StateSenatorSenateDistrict7General14151617181920[Total Votes by Party])</f>
        <v>365613</v>
      </c>
      <c r="E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5772B-5A07-4E2F-A3BE-3FB0884CD712}">
  <sheetPr>
    <pageSetUpPr fitToPage="1"/>
  </sheetPr>
  <dimension ref="A1:D10"/>
  <sheetViews>
    <sheetView workbookViewId="0"/>
  </sheetViews>
  <sheetFormatPr defaultRowHeight="12.75" x14ac:dyDescent="0.2"/>
  <cols>
    <col min="1" max="1" width="25.5703125" style="1" customWidth="1"/>
    <col min="2" max="4" width="20.5703125" customWidth="1"/>
    <col min="5" max="6" width="23.5703125" customWidth="1"/>
  </cols>
  <sheetData>
    <row r="1" spans="1:4" ht="24.95" customHeight="1" x14ac:dyDescent="0.2">
      <c r="A1" s="19" t="s">
        <v>80</v>
      </c>
    </row>
    <row r="2" spans="1:4" ht="24.95" customHeight="1" x14ac:dyDescent="0.2">
      <c r="A2" s="20" t="s">
        <v>11</v>
      </c>
      <c r="B2" s="21" t="s">
        <v>46</v>
      </c>
      <c r="C2" s="9" t="s">
        <v>3</v>
      </c>
      <c r="D2" s="8" t="s">
        <v>4</v>
      </c>
    </row>
    <row r="3" spans="1:4" ht="25.5" x14ac:dyDescent="0.2">
      <c r="A3" s="16" t="s">
        <v>69</v>
      </c>
      <c r="B3" s="11">
        <v>90386</v>
      </c>
      <c r="C3" s="4">
        <f>SUM(B3:B4)</f>
        <v>131330</v>
      </c>
      <c r="D3" s="7">
        <f>SUM(C3,C6)</f>
        <v>141590</v>
      </c>
    </row>
    <row r="4" spans="1:4" ht="25.5" x14ac:dyDescent="0.2">
      <c r="A4" s="16" t="s">
        <v>70</v>
      </c>
      <c r="B4" s="11">
        <v>40944</v>
      </c>
      <c r="C4" s="4">
        <f>SUM(B4:B5)</f>
        <v>43456</v>
      </c>
      <c r="D4" s="7">
        <f>SUM(C4,C5)</f>
        <v>45968</v>
      </c>
    </row>
    <row r="5" spans="1:4" ht="25.5" x14ac:dyDescent="0.2">
      <c r="A5" s="16" t="s">
        <v>71</v>
      </c>
      <c r="B5" s="11">
        <v>2512</v>
      </c>
      <c r="C5" s="4">
        <f>SUM(B5:B5)</f>
        <v>2512</v>
      </c>
      <c r="D5" s="3"/>
    </row>
    <row r="6" spans="1:4" ht="25.5" x14ac:dyDescent="0.2">
      <c r="A6" s="16" t="s">
        <v>72</v>
      </c>
      <c r="B6" s="11">
        <v>8872</v>
      </c>
      <c r="C6" s="4">
        <f>SUM(B6:B7)</f>
        <v>10260</v>
      </c>
      <c r="D6" s="3"/>
    </row>
    <row r="7" spans="1:4" x14ac:dyDescent="0.2">
      <c r="A7" s="17" t="s">
        <v>0</v>
      </c>
      <c r="B7" s="11">
        <v>1388</v>
      </c>
      <c r="C7" s="4">
        <f>SUM(B7:B8)</f>
        <v>1388</v>
      </c>
      <c r="D7" s="3"/>
    </row>
    <row r="8" spans="1:4" x14ac:dyDescent="0.2">
      <c r="A8" s="17" t="s">
        <v>1</v>
      </c>
      <c r="B8" s="11"/>
      <c r="C8" s="4">
        <f>SUM(B8:B10)</f>
        <v>144536</v>
      </c>
      <c r="D8" s="3"/>
    </row>
    <row r="9" spans="1:4" x14ac:dyDescent="0.2">
      <c r="A9" s="17" t="s">
        <v>5</v>
      </c>
      <c r="B9" s="13">
        <v>217</v>
      </c>
      <c r="C9" s="12">
        <f>SUM(B9:B9)</f>
        <v>217</v>
      </c>
      <c r="D9" s="3"/>
    </row>
    <row r="10" spans="1:4" x14ac:dyDescent="0.2">
      <c r="A10" s="18" t="s">
        <v>2</v>
      </c>
      <c r="B10" s="11">
        <f>SUM(StateSenatorSenateDistrict7General1415161718192021[Part of Kings County Vote Results])</f>
        <v>144319</v>
      </c>
      <c r="C10" s="4">
        <f>SUM(StateSenatorSenateDistrict7General1415161718192021[Total Votes by Party])</f>
        <v>333699</v>
      </c>
      <c r="D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4F50-BF24-4B68-A03F-5179919ED98B}">
  <sheetPr>
    <pageSetUpPr fitToPage="1"/>
  </sheetPr>
  <dimension ref="A1:D10"/>
  <sheetViews>
    <sheetView workbookViewId="0"/>
  </sheetViews>
  <sheetFormatPr defaultRowHeight="12.75" x14ac:dyDescent="0.2"/>
  <cols>
    <col min="1" max="1" width="25.5703125" style="1" customWidth="1"/>
    <col min="2" max="4" width="20.5703125" customWidth="1"/>
    <col min="5" max="6" width="23.5703125" customWidth="1"/>
  </cols>
  <sheetData>
    <row r="1" spans="1:4" ht="24.95" customHeight="1" x14ac:dyDescent="0.2">
      <c r="A1" s="19" t="s">
        <v>81</v>
      </c>
    </row>
    <row r="2" spans="1:4" ht="24.95" customHeight="1" x14ac:dyDescent="0.2">
      <c r="A2" s="20" t="s">
        <v>11</v>
      </c>
      <c r="B2" s="21" t="s">
        <v>46</v>
      </c>
      <c r="C2" s="9" t="s">
        <v>3</v>
      </c>
      <c r="D2" s="8" t="s">
        <v>4</v>
      </c>
    </row>
    <row r="3" spans="1:4" ht="25.5" x14ac:dyDescent="0.2">
      <c r="A3" s="16" t="s">
        <v>69</v>
      </c>
      <c r="B3" s="11">
        <v>97174</v>
      </c>
      <c r="C3" s="4">
        <f>SUM(B3)</f>
        <v>97174</v>
      </c>
      <c r="D3" s="7">
        <f>SUM(C3,C6)</f>
        <v>112474</v>
      </c>
    </row>
    <row r="4" spans="1:4" ht="25.5" x14ac:dyDescent="0.2">
      <c r="A4" s="16" t="s">
        <v>70</v>
      </c>
      <c r="B4" s="11">
        <v>48862</v>
      </c>
      <c r="C4" s="4">
        <f>SUM(B4)</f>
        <v>48862</v>
      </c>
      <c r="D4" s="7">
        <f>SUM(C4,C5)</f>
        <v>53103</v>
      </c>
    </row>
    <row r="5" spans="1:4" ht="25.5" x14ac:dyDescent="0.2">
      <c r="A5" s="16" t="s">
        <v>71</v>
      </c>
      <c r="B5" s="11">
        <v>4241</v>
      </c>
      <c r="C5" s="4">
        <f>SUM(B5)</f>
        <v>4241</v>
      </c>
      <c r="D5" s="3"/>
    </row>
    <row r="6" spans="1:4" ht="25.5" x14ac:dyDescent="0.2">
      <c r="A6" s="16" t="s">
        <v>72</v>
      </c>
      <c r="B6" s="11">
        <v>15300</v>
      </c>
      <c r="C6" s="4">
        <f t="shared" ref="C6:C8" si="0">SUM(B6)</f>
        <v>15300</v>
      </c>
      <c r="D6" s="3"/>
    </row>
    <row r="7" spans="1:4" x14ac:dyDescent="0.2">
      <c r="A7" s="17" t="s">
        <v>0</v>
      </c>
      <c r="B7" s="11">
        <v>1344</v>
      </c>
      <c r="C7" s="4">
        <f t="shared" si="0"/>
        <v>1344</v>
      </c>
      <c r="D7" s="3"/>
    </row>
    <row r="8" spans="1:4" x14ac:dyDescent="0.2">
      <c r="A8" s="17" t="s">
        <v>1</v>
      </c>
      <c r="B8" s="11"/>
      <c r="C8" s="4">
        <f t="shared" si="0"/>
        <v>0</v>
      </c>
      <c r="D8" s="3"/>
    </row>
    <row r="9" spans="1:4" x14ac:dyDescent="0.2">
      <c r="A9" s="17" t="s">
        <v>5</v>
      </c>
      <c r="B9" s="13">
        <v>269</v>
      </c>
      <c r="C9" s="12">
        <f>SUM(B9:B9)</f>
        <v>269</v>
      </c>
      <c r="D9" s="3"/>
    </row>
    <row r="10" spans="1:4" x14ac:dyDescent="0.2">
      <c r="A10" s="18" t="s">
        <v>2</v>
      </c>
      <c r="B10" s="11">
        <f>SUM(StateSenatorSenateDistrict7General141516171819202122[Part of Kings County Vote Results])</f>
        <v>167190</v>
      </c>
      <c r="C10" s="4">
        <f>SUM(StateSenatorSenateDistrict7General141516171819202122[Total Votes by Party])</f>
        <v>167190</v>
      </c>
      <c r="D10" s="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Gov by 1st CD</vt:lpstr>
      <vt:lpstr>Gov by 2nd CD</vt:lpstr>
      <vt:lpstr>Gov by 3rd CD</vt:lpstr>
      <vt:lpstr>Gov by 4th CD</vt:lpstr>
      <vt:lpstr>Gov by 5th CD</vt:lpstr>
      <vt:lpstr>Gov by 6th CD</vt:lpstr>
      <vt:lpstr>Gov by 7th CD</vt:lpstr>
      <vt:lpstr>Gov by 8th CD</vt:lpstr>
      <vt:lpstr>Gov by 9th CD</vt:lpstr>
      <vt:lpstr>Gov by 10th CD</vt:lpstr>
      <vt:lpstr>Gov by 11th CD</vt:lpstr>
      <vt:lpstr>Gov by 12th CD</vt:lpstr>
      <vt:lpstr>Gov by 13th CD</vt:lpstr>
      <vt:lpstr>Gov by 14th CD</vt:lpstr>
      <vt:lpstr>Gov by 15th CD</vt:lpstr>
      <vt:lpstr>Gov by 16th CD</vt:lpstr>
      <vt:lpstr>Gov by 17th CD</vt:lpstr>
      <vt:lpstr>Gov by 18th CD</vt:lpstr>
      <vt:lpstr>Gov by 19th CD</vt:lpstr>
      <vt:lpstr>Gov by 20th CD</vt:lpstr>
      <vt:lpstr>Gov by 21st CD</vt:lpstr>
      <vt:lpstr>Gov by 22nd CD</vt:lpstr>
      <vt:lpstr>Gov by 23rd CD</vt:lpstr>
      <vt:lpstr>Gov by 24th CD</vt:lpstr>
      <vt:lpstr>Gov by 25th CD</vt:lpstr>
      <vt:lpstr>Gov by 26th CD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2021-03-04T21:31:11Z</cp:lastPrinted>
  <dcterms:created xsi:type="dcterms:W3CDTF">2008-10-28T18:22:21Z</dcterms:created>
  <dcterms:modified xsi:type="dcterms:W3CDTF">2023-04-07T18:53:11Z</dcterms:modified>
  <cp:category/>
  <cp:contentStatus/>
</cp:coreProperties>
</file>