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Current Code\NYSBOE\Elections\2021\General\"/>
    </mc:Choice>
  </mc:AlternateContent>
  <xr:revisionPtr revIDLastSave="0" documentId="8_{DD2E4B4B-0799-42C0-AB63-56B7E84AE98C}" xr6:coauthVersionLast="46" xr6:coauthVersionMax="46" xr10:uidLastSave="{00000000-0000-0000-0000-000000000000}"/>
  <bookViews>
    <workbookView xWindow="3705" yWindow="360" windowWidth="18000" windowHeight="10950" xr2:uid="{00000000-000D-0000-FFFF-FFFF00000000}"/>
  </bookViews>
  <sheets>
    <sheet name="1st JD" sheetId="3" r:id="rId1"/>
    <sheet name="2nd JD" sheetId="269" r:id="rId2"/>
    <sheet name="3rd JD" sheetId="272" r:id="rId3"/>
    <sheet name="5th JD" sheetId="274" r:id="rId4"/>
    <sheet name="6th JD" sheetId="275" r:id="rId5"/>
    <sheet name="7th JD" sheetId="276" r:id="rId6"/>
    <sheet name="8th JD" sheetId="277" r:id="rId7"/>
    <sheet name="9th JD" sheetId="278" r:id="rId8"/>
    <sheet name="10th JD" sheetId="279" r:id="rId9"/>
    <sheet name="11th JD" sheetId="280" r:id="rId10"/>
    <sheet name="12th JD" sheetId="281" r:id="rId11"/>
    <sheet name="13th JD" sheetId="282" r:id="rId12"/>
    <sheet name="Revision History" sheetId="508" r:id="rId13"/>
  </sheets>
  <definedNames>
    <definedName name="_xlnm.Print_Area" localSheetId="0">'1st JD'!$A$1:$E$8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78" l="1"/>
  <c r="C21" i="278"/>
  <c r="D21" i="278"/>
  <c r="E21" i="278"/>
  <c r="F21" i="278"/>
  <c r="B14" i="276"/>
  <c r="C14" i="276"/>
  <c r="D14" i="276"/>
  <c r="E14" i="276"/>
  <c r="F14" i="276"/>
  <c r="G14" i="276"/>
  <c r="H14" i="276"/>
  <c r="I14" i="276"/>
  <c r="B9" i="275"/>
  <c r="C9" i="275"/>
  <c r="D9" i="275"/>
  <c r="E9" i="275"/>
  <c r="F9" i="275"/>
  <c r="G9" i="275"/>
  <c r="H9" i="275"/>
  <c r="I9" i="275"/>
  <c r="J9" i="275"/>
  <c r="K9" i="275"/>
  <c r="B12" i="272"/>
  <c r="C12" i="272"/>
  <c r="D12" i="272"/>
  <c r="E12" i="272"/>
  <c r="F12" i="272"/>
  <c r="G12" i="272"/>
  <c r="H12" i="272"/>
  <c r="B20" i="277"/>
  <c r="C20" i="277"/>
  <c r="D20" i="277"/>
  <c r="E20" i="277"/>
  <c r="F20" i="277"/>
  <c r="G20" i="277"/>
  <c r="H20" i="277"/>
  <c r="I20" i="277"/>
  <c r="B8" i="274"/>
  <c r="C8" i="274"/>
  <c r="D8" i="274"/>
  <c r="E8" i="274"/>
  <c r="F8" i="274"/>
  <c r="G8" i="274"/>
  <c r="J7" i="277"/>
  <c r="C3" i="282"/>
  <c r="D3" i="282" s="1"/>
  <c r="C4" i="282"/>
  <c r="D4" i="282" s="1"/>
  <c r="C5" i="282"/>
  <c r="D5" i="282" s="1"/>
  <c r="C6" i="282"/>
  <c r="D6" i="282" s="1"/>
  <c r="C7" i="282"/>
  <c r="C8" i="282"/>
  <c r="C9" i="282"/>
  <c r="B18" i="280"/>
  <c r="C3" i="280"/>
  <c r="C4" i="280"/>
  <c r="C5" i="280"/>
  <c r="D5" i="280" s="1"/>
  <c r="C6" i="280"/>
  <c r="C7" i="280"/>
  <c r="C8" i="280"/>
  <c r="D8" i="280" s="1"/>
  <c r="C9" i="280"/>
  <c r="D9" i="280" s="1"/>
  <c r="C10" i="280"/>
  <c r="C11" i="280"/>
  <c r="C12" i="280"/>
  <c r="D12" i="280" s="1"/>
  <c r="C13" i="280"/>
  <c r="D13" i="280" s="1"/>
  <c r="C14" i="280"/>
  <c r="D14" i="280" s="1"/>
  <c r="C15" i="280"/>
  <c r="C16" i="280"/>
  <c r="C17" i="280"/>
  <c r="C18" i="269"/>
  <c r="C17" i="269"/>
  <c r="C16" i="269"/>
  <c r="D16" i="269" s="1"/>
  <c r="C15" i="269"/>
  <c r="C14" i="269"/>
  <c r="C13" i="269"/>
  <c r="D13" i="269" s="1"/>
  <c r="C12" i="269"/>
  <c r="C11" i="269"/>
  <c r="C10" i="269"/>
  <c r="D10" i="269" s="1"/>
  <c r="C9" i="269"/>
  <c r="D9" i="269" s="1"/>
  <c r="C8" i="269"/>
  <c r="C7" i="269"/>
  <c r="C3" i="281"/>
  <c r="C4" i="281"/>
  <c r="C5" i="281"/>
  <c r="C6" i="281"/>
  <c r="C7" i="281"/>
  <c r="D7" i="281" s="1"/>
  <c r="C8" i="281"/>
  <c r="C9" i="281"/>
  <c r="C10" i="281"/>
  <c r="C11" i="281"/>
  <c r="D8" i="281"/>
  <c r="D6" i="281"/>
  <c r="D5" i="281"/>
  <c r="D3" i="281"/>
  <c r="D4" i="281"/>
  <c r="D10" i="280" l="1"/>
  <c r="D6" i="280"/>
  <c r="D3" i="280"/>
  <c r="C3" i="3"/>
  <c r="D3" i="3" s="1"/>
  <c r="C4" i="3"/>
  <c r="D4" i="3" s="1"/>
  <c r="C5" i="3"/>
  <c r="C6" i="3"/>
  <c r="C7" i="3"/>
  <c r="D3" i="279"/>
  <c r="D4" i="279"/>
  <c r="D5" i="279"/>
  <c r="D6" i="279"/>
  <c r="D7" i="279"/>
  <c r="D8" i="279"/>
  <c r="D9" i="279"/>
  <c r="D10" i="279"/>
  <c r="D11" i="279"/>
  <c r="D12" i="279"/>
  <c r="D13" i="279"/>
  <c r="D14" i="279"/>
  <c r="D15" i="279"/>
  <c r="D16" i="279"/>
  <c r="D17" i="279"/>
  <c r="D18" i="279"/>
  <c r="D19" i="279"/>
  <c r="D20" i="279"/>
  <c r="D21" i="279"/>
  <c r="D22" i="279"/>
  <c r="D23" i="279"/>
  <c r="D24" i="279"/>
  <c r="D25" i="279"/>
  <c r="D26" i="279"/>
  <c r="D27" i="279"/>
  <c r="D28" i="279"/>
  <c r="D29" i="279"/>
  <c r="G3" i="278"/>
  <c r="G4" i="278"/>
  <c r="G5" i="278"/>
  <c r="G6" i="278"/>
  <c r="G7" i="278"/>
  <c r="G8" i="278"/>
  <c r="G9" i="278"/>
  <c r="G10" i="278"/>
  <c r="H10" i="278" s="1"/>
  <c r="G11" i="278"/>
  <c r="H11" i="278" s="1"/>
  <c r="G12" i="278"/>
  <c r="G13" i="278"/>
  <c r="G14" i="278"/>
  <c r="G15" i="278"/>
  <c r="G16" i="278"/>
  <c r="G17" i="278"/>
  <c r="G18" i="278"/>
  <c r="G19" i="278"/>
  <c r="G20" i="278"/>
  <c r="J19" i="277"/>
  <c r="J18" i="277"/>
  <c r="J17" i="277"/>
  <c r="J16" i="277"/>
  <c r="J15" i="277"/>
  <c r="J14" i="277"/>
  <c r="J13" i="277"/>
  <c r="J12" i="277"/>
  <c r="J11" i="277"/>
  <c r="J10" i="277"/>
  <c r="J9" i="277"/>
  <c r="J8" i="277"/>
  <c r="J6" i="277"/>
  <c r="K6" i="277" s="1"/>
  <c r="J5" i="277"/>
  <c r="K5" i="277" s="1"/>
  <c r="J4" i="277"/>
  <c r="K4" i="277" s="1"/>
  <c r="J3" i="277"/>
  <c r="J20" i="277" s="1"/>
  <c r="J3" i="276"/>
  <c r="J4" i="276"/>
  <c r="J5" i="276"/>
  <c r="J6" i="276"/>
  <c r="J7" i="276"/>
  <c r="J8" i="276"/>
  <c r="J9" i="276"/>
  <c r="J10" i="276"/>
  <c r="J11" i="276"/>
  <c r="J12" i="276"/>
  <c r="J13" i="276"/>
  <c r="L8" i="275"/>
  <c r="L7" i="275"/>
  <c r="L6" i="275"/>
  <c r="L5" i="275"/>
  <c r="L4" i="275"/>
  <c r="M4" i="275" s="1"/>
  <c r="L3" i="275"/>
  <c r="L9" i="275" s="1"/>
  <c r="H3" i="274"/>
  <c r="H4" i="274"/>
  <c r="H5" i="274"/>
  <c r="H6" i="274"/>
  <c r="H7" i="274"/>
  <c r="I3" i="272"/>
  <c r="I4" i="272"/>
  <c r="I5" i="272"/>
  <c r="I6" i="272"/>
  <c r="I7" i="272"/>
  <c r="I8" i="272"/>
  <c r="I9" i="272"/>
  <c r="I10" i="272"/>
  <c r="I11" i="272"/>
  <c r="M5" i="275"/>
  <c r="G21" i="278" l="1"/>
  <c r="K6" i="276"/>
  <c r="K5" i="276"/>
  <c r="K4" i="276"/>
  <c r="K3" i="276"/>
  <c r="J14" i="276"/>
  <c r="I12" i="272"/>
  <c r="H8" i="274"/>
  <c r="H12" i="278"/>
  <c r="H7" i="278"/>
  <c r="H6" i="278"/>
  <c r="H5" i="278"/>
  <c r="H4" i="278"/>
  <c r="H3" i="278"/>
  <c r="E10" i="279"/>
  <c r="E9" i="279"/>
  <c r="E8" i="279"/>
  <c r="E7" i="279"/>
  <c r="E6" i="279"/>
  <c r="E5" i="279"/>
  <c r="E4" i="279"/>
  <c r="E3" i="279"/>
  <c r="K3" i="277"/>
  <c r="M3" i="275"/>
  <c r="I4" i="274"/>
  <c r="C24" i="269"/>
  <c r="C23" i="269"/>
  <c r="C22" i="269"/>
  <c r="C21" i="269"/>
  <c r="C20" i="269"/>
  <c r="C19" i="269"/>
  <c r="D19" i="269" s="1"/>
  <c r="C6" i="269"/>
  <c r="D6" i="269" s="1"/>
  <c r="C5" i="269"/>
  <c r="C4" i="269"/>
  <c r="D4" i="269" s="1"/>
  <c r="C3" i="269"/>
  <c r="D3" i="269" s="1"/>
  <c r="B10" i="282" l="1"/>
  <c r="B12" i="281"/>
  <c r="C30" i="279"/>
  <c r="B30" i="279"/>
  <c r="B25" i="269"/>
  <c r="B8" i="3"/>
  <c r="C8" i="3" l="1"/>
  <c r="J5" i="272" l="1"/>
  <c r="I3" i="274" l="1"/>
  <c r="J4" i="272"/>
  <c r="J3" i="272"/>
  <c r="C25" i="269"/>
  <c r="D30" i="279"/>
  <c r="C18" i="280"/>
  <c r="C10" i="282"/>
  <c r="C12" i="281"/>
</calcChain>
</file>

<file path=xl/sharedStrings.xml><?xml version="1.0" encoding="utf-8"?>
<sst xmlns="http://schemas.openxmlformats.org/spreadsheetml/2006/main" count="265" uniqueCount="188">
  <si>
    <t>Supreme Court Justice 1st JD - General Election - November 2, 2021 (Vote for up to two)</t>
  </si>
  <si>
    <t xml:space="preserve">Candidate Name (Party)
</t>
  </si>
  <si>
    <t>New York County Vote Results</t>
  </si>
  <si>
    <t>Total Votes by Party</t>
  </si>
  <si>
    <t>Total Votes by Candidate</t>
  </si>
  <si>
    <t>Margaret A. Pui Yee Chan (DEM)</t>
  </si>
  <si>
    <t>John Joseph Kelley (DEM)</t>
  </si>
  <si>
    <t>Blank</t>
  </si>
  <si>
    <t>Void</t>
  </si>
  <si>
    <t>Scattering</t>
  </si>
  <si>
    <t>Total Votes by County</t>
  </si>
  <si>
    <t>Supreme Court Justice 2nd JD - General Election - November 2, 2021 (Vote for up to seven)</t>
  </si>
  <si>
    <t>Kings County Vote Results</t>
  </si>
  <si>
    <t>Dena E. Douglas (DEM)</t>
  </si>
  <si>
    <t>Robert S. Mazzuchin Jr. (REP)</t>
  </si>
  <si>
    <t>Robert S. Mazzuchin Jr. (CON)</t>
  </si>
  <si>
    <t>Lillian Wan (DEM)</t>
  </si>
  <si>
    <t>Lillian Wan (REP)</t>
  </si>
  <si>
    <t>Lillian Wan (CON)</t>
  </si>
  <si>
    <t>Carolyn Walker-Diallo (DEM)</t>
  </si>
  <si>
    <t>Consuelo Mallafre Melendez (DEM)</t>
  </si>
  <si>
    <t>Consuelo Mallafre Melendez (REP)</t>
  </si>
  <si>
    <t>Consuelo Mallafre Melendez (CON)</t>
  </si>
  <si>
    <t>Gina Levy Abadi (DEM)</t>
  </si>
  <si>
    <t>Gina Levy Abadi (REP)</t>
  </si>
  <si>
    <t>Gina Levy Abadi (CON)</t>
  </si>
  <si>
    <t>Joy F. Campanelli (DEM)</t>
  </si>
  <si>
    <t>Joy F. Campanelli (REP)</t>
  </si>
  <si>
    <t>Joy F. Campanelli (CON)</t>
  </si>
  <si>
    <t>Richard J. Montelione (DEM)</t>
  </si>
  <si>
    <t>Richard J. Montelione (REP)</t>
  </si>
  <si>
    <t>Richard J. Montelione (CON)</t>
  </si>
  <si>
    <t>Supreme Court Justice 3rd JD - General Election - November 2, 2021 (Vote for up to three)</t>
  </si>
  <si>
    <t>Albany County Vote Results</t>
  </si>
  <si>
    <t>Columbia County Vote Results</t>
  </si>
  <si>
    <t>Greene County Vote Results</t>
  </si>
  <si>
    <t>Rensselaer County Vote Results</t>
  </si>
  <si>
    <t>Schoharie County Vote Results</t>
  </si>
  <si>
    <t>Sullivan County Vote Results</t>
  </si>
  <si>
    <t>Ulster County Vote Results</t>
  </si>
  <si>
    <t>Kevin R. Bryant (DEM)</t>
  </si>
  <si>
    <t>Laura M. Jordan (DEM)</t>
  </si>
  <si>
    <t>David M. Gandin (DEM)</t>
  </si>
  <si>
    <t>Kevin R. Bryant (WOR)</t>
  </si>
  <si>
    <t>Laura M. Jordan (WOR)</t>
  </si>
  <si>
    <t>David M. Gandin (WOR)</t>
  </si>
  <si>
    <t>Supreme Court Justice 5th JD - General Election - November 2, 2021 (Vote for one)</t>
  </si>
  <si>
    <t>Herkimer County Vote Results</t>
  </si>
  <si>
    <t>Jefferson County Vote Results</t>
  </si>
  <si>
    <t>Lewis County Vote Results</t>
  </si>
  <si>
    <t>Oneida County Vote Results</t>
  </si>
  <si>
    <t>Onondaga County Vote Results</t>
  </si>
  <si>
    <t>Oswego County Vote Results</t>
  </si>
  <si>
    <t>Anthony Brindisi (DEM)</t>
  </si>
  <si>
    <t>Danielle M. Fogel (REP)</t>
  </si>
  <si>
    <t>Supreme Court Justice 6th JD - General Election - November 2, 2021 (Vote for up to three)</t>
  </si>
  <si>
    <t>Broome County Vote Results</t>
  </si>
  <si>
    <t>Chemung County Vote Results</t>
  </si>
  <si>
    <t>Chenango County Vote Results</t>
  </si>
  <si>
    <t>Cortland County Vote Results</t>
  </si>
  <si>
    <t>Delaware County Vote Results</t>
  </si>
  <si>
    <t>Madison County Vote Results</t>
  </si>
  <si>
    <t>Otsego County Vote Results</t>
  </si>
  <si>
    <t>Schuyler County Vote Results</t>
  </si>
  <si>
    <t>Tioga County Vote Results</t>
  </si>
  <si>
    <t>Tompkins County Vote Results</t>
  </si>
  <si>
    <t>Molly Fitzgerald (DEM)</t>
  </si>
  <si>
    <t>Elizabeth Aherne (REP)</t>
  </si>
  <si>
    <t>Patrick J. O’Sullivan (REP)</t>
  </si>
  <si>
    <t>Supreme Court Justice 7th JD - General Election - November 2, 2021 (Vote for up to two)</t>
  </si>
  <si>
    <t>Cayuga County Vote Results</t>
  </si>
  <si>
    <t>Livingston County Vote Results</t>
  </si>
  <si>
    <t>Monroe County Vote Results</t>
  </si>
  <si>
    <t>Ontario County Vote Results</t>
  </si>
  <si>
    <t>Seneca County Vote Results</t>
  </si>
  <si>
    <t>Steuben County Vote Results</t>
  </si>
  <si>
    <t>Wayne County Vote Results</t>
  </si>
  <si>
    <t>Yates County Vote Results</t>
  </si>
  <si>
    <t>Maurice Verrillo (DEM)</t>
  </si>
  <si>
    <t>Deral Givens (DEM)</t>
  </si>
  <si>
    <t>Elena F. Cariola (REP)</t>
  </si>
  <si>
    <t>Jim Walsh (REP)</t>
  </si>
  <si>
    <t>Elena F. Cariola (CON)</t>
  </si>
  <si>
    <t>Jim Walsh (CON)</t>
  </si>
  <si>
    <t>Maurice Verrillo (WOR)</t>
  </si>
  <si>
    <t>Deral Givens (WOR)</t>
  </si>
  <si>
    <t>Supreme Court Justice 8th JD - General Election - November 2, 2021 (Vote for up to four)</t>
  </si>
  <si>
    <t>Allegany County Vote Results</t>
  </si>
  <si>
    <t>Cattaraugus County Vote Results</t>
  </si>
  <si>
    <t>Chautauqua County Vote Results</t>
  </si>
  <si>
    <t>Genesee County Vote Results</t>
  </si>
  <si>
    <t>Niagara County Vote Results</t>
  </si>
  <si>
    <t>Orleans County Vote Results</t>
  </si>
  <si>
    <t>Wyoming County Vote Results</t>
  </si>
  <si>
    <t>Grace M. Hanlon (DEM)</t>
  </si>
  <si>
    <t>John B. Licata (DEM)</t>
  </si>
  <si>
    <t>Frank Caruso (DEM)</t>
  </si>
  <si>
    <t>Raymond W. Walter (DEM)</t>
  </si>
  <si>
    <t>Grace M. Hanlon (REP)</t>
  </si>
  <si>
    <t>John B. Licata (REP)</t>
  </si>
  <si>
    <t>Frank Caruso (REP)</t>
  </si>
  <si>
    <t>Raymond W. Walter (REP)</t>
  </si>
  <si>
    <t>Grace M. Hanlon (CON)</t>
  </si>
  <si>
    <t>John B. Licata (CON)</t>
  </si>
  <si>
    <t>Frank Caruso (CON)</t>
  </si>
  <si>
    <t>Raymond W. Walter (CON)</t>
  </si>
  <si>
    <t>Grace M. Hanlon (WOR)</t>
  </si>
  <si>
    <t>John B. Licata (WOR)</t>
  </si>
  <si>
    <t>Supreme Court Justice 9th JD - General Election - November 2, 2021 (Vote for up to five)</t>
  </si>
  <si>
    <t>Dutchess County Vote Results</t>
  </si>
  <si>
    <t>Orange County Vote Results</t>
  </si>
  <si>
    <t>Putnam County Vote Results</t>
  </si>
  <si>
    <t>Rockland County Vote Results</t>
  </si>
  <si>
    <t>Westchester County Vote Results</t>
  </si>
  <si>
    <t>Thomas R. Davis (DEM)</t>
  </si>
  <si>
    <t>Robert M. Berliner (DEM)</t>
  </si>
  <si>
    <t>James L. Hyer (DEM)</t>
  </si>
  <si>
    <t>Christie L. D’Alessio (DEM)</t>
  </si>
  <si>
    <t>Thomas Quinones (DEM)</t>
  </si>
  <si>
    <t>Thomas R. Davis (REP)</t>
  </si>
  <si>
    <t>Robert M. Berliner (REP)</t>
  </si>
  <si>
    <t>James M. Hendry, III (REP)</t>
  </si>
  <si>
    <t>Mark T. Starkman (REP)</t>
  </si>
  <si>
    <t>Richard J. Guertin (REP)</t>
  </si>
  <si>
    <t>Robert M. Berliner (CON)</t>
  </si>
  <si>
    <t>James L. Hyer (CON)</t>
  </si>
  <si>
    <t>Christie L. D’Alessio (CON)</t>
  </si>
  <si>
    <t>Thomas Quinones (CON)</t>
  </si>
  <si>
    <t>Richard J. Guertin (CON)</t>
  </si>
  <si>
    <t>Supreme Court Justice 10th JD - General Election - November 2, 2021 (Vote for up to eight)</t>
  </si>
  <si>
    <t>Nassau County Vote Results</t>
  </si>
  <si>
    <t>Suffolk County Vote Results</t>
  </si>
  <si>
    <t>Timothy S. Driscoll (DEM)</t>
  </si>
  <si>
    <t>Susan B. Heckman (DEM)</t>
  </si>
  <si>
    <t>Vito M. DeStefano (DEM)</t>
  </si>
  <si>
    <t>Christopher Modelewski (DEM)</t>
  </si>
  <si>
    <t>Conrad D. Singer (DEM)</t>
  </si>
  <si>
    <t>Danielle M. Peterson (DEM)</t>
  </si>
  <si>
    <t>Eileen Daly Sapraicone (DEM)</t>
  </si>
  <si>
    <t>Elizabeth Fox-McDonough (DEM)</t>
  </si>
  <si>
    <t>Timothy S. Driscoll (REP)</t>
  </si>
  <si>
    <t>Susan B. Heckman (REP)</t>
  </si>
  <si>
    <t>Vito M. DeStefano (REP)</t>
  </si>
  <si>
    <t>Christopher Modelewski (REP)</t>
  </si>
  <si>
    <t>Conrad D. Singer (REP)</t>
  </si>
  <si>
    <t>Danielle M. Peterson (REP)</t>
  </si>
  <si>
    <t>Eileen Daly Sapraicone (REP)</t>
  </si>
  <si>
    <t>Elizabeth Fox-McDonough (REP)</t>
  </si>
  <si>
    <t>Timothy S. Driscoll (CON)</t>
  </si>
  <si>
    <t>Susan B. Heckman (CON)</t>
  </si>
  <si>
    <t>Vito M. DeStefano (CON)</t>
  </si>
  <si>
    <t>Christopher Modelewski (CON)</t>
  </si>
  <si>
    <t>Conrad D. Singer (CON)</t>
  </si>
  <si>
    <t>Danielle M. Peterson (CON)</t>
  </si>
  <si>
    <t>Eileen Daly Sapraicone (CON)</t>
  </si>
  <si>
    <t>Elizabeth Fox-McDonough (CON)</t>
  </si>
  <si>
    <t>Supreme Court Justice 11th JD - General Election - November 2, 2021 (Vote for up to six)</t>
  </si>
  <si>
    <t>Queens County Vote Results</t>
  </si>
  <si>
    <t>Denis J. Butler (DEM)</t>
  </si>
  <si>
    <t>Denis J. Butler (REP)</t>
  </si>
  <si>
    <t>Deborah Axt (WOR)</t>
  </si>
  <si>
    <t>Kenneth C. Holder (DEM)</t>
  </si>
  <si>
    <t>Kenneth C. Holder (REP)</t>
  </si>
  <si>
    <t>Bob Cohen (WOR)</t>
  </si>
  <si>
    <t>Laurentina S. McKetney Butler (DEM)</t>
  </si>
  <si>
    <t>David J. Kirschner (DEM)</t>
  </si>
  <si>
    <t>David J. Kirschner (REP)</t>
  </si>
  <si>
    <t>Karen Gopee (DEM)</t>
  </si>
  <si>
    <t>John C. Spataro (REP)</t>
  </si>
  <si>
    <t>Michele R. Titus (DEM)</t>
  </si>
  <si>
    <t>Supreme Court Justice 12th JD - General Election - November 2, 2021 (Vote for up to five)</t>
  </si>
  <si>
    <t>Bronx County Vote Results</t>
  </si>
  <si>
    <t>George R. Villegas (DEM)</t>
  </si>
  <si>
    <t>Anthony G. Marecki (REP)</t>
  </si>
  <si>
    <t>Patsy D. Gouldborne (DEM)</t>
  </si>
  <si>
    <t>Paul L. Alpert (DEM)</t>
  </si>
  <si>
    <t>Marissa Soto (DEM)</t>
  </si>
  <si>
    <t>Naita A. Semaj (DEM)</t>
  </si>
  <si>
    <t>Supreme Court Justice 13th JD - General Election - November 2, 2021 (Vote for up to two)</t>
  </si>
  <si>
    <t>Richmond County Vote Results</t>
  </si>
  <si>
    <t>Ann Thompson (DEM)</t>
  </si>
  <si>
    <t>Paul Marrone Jr. (REP)</t>
  </si>
  <si>
    <t>Charles M. Troia (DEM)</t>
  </si>
  <si>
    <t>Ronald Castorina Jr. (REP)</t>
  </si>
  <si>
    <t>Revision History</t>
  </si>
  <si>
    <t>Date</t>
  </si>
  <si>
    <t>Description of changes</t>
  </si>
  <si>
    <t>Erie County 
Vote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</si>
</sst>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3" borderId="4" xfId="0" applyFont="1" applyFill="1" applyBorder="1"/>
    <xf numFmtId="3" fontId="3" fillId="0" borderId="1" xfId="0" applyNumberFormat="1" applyFont="1" applyBorder="1"/>
    <xf numFmtId="0" fontId="4" fillId="3" borderId="5" xfId="0" applyFont="1" applyFill="1" applyBorder="1"/>
    <xf numFmtId="3" fontId="3" fillId="0" borderId="3" xfId="0" applyNumberFormat="1" applyFont="1" applyBorder="1"/>
    <xf numFmtId="0" fontId="4" fillId="4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3" fontId="3" fillId="4" borderId="1" xfId="0" applyNumberFormat="1" applyFont="1" applyFill="1" applyBorder="1"/>
    <xf numFmtId="3" fontId="3" fillId="6" borderId="1" xfId="0" applyNumberFormat="1" applyFont="1" applyFill="1" applyBorder="1"/>
    <xf numFmtId="3" fontId="0" fillId="0" borderId="0" xfId="0" applyNumberFormat="1"/>
    <xf numFmtId="0" fontId="4" fillId="3" borderId="1" xfId="0" applyFont="1" applyFill="1" applyBorder="1"/>
    <xf numFmtId="3" fontId="3" fillId="4" borderId="3" xfId="0" applyNumberFormat="1" applyFont="1" applyFill="1" applyBorder="1"/>
    <xf numFmtId="0" fontId="4" fillId="3" borderId="4" xfId="0" applyFont="1" applyFill="1" applyBorder="1" applyAlignment="1">
      <alignment wrapText="1"/>
    </xf>
    <xf numFmtId="3" fontId="3" fillId="0" borderId="1" xfId="0" applyNumberFormat="1" applyFont="1" applyFill="1" applyBorder="1"/>
    <xf numFmtId="3" fontId="3" fillId="0" borderId="3" xfId="0" applyNumberFormat="1" applyFont="1" applyFill="1" applyBorder="1"/>
    <xf numFmtId="0" fontId="5" fillId="0" borderId="1" xfId="0" applyFont="1" applyFill="1" applyBorder="1" applyAlignment="1"/>
    <xf numFmtId="3" fontId="5" fillId="0" borderId="1" xfId="0" applyNumberFormat="1" applyFont="1" applyFill="1" applyBorder="1" applyAlignment="1"/>
    <xf numFmtId="0" fontId="5" fillId="0" borderId="1" xfId="0" applyFont="1" applyBorder="1"/>
    <xf numFmtId="3" fontId="5" fillId="0" borderId="1" xfId="0" applyNumberFormat="1" applyFont="1" applyBorder="1"/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14" fontId="8" fillId="0" borderId="0" xfId="0" applyNumberFormat="1" applyFont="1" applyAlignment="1">
      <alignment vertical="top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center"/>
    </xf>
    <xf numFmtId="0" fontId="0" fillId="0" borderId="0" xfId="0" applyBorder="1"/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14" fontId="8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18" fontId="0" fillId="0" borderId="0" xfId="0" applyNumberFormat="1" applyAlignment="1">
      <alignment horizontal="left" vertical="top"/>
    </xf>
    <xf numFmtId="0" fontId="7" fillId="0" borderId="0" xfId="0" applyFont="1" applyAlignment="1">
      <alignment vertical="top"/>
    </xf>
    <xf numFmtId="0" fontId="4" fillId="2" borderId="6" xfId="0" applyFont="1" applyFill="1" applyBorder="1" applyAlignment="1">
      <alignment vertical="center" wrapText="1"/>
    </xf>
    <xf numFmtId="0" fontId="12" fillId="0" borderId="0" xfId="0" applyFont="1"/>
    <xf numFmtId="3" fontId="3" fillId="7" borderId="1" xfId="0" applyNumberFormat="1" applyFont="1" applyFill="1" applyBorder="1"/>
    <xf numFmtId="3" fontId="3" fillId="7" borderId="3" xfId="0" applyNumberFormat="1" applyFont="1" applyFill="1" applyBorder="1"/>
    <xf numFmtId="3" fontId="4" fillId="7" borderId="1" xfId="0" applyNumberFormat="1" applyFont="1" applyFill="1" applyBorder="1"/>
    <xf numFmtId="0" fontId="4" fillId="2" borderId="2" xfId="0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</cellXfs>
  <cellStyles count="1">
    <cellStyle name="Normal" xfId="0" builtinId="0"/>
  </cellStyles>
  <dxfs count="2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7" xr:uid="{3360E458-6900-4D2A-96C6-CCDE53875AB0}" name="SupremeCourtJustice1" displayName="SupremeCourtJustice1" ref="A2:D8" totalsRowCount="1" headerRowDxfId="237" dataDxfId="235" totalsRowDxfId="233" headerRowBorderDxfId="236" tableBorderDxfId="234" totalsRowBorderDxfId="232">
  <autoFilter ref="A2:D7" xr:uid="{E4C80049-8B70-4EEE-86C5-EA95090A6C7F}">
    <filterColumn colId="0" hiddenButton="1"/>
    <filterColumn colId="1" hiddenButton="1"/>
    <filterColumn colId="2" hiddenButton="1"/>
    <filterColumn colId="3" hiddenButton="1"/>
  </autoFilter>
  <tableColumns count="4">
    <tableColumn id="1" xr3:uid="{F55769B7-1EE8-4111-B5C7-664BD53898E2}" name="Candidate Name (Party)_x000a_" totalsRowLabel="Total Votes by County" dataDxfId="231" totalsRowDxfId="230"/>
    <tableColumn id="4" xr3:uid="{FF2A52C8-02FA-47B6-8F63-8DF9903732A9}" name="New York County Vote Results" totalsRowFunction="custom" dataDxfId="229" totalsRowDxfId="228">
      <totalsRowFormula>SUM(SupremeCourtJustice1[New York County Vote Results])</totalsRowFormula>
    </tableColumn>
    <tableColumn id="3" xr3:uid="{503A5495-0B8B-4E93-AE2D-CAFDED3E2B5E}" name="Total Votes by Party" totalsRowFunction="custom" dataDxfId="227" totalsRowDxfId="226">
      <calculatedColumnFormula>SupremeCourtJustice1[[#This Row],[New York County Vote Results]]</calculatedColumnFormula>
      <totalsRowFormula>SUM(SupremeCourtJustice1[Total Votes by Party])</totalsRowFormula>
    </tableColumn>
    <tableColumn id="2" xr3:uid="{4CB84B57-FB31-4C33-9F99-F201AB3F4146}" name="Total Votes by Candidate" dataDxfId="225" totalsRowDxfId="224">
      <calculatedColumnFormula>SUM(SupremeCourtJustice1[[#This Row],[Total Votes by Party]])</calculatedColumnFormula>
    </tableColumn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7" xr:uid="{C73CB7D1-FB4F-40CF-A794-F5A09466A725}" name="SupremeCourtJustice11" displayName="SupremeCourtJustice11" ref="A2:D18" totalsRowCount="1" headerRowDxfId="40" dataDxfId="38" totalsRowDxfId="36" headerRowBorderDxfId="39" tableBorderDxfId="37" totalsRowBorderDxfId="35">
  <autoFilter ref="A2:D17" xr:uid="{2B509EDC-5809-47C3-974E-7BB7547D0936}">
    <filterColumn colId="0" hiddenButton="1"/>
    <filterColumn colId="1" hiddenButton="1"/>
    <filterColumn colId="2" hiddenButton="1"/>
    <filterColumn colId="3" hiddenButton="1"/>
  </autoFilter>
  <tableColumns count="4">
    <tableColumn id="1" xr3:uid="{9A16DAC2-AD3B-46D4-958D-3FF8B26112AB}" name="Candidate Name (Party)_x000a_" totalsRowLabel="Total Votes by County" dataDxfId="34" totalsRowDxfId="33"/>
    <tableColumn id="2" xr3:uid="{D6EC9CBC-7502-4381-8892-16BF4E292400}" name="Queens County Vote Results" totalsRowFunction="custom" dataDxfId="32" totalsRowDxfId="31">
      <totalsRowFormula>SUM(SupremeCourtJustice11[Queens County Vote Results])</totalsRowFormula>
    </tableColumn>
    <tableColumn id="3" xr3:uid="{8AC8A471-BCE8-40A5-A789-0AAD08E358A6}" name="Total Votes by Party" totalsRowFunction="custom" dataDxfId="30" totalsRowDxfId="29">
      <calculatedColumnFormula>SUM(SupremeCourtJustice11[[#This Row],[Queens County Vote Results]])</calculatedColumnFormula>
      <totalsRowFormula>SUM(SupremeCourtJustice11[Total Votes by Party])</totalsRowFormula>
    </tableColumn>
    <tableColumn id="5" xr3:uid="{49546E72-DC01-42AA-A4EC-0D150649B837}" name="Total Votes by Candidate" dataDxfId="28" totalsRowDxfId="27">
      <calculatedColumnFormula>SUM(SupremeCourtJustice11[[#This Row],[Total Votes by Party]],C4)</calculatedColumnFormula>
    </tableColumn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8" xr:uid="{687321F4-5E89-4041-BF7F-EB1071068019}" name="SupremeCourtJustice12" displayName="SupremeCourtJustice12" ref="A2:D12" totalsRowCount="1" headerRowDxfId="26" dataDxfId="24" totalsRowDxfId="22" headerRowBorderDxfId="25" tableBorderDxfId="23" totalsRowBorderDxfId="21">
  <autoFilter ref="A2:D11" xr:uid="{21975E14-01E6-4429-9B84-675EEFAF38A3}">
    <filterColumn colId="0" hiddenButton="1"/>
    <filterColumn colId="1" hiddenButton="1"/>
    <filterColumn colId="2" hiddenButton="1"/>
    <filterColumn colId="3" hiddenButton="1"/>
  </autoFilter>
  <tableColumns count="4">
    <tableColumn id="1" xr3:uid="{2E55DAF8-37E6-479D-AD4D-0150D1209647}" name="Candidate Name (Party)_x000a_" totalsRowLabel="Total Votes by County" dataDxfId="20" totalsRowDxfId="19"/>
    <tableColumn id="2" xr3:uid="{D2AEF873-4F80-4055-8EDF-1D259E40C846}" name="Bronx County Vote Results" totalsRowFunction="custom" totalsRowDxfId="18">
      <totalsRowFormula>SUM(SupremeCourtJustice12[Bronx County Vote Results])</totalsRowFormula>
    </tableColumn>
    <tableColumn id="6" xr3:uid="{C28BF2D1-1D95-4101-B8B0-1C3204A575CB}" name="Total Votes by Party" totalsRowFunction="custom" dataDxfId="17" totalsRowDxfId="16">
      <calculatedColumnFormula>SUM(SupremeCourtJustice12[[#This Row],[Bronx County Vote Results]])</calculatedColumnFormula>
      <totalsRowFormula>SUM(SupremeCourtJustice12[Total Votes by Party])</totalsRowFormula>
    </tableColumn>
    <tableColumn id="5" xr3:uid="{8D6F464E-7BC4-431E-9B1A-11AE95710797}" name="Total Votes by Candidate" dataDxfId="15" totalsRowDxfId="14">
      <calculatedColumnFormula>SUM(SupremeCourtJustice12[[#This Row],[Total Votes by Party]])</calculatedColumnFormula>
    </tableColumn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9" xr:uid="{789D1B03-40C2-48E1-96BE-AD1EBC7C4293}" name="SupremeCourtJustice13" displayName="SupremeCourtJustice13" ref="A2:D10" totalsRowCount="1" headerRowDxfId="13" dataDxfId="11" totalsRowDxfId="9" headerRowBorderDxfId="12" tableBorderDxfId="10" totalsRowBorderDxfId="8">
  <autoFilter ref="A2:D9" xr:uid="{FF6665A5-72E6-44D5-BE3B-8B2CACB4A794}">
    <filterColumn colId="0" hiddenButton="1"/>
    <filterColumn colId="1" hiddenButton="1"/>
    <filterColumn colId="2" hiddenButton="1"/>
    <filterColumn colId="3" hiddenButton="1"/>
  </autoFilter>
  <tableColumns count="4">
    <tableColumn id="1" xr3:uid="{1CFC7FCD-829F-47A2-9E90-BD090F79091C}" name="Candidate Name (Party)_x000a_" totalsRowLabel="Total Votes by County" dataDxfId="7" totalsRowDxfId="6"/>
    <tableColumn id="2" xr3:uid="{7AEDE33E-464A-4BBB-9B15-C229AB96C71C}" name="Richmond County Vote Results" totalsRowFunction="custom" dataDxfId="5" totalsRowDxfId="4">
      <totalsRowFormula>SUM(SupremeCourtJustice13[Richmond County Vote Results])</totalsRowFormula>
    </tableColumn>
    <tableColumn id="3" xr3:uid="{2C016697-F77A-46AC-A8B7-741A1E1C82E7}" name="Total Votes by Party" totalsRowFunction="custom" dataDxfId="3" totalsRowDxfId="2">
      <calculatedColumnFormula>SUM(SupremeCourtJustice13[[#This Row],[Richmond County Vote Results]])</calculatedColumnFormula>
      <totalsRowFormula>SUM(SupremeCourtJustice13[Total Votes by Party])</totalsRowFormula>
    </tableColumn>
    <tableColumn id="5" xr3:uid="{5AB7B685-4601-4745-A880-56062D6BF8B9}" name="Total Votes by Candidate" dataDxfId="1" totalsRowDxfId="0">
      <calculatedColumnFormula>SUM(SupremeCourtJustice13[[#This Row],[Total Votes by Party]])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8" xr:uid="{E664E6E9-8966-4899-90B4-998B434E9246}" name="SupremeCourtJustice2" displayName="SupremeCourtJustice2" ref="A2:D25" totalsRowCount="1" headerRowDxfId="223" dataDxfId="221" totalsRowDxfId="219" headerRowBorderDxfId="222" tableBorderDxfId="220" totalsRowBorderDxfId="218">
  <autoFilter ref="A2:D24" xr:uid="{D9123418-E292-4761-8C58-00BD38571541}">
    <filterColumn colId="0" hiddenButton="1"/>
    <filterColumn colId="1" hiddenButton="1"/>
    <filterColumn colId="2" hiddenButton="1"/>
    <filterColumn colId="3" hiddenButton="1"/>
  </autoFilter>
  <tableColumns count="4">
    <tableColumn id="1" xr3:uid="{9692862D-9A05-476F-B4D0-3142509B53B7}" name="Candidate Name (Party)_x000a_" totalsRowLabel="Total Votes by County" dataDxfId="217" totalsRowDxfId="216"/>
    <tableColumn id="2" xr3:uid="{33A9B2DA-4CD5-41DC-A979-5A88B1EA0C30}" name="Kings County Vote Results" totalsRowFunction="custom" dataDxfId="215" totalsRowDxfId="214">
      <totalsRowFormula>SUM(SupremeCourtJustice2[Kings County Vote Results])</totalsRowFormula>
    </tableColumn>
    <tableColumn id="3" xr3:uid="{0AFE27B0-93B9-4957-BE65-719E19EFD23F}" name="Total Votes by Party" totalsRowFunction="custom" dataDxfId="213" totalsRowDxfId="212">
      <totalsRowFormula>SUM(SupremeCourtJustice2[Total Votes by Party])</totalsRowFormula>
    </tableColumn>
    <tableColumn id="5" xr3:uid="{C9AD6328-E38D-4C45-8E1C-2187F14B563F}" name="Total Votes by Candidate" dataDxfId="211" totalsRowDxfId="210">
      <calculatedColumnFormula>SUM(SupremeCourtJustice2[[#This Row],[Total Votes by Party]])</calculatedColumnFormula>
    </tableColumn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9" xr:uid="{C7D3C537-F411-461A-9141-69F0EB7B37F7}" name="SupremeCourtJustice3" displayName="SupremeCourtJustice3" ref="A2:J12" totalsRowCount="1" headerRowDxfId="209" dataDxfId="207" headerRowBorderDxfId="208" tableBorderDxfId="206" totalsRowBorderDxfId="205">
  <autoFilter ref="A2:J11" xr:uid="{013F4201-9F43-4569-BC15-21711BC52D7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B346004-8430-44AA-9F34-92C37645585A}" name="Candidate Name (Party)_x000a_" totalsRowLabel="Total Votes by County" dataDxfId="204" totalsRowDxfId="203"/>
    <tableColumn id="2" xr3:uid="{3FFE43FB-3BCD-428F-875E-2AB03E9E6A59}" name="Albany County Vote Results" totalsRowFunction="custom" dataDxfId="202" totalsRowDxfId="201">
      <totalsRowFormula>SUM(SupremeCourtJustice3[Albany County Vote Results])</totalsRowFormula>
    </tableColumn>
    <tableColumn id="3" xr3:uid="{A213CC25-9939-41CD-A4D2-18A1B293F9F7}" name="Columbia County Vote Results" totalsRowFunction="custom" totalsRowDxfId="200">
      <totalsRowFormula>SUM(SupremeCourtJustice3[Columbia County Vote Results])</totalsRowFormula>
    </tableColumn>
    <tableColumn id="9" xr3:uid="{31D34F6B-5BB8-4586-A8FE-7800F35BB1BE}" name="Greene County Vote Results" totalsRowFunction="custom" dataDxfId="199" totalsRowDxfId="198">
      <totalsRowFormula>SUM(SupremeCourtJustice3[Greene County Vote Results])</totalsRowFormula>
    </tableColumn>
    <tableColumn id="8" xr3:uid="{4727EB1C-C9EB-413C-8E60-A03CC67780BE}" name="Rensselaer County Vote Results" totalsRowFunction="custom" dataDxfId="197" totalsRowDxfId="196">
      <totalsRowFormula>SUM(SupremeCourtJustice3[Rensselaer County Vote Results])</totalsRowFormula>
    </tableColumn>
    <tableColumn id="10" xr3:uid="{EDA164B1-07FB-4A58-BA5A-5978D9E7E23F}" name="Schoharie County Vote Results" totalsRowFunction="custom" dataDxfId="195" totalsRowDxfId="194">
      <totalsRowFormula>SUM(SupremeCourtJustice3[Schoharie County Vote Results])</totalsRowFormula>
    </tableColumn>
    <tableColumn id="7" xr3:uid="{03FBA81A-DD5F-461C-A0B8-61117CE803D2}" name="Sullivan County Vote Results" totalsRowFunction="custom" dataDxfId="193" totalsRowDxfId="192">
      <totalsRowFormula>SUM(SupremeCourtJustice3[Sullivan County Vote Results])</totalsRowFormula>
    </tableColumn>
    <tableColumn id="4" xr3:uid="{8B5FBB76-DF38-4273-A5E2-D2E983F8E695}" name="Ulster County Vote Results" totalsRowFunction="custom" dataDxfId="191" totalsRowDxfId="190">
      <totalsRowFormula>SUM(SupremeCourtJustice3[Ulster County Vote Results])</totalsRowFormula>
    </tableColumn>
    <tableColumn id="6" xr3:uid="{353A649F-E7C0-4046-A97D-D139F1F615C7}" name="Total Votes by Party" totalsRowFunction="custom" dataDxfId="189" totalsRowDxfId="188">
      <calculatedColumnFormula>SUM(SupremeCourtJustice3[[#This Row],[Ulster County Vote Results]],SupremeCourtJustice3[[#This Row],[Sullivan County Vote Results]],SupremeCourtJustice3[[#This Row],[Schoharie County Vote Results]],SupremeCourtJustice3[[#This Row],[Rensselaer County Vote Results]],SupremeCourtJustice3[[#This Row],[Greene County Vote Results]],SupremeCourtJustice3[[#This Row],[Columbia County Vote Results]],SupremeCourtJustice3[[#This Row],[Albany County Vote Results]])</calculatedColumnFormula>
      <totalsRowFormula>SUM(SupremeCourtJustice3[Total Votes by Party])</totalsRowFormula>
    </tableColumn>
    <tableColumn id="5" xr3:uid="{CE72F6BF-9C5F-45E4-8877-628105F24873}" name="Total Votes by Candidate" dataDxfId="187" totalsRowDxfId="186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1" xr:uid="{12CE04F7-5869-41E1-99F8-1C7649AE021F}" name="SupremeCourtJustice5" displayName="SupremeCourtJustice5" ref="A2:I8" totalsRowCount="1" headerRowDxfId="185" dataDxfId="183" totalsRowDxfId="181" headerRowBorderDxfId="184" tableBorderDxfId="182" totalsRowBorderDxfId="180">
  <autoFilter ref="A2:I7" xr:uid="{B823C752-69AB-40CC-A239-F27F579B07E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A6ACFFD6-CBD4-4EBC-B8D3-33C5B38B2975}" name="Candidate Name (Party)_x000a_" totalsRowLabel="Total Votes by County" dataDxfId="179" totalsRowDxfId="178"/>
    <tableColumn id="2" xr3:uid="{832779FF-7A21-4D4A-927B-5C0733A8CE08}" name="Herkimer County Vote Results" totalsRowFunction="custom" dataDxfId="177" totalsRowDxfId="176">
      <totalsRowFormula>SUM(SupremeCourtJustice5[Herkimer County Vote Results])</totalsRowFormula>
    </tableColumn>
    <tableColumn id="9" xr3:uid="{FB7CB644-C0AA-44D9-BCA7-214AEE4678D5}" name="Jefferson County Vote Results" totalsRowFunction="custom" dataDxfId="175" totalsRowDxfId="174">
      <totalsRowFormula>SUM(SupremeCourtJustice5[Jefferson County Vote Results])</totalsRowFormula>
    </tableColumn>
    <tableColumn id="8" xr3:uid="{E4FD4C9B-2987-4B65-AD99-18CDC48A0EA1}" name="Lewis County Vote Results" totalsRowFunction="custom" dataDxfId="173" totalsRowDxfId="172">
      <totalsRowFormula>SUM(SupremeCourtJustice5[Lewis County Vote Results])</totalsRowFormula>
    </tableColumn>
    <tableColumn id="7" xr3:uid="{7F74733F-7E4F-4D3A-AF69-3A7E07AEAE36}" name="Oneida County Vote Results" totalsRowFunction="custom" dataDxfId="171" totalsRowDxfId="170">
      <totalsRowFormula>SUM(SupremeCourtJustice5[Oneida County Vote Results])</totalsRowFormula>
    </tableColumn>
    <tableColumn id="6" xr3:uid="{87BA37B1-D5D3-4A97-A37E-5BF242F328BD}" name="Onondaga County Vote Results" totalsRowFunction="custom" dataDxfId="169" totalsRowDxfId="168">
      <totalsRowFormula>SUM(SupremeCourtJustice5[Onondaga County Vote Results])</totalsRowFormula>
    </tableColumn>
    <tableColumn id="4" xr3:uid="{9EF5D0E6-1813-44CF-A26A-4B1C1CB6F462}" name="Oswego County Vote Results" totalsRowFunction="custom" totalsRowDxfId="167">
      <totalsRowFormula>SUM(SupremeCourtJustice5[Oswego County Vote Results])</totalsRowFormula>
    </tableColumn>
    <tableColumn id="3" xr3:uid="{D29C26D6-D05C-4171-B6D3-9BB83666034A}" name="Total Votes by Party" totalsRowFunction="custom" dataDxfId="166" totalsRowDxfId="165">
      <calculatedColumnFormula>SUM(SupremeCourtJustice5[[#This Row],[Oswego County Vote Results]],SupremeCourtJustice5[[#This Row],[Onondaga County Vote Results]],SupremeCourtJustice5[[#This Row],[Oneida County Vote Results]],SupremeCourtJustice5[[#This Row],[Lewis County Vote Results]],SupremeCourtJustice5[[#This Row],[Jefferson County Vote Results]],SupremeCourtJustice5[[#This Row],[Herkimer County Vote Results]])</calculatedColumnFormula>
      <totalsRowFormula>SUM(SupremeCourtJustice5[Total Votes by Party])</totalsRowFormula>
    </tableColumn>
    <tableColumn id="5" xr3:uid="{3611E431-9422-44C7-8856-BC736AC90C61}" name="Total Votes by Candidate" dataDxfId="164" totalsRowDxfId="163">
      <calculatedColumnFormula>SUM(#REF!)</calculatedColumnFormula>
    </tableColumn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2" xr:uid="{09EE3C34-E00C-484E-B52C-C0362C76A10A}" name="SupremeCourtJustice6" displayName="SupremeCourtJustice6" ref="A2:M9" totalsRowCount="1" headerRowDxfId="162" dataDxfId="160" totalsRowDxfId="158" headerRowBorderDxfId="161" tableBorderDxfId="159" totalsRowBorderDxfId="157">
  <autoFilter ref="A2:M8" xr:uid="{A5D383CB-B61F-4561-ADC3-55A409D5E37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DB5AA337-5F7B-4275-9C0D-402F772AD411}" name="Candidate Name (Party)_x000a_" totalsRowLabel="Total Votes by County" dataDxfId="156" totalsRowDxfId="155"/>
    <tableColumn id="4" xr3:uid="{8D6960C5-2AF2-48E5-8469-41DDA9CAA21C}" name="Broome County Vote Results" totalsRowFunction="custom" dataDxfId="154" totalsRowDxfId="153">
      <totalsRowFormula>SUM(SupremeCourtJustice6[Broome County Vote Results])</totalsRowFormula>
    </tableColumn>
    <tableColumn id="14" xr3:uid="{EE37CBA1-4620-4150-9455-85992380E6F4}" name="Chemung County Vote Results" totalsRowFunction="custom" dataDxfId="152" totalsRowDxfId="151">
      <totalsRowFormula>SUM(SupremeCourtJustice6[Chemung County Vote Results])</totalsRowFormula>
    </tableColumn>
    <tableColumn id="13" xr3:uid="{E87219F0-588C-4AD7-8984-15D141D587EC}" name="Chenango County Vote Results" totalsRowFunction="custom" dataDxfId="150" totalsRowDxfId="149">
      <totalsRowFormula>SUM(SupremeCourtJustice6[Chenango County Vote Results])</totalsRowFormula>
    </tableColumn>
    <tableColumn id="12" xr3:uid="{A08E4F92-D2B9-4F27-B04C-489E3560D2BF}" name="Cortland County Vote Results" totalsRowFunction="custom" dataDxfId="148" totalsRowDxfId="147">
      <totalsRowFormula>SUM(SupremeCourtJustice6[Cortland County Vote Results])</totalsRowFormula>
    </tableColumn>
    <tableColumn id="11" xr3:uid="{B4AB8FF3-0641-44E0-9D85-74A24FECF454}" name="Delaware County Vote Results" totalsRowFunction="custom" dataDxfId="146" totalsRowDxfId="145">
      <totalsRowFormula>SUM(SupremeCourtJustice6[Delaware County Vote Results])</totalsRowFormula>
    </tableColumn>
    <tableColumn id="10" xr3:uid="{F54D723F-43D6-4038-8BB6-BAD89A33F03B}" name="Madison County Vote Results" totalsRowFunction="custom" dataDxfId="144" totalsRowDxfId="143">
      <totalsRowFormula>SUM(SupremeCourtJustice6[Madison County Vote Results])</totalsRowFormula>
    </tableColumn>
    <tableColumn id="9" xr3:uid="{252402D3-F890-4FCA-9472-5B7FEB03973B}" name="Otsego County Vote Results" totalsRowFunction="custom" dataDxfId="142" totalsRowDxfId="141">
      <totalsRowFormula>SUM(SupremeCourtJustice6[Otsego County Vote Results])</totalsRowFormula>
    </tableColumn>
    <tableColumn id="8" xr3:uid="{A603B38E-10D1-4AFC-B193-A28F6E87D96C}" name="Schuyler County Vote Results" totalsRowFunction="custom" dataDxfId="140" totalsRowDxfId="139">
      <totalsRowFormula>SUM(SupremeCourtJustice6[Schuyler County Vote Results])</totalsRowFormula>
    </tableColumn>
    <tableColumn id="7" xr3:uid="{39ED5180-795A-4352-A1C7-AF83C53F4967}" name="Tioga County Vote Results" totalsRowFunction="custom" dataDxfId="138" totalsRowDxfId="137">
      <totalsRowFormula>SUM(SupremeCourtJustice6[Tioga County Vote Results])</totalsRowFormula>
    </tableColumn>
    <tableColumn id="6" xr3:uid="{7830FD40-BBB5-4C8E-B0EA-9CFF594CAA1F}" name="Tompkins County Vote Results" totalsRowFunction="custom" dataDxfId="136" totalsRowDxfId="135">
      <totalsRowFormula>SUM(SupremeCourtJustice6[Tompkins County Vote Results])</totalsRowFormula>
    </tableColumn>
    <tableColumn id="3" xr3:uid="{42FD8FB8-03B9-466C-A91F-225490A89ACF}" name="Total Votes by Party" totalsRowFunction="custom" dataDxfId="134" totalsRowDxfId="133">
      <totalsRowFormula>SUM(SupremeCourtJustice6[Total Votes by Party])</totalsRowFormula>
    </tableColumn>
    <tableColumn id="2" xr3:uid="{2DF13FB4-15F2-4C5B-B757-58DE004F141B}" name="Total Votes by Candidate" dataDxfId="132" totalsRowDxfId="131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3" xr:uid="{4EC5AF66-F56B-400A-8491-DEDC7C247A95}" name="SupremeCourtJustice7" displayName="SupremeCourtJustice7" ref="A2:K14" totalsRowCount="1" headerRowDxfId="130" dataDxfId="128" totalsRowDxfId="126" headerRowBorderDxfId="129" tableBorderDxfId="127" totalsRowBorderDxfId="125">
  <autoFilter ref="A2:K13" xr:uid="{44B01D1C-45DF-49CF-8E6C-ADBDB09A402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0F0D22D-2030-4AC9-85EA-04E2D1854B4B}" name="Candidate Name (Party)_x000a_" totalsRowLabel="Total Votes by County" dataDxfId="124" totalsRowDxfId="123"/>
    <tableColumn id="2" xr3:uid="{205E90C1-B9FA-4478-A57A-BEEDA815557A}" name="Cayuga County Vote Results" totalsRowFunction="custom" totalsRowDxfId="122">
      <totalsRowFormula>SUM(SupremeCourtJustice7[Cayuga County Vote Results])</totalsRowFormula>
    </tableColumn>
    <tableColumn id="11" xr3:uid="{DE19E712-0ACD-4C38-98A7-8F6BE24E8FD6}" name="Livingston County Vote Results" totalsRowFunction="custom" dataDxfId="121" totalsRowDxfId="120">
      <totalsRowFormula>SUM(SupremeCourtJustice7[Livingston County Vote Results])</totalsRowFormula>
    </tableColumn>
    <tableColumn id="10" xr3:uid="{E2936CD9-0CB3-4B51-8C38-FCCDC42621FD}" name="Monroe County Vote Results" totalsRowFunction="custom" dataDxfId="119" totalsRowDxfId="118">
      <totalsRowFormula>SUM(SupremeCourtJustice7[Monroe County Vote Results])</totalsRowFormula>
    </tableColumn>
    <tableColumn id="9" xr3:uid="{30F757AC-0910-4FCC-830B-A9F787C0E61E}" name="Ontario County Vote Results" totalsRowFunction="custom" dataDxfId="117" totalsRowDxfId="116">
      <totalsRowFormula>SUM(SupremeCourtJustice7[Ontario County Vote Results])</totalsRowFormula>
    </tableColumn>
    <tableColumn id="8" xr3:uid="{B1EDCE12-CEA2-44E5-AB7C-2E91A1E2DBB1}" name="Seneca County Vote Results" totalsRowFunction="custom" dataDxfId="115" totalsRowDxfId="114">
      <totalsRowFormula>SUM(SupremeCourtJustice7[Seneca County Vote Results])</totalsRowFormula>
    </tableColumn>
    <tableColumn id="7" xr3:uid="{419DF73B-7F0E-4050-85D6-8713DC9FB99D}" name="Steuben County Vote Results" totalsRowFunction="custom" dataDxfId="113" totalsRowDxfId="112">
      <totalsRowFormula>SUM(SupremeCourtJustice7[Steuben County Vote Results])</totalsRowFormula>
    </tableColumn>
    <tableColumn id="3" xr3:uid="{52E10317-EBC0-4702-8D23-69A3D5DAFC42}" name="Wayne County Vote Results" totalsRowFunction="custom" dataDxfId="111" totalsRowDxfId="110">
      <totalsRowFormula>SUM(SupremeCourtJustice7[Wayne County Vote Results])</totalsRowFormula>
    </tableColumn>
    <tableColumn id="4" xr3:uid="{1BD0D9D2-C1A1-4C0D-80AB-713A8EB2064F}" name="Yates County Vote Results" totalsRowFunction="custom" dataDxfId="109" totalsRowDxfId="108">
      <totalsRowFormula>SUM(SupremeCourtJustice7[Yates County Vote Results])</totalsRowFormula>
    </tableColumn>
    <tableColumn id="6" xr3:uid="{F3829902-3F45-4ECE-894B-3D723F37BAA8}" name="Total Votes by Party" totalsRowFunction="custom" dataDxfId="107" totalsRowDxfId="106">
      <calculatedColumnFormula>SUM(SupremeCourtJustice7[[#This Row],[Yates County Vote Results]],SupremeCourtJustice7[[#This Row],[Wayne County Vote Results]],SupremeCourtJustice7[[#This Row],[Steuben County Vote Results]],SupremeCourtJustice7[[#This Row],[Seneca County Vote Results]],SupremeCourtJustice7[[#This Row],[Ontario County Vote Results]],SupremeCourtJustice7[[#This Row],[Monroe County Vote Results]],SupremeCourtJustice7[[#This Row],[Livingston County Vote Results]],SupremeCourtJustice7[[#This Row],[Cayuga County Vote Results]],)</calculatedColumnFormula>
      <totalsRowFormula>SUM(SupremeCourtJustice7[Total Votes by Party])</totalsRowFormula>
    </tableColumn>
    <tableColumn id="5" xr3:uid="{32ABD5FB-A716-4778-B570-2DEF6D2B443B}" name="Total Votes by Candidate" dataDxfId="105" totalsRowDxfId="104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4" xr:uid="{99CC535E-BAF6-4D40-A339-E7962257CFD2}" name="SupremeCourtJustice8" displayName="SupremeCourtJustice8" ref="A2:K20" totalsRowCount="1" headerRowDxfId="103" dataDxfId="101" totalsRowDxfId="99" headerRowBorderDxfId="102" tableBorderDxfId="100" totalsRowBorderDxfId="98">
  <autoFilter ref="A2:K19" xr:uid="{9F90E68D-AC1A-410B-ACBC-D9097683019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B0C3BF1C-D451-4B8C-A252-C60943EC0DB7}" name="Candidate Name (Party)_x000a_" totalsRowLabel="Total Votes by County" dataDxfId="97" totalsRowDxfId="96"/>
    <tableColumn id="2" xr3:uid="{F9C16063-6E9F-4235-A579-C54670157247}" name="Allegany County Vote Results" totalsRowFunction="custom" totalsRowDxfId="95">
      <totalsRowFormula>SUM(SupremeCourtJustice8[Allegany County Vote Results])</totalsRowFormula>
    </tableColumn>
    <tableColumn id="11" xr3:uid="{CFF132F1-53A1-4D1F-834E-5709749D79F0}" name="Cattaraugus County Vote Results" totalsRowFunction="custom" dataDxfId="94" totalsRowDxfId="93">
      <totalsRowFormula>SUM(SupremeCourtJustice8[Cattaraugus County Vote Results])</totalsRowFormula>
    </tableColumn>
    <tableColumn id="10" xr3:uid="{4C2FB843-3E7B-49A2-8A91-7B432E82D11D}" name="Chautauqua County Vote Results" totalsRowFunction="custom" dataDxfId="92" totalsRowDxfId="91">
      <totalsRowFormula>SUM(SupremeCourtJustice8[Chautauqua County Vote Results])</totalsRowFormula>
    </tableColumn>
    <tableColumn id="9" xr3:uid="{D87D9634-CA0F-4B09-8ECD-DC2F54353975}" name="Erie County _x000a_Vote Results" totalsRowFunction="custom" dataDxfId="90" totalsRowDxfId="89">
      <totalsRowFormula>SUM(SupremeCourtJustice8[Erie County 
Vote Results])</totalsRowFormula>
    </tableColumn>
    <tableColumn id="8" xr3:uid="{4AAB736A-2F43-45BA-844A-F19B9B7DDC70}" name="Genesee County Vote Results" totalsRowFunction="custom" dataDxfId="88" totalsRowDxfId="87">
      <totalsRowFormula>SUM(SupremeCourtJustice8[Genesee County Vote Results])</totalsRowFormula>
    </tableColumn>
    <tableColumn id="7" xr3:uid="{B20E7F53-38E4-486C-BD5D-E7FEB622625E}" name="Niagara County Vote Results" totalsRowFunction="custom" dataDxfId="86" totalsRowDxfId="85">
      <totalsRowFormula>SUM(SupremeCourtJustice8[Niagara County Vote Results])</totalsRowFormula>
    </tableColumn>
    <tableColumn id="6" xr3:uid="{8B0F5E21-2B4B-4D6A-AFA2-254C5D6427F2}" name="Orleans County Vote Results" totalsRowFunction="custom" dataDxfId="84" totalsRowDxfId="83">
      <totalsRowFormula>SUM(SupremeCourtJustice8[Orleans County Vote Results])</totalsRowFormula>
    </tableColumn>
    <tableColumn id="4" xr3:uid="{38FB2E3D-E23E-4DB9-9D22-33060A8F5910}" name="Wyoming County Vote Results" totalsRowFunction="custom" dataDxfId="82" totalsRowDxfId="81">
      <totalsRowFormula>SUM(SupremeCourtJustice8[Wyoming County Vote Results])</totalsRowFormula>
    </tableColumn>
    <tableColumn id="3" xr3:uid="{2CB06F0A-C24C-43D5-A007-A53EF5AC9990}" name="Total Votes by Party" totalsRowFunction="custom" dataDxfId="80" totalsRowDxfId="79">
      <calculatedColumnFormula>SUM(SupremeCourtJustice8[[#This Row],[Wyoming County Vote Results]],SupremeCourtJustice8[[#This Row],[Orleans County Vote Results]],SupremeCourtJustice8[[#This Row],[Niagara County Vote Results]],SupremeCourtJustice8[[#This Row],[Genesee County Vote Results]],SupremeCourtJustice8[[#This Row],[Erie County 
Vote Results]],SupremeCourtJustice8[[#This Row],[Chautauqua County Vote Results]],SupremeCourtJustice8[[#This Row],[Cattaraugus County Vote Results]],SupremeCourtJustice8[[#This Row],[Allegany County Vote Results]])</calculatedColumnFormula>
      <totalsRowFormula>SUM(SupremeCourtJustice8[Total Votes by Party])</totalsRowFormula>
    </tableColumn>
    <tableColumn id="5" xr3:uid="{B6F65832-8A3B-482B-86EA-6B7E28105CE0}" name="Total Votes by Candidate" dataDxfId="78" totalsRowDxfId="77">
      <calculatedColumnFormula>SUM(SupremeCourtJustice8[[#This Row],[Total Votes by Party]],J7,J11,J15)</calculatedColumnFormula>
    </tableColumn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5" xr:uid="{89D64423-93DB-4D2A-B47C-7A84045E58E8}" name="SupremeCourtJustice9" displayName="SupremeCourtJustice9" ref="A2:H21" totalsRowCount="1" headerRowDxfId="76" dataDxfId="74" totalsRowDxfId="72" headerRowBorderDxfId="75" tableBorderDxfId="73" totalsRowBorderDxfId="71">
  <autoFilter ref="A2:H20" xr:uid="{2ABB5165-DA54-458E-948F-F67912A9FB1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2F95D63-F688-4055-9A5A-6EC8BC64F083}" name="Candidate Name (Party)_x000a_" totalsRowLabel="Total Votes by County" dataDxfId="70" totalsRowDxfId="69"/>
    <tableColumn id="4" xr3:uid="{B59B8BFC-66E1-40DC-878F-5E611FC673A2}" name="Dutchess County Vote Results" totalsRowFunction="custom" totalsRowDxfId="68">
      <totalsRowFormula>SUM(SupremeCourtJustice9[Dutchess County Vote Results])</totalsRowFormula>
    </tableColumn>
    <tableColumn id="9" xr3:uid="{59DB02B2-BA78-49FB-A594-D73331671655}" name="Orange County Vote Results" totalsRowFunction="custom" dataDxfId="67" totalsRowDxfId="66">
      <totalsRowFormula>SUM(SupremeCourtJustice9[Orange County Vote Results])</totalsRowFormula>
    </tableColumn>
    <tableColumn id="8" xr3:uid="{34F1193B-189A-4DE7-86BC-31608F2B92C1}" name="Putnam County Vote Results" totalsRowFunction="custom" dataDxfId="65" totalsRowDxfId="64">
      <totalsRowFormula>SUM(SupremeCourtJustice9[Putnam County Vote Results])</totalsRowFormula>
    </tableColumn>
    <tableColumn id="7" xr3:uid="{2B48826C-52E5-42E1-AE11-3EF01AC27193}" name="Rockland County Vote Results" totalsRowFunction="custom" dataDxfId="63" totalsRowDxfId="62">
      <totalsRowFormula>SUM(SupremeCourtJustice9[Rockland County Vote Results])</totalsRowFormula>
    </tableColumn>
    <tableColumn id="6" xr3:uid="{FDF894D5-7668-49CB-BC18-5A130B4E755B}" name="Westchester County Vote Results" totalsRowFunction="custom" dataDxfId="61" totalsRowDxfId="60">
      <totalsRowFormula>SUM(SupremeCourtJustice9[Westchester County Vote Results])</totalsRowFormula>
    </tableColumn>
    <tableColumn id="3" xr3:uid="{2F43D2D1-4380-459F-A5B2-C3A03515658E}" name="Total Votes by Party" totalsRowFunction="custom" dataDxfId="59" totalsRowDxfId="58">
      <calculatedColumnFormula>SUM(SupremeCourtJustice9[[#This Row],[Westchester County Vote Results]],SupremeCourtJustice9[[#This Row],[Rockland County Vote Results]],SupremeCourtJustice9[[#This Row],[Putnam County Vote Results]],SupremeCourtJustice9[[#This Row],[Orange County Vote Results]],SupremeCourtJustice9[[#This Row],[Dutchess County Vote Results]])</calculatedColumnFormula>
      <totalsRowFormula>SUM(SupremeCourtJustice9[Total Votes by Party])</totalsRowFormula>
    </tableColumn>
    <tableColumn id="2" xr3:uid="{54D10975-6EB5-447B-932C-4A4DDDABFDD1}" name="Total Votes by Candidate" dataDxfId="57" totalsRowDxfId="56">
      <calculatedColumnFormula>SUM(SupremeCourtJustice9[[#This Row],[Total Votes by Party]],G8)</calculatedColumnFormula>
    </tableColumn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6" xr:uid="{ABD4D607-E80F-4830-BB96-B9587F1B3DCA}" name="SupremeCourtJustice10" displayName="SupremeCourtJustice10" ref="A2:E30" totalsRowCount="1" headerRowDxfId="55" dataDxfId="53" totalsRowDxfId="51" headerRowBorderDxfId="54" tableBorderDxfId="52" totalsRowBorderDxfId="50">
  <autoFilter ref="A2:E29" xr:uid="{466D8A0E-FA77-4AB9-9F29-55E4B0D53A8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B9AC27C-0C75-47CE-8664-E1F582877172}" name="Candidate Name (Party)_x000a_" totalsRowLabel="Total Votes by County" dataDxfId="49" totalsRowDxfId="48"/>
    <tableColumn id="2" xr3:uid="{B57280ED-811B-4EF6-894E-DC9673EFA19C}" name="Nassau County Vote Results" totalsRowFunction="custom" totalsRowDxfId="47">
      <totalsRowFormula>SUM(SupremeCourtJustice10[Nassau County Vote Results])</totalsRowFormula>
    </tableColumn>
    <tableColumn id="4" xr3:uid="{6D6E0D4E-BE68-451E-8CBC-6E1E65C38FB6}" name="Suffolk County Vote Results" totalsRowFunction="custom" dataDxfId="46" totalsRowDxfId="45">
      <totalsRowFormula>SUM(SupremeCourtJustice10[Suffolk County Vote Results])</totalsRowFormula>
    </tableColumn>
    <tableColumn id="3" xr3:uid="{A3F550F8-935D-46FE-9F34-1DF89B800AED}" name="Total Votes by Party" totalsRowFunction="custom" dataDxfId="44" totalsRowDxfId="43">
      <calculatedColumnFormula>SUM(SupremeCourtJustice10[[#This Row],[Suffolk County Vote Results]],SupremeCourtJustice10[[#This Row],[Nassau County Vote Results]])</calculatedColumnFormula>
      <totalsRowFormula>SUM(SupremeCourtJustice10[Total Votes by Party])</totalsRowFormula>
    </tableColumn>
    <tableColumn id="5" xr3:uid="{74CE9B3E-91BB-4F2C-94A2-632469675F99}" name="Total Votes by Candidate" dataDxfId="42" totalsRowDxfId="41">
      <calculatedColumnFormula>SUM(SupremeCourtJustice10[[#This Row],[Total Votes by Party]],D11,D19)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pageSetUpPr fitToPage="1"/>
  </sheetPr>
  <dimension ref="A1:E9"/>
  <sheetViews>
    <sheetView tabSelected="1" zoomScaleNormal="100" zoomScaleSheetLayoutView="120" workbookViewId="0">
      <selection activeCell="A25" sqref="A25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5" ht="24.95" customHeight="1" x14ac:dyDescent="0.2">
      <c r="A1" s="26" t="s">
        <v>0</v>
      </c>
    </row>
    <row r="2" spans="1:5" ht="24.95" customHeight="1" x14ac:dyDescent="0.2">
      <c r="A2" s="37" t="s">
        <v>1</v>
      </c>
      <c r="B2" s="5" t="s">
        <v>2</v>
      </c>
      <c r="C2" s="6" t="s">
        <v>3</v>
      </c>
      <c r="D2" s="7" t="s">
        <v>4</v>
      </c>
    </row>
    <row r="3" spans="1:5" x14ac:dyDescent="0.2">
      <c r="A3" s="1" t="s">
        <v>5</v>
      </c>
      <c r="B3" s="14">
        <v>213330</v>
      </c>
      <c r="C3" s="8">
        <f>SupremeCourtJustice1[[#This Row],[New York County Vote Results]]</f>
        <v>213330</v>
      </c>
      <c r="D3" s="9">
        <f>SUM(SupremeCourtJustice1[[#This Row],[Total Votes by Party]])</f>
        <v>213330</v>
      </c>
    </row>
    <row r="4" spans="1:5" x14ac:dyDescent="0.2">
      <c r="A4" s="1" t="s">
        <v>6</v>
      </c>
      <c r="B4" s="14">
        <v>178888</v>
      </c>
      <c r="C4" s="8">
        <f>SupremeCourtJustice1[[#This Row],[New York County Vote Results]]</f>
        <v>178888</v>
      </c>
      <c r="D4" s="9">
        <f>SUM(SupremeCourtJustice1[[#This Row],[Total Votes by Party]])</f>
        <v>178888</v>
      </c>
    </row>
    <row r="5" spans="1:5" x14ac:dyDescent="0.2">
      <c r="A5" s="3" t="s">
        <v>7</v>
      </c>
      <c r="B5" s="14">
        <v>160818</v>
      </c>
      <c r="C5" s="8">
        <f>SupremeCourtJustice1[[#This Row],[New York County Vote Results]]</f>
        <v>160818</v>
      </c>
      <c r="D5" s="39"/>
    </row>
    <row r="6" spans="1:5" x14ac:dyDescent="0.2">
      <c r="A6" s="3" t="s">
        <v>8</v>
      </c>
      <c r="B6" s="14">
        <v>0</v>
      </c>
      <c r="C6" s="8">
        <f>SupremeCourtJustice1[[#This Row],[New York County Vote Results]]</f>
        <v>0</v>
      </c>
      <c r="D6" s="39"/>
    </row>
    <row r="7" spans="1:5" x14ac:dyDescent="0.2">
      <c r="A7" s="3" t="s">
        <v>9</v>
      </c>
      <c r="B7" s="14">
        <v>5398</v>
      </c>
      <c r="C7" s="12">
        <f>SupremeCourtJustice1[[#This Row],[New York County Vote Results]]</f>
        <v>5398</v>
      </c>
      <c r="D7" s="40"/>
    </row>
    <row r="8" spans="1:5" x14ac:dyDescent="0.2">
      <c r="A8" s="11" t="s">
        <v>10</v>
      </c>
      <c r="B8" s="14">
        <f>SUM(SupremeCourtJustice1[New York County Vote Results])</f>
        <v>558434</v>
      </c>
      <c r="C8" s="12">
        <f>SUM(SupremeCourtJustice1[Total Votes by Party])</f>
        <v>558434</v>
      </c>
      <c r="D8" s="39"/>
      <c r="E8" s="27"/>
    </row>
    <row r="9" spans="1:5" x14ac:dyDescent="0.2">
      <c r="C9" s="38"/>
      <c r="D9" s="38"/>
    </row>
  </sheetData>
  <phoneticPr fontId="1" type="noConversion"/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8" manualBreakCount="8">
    <brk id="34" max="4" man="1"/>
    <brk id="77" max="4" man="1"/>
    <brk id="120" max="4" man="1"/>
    <brk id="162" max="16383" man="1"/>
    <brk id="186" max="16383" man="1"/>
    <brk id="220" max="16383" man="1"/>
    <brk id="258" max="16383" man="1"/>
    <brk id="300" max="16383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BDA8-A20A-4ECD-9044-D16AC07C4695}">
  <sheetPr codeName="Sheet10">
    <pageSetUpPr fitToPage="1"/>
  </sheetPr>
  <dimension ref="A1:D18"/>
  <sheetViews>
    <sheetView workbookViewId="0">
      <selection activeCell="H32" sqref="H32"/>
    </sheetView>
  </sheetViews>
  <sheetFormatPr defaultRowHeight="12.75" x14ac:dyDescent="0.2"/>
  <cols>
    <col min="1" max="1" width="29.42578125" customWidth="1"/>
    <col min="2" max="4" width="20.5703125" customWidth="1"/>
    <col min="5" max="6" width="23.5703125" customWidth="1"/>
  </cols>
  <sheetData>
    <row r="1" spans="1:4" ht="24.75" customHeight="1" x14ac:dyDescent="0.2">
      <c r="A1" s="26" t="s">
        <v>156</v>
      </c>
    </row>
    <row r="2" spans="1:4" ht="25.5" x14ac:dyDescent="0.2">
      <c r="A2" s="37" t="s">
        <v>1</v>
      </c>
      <c r="B2" s="5" t="s">
        <v>157</v>
      </c>
      <c r="C2" s="6" t="s">
        <v>3</v>
      </c>
      <c r="D2" s="7" t="s">
        <v>4</v>
      </c>
    </row>
    <row r="3" spans="1:4" x14ac:dyDescent="0.2">
      <c r="A3" s="1" t="s">
        <v>158</v>
      </c>
      <c r="B3" s="2">
        <v>142353</v>
      </c>
      <c r="C3" s="8">
        <f>SUM(SupremeCourtJustice11[[#This Row],[Queens County Vote Results]])</f>
        <v>142353</v>
      </c>
      <c r="D3" s="9">
        <f>SUM(SupremeCourtJustice11[[#This Row],[Total Votes by Party]],C4)</f>
        <v>216246</v>
      </c>
    </row>
    <row r="4" spans="1:4" x14ac:dyDescent="0.2">
      <c r="A4" s="3" t="s">
        <v>159</v>
      </c>
      <c r="B4" s="2">
        <v>73893</v>
      </c>
      <c r="C4" s="8">
        <f>SUM(SupremeCourtJustice11[[#This Row],[Queens County Vote Results]])</f>
        <v>73893</v>
      </c>
      <c r="D4" s="41"/>
    </row>
    <row r="5" spans="1:4" x14ac:dyDescent="0.2">
      <c r="A5" s="1" t="s">
        <v>160</v>
      </c>
      <c r="B5" s="2">
        <v>33190</v>
      </c>
      <c r="C5" s="8">
        <f>SUM(SupremeCourtJustice11[[#This Row],[Queens County Vote Results]])</f>
        <v>33190</v>
      </c>
      <c r="D5" s="9">
        <f>SUM(SupremeCourtJustice11[[#This Row],[Total Votes by Party]])</f>
        <v>33190</v>
      </c>
    </row>
    <row r="6" spans="1:4" x14ac:dyDescent="0.2">
      <c r="A6" s="3" t="s">
        <v>161</v>
      </c>
      <c r="B6" s="2">
        <v>125048</v>
      </c>
      <c r="C6" s="8">
        <f>SUM(SupremeCourtJustice11[[#This Row],[Queens County Vote Results]])</f>
        <v>125048</v>
      </c>
      <c r="D6" s="9">
        <f>SUM(SupremeCourtJustice11[[#This Row],[Total Votes by Party]],C7)</f>
        <v>188369</v>
      </c>
    </row>
    <row r="7" spans="1:4" x14ac:dyDescent="0.2">
      <c r="A7" s="3" t="s">
        <v>162</v>
      </c>
      <c r="B7" s="2">
        <v>63321</v>
      </c>
      <c r="C7" s="8">
        <f>SUM(SupremeCourtJustice11[[#This Row],[Queens County Vote Results]])</f>
        <v>63321</v>
      </c>
      <c r="D7" s="41"/>
    </row>
    <row r="8" spans="1:4" x14ac:dyDescent="0.2">
      <c r="A8" s="3" t="s">
        <v>163</v>
      </c>
      <c r="B8" s="2">
        <v>31635</v>
      </c>
      <c r="C8" s="8">
        <f>SUM(SupremeCourtJustice11[[#This Row],[Queens County Vote Results]])</f>
        <v>31635</v>
      </c>
      <c r="D8" s="9">
        <f>SUM(SupremeCourtJustice11[[#This Row],[Total Votes by Party]])</f>
        <v>31635</v>
      </c>
    </row>
    <row r="9" spans="1:4" x14ac:dyDescent="0.2">
      <c r="A9" s="3" t="s">
        <v>164</v>
      </c>
      <c r="B9" s="2">
        <v>150907</v>
      </c>
      <c r="C9" s="8">
        <f>SUM(SupremeCourtJustice11[[#This Row],[Queens County Vote Results]])</f>
        <v>150907</v>
      </c>
      <c r="D9" s="9">
        <f>SUM(SupremeCourtJustice11[[#This Row],[Total Votes by Party]])</f>
        <v>150907</v>
      </c>
    </row>
    <row r="10" spans="1:4" x14ac:dyDescent="0.2">
      <c r="A10" s="3" t="s">
        <v>165</v>
      </c>
      <c r="B10" s="2">
        <v>130006</v>
      </c>
      <c r="C10" s="8">
        <f>SUM(SupremeCourtJustice11[[#This Row],[Queens County Vote Results]])</f>
        <v>130006</v>
      </c>
      <c r="D10" s="9">
        <f>SUM(SupremeCourtJustice11[[#This Row],[Total Votes by Party]],C11)</f>
        <v>195293</v>
      </c>
    </row>
    <row r="11" spans="1:4" x14ac:dyDescent="0.2">
      <c r="A11" s="3" t="s">
        <v>166</v>
      </c>
      <c r="B11" s="2">
        <v>65287</v>
      </c>
      <c r="C11" s="8">
        <f>SUM(SupremeCourtJustice11[[#This Row],[Queens County Vote Results]])</f>
        <v>65287</v>
      </c>
      <c r="D11" s="41"/>
    </row>
    <row r="12" spans="1:4" x14ac:dyDescent="0.2">
      <c r="A12" s="3" t="s">
        <v>167</v>
      </c>
      <c r="B12" s="2">
        <v>137476</v>
      </c>
      <c r="C12" s="8">
        <f>SUM(SupremeCourtJustice11[[#This Row],[Queens County Vote Results]])</f>
        <v>137476</v>
      </c>
      <c r="D12" s="9">
        <f>SUM(SupremeCourtJustice11[[#This Row],[Total Votes by Party]])</f>
        <v>137476</v>
      </c>
    </row>
    <row r="13" spans="1:4" x14ac:dyDescent="0.2">
      <c r="A13" s="3" t="s">
        <v>168</v>
      </c>
      <c r="B13" s="2">
        <v>72825</v>
      </c>
      <c r="C13" s="8">
        <f>SUM(SupremeCourtJustice11[[#This Row],[Queens County Vote Results]])</f>
        <v>72825</v>
      </c>
      <c r="D13" s="9">
        <f>SUM(SupremeCourtJustice11[[#This Row],[Total Votes by Party]])</f>
        <v>72825</v>
      </c>
    </row>
    <row r="14" spans="1:4" x14ac:dyDescent="0.2">
      <c r="A14" s="1" t="s">
        <v>169</v>
      </c>
      <c r="B14" s="2">
        <v>149870</v>
      </c>
      <c r="C14" s="8">
        <f>SUM(SupremeCourtJustice11[[#This Row],[Queens County Vote Results]])</f>
        <v>149870</v>
      </c>
      <c r="D14" s="9">
        <f>SUM(SupremeCourtJustice11[[#This Row],[Total Votes by Party]])</f>
        <v>149870</v>
      </c>
    </row>
    <row r="15" spans="1:4" x14ac:dyDescent="0.2">
      <c r="A15" s="3" t="s">
        <v>7</v>
      </c>
      <c r="B15" s="2">
        <v>544578</v>
      </c>
      <c r="C15" s="8">
        <f>SUM(SupremeCourtJustice11[[#This Row],[Queens County Vote Results]])</f>
        <v>544578</v>
      </c>
      <c r="D15" s="39"/>
    </row>
    <row r="16" spans="1:4" x14ac:dyDescent="0.2">
      <c r="A16" s="3" t="s">
        <v>8</v>
      </c>
      <c r="B16" s="2">
        <v>0</v>
      </c>
      <c r="C16" s="8">
        <f>SUM(SupremeCourtJustice11[[#This Row],[Queens County Vote Results]])</f>
        <v>0</v>
      </c>
      <c r="D16" s="39"/>
    </row>
    <row r="17" spans="1:4" x14ac:dyDescent="0.2">
      <c r="A17" s="3" t="s">
        <v>9</v>
      </c>
      <c r="B17" s="2">
        <v>4695</v>
      </c>
      <c r="C17" s="8">
        <f>SUM(SupremeCourtJustice11[[#This Row],[Queens County Vote Results]])</f>
        <v>4695</v>
      </c>
      <c r="D17" s="39"/>
    </row>
    <row r="18" spans="1:4" x14ac:dyDescent="0.2">
      <c r="A18" s="11" t="s">
        <v>10</v>
      </c>
      <c r="B18" s="2">
        <f>SUM(SupremeCourtJustice11[Queens County Vote Results])</f>
        <v>1725084</v>
      </c>
      <c r="C18" s="8">
        <f>SUM(SupremeCourtJustice11[Total Votes by Party])</f>
        <v>1725084</v>
      </c>
      <c r="D18" s="39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56810-9FEC-4E0C-B513-8E2136773A96}">
  <sheetPr codeName="Sheet11">
    <pageSetUpPr fitToPage="1"/>
  </sheetPr>
  <dimension ref="A1:D12"/>
  <sheetViews>
    <sheetView zoomScaleNormal="100" zoomScaleSheetLayoutView="110" workbookViewId="0">
      <selection activeCell="I32" sqref="I3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75" customHeight="1" x14ac:dyDescent="0.2">
      <c r="A1" s="26" t="s">
        <v>170</v>
      </c>
    </row>
    <row r="2" spans="1:4" ht="25.5" x14ac:dyDescent="0.2">
      <c r="A2" s="37" t="s">
        <v>1</v>
      </c>
      <c r="B2" s="5" t="s">
        <v>171</v>
      </c>
      <c r="C2" s="6" t="s">
        <v>3</v>
      </c>
      <c r="D2" s="7" t="s">
        <v>4</v>
      </c>
    </row>
    <row r="3" spans="1:4" x14ac:dyDescent="0.2">
      <c r="A3" s="1" t="s">
        <v>172</v>
      </c>
      <c r="B3" s="17">
        <v>69507</v>
      </c>
      <c r="C3" s="8">
        <f>SUM(SupremeCourtJustice12[[#This Row],[Bronx County Vote Results]])</f>
        <v>69507</v>
      </c>
      <c r="D3" s="9">
        <f>SUM(SupremeCourtJustice12[[#This Row],[Total Votes by Party]])</f>
        <v>69507</v>
      </c>
    </row>
    <row r="4" spans="1:4" x14ac:dyDescent="0.2">
      <c r="A4" s="1" t="s">
        <v>173</v>
      </c>
      <c r="B4" s="17">
        <v>21755</v>
      </c>
      <c r="C4" s="8">
        <f>SUM(SupremeCourtJustice12[[#This Row],[Bronx County Vote Results]])</f>
        <v>21755</v>
      </c>
      <c r="D4" s="9">
        <f>SUM(SupremeCourtJustice12[[#This Row],[Total Votes by Party]])</f>
        <v>21755</v>
      </c>
    </row>
    <row r="5" spans="1:4" x14ac:dyDescent="0.2">
      <c r="A5" s="3" t="s">
        <v>174</v>
      </c>
      <c r="B5" s="17">
        <v>59176</v>
      </c>
      <c r="C5" s="8">
        <f>SUM(SupremeCourtJustice12[[#This Row],[Bronx County Vote Results]])</f>
        <v>59176</v>
      </c>
      <c r="D5" s="9">
        <f>SUM(SupremeCourtJustice12[[#This Row],[Total Votes by Party]])</f>
        <v>59176</v>
      </c>
    </row>
    <row r="6" spans="1:4" x14ac:dyDescent="0.2">
      <c r="A6" s="3" t="s">
        <v>175</v>
      </c>
      <c r="B6" s="17">
        <v>60687</v>
      </c>
      <c r="C6" s="8">
        <f>SUM(SupremeCourtJustice12[[#This Row],[Bronx County Vote Results]])</f>
        <v>60687</v>
      </c>
      <c r="D6" s="9">
        <f>SUM(SupremeCourtJustice12[[#This Row],[Total Votes by Party]])</f>
        <v>60687</v>
      </c>
    </row>
    <row r="7" spans="1:4" x14ac:dyDescent="0.2">
      <c r="A7" s="1" t="s">
        <v>176</v>
      </c>
      <c r="B7" s="17">
        <v>75165</v>
      </c>
      <c r="C7" s="8">
        <f>SUM(SupremeCourtJustice12[[#This Row],[Bronx County Vote Results]])</f>
        <v>75165</v>
      </c>
      <c r="D7" s="9">
        <f>SUM(SupremeCourtJustice12[[#This Row],[Total Votes by Party]])</f>
        <v>75165</v>
      </c>
    </row>
    <row r="8" spans="1:4" x14ac:dyDescent="0.2">
      <c r="A8" s="1" t="s">
        <v>177</v>
      </c>
      <c r="B8" s="17">
        <v>56781</v>
      </c>
      <c r="C8" s="8">
        <f>SUM(SupremeCourtJustice12[[#This Row],[Bronx County Vote Results]])</f>
        <v>56781</v>
      </c>
      <c r="D8" s="9">
        <f>SUM(SupremeCourtJustice12[[#This Row],[Total Votes by Party]])</f>
        <v>56781</v>
      </c>
    </row>
    <row r="9" spans="1:4" x14ac:dyDescent="0.2">
      <c r="A9" s="3" t="s">
        <v>7</v>
      </c>
      <c r="B9" s="16">
        <v>301159</v>
      </c>
      <c r="C9" s="8">
        <f>SUM(SupremeCourtJustice12[[#This Row],[Bronx County Vote Results]])</f>
        <v>301159</v>
      </c>
      <c r="D9" s="39"/>
    </row>
    <row r="10" spans="1:4" x14ac:dyDescent="0.2">
      <c r="A10" s="3" t="s">
        <v>8</v>
      </c>
      <c r="B10" s="16">
        <v>0</v>
      </c>
      <c r="C10" s="8">
        <f>SUM(SupremeCourtJustice12[[#This Row],[Bronx County Vote Results]])</f>
        <v>0</v>
      </c>
      <c r="D10" s="39"/>
    </row>
    <row r="11" spans="1:4" x14ac:dyDescent="0.2">
      <c r="A11" s="3" t="s">
        <v>9</v>
      </c>
      <c r="B11" s="16">
        <v>1145</v>
      </c>
      <c r="C11" s="8">
        <f>SUM(SupremeCourtJustice12[[#This Row],[Bronx County Vote Results]])</f>
        <v>1145</v>
      </c>
      <c r="D11" s="39"/>
    </row>
    <row r="12" spans="1:4" x14ac:dyDescent="0.2">
      <c r="A12" s="11" t="s">
        <v>10</v>
      </c>
      <c r="B12" s="2">
        <f>SUM(SupremeCourtJustice12[Bronx County Vote Results])</f>
        <v>645375</v>
      </c>
      <c r="C12" s="8">
        <f>SUM(SupremeCourtJustice12[Total Votes by Party])</f>
        <v>645375</v>
      </c>
      <c r="D12" s="39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CD071-119F-4D3B-82AF-74BF8D09625E}">
  <sheetPr codeName="Sheet12">
    <pageSetUpPr fitToPage="1"/>
  </sheetPr>
  <dimension ref="A1:D10"/>
  <sheetViews>
    <sheetView workbookViewId="0">
      <selection activeCell="J29" sqref="J29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75" customHeight="1" x14ac:dyDescent="0.2">
      <c r="A1" s="26" t="s">
        <v>178</v>
      </c>
    </row>
    <row r="2" spans="1:4" ht="25.5" x14ac:dyDescent="0.2">
      <c r="A2" s="37" t="s">
        <v>1</v>
      </c>
      <c r="B2" s="5" t="s">
        <v>179</v>
      </c>
      <c r="C2" s="6" t="s">
        <v>3</v>
      </c>
      <c r="D2" s="7" t="s">
        <v>4</v>
      </c>
    </row>
    <row r="3" spans="1:4" x14ac:dyDescent="0.2">
      <c r="A3" s="1" t="s">
        <v>180</v>
      </c>
      <c r="B3" s="2">
        <v>33116</v>
      </c>
      <c r="C3" s="8">
        <f>SUM(SupremeCourtJustice13[[#This Row],[Richmond County Vote Results]])</f>
        <v>33116</v>
      </c>
      <c r="D3" s="9">
        <f>SUM(SupremeCourtJustice13[[#This Row],[Total Votes by Party]])</f>
        <v>33116</v>
      </c>
    </row>
    <row r="4" spans="1:4" x14ac:dyDescent="0.2">
      <c r="A4" s="1" t="s">
        <v>181</v>
      </c>
      <c r="B4" s="2">
        <v>63198</v>
      </c>
      <c r="C4" s="8">
        <f>SUM(SupremeCourtJustice13[[#This Row],[Richmond County Vote Results]])</f>
        <v>63198</v>
      </c>
      <c r="D4" s="9">
        <f>SUM(SupremeCourtJustice13[[#This Row],[Total Votes by Party]])</f>
        <v>63198</v>
      </c>
    </row>
    <row r="5" spans="1:4" x14ac:dyDescent="0.2">
      <c r="A5" s="1" t="s">
        <v>182</v>
      </c>
      <c r="B5" s="2">
        <v>28251</v>
      </c>
      <c r="C5" s="8">
        <f>SUM(SupremeCourtJustice13[[#This Row],[Richmond County Vote Results]])</f>
        <v>28251</v>
      </c>
      <c r="D5" s="9">
        <f>SUM(SupremeCourtJustice13[[#This Row],[Total Votes by Party]])</f>
        <v>28251</v>
      </c>
    </row>
    <row r="6" spans="1:4" x14ac:dyDescent="0.2">
      <c r="A6" s="1" t="s">
        <v>183</v>
      </c>
      <c r="B6" s="2">
        <v>59137</v>
      </c>
      <c r="C6" s="8">
        <f>SUM(SupremeCourtJustice13[[#This Row],[Richmond County Vote Results]])</f>
        <v>59137</v>
      </c>
      <c r="D6" s="9">
        <f>SUM(SupremeCourtJustice13[[#This Row],[Total Votes by Party]])</f>
        <v>59137</v>
      </c>
    </row>
    <row r="7" spans="1:4" x14ac:dyDescent="0.2">
      <c r="A7" s="3" t="s">
        <v>7</v>
      </c>
      <c r="B7" s="2">
        <v>30438</v>
      </c>
      <c r="C7" s="8">
        <f>SUM(SupremeCourtJustice13[[#This Row],[Richmond County Vote Results]])</f>
        <v>30438</v>
      </c>
      <c r="D7" s="39"/>
    </row>
    <row r="8" spans="1:4" x14ac:dyDescent="0.2">
      <c r="A8" s="3" t="s">
        <v>8</v>
      </c>
      <c r="B8" s="2">
        <v>0</v>
      </c>
      <c r="C8" s="8">
        <f>SUM(SupremeCourtJustice13[[#This Row],[Richmond County Vote Results]])</f>
        <v>0</v>
      </c>
      <c r="D8" s="39"/>
    </row>
    <row r="9" spans="1:4" x14ac:dyDescent="0.2">
      <c r="A9" s="3" t="s">
        <v>9</v>
      </c>
      <c r="B9" s="2">
        <v>186</v>
      </c>
      <c r="C9" s="8">
        <f>SUM(SupremeCourtJustice13[[#This Row],[Richmond County Vote Results]])</f>
        <v>186</v>
      </c>
      <c r="D9" s="39"/>
    </row>
    <row r="10" spans="1:4" x14ac:dyDescent="0.2">
      <c r="A10" s="11" t="s">
        <v>10</v>
      </c>
      <c r="B10" s="2">
        <f>SUM(SupremeCourtJustice13[Richmond County Vote Results])</f>
        <v>214326</v>
      </c>
      <c r="C10" s="8">
        <f>SUM(SupremeCourtJustice13[Total Votes by Party])</f>
        <v>214326</v>
      </c>
      <c r="D10" s="39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F407-E347-441A-8D86-00F59011A6EA}">
  <sheetPr codeName="Sheet13">
    <pageSetUpPr fitToPage="1"/>
  </sheetPr>
  <dimension ref="A1:C402"/>
  <sheetViews>
    <sheetView workbookViewId="0">
      <selection activeCell="C31" sqref="C31"/>
    </sheetView>
  </sheetViews>
  <sheetFormatPr defaultColWidth="9.140625" defaultRowHeight="12.75" x14ac:dyDescent="0.2"/>
  <cols>
    <col min="1" max="1" width="10.28515625" style="28" bestFit="1" customWidth="1"/>
    <col min="2" max="2" width="2.7109375" style="20" customWidth="1"/>
    <col min="3" max="3" width="176.5703125" style="20" customWidth="1"/>
    <col min="4" max="16384" width="9.140625" style="20"/>
  </cols>
  <sheetData>
    <row r="1" spans="1:3" ht="18.75" customHeight="1" x14ac:dyDescent="0.2">
      <c r="A1" s="36" t="s">
        <v>184</v>
      </c>
      <c r="B1" s="36"/>
      <c r="C1" s="36"/>
    </row>
    <row r="3" spans="1:3" ht="13.5" customHeight="1" x14ac:dyDescent="0.2">
      <c r="A3" s="30" t="s">
        <v>185</v>
      </c>
      <c r="C3" s="21" t="s">
        <v>186</v>
      </c>
    </row>
    <row r="4" spans="1:3" ht="13.5" customHeight="1" x14ac:dyDescent="0.2">
      <c r="A4" s="45"/>
      <c r="B4" s="22"/>
      <c r="C4" s="44"/>
    </row>
    <row r="5" spans="1:3" ht="13.5" customHeight="1" x14ac:dyDescent="0.2">
      <c r="A5" s="31"/>
      <c r="B5" s="23"/>
      <c r="C5" s="22"/>
    </row>
    <row r="6" spans="1:3" ht="13.5" customHeight="1" x14ac:dyDescent="0.2">
      <c r="A6" s="31"/>
      <c r="B6" s="23"/>
      <c r="C6" s="22"/>
    </row>
    <row r="7" spans="1:3" ht="13.5" customHeight="1" x14ac:dyDescent="0.2">
      <c r="A7" s="31"/>
      <c r="B7" s="22"/>
      <c r="C7" s="24"/>
    </row>
    <row r="8" spans="1:3" ht="13.5" customHeight="1" x14ac:dyDescent="0.2">
      <c r="A8" s="31"/>
      <c r="B8" s="22"/>
      <c r="C8" s="24"/>
    </row>
    <row r="9" spans="1:3" ht="13.5" customHeight="1" x14ac:dyDescent="0.2">
      <c r="A9" s="31"/>
      <c r="B9" s="22"/>
      <c r="C9" s="24"/>
    </row>
    <row r="10" spans="1:3" ht="13.5" customHeight="1" x14ac:dyDescent="0.2">
      <c r="A10" s="31"/>
      <c r="B10" s="22"/>
      <c r="C10" s="24"/>
    </row>
    <row r="11" spans="1:3" ht="13.5" customHeight="1" x14ac:dyDescent="0.2">
      <c r="A11" s="31"/>
      <c r="B11" s="22"/>
      <c r="C11" s="24"/>
    </row>
    <row r="12" spans="1:3" ht="13.5" customHeight="1" x14ac:dyDescent="0.2">
      <c r="A12" s="31"/>
      <c r="B12" s="22"/>
      <c r="C12" s="24"/>
    </row>
    <row r="13" spans="1:3" ht="13.5" customHeight="1" x14ac:dyDescent="0.2">
      <c r="A13" s="31"/>
      <c r="B13" s="22"/>
      <c r="C13" s="24"/>
    </row>
    <row r="14" spans="1:3" ht="13.5" customHeight="1" x14ac:dyDescent="0.2">
      <c r="A14" s="31"/>
      <c r="B14" s="22"/>
      <c r="C14" s="24"/>
    </row>
    <row r="15" spans="1:3" ht="13.5" customHeight="1" x14ac:dyDescent="0.2">
      <c r="A15" s="31"/>
      <c r="B15" s="22"/>
      <c r="C15" s="24"/>
    </row>
    <row r="16" spans="1:3" ht="13.5" customHeight="1" x14ac:dyDescent="0.2">
      <c r="A16" s="31"/>
      <c r="B16" s="22"/>
      <c r="C16" s="24"/>
    </row>
    <row r="17" spans="1:3" ht="13.5" customHeight="1" x14ac:dyDescent="0.2">
      <c r="A17" s="31"/>
      <c r="B17" s="22"/>
      <c r="C17" s="24"/>
    </row>
    <row r="18" spans="1:3" ht="13.5" customHeight="1" x14ac:dyDescent="0.2">
      <c r="A18" s="31"/>
      <c r="B18" s="22"/>
      <c r="C18" s="24"/>
    </row>
    <row r="19" spans="1:3" ht="13.5" customHeight="1" x14ac:dyDescent="0.2">
      <c r="A19" s="31"/>
      <c r="B19" s="22"/>
      <c r="C19" s="24"/>
    </row>
    <row r="20" spans="1:3" ht="13.5" customHeight="1" x14ac:dyDescent="0.2">
      <c r="A20" s="31"/>
      <c r="B20" s="22"/>
      <c r="C20" s="24"/>
    </row>
    <row r="21" spans="1:3" ht="13.5" customHeight="1" x14ac:dyDescent="0.2">
      <c r="A21" s="29"/>
      <c r="B21" s="22"/>
      <c r="C21" s="22"/>
    </row>
    <row r="22" spans="1:3" ht="13.5" customHeight="1" x14ac:dyDescent="0.2">
      <c r="A22" s="29"/>
      <c r="B22" s="22"/>
      <c r="C22" s="22"/>
    </row>
    <row r="23" spans="1:3" ht="13.5" customHeight="1" x14ac:dyDescent="0.2">
      <c r="A23" s="31"/>
      <c r="B23" s="22"/>
      <c r="C23" s="22"/>
    </row>
    <row r="24" spans="1:3" ht="13.5" customHeight="1" x14ac:dyDescent="0.2">
      <c r="A24" s="31"/>
      <c r="B24" s="22"/>
      <c r="C24" s="22"/>
    </row>
    <row r="25" spans="1:3" ht="13.5" customHeight="1" x14ac:dyDescent="0.2">
      <c r="A25" s="31"/>
      <c r="B25" s="22"/>
      <c r="C25" s="22"/>
    </row>
    <row r="26" spans="1:3" ht="13.5" customHeight="1" x14ac:dyDescent="0.2">
      <c r="A26" s="31"/>
      <c r="B26" s="22"/>
      <c r="C26" s="22"/>
    </row>
    <row r="27" spans="1:3" ht="13.5" customHeight="1" x14ac:dyDescent="0.2">
      <c r="A27" s="31"/>
      <c r="B27" s="22"/>
      <c r="C27" s="22"/>
    </row>
    <row r="28" spans="1:3" ht="13.5" customHeight="1" x14ac:dyDescent="0.2">
      <c r="A28" s="31"/>
      <c r="B28" s="22"/>
      <c r="C28" s="22"/>
    </row>
    <row r="29" spans="1:3" ht="13.5" customHeight="1" x14ac:dyDescent="0.2">
      <c r="A29" s="31"/>
      <c r="B29" s="22"/>
      <c r="C29" s="22"/>
    </row>
    <row r="30" spans="1:3" ht="13.5" customHeight="1" x14ac:dyDescent="0.2">
      <c r="A30" s="31"/>
      <c r="B30" s="22"/>
      <c r="C30" s="22"/>
    </row>
    <row r="31" spans="1:3" ht="13.5" customHeight="1" x14ac:dyDescent="0.2">
      <c r="A31" s="31"/>
      <c r="B31" s="22"/>
      <c r="C31" s="22"/>
    </row>
    <row r="32" spans="1:3" ht="13.5" customHeight="1" x14ac:dyDescent="0.2">
      <c r="A32" s="31"/>
      <c r="B32" s="22"/>
      <c r="C32" s="22"/>
    </row>
    <row r="33" spans="1:3" ht="13.5" customHeight="1" x14ac:dyDescent="0.2">
      <c r="A33" s="31"/>
      <c r="B33" s="22"/>
      <c r="C33" s="22"/>
    </row>
    <row r="34" spans="1:3" ht="13.5" customHeight="1" x14ac:dyDescent="0.2">
      <c r="A34" s="31"/>
      <c r="B34" s="22"/>
      <c r="C34" s="22"/>
    </row>
    <row r="35" spans="1:3" ht="13.5" customHeight="1" x14ac:dyDescent="0.2">
      <c r="A35" s="31"/>
      <c r="B35" s="22"/>
      <c r="C35" s="22"/>
    </row>
    <row r="36" spans="1:3" ht="13.5" customHeight="1" x14ac:dyDescent="0.2">
      <c r="A36" s="31"/>
      <c r="B36" s="22"/>
      <c r="C36" s="22"/>
    </row>
    <row r="37" spans="1:3" ht="13.5" customHeight="1" x14ac:dyDescent="0.2">
      <c r="A37" s="31"/>
      <c r="B37" s="22"/>
      <c r="C37" s="22"/>
    </row>
    <row r="38" spans="1:3" ht="13.5" customHeight="1" x14ac:dyDescent="0.2">
      <c r="A38" s="31"/>
      <c r="B38" s="22"/>
      <c r="C38" s="22"/>
    </row>
    <row r="39" spans="1:3" ht="13.5" customHeight="1" x14ac:dyDescent="0.2">
      <c r="A39" s="31"/>
      <c r="B39" s="22"/>
      <c r="C39" s="22"/>
    </row>
    <row r="40" spans="1:3" ht="13.5" customHeight="1" x14ac:dyDescent="0.2">
      <c r="A40" s="31"/>
      <c r="B40" s="22"/>
      <c r="C40" s="22"/>
    </row>
    <row r="41" spans="1:3" ht="13.5" customHeight="1" x14ac:dyDescent="0.2">
      <c r="A41" s="31"/>
      <c r="B41" s="22"/>
      <c r="C41" s="22"/>
    </row>
    <row r="42" spans="1:3" ht="13.5" customHeight="1" x14ac:dyDescent="0.2">
      <c r="A42" s="31"/>
      <c r="B42" s="22"/>
      <c r="C42" s="22"/>
    </row>
    <row r="43" spans="1:3" ht="13.5" customHeight="1" x14ac:dyDescent="0.2">
      <c r="A43" s="31"/>
      <c r="B43" s="22"/>
      <c r="C43" s="22"/>
    </row>
    <row r="44" spans="1:3" ht="13.5" customHeight="1" x14ac:dyDescent="0.2">
      <c r="A44" s="31"/>
      <c r="B44" s="22"/>
      <c r="C44" s="22"/>
    </row>
    <row r="45" spans="1:3" ht="13.5" customHeight="1" x14ac:dyDescent="0.2">
      <c r="A45" s="31"/>
      <c r="B45" s="22"/>
      <c r="C45" s="22"/>
    </row>
    <row r="46" spans="1:3" ht="13.5" customHeight="1" x14ac:dyDescent="0.2">
      <c r="A46" s="31"/>
      <c r="B46" s="22"/>
      <c r="C46" s="22"/>
    </row>
    <row r="47" spans="1:3" ht="13.5" customHeight="1" x14ac:dyDescent="0.2">
      <c r="A47" s="31"/>
      <c r="B47" s="22"/>
      <c r="C47" s="22"/>
    </row>
    <row r="48" spans="1:3" ht="13.5" customHeight="1" x14ac:dyDescent="0.2">
      <c r="A48" s="31"/>
      <c r="B48" s="22"/>
      <c r="C48" s="22"/>
    </row>
    <row r="49" spans="1:3" ht="13.5" customHeight="1" x14ac:dyDescent="0.2">
      <c r="A49" s="31"/>
      <c r="B49" s="22"/>
      <c r="C49" s="22"/>
    </row>
    <row r="50" spans="1:3" ht="13.5" customHeight="1" x14ac:dyDescent="0.2">
      <c r="A50" s="31"/>
      <c r="B50" s="22"/>
      <c r="C50" s="22"/>
    </row>
    <row r="51" spans="1:3" ht="13.5" customHeight="1" x14ac:dyDescent="0.2">
      <c r="A51" s="31"/>
      <c r="B51" s="22"/>
      <c r="C51" s="22"/>
    </row>
    <row r="52" spans="1:3" ht="13.5" customHeight="1" x14ac:dyDescent="0.2">
      <c r="A52" s="31"/>
      <c r="B52" s="22"/>
      <c r="C52" s="22"/>
    </row>
    <row r="53" spans="1:3" ht="13.5" customHeight="1" x14ac:dyDescent="0.2">
      <c r="A53" s="31"/>
      <c r="B53" s="22"/>
      <c r="C53" s="22"/>
    </row>
    <row r="54" spans="1:3" ht="13.5" customHeight="1" x14ac:dyDescent="0.2">
      <c r="A54" s="31"/>
      <c r="B54" s="22"/>
      <c r="C54" s="22"/>
    </row>
    <row r="55" spans="1:3" ht="13.5" customHeight="1" x14ac:dyDescent="0.2">
      <c r="A55" s="31"/>
      <c r="B55" s="22"/>
      <c r="C55" s="22"/>
    </row>
    <row r="56" spans="1:3" ht="13.5" customHeight="1" x14ac:dyDescent="0.2">
      <c r="A56" s="31"/>
      <c r="B56" s="22"/>
      <c r="C56" s="22"/>
    </row>
    <row r="57" spans="1:3" ht="13.5" customHeight="1" x14ac:dyDescent="0.2">
      <c r="A57" s="31"/>
      <c r="B57" s="22"/>
      <c r="C57" s="22"/>
    </row>
    <row r="58" spans="1:3" ht="13.5" customHeight="1" x14ac:dyDescent="0.2">
      <c r="A58" s="31"/>
      <c r="B58" s="22"/>
      <c r="C58" s="22"/>
    </row>
    <row r="59" spans="1:3" ht="13.5" customHeight="1" x14ac:dyDescent="0.2">
      <c r="A59" s="31"/>
      <c r="B59" s="22"/>
      <c r="C59" s="22"/>
    </row>
    <row r="60" spans="1:3" ht="13.5" customHeight="1" x14ac:dyDescent="0.2">
      <c r="A60" s="31"/>
      <c r="B60" s="22"/>
      <c r="C60" s="22"/>
    </row>
    <row r="61" spans="1:3" ht="13.5" customHeight="1" x14ac:dyDescent="0.2">
      <c r="A61" s="31"/>
      <c r="B61" s="22"/>
      <c r="C61" s="22"/>
    </row>
    <row r="62" spans="1:3" ht="13.5" customHeight="1" x14ac:dyDescent="0.2">
      <c r="A62" s="31"/>
      <c r="B62" s="22"/>
      <c r="C62" s="22"/>
    </row>
    <row r="63" spans="1:3" ht="13.5" customHeight="1" x14ac:dyDescent="0.2">
      <c r="A63" s="31"/>
      <c r="B63" s="22"/>
      <c r="C63" s="22"/>
    </row>
    <row r="64" spans="1:3" ht="13.5" customHeight="1" x14ac:dyDescent="0.2">
      <c r="A64" s="31"/>
      <c r="B64" s="22"/>
      <c r="C64" s="22"/>
    </row>
    <row r="65" spans="1:3" ht="13.5" customHeight="1" x14ac:dyDescent="0.2">
      <c r="A65" s="31"/>
      <c r="B65" s="22"/>
      <c r="C65" s="22"/>
    </row>
    <row r="66" spans="1:3" ht="13.5" customHeight="1" x14ac:dyDescent="0.2">
      <c r="A66" s="31"/>
      <c r="B66" s="22"/>
      <c r="C66" s="22"/>
    </row>
    <row r="67" spans="1:3" ht="13.5" customHeight="1" x14ac:dyDescent="0.2">
      <c r="A67" s="31"/>
      <c r="B67" s="22"/>
      <c r="C67" s="22"/>
    </row>
    <row r="68" spans="1:3" ht="13.5" customHeight="1" x14ac:dyDescent="0.2">
      <c r="A68" s="31"/>
      <c r="B68" s="22"/>
      <c r="C68" s="22"/>
    </row>
    <row r="69" spans="1:3" ht="13.5" customHeight="1" x14ac:dyDescent="0.2">
      <c r="A69" s="31"/>
      <c r="B69" s="22"/>
      <c r="C69" s="22"/>
    </row>
    <row r="70" spans="1:3" ht="13.5" customHeight="1" x14ac:dyDescent="0.2">
      <c r="A70" s="31"/>
      <c r="B70" s="22"/>
      <c r="C70" s="22"/>
    </row>
    <row r="71" spans="1:3" ht="13.5" customHeight="1" x14ac:dyDescent="0.2">
      <c r="A71" s="31"/>
      <c r="B71" s="22"/>
      <c r="C71" s="22"/>
    </row>
    <row r="72" spans="1:3" ht="13.5" customHeight="1" x14ac:dyDescent="0.2">
      <c r="A72" s="31"/>
      <c r="B72" s="22"/>
      <c r="C72" s="22"/>
    </row>
    <row r="73" spans="1:3" ht="13.5" customHeight="1" x14ac:dyDescent="0.2">
      <c r="A73" s="31"/>
      <c r="B73" s="22"/>
      <c r="C73" s="22"/>
    </row>
    <row r="74" spans="1:3" ht="13.5" customHeight="1" x14ac:dyDescent="0.2">
      <c r="A74" s="31"/>
      <c r="B74" s="22"/>
      <c r="C74" s="22"/>
    </row>
    <row r="75" spans="1:3" ht="13.5" customHeight="1" x14ac:dyDescent="0.2">
      <c r="A75" s="31"/>
      <c r="B75" s="22"/>
      <c r="C75" s="22"/>
    </row>
    <row r="76" spans="1:3" ht="13.5" customHeight="1" x14ac:dyDescent="0.2">
      <c r="A76" s="31"/>
      <c r="B76" s="22"/>
      <c r="C76" s="22"/>
    </row>
    <row r="77" spans="1:3" ht="13.5" customHeight="1" x14ac:dyDescent="0.2">
      <c r="A77" s="31"/>
      <c r="B77" s="22"/>
      <c r="C77" s="22"/>
    </row>
    <row r="78" spans="1:3" ht="13.5" customHeight="1" x14ac:dyDescent="0.2">
      <c r="A78" s="31"/>
      <c r="B78" s="22"/>
      <c r="C78" s="22"/>
    </row>
    <row r="79" spans="1:3" ht="13.5" customHeight="1" x14ac:dyDescent="0.2">
      <c r="A79" s="31"/>
      <c r="B79" s="22"/>
      <c r="C79" s="22"/>
    </row>
    <row r="80" spans="1:3" ht="13.5" customHeight="1" x14ac:dyDescent="0.2">
      <c r="A80" s="31"/>
      <c r="B80" s="22"/>
      <c r="C80" s="22"/>
    </row>
    <row r="81" spans="1:3" ht="13.5" customHeight="1" x14ac:dyDescent="0.2">
      <c r="A81" s="31"/>
      <c r="B81" s="22"/>
      <c r="C81" s="22"/>
    </row>
    <row r="82" spans="1:3" ht="13.5" customHeight="1" x14ac:dyDescent="0.2">
      <c r="A82" s="31"/>
      <c r="B82" s="22"/>
      <c r="C82" s="22"/>
    </row>
    <row r="83" spans="1:3" ht="13.5" customHeight="1" x14ac:dyDescent="0.2">
      <c r="A83" s="31"/>
      <c r="B83" s="22"/>
      <c r="C83" s="22"/>
    </row>
    <row r="84" spans="1:3" ht="13.5" customHeight="1" x14ac:dyDescent="0.2">
      <c r="A84" s="31"/>
      <c r="B84" s="22"/>
      <c r="C84" s="22"/>
    </row>
    <row r="85" spans="1:3" ht="13.5" customHeight="1" x14ac:dyDescent="0.2">
      <c r="A85" s="32"/>
    </row>
    <row r="86" spans="1:3" ht="13.5" customHeight="1" x14ac:dyDescent="0.2"/>
    <row r="87" spans="1:3" ht="13.5" customHeight="1" x14ac:dyDescent="0.2"/>
    <row r="88" spans="1:3" ht="13.5" customHeight="1" x14ac:dyDescent="0.2"/>
    <row r="89" spans="1:3" ht="13.5" customHeight="1" x14ac:dyDescent="0.2"/>
    <row r="90" spans="1:3" ht="13.5" customHeight="1" x14ac:dyDescent="0.2"/>
    <row r="91" spans="1:3" ht="13.5" customHeight="1" x14ac:dyDescent="0.2"/>
    <row r="92" spans="1:3" ht="13.5" customHeight="1" x14ac:dyDescent="0.2"/>
    <row r="93" spans="1:3" ht="13.5" customHeight="1" x14ac:dyDescent="0.2"/>
    <row r="94" spans="1:3" ht="13.5" customHeight="1" x14ac:dyDescent="0.2"/>
    <row r="95" spans="1:3" ht="13.5" customHeight="1" x14ac:dyDescent="0.2"/>
    <row r="96" spans="1:3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spans="1:3" ht="13.5" customHeight="1" x14ac:dyDescent="0.2"/>
    <row r="130" spans="1:3" ht="13.5" customHeight="1" x14ac:dyDescent="0.2"/>
    <row r="131" spans="1:3" ht="13.5" customHeight="1" x14ac:dyDescent="0.2"/>
    <row r="132" spans="1:3" ht="13.5" customHeight="1" x14ac:dyDescent="0.2"/>
    <row r="133" spans="1:3" ht="13.5" customHeight="1" x14ac:dyDescent="0.2"/>
    <row r="134" spans="1:3" ht="13.5" customHeight="1" x14ac:dyDescent="0.2"/>
    <row r="135" spans="1:3" ht="13.5" customHeight="1" x14ac:dyDescent="0.2"/>
    <row r="136" spans="1:3" ht="13.5" customHeight="1" x14ac:dyDescent="0.2">
      <c r="A136" s="32"/>
      <c r="C136" s="25"/>
    </row>
    <row r="137" spans="1:3" ht="13.5" customHeight="1" x14ac:dyDescent="0.2">
      <c r="A137" s="32"/>
      <c r="C137" s="25"/>
    </row>
    <row r="138" spans="1:3" ht="13.5" customHeight="1" x14ac:dyDescent="0.2">
      <c r="A138" s="32"/>
      <c r="C138" s="25"/>
    </row>
    <row r="139" spans="1:3" ht="13.5" customHeight="1" x14ac:dyDescent="0.2">
      <c r="A139" s="32"/>
      <c r="C139" s="25"/>
    </row>
    <row r="140" spans="1:3" ht="13.5" customHeight="1" x14ac:dyDescent="0.2">
      <c r="A140" s="32"/>
      <c r="C140" s="25"/>
    </row>
    <row r="141" spans="1:3" ht="13.5" customHeight="1" x14ac:dyDescent="0.2">
      <c r="A141" s="32"/>
      <c r="C141" s="25"/>
    </row>
    <row r="142" spans="1:3" ht="13.5" customHeight="1" x14ac:dyDescent="0.2">
      <c r="A142" s="32"/>
      <c r="C142" s="25"/>
    </row>
    <row r="143" spans="1:3" ht="13.5" customHeight="1" x14ac:dyDescent="0.2">
      <c r="A143" s="32"/>
      <c r="C143" s="25"/>
    </row>
    <row r="144" spans="1:3" ht="13.5" customHeight="1" x14ac:dyDescent="0.2">
      <c r="A144" s="32"/>
      <c r="C144" s="25"/>
    </row>
    <row r="145" spans="1:3" ht="13.5" customHeight="1" x14ac:dyDescent="0.2">
      <c r="A145" s="32"/>
      <c r="C145" s="25"/>
    </row>
    <row r="146" spans="1:3" ht="13.5" customHeight="1" x14ac:dyDescent="0.2">
      <c r="A146" s="32"/>
      <c r="C146" s="25"/>
    </row>
    <row r="147" spans="1:3" ht="13.5" customHeight="1" x14ac:dyDescent="0.2">
      <c r="A147" s="32"/>
      <c r="C147" s="25"/>
    </row>
    <row r="148" spans="1:3" ht="13.5" customHeight="1" x14ac:dyDescent="0.2">
      <c r="A148" s="32"/>
      <c r="C148" s="25"/>
    </row>
    <row r="149" spans="1:3" ht="13.5" customHeight="1" x14ac:dyDescent="0.2">
      <c r="A149" s="32"/>
      <c r="C149" s="25"/>
    </row>
    <row r="150" spans="1:3" ht="13.5" customHeight="1" x14ac:dyDescent="0.2">
      <c r="A150" s="32"/>
      <c r="C150" s="25"/>
    </row>
    <row r="151" spans="1:3" ht="13.5" customHeight="1" x14ac:dyDescent="0.2">
      <c r="A151" s="32"/>
      <c r="C151" s="25"/>
    </row>
    <row r="152" spans="1:3" ht="13.5" customHeight="1" x14ac:dyDescent="0.2">
      <c r="A152" s="32"/>
      <c r="C152" s="25"/>
    </row>
    <row r="153" spans="1:3" ht="13.5" customHeight="1" x14ac:dyDescent="0.2">
      <c r="A153" s="32"/>
      <c r="C153" s="25"/>
    </row>
    <row r="154" spans="1:3" ht="13.5" customHeight="1" x14ac:dyDescent="0.2">
      <c r="A154" s="32"/>
      <c r="C154" s="25"/>
    </row>
    <row r="155" spans="1:3" ht="13.5" customHeight="1" x14ac:dyDescent="0.2">
      <c r="A155" s="32"/>
      <c r="C155" s="25"/>
    </row>
    <row r="156" spans="1:3" ht="13.5" customHeight="1" x14ac:dyDescent="0.2">
      <c r="A156" s="32"/>
      <c r="C156" s="25"/>
    </row>
    <row r="157" spans="1:3" ht="13.5" customHeight="1" x14ac:dyDescent="0.2">
      <c r="A157" s="32"/>
      <c r="C157" s="25"/>
    </row>
    <row r="158" spans="1:3" ht="13.5" customHeight="1" x14ac:dyDescent="0.2">
      <c r="A158" s="32"/>
      <c r="C158" s="25"/>
    </row>
    <row r="159" spans="1:3" ht="13.5" customHeight="1" x14ac:dyDescent="0.2">
      <c r="A159" s="32"/>
      <c r="C159" s="25"/>
    </row>
    <row r="160" spans="1:3" ht="13.5" customHeight="1" x14ac:dyDescent="0.2">
      <c r="A160" s="32"/>
      <c r="C160" s="25"/>
    </row>
    <row r="161" spans="1:3" ht="13.5" customHeight="1" x14ac:dyDescent="0.2">
      <c r="A161" s="32"/>
      <c r="C161" s="25"/>
    </row>
    <row r="162" spans="1:3" ht="13.5" customHeight="1" x14ac:dyDescent="0.2">
      <c r="A162" s="32"/>
      <c r="C162" s="25"/>
    </row>
    <row r="163" spans="1:3" ht="13.5" customHeight="1" x14ac:dyDescent="0.2">
      <c r="A163" s="32"/>
      <c r="C163" s="25"/>
    </row>
    <row r="164" spans="1:3" ht="13.5" customHeight="1" x14ac:dyDescent="0.2">
      <c r="A164" s="32"/>
      <c r="C164" s="25"/>
    </row>
    <row r="165" spans="1:3" ht="13.5" customHeight="1" x14ac:dyDescent="0.2">
      <c r="A165" s="32"/>
      <c r="C165" s="25"/>
    </row>
    <row r="166" spans="1:3" ht="13.5" customHeight="1" x14ac:dyDescent="0.2">
      <c r="A166" s="32"/>
      <c r="C166" s="25"/>
    </row>
    <row r="167" spans="1:3" ht="13.5" customHeight="1" x14ac:dyDescent="0.2">
      <c r="A167" s="32"/>
      <c r="C167" s="25"/>
    </row>
    <row r="168" spans="1:3" ht="13.5" customHeight="1" x14ac:dyDescent="0.2">
      <c r="A168" s="32"/>
      <c r="C168" s="25"/>
    </row>
    <row r="169" spans="1:3" ht="13.5" customHeight="1" x14ac:dyDescent="0.2">
      <c r="A169" s="32"/>
      <c r="C169" s="25"/>
    </row>
    <row r="170" spans="1:3" ht="13.5" customHeight="1" x14ac:dyDescent="0.2">
      <c r="A170" s="32"/>
      <c r="C170" s="25"/>
    </row>
    <row r="171" spans="1:3" ht="13.5" customHeight="1" x14ac:dyDescent="0.2">
      <c r="A171" s="32"/>
      <c r="C171" s="25"/>
    </row>
    <row r="172" spans="1:3" ht="13.5" customHeight="1" x14ac:dyDescent="0.2">
      <c r="A172" s="32"/>
      <c r="C172" s="25"/>
    </row>
    <row r="173" spans="1:3" ht="13.5" customHeight="1" x14ac:dyDescent="0.2">
      <c r="A173" s="32"/>
      <c r="C173" s="25"/>
    </row>
    <row r="174" spans="1:3" ht="13.5" customHeight="1" x14ac:dyDescent="0.2">
      <c r="A174" s="32"/>
      <c r="C174" s="25"/>
    </row>
    <row r="175" spans="1:3" ht="13.5" customHeight="1" x14ac:dyDescent="0.2"/>
    <row r="176" spans="1:3" ht="13.5" customHeight="1" x14ac:dyDescent="0.2">
      <c r="A176" s="32"/>
      <c r="C176" s="25"/>
    </row>
    <row r="177" spans="1:3" ht="13.5" customHeight="1" x14ac:dyDescent="0.2">
      <c r="A177" s="32"/>
      <c r="C177" s="25"/>
    </row>
    <row r="178" spans="1:3" ht="13.5" customHeight="1" x14ac:dyDescent="0.2">
      <c r="A178" s="32"/>
      <c r="C178" s="25"/>
    </row>
    <row r="179" spans="1:3" ht="13.5" customHeight="1" x14ac:dyDescent="0.2">
      <c r="A179" s="32"/>
      <c r="C179" s="25"/>
    </row>
    <row r="180" spans="1:3" ht="13.5" customHeight="1" x14ac:dyDescent="0.2">
      <c r="A180" s="32"/>
      <c r="C180" s="25"/>
    </row>
    <row r="181" spans="1:3" ht="13.5" customHeight="1" x14ac:dyDescent="0.2">
      <c r="A181" s="32"/>
      <c r="C181" s="25"/>
    </row>
    <row r="182" spans="1:3" ht="13.5" customHeight="1" x14ac:dyDescent="0.2">
      <c r="A182" s="32"/>
      <c r="C182" s="25"/>
    </row>
    <row r="183" spans="1:3" ht="13.5" customHeight="1" x14ac:dyDescent="0.2">
      <c r="A183" s="32"/>
      <c r="C183" s="25"/>
    </row>
    <row r="184" spans="1:3" ht="13.5" customHeight="1" x14ac:dyDescent="0.2">
      <c r="A184" s="32"/>
      <c r="C184" s="25"/>
    </row>
    <row r="185" spans="1:3" ht="13.5" customHeight="1" x14ac:dyDescent="0.2">
      <c r="A185" s="32"/>
      <c r="C185" s="25"/>
    </row>
    <row r="186" spans="1:3" ht="13.5" customHeight="1" x14ac:dyDescent="0.2"/>
    <row r="188" spans="1:3" ht="13.5" customHeight="1" x14ac:dyDescent="0.2">
      <c r="A188" s="32"/>
      <c r="C188" s="28"/>
    </row>
    <row r="189" spans="1:3" ht="13.5" customHeight="1" x14ac:dyDescent="0.2">
      <c r="A189" s="32"/>
      <c r="C189" s="28"/>
    </row>
    <row r="190" spans="1:3" ht="13.5" customHeight="1" x14ac:dyDescent="0.2">
      <c r="C190" s="28"/>
    </row>
    <row r="192" spans="1:3" ht="13.5" customHeight="1" x14ac:dyDescent="0.2">
      <c r="A192" s="32"/>
      <c r="C192" s="28"/>
    </row>
    <row r="193" spans="3:3" ht="13.5" customHeight="1" x14ac:dyDescent="0.2">
      <c r="C193" s="28"/>
    </row>
    <row r="194" spans="3:3" ht="13.5" customHeight="1" x14ac:dyDescent="0.2">
      <c r="C194" s="28"/>
    </row>
    <row r="195" spans="3:3" ht="13.5" customHeight="1" x14ac:dyDescent="0.2">
      <c r="C195" s="28"/>
    </row>
    <row r="196" spans="3:3" ht="13.5" customHeight="1" x14ac:dyDescent="0.2">
      <c r="C196" s="28"/>
    </row>
    <row r="197" spans="3:3" ht="13.5" customHeight="1" x14ac:dyDescent="0.2">
      <c r="C197" s="28"/>
    </row>
    <row r="198" spans="3:3" ht="13.5" customHeight="1" x14ac:dyDescent="0.2">
      <c r="C198" s="28"/>
    </row>
    <row r="199" spans="3:3" ht="13.5" customHeight="1" x14ac:dyDescent="0.2">
      <c r="C199" s="28"/>
    </row>
    <row r="200" spans="3:3" ht="13.5" customHeight="1" x14ac:dyDescent="0.2">
      <c r="C200" s="28"/>
    </row>
    <row r="201" spans="3:3" ht="13.5" customHeight="1" x14ac:dyDescent="0.2">
      <c r="C201" s="28"/>
    </row>
    <row r="202" spans="3:3" ht="13.5" customHeight="1" x14ac:dyDescent="0.2">
      <c r="C202" s="28"/>
    </row>
    <row r="203" spans="3:3" ht="13.5" customHeight="1" x14ac:dyDescent="0.2">
      <c r="C203" s="28"/>
    </row>
    <row r="204" spans="3:3" ht="13.5" customHeight="1" x14ac:dyDescent="0.2">
      <c r="C204" s="28"/>
    </row>
    <row r="205" spans="3:3" ht="13.5" customHeight="1" x14ac:dyDescent="0.2">
      <c r="C205" s="28"/>
    </row>
    <row r="206" spans="3:3" ht="13.5" customHeight="1" x14ac:dyDescent="0.2">
      <c r="C206" s="28"/>
    </row>
    <row r="207" spans="3:3" ht="13.5" customHeight="1" x14ac:dyDescent="0.2">
      <c r="C207" s="28"/>
    </row>
    <row r="208" spans="3:3" ht="13.5" customHeight="1" x14ac:dyDescent="0.2">
      <c r="C208" s="28"/>
    </row>
    <row r="209" spans="3:3" ht="13.5" customHeight="1" x14ac:dyDescent="0.2">
      <c r="C209" s="28"/>
    </row>
    <row r="210" spans="3:3" ht="13.5" customHeight="1" x14ac:dyDescent="0.2">
      <c r="C210" s="28"/>
    </row>
    <row r="211" spans="3:3" ht="13.5" customHeight="1" x14ac:dyDescent="0.2">
      <c r="C211" s="28"/>
    </row>
    <row r="212" spans="3:3" ht="13.5" customHeight="1" x14ac:dyDescent="0.2">
      <c r="C212" s="28"/>
    </row>
    <row r="213" spans="3:3" ht="13.5" customHeight="1" x14ac:dyDescent="0.2">
      <c r="C213" s="28"/>
    </row>
    <row r="214" spans="3:3" ht="13.5" customHeight="1" x14ac:dyDescent="0.2">
      <c r="C214" s="28"/>
    </row>
    <row r="215" spans="3:3" ht="13.5" customHeight="1" x14ac:dyDescent="0.2">
      <c r="C215" s="28"/>
    </row>
    <row r="216" spans="3:3" ht="13.5" customHeight="1" x14ac:dyDescent="0.2">
      <c r="C216" s="28"/>
    </row>
    <row r="217" spans="3:3" ht="13.5" customHeight="1" x14ac:dyDescent="0.2">
      <c r="C217" s="28"/>
    </row>
    <row r="218" spans="3:3" ht="13.5" customHeight="1" x14ac:dyDescent="0.2">
      <c r="C218" s="28"/>
    </row>
    <row r="219" spans="3:3" ht="13.5" customHeight="1" x14ac:dyDescent="0.2">
      <c r="C219" s="28"/>
    </row>
    <row r="220" spans="3:3" ht="13.5" customHeight="1" x14ac:dyDescent="0.2">
      <c r="C220" s="28"/>
    </row>
    <row r="221" spans="3:3" ht="13.5" customHeight="1" x14ac:dyDescent="0.2">
      <c r="C221" s="28"/>
    </row>
    <row r="222" spans="3:3" ht="13.5" customHeight="1" x14ac:dyDescent="0.2">
      <c r="C222" s="28"/>
    </row>
    <row r="223" spans="3:3" ht="13.5" customHeight="1" x14ac:dyDescent="0.2">
      <c r="C223" s="28"/>
    </row>
    <row r="224" spans="3:3" ht="13.5" customHeight="1" x14ac:dyDescent="0.2">
      <c r="C224" s="28"/>
    </row>
    <row r="225" spans="1:3" ht="13.5" customHeight="1" x14ac:dyDescent="0.2">
      <c r="C225" s="28"/>
    </row>
    <row r="226" spans="1:3" ht="13.5" customHeight="1" x14ac:dyDescent="0.2">
      <c r="C226" s="28"/>
    </row>
    <row r="227" spans="1:3" ht="13.5" customHeight="1" x14ac:dyDescent="0.2">
      <c r="A227" s="32"/>
      <c r="C227" s="28"/>
    </row>
    <row r="228" spans="1:3" ht="13.5" customHeight="1" x14ac:dyDescent="0.2">
      <c r="C228" s="28"/>
    </row>
    <row r="229" spans="1:3" ht="13.5" customHeight="1" x14ac:dyDescent="0.2">
      <c r="C229" s="33"/>
    </row>
    <row r="230" spans="1:3" ht="13.5" customHeight="1" x14ac:dyDescent="0.2">
      <c r="C230" s="28"/>
    </row>
    <row r="231" spans="1:3" ht="13.5" customHeight="1" x14ac:dyDescent="0.2">
      <c r="C231" s="34"/>
    </row>
    <row r="232" spans="1:3" ht="13.5" customHeight="1" x14ac:dyDescent="0.2">
      <c r="C232" s="34"/>
    </row>
    <row r="233" spans="1:3" ht="13.5" customHeight="1" x14ac:dyDescent="0.2">
      <c r="C233" s="28"/>
    </row>
    <row r="234" spans="1:3" ht="13.5" customHeight="1" x14ac:dyDescent="0.2">
      <c r="C234" s="34"/>
    </row>
    <row r="235" spans="1:3" ht="13.5" customHeight="1" x14ac:dyDescent="0.2">
      <c r="C235" s="28"/>
    </row>
    <row r="236" spans="1:3" ht="13.5" customHeight="1" x14ac:dyDescent="0.2">
      <c r="C236" s="34"/>
    </row>
    <row r="237" spans="1:3" ht="13.5" customHeight="1" x14ac:dyDescent="0.2">
      <c r="C237" s="28"/>
    </row>
    <row r="238" spans="1:3" ht="13.5" customHeight="1" x14ac:dyDescent="0.2">
      <c r="C238" s="34"/>
    </row>
    <row r="239" spans="1:3" ht="13.5" customHeight="1" x14ac:dyDescent="0.2">
      <c r="C239" s="28"/>
    </row>
    <row r="240" spans="1:3" ht="13.5" customHeight="1" x14ac:dyDescent="0.2">
      <c r="C240" s="34"/>
    </row>
    <row r="241" spans="1:3" ht="13.5" customHeight="1" x14ac:dyDescent="0.2">
      <c r="C241" s="28"/>
    </row>
    <row r="242" spans="1:3" ht="13.5" customHeight="1" x14ac:dyDescent="0.2">
      <c r="C242" s="34"/>
    </row>
    <row r="243" spans="1:3" ht="13.5" customHeight="1" x14ac:dyDescent="0.2">
      <c r="C243" s="28"/>
    </row>
    <row r="244" spans="1:3" ht="13.5" customHeight="1" x14ac:dyDescent="0.2">
      <c r="A244" s="32"/>
      <c r="C244" s="28"/>
    </row>
    <row r="245" spans="1:3" ht="13.5" customHeight="1" x14ac:dyDescent="0.2">
      <c r="A245" s="35"/>
      <c r="C245" s="28"/>
    </row>
    <row r="246" spans="1:3" ht="13.5" customHeight="1" x14ac:dyDescent="0.2">
      <c r="A246" s="32"/>
      <c r="C246" s="28"/>
    </row>
    <row r="247" spans="1:3" ht="13.5" customHeight="1" x14ac:dyDescent="0.2">
      <c r="A247" s="32"/>
      <c r="C247" s="28"/>
    </row>
    <row r="248" spans="1:3" ht="13.5" customHeight="1" x14ac:dyDescent="0.2">
      <c r="A248" s="32"/>
      <c r="C248" s="28"/>
    </row>
    <row r="249" spans="1:3" ht="13.5" customHeight="1" x14ac:dyDescent="0.2">
      <c r="A249" s="32"/>
      <c r="C249" s="28"/>
    </row>
    <row r="250" spans="1:3" ht="13.5" customHeight="1" x14ac:dyDescent="0.2">
      <c r="A250" s="32"/>
      <c r="C250" s="28"/>
    </row>
    <row r="251" spans="1:3" ht="13.5" customHeight="1" x14ac:dyDescent="0.2">
      <c r="A251" s="32"/>
      <c r="C251" s="28"/>
    </row>
    <row r="252" spans="1:3" ht="13.5" customHeight="1" x14ac:dyDescent="0.2">
      <c r="A252" s="32"/>
      <c r="C252" s="28"/>
    </row>
    <row r="253" spans="1:3" ht="13.5" customHeight="1" x14ac:dyDescent="0.2">
      <c r="A253" s="32"/>
      <c r="C253" s="28"/>
    </row>
    <row r="254" spans="1:3" ht="13.5" customHeight="1" x14ac:dyDescent="0.2">
      <c r="A254" s="32"/>
      <c r="C254" s="28"/>
    </row>
    <row r="255" spans="1:3" ht="13.5" customHeight="1" x14ac:dyDescent="0.2">
      <c r="A255" s="32"/>
      <c r="C255" s="28"/>
    </row>
    <row r="256" spans="1:3" ht="13.5" customHeight="1" x14ac:dyDescent="0.2">
      <c r="A256" s="32"/>
      <c r="C256" s="28"/>
    </row>
    <row r="257" spans="1:3" ht="13.5" customHeight="1" x14ac:dyDescent="0.2">
      <c r="A257" s="35"/>
      <c r="C257" s="28"/>
    </row>
    <row r="258" spans="1:3" ht="13.5" customHeight="1" x14ac:dyDescent="0.2">
      <c r="A258" s="32"/>
      <c r="C258" s="28"/>
    </row>
    <row r="259" spans="1:3" ht="13.5" customHeight="1" x14ac:dyDescent="0.2">
      <c r="A259" s="32"/>
      <c r="C259" s="28"/>
    </row>
    <row r="260" spans="1:3" ht="13.5" customHeight="1" x14ac:dyDescent="0.2">
      <c r="A260" s="32"/>
      <c r="C260" s="28"/>
    </row>
    <row r="261" spans="1:3" ht="13.5" customHeight="1" x14ac:dyDescent="0.2">
      <c r="A261" s="32"/>
      <c r="C261" s="28"/>
    </row>
    <row r="262" spans="1:3" ht="13.5" customHeight="1" x14ac:dyDescent="0.2">
      <c r="A262" s="32"/>
      <c r="C262" s="28"/>
    </row>
    <row r="263" spans="1:3" ht="13.5" customHeight="1" x14ac:dyDescent="0.2">
      <c r="A263" s="32"/>
      <c r="C263" s="28"/>
    </row>
    <row r="264" spans="1:3" ht="13.5" customHeight="1" x14ac:dyDescent="0.2">
      <c r="A264" s="32"/>
      <c r="C264" s="28"/>
    </row>
    <row r="265" spans="1:3" ht="13.5" customHeight="1" x14ac:dyDescent="0.2">
      <c r="A265" s="32"/>
      <c r="C265" s="28"/>
    </row>
    <row r="266" spans="1:3" ht="13.5" customHeight="1" x14ac:dyDescent="0.2">
      <c r="A266" s="32"/>
      <c r="C266" s="28"/>
    </row>
    <row r="267" spans="1:3" ht="13.5" customHeight="1" x14ac:dyDescent="0.2">
      <c r="A267" s="32"/>
      <c r="C267" s="28"/>
    </row>
    <row r="268" spans="1:3" ht="13.5" customHeight="1" x14ac:dyDescent="0.2">
      <c r="A268" s="32"/>
      <c r="C268" s="28"/>
    </row>
    <row r="269" spans="1:3" ht="13.5" customHeight="1" x14ac:dyDescent="0.2">
      <c r="A269" s="32"/>
      <c r="C269" s="28"/>
    </row>
    <row r="270" spans="1:3" ht="13.5" customHeight="1" x14ac:dyDescent="0.2">
      <c r="A270" s="32"/>
      <c r="C270" s="28"/>
    </row>
    <row r="271" spans="1:3" ht="13.5" customHeight="1" x14ac:dyDescent="0.2">
      <c r="A271" s="32"/>
      <c r="C271" s="28"/>
    </row>
    <row r="272" spans="1:3" ht="13.5" customHeight="1" x14ac:dyDescent="0.2">
      <c r="A272" s="32"/>
      <c r="C272" s="28"/>
    </row>
    <row r="273" spans="1:3" ht="13.5" customHeight="1" x14ac:dyDescent="0.2">
      <c r="A273" s="32"/>
      <c r="C273" s="28"/>
    </row>
    <row r="274" spans="1:3" ht="13.5" customHeight="1" x14ac:dyDescent="0.2">
      <c r="A274" s="32"/>
      <c r="C274" s="28"/>
    </row>
    <row r="275" spans="1:3" ht="13.5" customHeight="1" x14ac:dyDescent="0.2">
      <c r="A275" s="32"/>
      <c r="C275" s="28"/>
    </row>
    <row r="276" spans="1:3" ht="13.5" customHeight="1" x14ac:dyDescent="0.2">
      <c r="A276" s="32"/>
      <c r="C276" s="28"/>
    </row>
    <row r="277" spans="1:3" ht="13.5" customHeight="1" x14ac:dyDescent="0.2">
      <c r="A277" s="32"/>
      <c r="C277" s="28"/>
    </row>
    <row r="278" spans="1:3" ht="13.5" customHeight="1" x14ac:dyDescent="0.2">
      <c r="A278" s="32"/>
      <c r="C278" s="28"/>
    </row>
    <row r="279" spans="1:3" ht="13.5" customHeight="1" x14ac:dyDescent="0.2">
      <c r="A279" s="32"/>
      <c r="C279" s="28"/>
    </row>
    <row r="280" spans="1:3" ht="13.5" customHeight="1" x14ac:dyDescent="0.2">
      <c r="A280" s="32"/>
      <c r="C280" s="28"/>
    </row>
    <row r="281" spans="1:3" ht="13.5" customHeight="1" x14ac:dyDescent="0.2">
      <c r="A281" s="32"/>
      <c r="C281" s="28"/>
    </row>
    <row r="282" spans="1:3" ht="13.5" customHeight="1" x14ac:dyDescent="0.2">
      <c r="A282" s="32"/>
      <c r="C282" s="28"/>
    </row>
    <row r="283" spans="1:3" ht="13.5" customHeight="1" x14ac:dyDescent="0.2">
      <c r="C283" s="28"/>
    </row>
    <row r="284" spans="1:3" ht="13.5" customHeight="1" x14ac:dyDescent="0.2">
      <c r="A284" s="32"/>
    </row>
    <row r="286" spans="1:3" ht="13.5" customHeight="1" x14ac:dyDescent="0.2"/>
    <row r="288" spans="1:3" ht="13.5" customHeight="1" x14ac:dyDescent="0.2"/>
    <row r="290" spans="1:1" ht="13.5" customHeight="1" x14ac:dyDescent="0.2"/>
    <row r="292" spans="1:1" ht="13.5" customHeight="1" x14ac:dyDescent="0.2"/>
    <row r="294" spans="1:1" ht="13.5" customHeight="1" x14ac:dyDescent="0.2"/>
    <row r="296" spans="1:1" ht="13.5" customHeight="1" x14ac:dyDescent="0.2"/>
    <row r="298" spans="1:1" ht="13.5" customHeight="1" x14ac:dyDescent="0.2"/>
    <row r="300" spans="1:1" ht="13.5" customHeight="1" x14ac:dyDescent="0.2">
      <c r="A300" s="32"/>
    </row>
    <row r="302" spans="1:1" ht="13.5" customHeight="1" x14ac:dyDescent="0.2"/>
    <row r="304" spans="1:1" ht="13.5" customHeight="1" x14ac:dyDescent="0.2">
      <c r="A304" s="32"/>
    </row>
    <row r="306" spans="1:1" ht="13.5" customHeight="1" x14ac:dyDescent="0.2"/>
    <row r="308" spans="1:1" ht="13.5" customHeight="1" x14ac:dyDescent="0.2">
      <c r="A308" s="32"/>
    </row>
    <row r="310" spans="1:1" ht="13.5" customHeight="1" x14ac:dyDescent="0.2"/>
    <row r="312" spans="1:1" ht="13.5" customHeight="1" x14ac:dyDescent="0.2">
      <c r="A312" s="32"/>
    </row>
    <row r="314" spans="1:1" ht="13.5" customHeight="1" x14ac:dyDescent="0.2"/>
    <row r="316" spans="1:1" ht="13.5" customHeight="1" x14ac:dyDescent="0.2">
      <c r="A316" s="32"/>
    </row>
    <row r="318" spans="1:1" ht="13.5" customHeight="1" x14ac:dyDescent="0.2"/>
    <row r="320" spans="1:1" ht="13.5" customHeight="1" x14ac:dyDescent="0.2"/>
    <row r="322" spans="1:1" ht="13.5" customHeight="1" x14ac:dyDescent="0.2"/>
    <row r="324" spans="1:1" ht="13.5" customHeight="1" x14ac:dyDescent="0.2"/>
    <row r="326" spans="1:1" ht="13.5" customHeight="1" x14ac:dyDescent="0.2">
      <c r="A326" s="32"/>
    </row>
    <row r="328" spans="1:1" ht="13.5" customHeight="1" x14ac:dyDescent="0.2"/>
    <row r="330" spans="1:1" ht="13.5" customHeight="1" x14ac:dyDescent="0.2"/>
    <row r="332" spans="1:1" ht="13.5" customHeight="1" x14ac:dyDescent="0.2"/>
    <row r="334" spans="1:1" ht="13.5" customHeight="1" x14ac:dyDescent="0.2"/>
    <row r="336" spans="1:1" ht="13.5" customHeight="1" x14ac:dyDescent="0.2"/>
    <row r="338" spans="1:1" ht="13.5" customHeight="1" x14ac:dyDescent="0.2">
      <c r="A338" s="32"/>
    </row>
    <row r="340" spans="1:1" ht="13.5" customHeight="1" x14ac:dyDescent="0.2"/>
    <row r="342" spans="1:1" ht="13.5" customHeight="1" x14ac:dyDescent="0.2"/>
    <row r="344" spans="1:1" ht="13.5" customHeight="1" x14ac:dyDescent="0.2"/>
    <row r="346" spans="1:1" ht="13.5" customHeight="1" x14ac:dyDescent="0.2"/>
    <row r="348" spans="1:1" ht="13.5" customHeight="1" x14ac:dyDescent="0.2"/>
    <row r="350" spans="1:1" ht="13.5" customHeight="1" x14ac:dyDescent="0.2">
      <c r="A350" s="32"/>
    </row>
    <row r="352" spans="1:1" ht="13.5" customHeight="1" x14ac:dyDescent="0.2"/>
    <row r="354" spans="1:1" ht="13.5" customHeight="1" x14ac:dyDescent="0.2"/>
    <row r="356" spans="1:1" ht="13.5" customHeight="1" x14ac:dyDescent="0.2"/>
    <row r="358" spans="1:1" ht="13.5" customHeight="1" x14ac:dyDescent="0.2"/>
    <row r="360" spans="1:1" ht="13.5" customHeight="1" x14ac:dyDescent="0.2">
      <c r="A360" s="32"/>
    </row>
    <row r="362" spans="1:1" ht="13.5" customHeight="1" x14ac:dyDescent="0.2"/>
    <row r="364" spans="1:1" ht="13.5" customHeight="1" x14ac:dyDescent="0.2"/>
    <row r="366" spans="1:1" ht="13.5" customHeight="1" x14ac:dyDescent="0.2"/>
    <row r="368" spans="1:1" ht="13.5" customHeight="1" x14ac:dyDescent="0.2"/>
    <row r="370" spans="1:1" ht="13.5" customHeight="1" x14ac:dyDescent="0.2"/>
    <row r="372" spans="1:1" ht="13.5" customHeight="1" x14ac:dyDescent="0.2"/>
    <row r="374" spans="1:1" ht="13.5" customHeight="1" x14ac:dyDescent="0.2"/>
    <row r="376" spans="1:1" ht="13.5" customHeight="1" x14ac:dyDescent="0.2"/>
    <row r="378" spans="1:1" ht="13.5" customHeight="1" x14ac:dyDescent="0.2"/>
    <row r="380" spans="1:1" ht="13.5" customHeight="1" x14ac:dyDescent="0.2">
      <c r="A380" s="32"/>
    </row>
    <row r="382" spans="1:1" ht="13.5" customHeight="1" x14ac:dyDescent="0.2"/>
    <row r="384" spans="1:1" ht="13.5" customHeight="1" x14ac:dyDescent="0.2"/>
    <row r="386" ht="13.5" customHeight="1" x14ac:dyDescent="0.2"/>
    <row r="388" ht="13.5" customHeight="1" x14ac:dyDescent="0.2"/>
    <row r="390" ht="13.5" customHeight="1" x14ac:dyDescent="0.2"/>
    <row r="392" ht="13.5" customHeight="1" x14ac:dyDescent="0.2"/>
    <row r="394" ht="13.5" customHeight="1" x14ac:dyDescent="0.2"/>
    <row r="396" ht="13.5" customHeight="1" x14ac:dyDescent="0.2"/>
    <row r="398" ht="13.5" customHeight="1" x14ac:dyDescent="0.2"/>
    <row r="400" ht="13.5" customHeight="1" x14ac:dyDescent="0.2"/>
    <row r="402" spans="1:1" ht="13.5" customHeight="1" x14ac:dyDescent="0.2">
      <c r="A402" s="3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D1944-8E89-4B3B-8D15-4448CBA23A71}">
  <sheetPr codeName="Sheet2">
    <pageSetUpPr fitToPage="1"/>
  </sheetPr>
  <dimension ref="A1:D25"/>
  <sheetViews>
    <sheetView zoomScaleNormal="100" zoomScaleSheetLayoutView="100" workbookViewId="0">
      <selection activeCell="A35" sqref="A35"/>
    </sheetView>
  </sheetViews>
  <sheetFormatPr defaultRowHeight="12.75" x14ac:dyDescent="0.2"/>
  <cols>
    <col min="1" max="1" width="28" customWidth="1"/>
    <col min="2" max="4" width="20.5703125" customWidth="1"/>
    <col min="5" max="6" width="23.5703125" customWidth="1"/>
  </cols>
  <sheetData>
    <row r="1" spans="1:4" ht="24.75" customHeight="1" x14ac:dyDescent="0.2">
      <c r="A1" s="26" t="s">
        <v>11</v>
      </c>
    </row>
    <row r="2" spans="1:4" ht="25.5" x14ac:dyDescent="0.2">
      <c r="A2" s="37" t="s">
        <v>1</v>
      </c>
      <c r="B2" s="5" t="s">
        <v>12</v>
      </c>
      <c r="C2" s="6" t="s">
        <v>3</v>
      </c>
      <c r="D2" s="7" t="s">
        <v>4</v>
      </c>
    </row>
    <row r="3" spans="1:4" x14ac:dyDescent="0.2">
      <c r="A3" s="1" t="s">
        <v>13</v>
      </c>
      <c r="B3" s="14">
        <v>223059</v>
      </c>
      <c r="C3" s="8">
        <f>SUM(SupremeCourtJustice2[[#This Row],[Kings County Vote Results]])</f>
        <v>223059</v>
      </c>
      <c r="D3" s="9">
        <f>SUM(SupremeCourtJustice2[[#This Row],[Total Votes by Party]])</f>
        <v>223059</v>
      </c>
    </row>
    <row r="4" spans="1:4" x14ac:dyDescent="0.2">
      <c r="A4" s="1" t="s">
        <v>14</v>
      </c>
      <c r="B4" s="14">
        <v>61475</v>
      </c>
      <c r="C4" s="8">
        <f>SUM(SupremeCourtJustice2[[#This Row],[Kings County Vote Results]])</f>
        <v>61475</v>
      </c>
      <c r="D4" s="9">
        <f>SUM(SupremeCourtJustice2[[#This Row],[Total Votes by Party]],C5)</f>
        <v>70086</v>
      </c>
    </row>
    <row r="5" spans="1:4" x14ac:dyDescent="0.2">
      <c r="A5" s="1" t="s">
        <v>15</v>
      </c>
      <c r="B5" s="14">
        <v>8611</v>
      </c>
      <c r="C5" s="8">
        <f>SUM(SupremeCourtJustice2[[#This Row],[Kings County Vote Results]])</f>
        <v>8611</v>
      </c>
      <c r="D5" s="39"/>
    </row>
    <row r="6" spans="1:4" x14ac:dyDescent="0.2">
      <c r="A6" s="1" t="s">
        <v>16</v>
      </c>
      <c r="B6" s="14">
        <v>194357</v>
      </c>
      <c r="C6" s="8">
        <f>SUM(SupremeCourtJustice2[[#This Row],[Kings County Vote Results]])</f>
        <v>194357</v>
      </c>
      <c r="D6" s="9">
        <f>SUM(SupremeCourtJustice2[[#This Row],[Total Votes by Party]],C7,C8)</f>
        <v>246454</v>
      </c>
    </row>
    <row r="7" spans="1:4" x14ac:dyDescent="0.2">
      <c r="A7" s="1" t="s">
        <v>17</v>
      </c>
      <c r="B7" s="14">
        <v>45064</v>
      </c>
      <c r="C7" s="8">
        <f>SUM(SupremeCourtJustice2[[#This Row],[Kings County Vote Results]])</f>
        <v>45064</v>
      </c>
      <c r="D7" s="41"/>
    </row>
    <row r="8" spans="1:4" x14ac:dyDescent="0.2">
      <c r="A8" s="3" t="s">
        <v>18</v>
      </c>
      <c r="B8" s="14">
        <v>7033</v>
      </c>
      <c r="C8" s="8">
        <f>SUM(SupremeCourtJustice2[[#This Row],[Kings County Vote Results]])</f>
        <v>7033</v>
      </c>
      <c r="D8" s="41"/>
    </row>
    <row r="9" spans="1:4" x14ac:dyDescent="0.2">
      <c r="A9" s="3" t="s">
        <v>19</v>
      </c>
      <c r="B9" s="14">
        <v>213557</v>
      </c>
      <c r="C9" s="8">
        <f>SUM(SupremeCourtJustice2[[#This Row],[Kings County Vote Results]])</f>
        <v>213557</v>
      </c>
      <c r="D9" s="9">
        <f>SUM(SupremeCourtJustice2[[#This Row],[Total Votes by Party]])</f>
        <v>213557</v>
      </c>
    </row>
    <row r="10" spans="1:4" x14ac:dyDescent="0.2">
      <c r="A10" s="3" t="s">
        <v>20</v>
      </c>
      <c r="B10" s="14">
        <v>197042</v>
      </c>
      <c r="C10" s="8">
        <f>SUM(SupremeCourtJustice2[[#This Row],[Kings County Vote Results]])</f>
        <v>197042</v>
      </c>
      <c r="D10" s="9">
        <f>SUM(SupremeCourtJustice2[[#This Row],[Total Votes by Party]],C11,C12)</f>
        <v>251567</v>
      </c>
    </row>
    <row r="11" spans="1:4" x14ac:dyDescent="0.2">
      <c r="A11" s="3" t="s">
        <v>21</v>
      </c>
      <c r="B11" s="14">
        <v>46980</v>
      </c>
      <c r="C11" s="8">
        <f>SUM(SupremeCourtJustice2[[#This Row],[Kings County Vote Results]])</f>
        <v>46980</v>
      </c>
      <c r="D11" s="41"/>
    </row>
    <row r="12" spans="1:4" x14ac:dyDescent="0.2">
      <c r="A12" s="3" t="s">
        <v>22</v>
      </c>
      <c r="B12" s="14">
        <v>7545</v>
      </c>
      <c r="C12" s="8">
        <f>SUM(SupremeCourtJustice2[[#This Row],[Kings County Vote Results]])</f>
        <v>7545</v>
      </c>
      <c r="D12" s="41"/>
    </row>
    <row r="13" spans="1:4" x14ac:dyDescent="0.2">
      <c r="A13" s="3" t="s">
        <v>23</v>
      </c>
      <c r="B13" s="14">
        <v>194168</v>
      </c>
      <c r="C13" s="8">
        <f>SUM(SupremeCourtJustice2[[#This Row],[Kings County Vote Results]])</f>
        <v>194168</v>
      </c>
      <c r="D13" s="9">
        <f>SUM(SupremeCourtJustice2[[#This Row],[Total Votes by Party]],C14,C15)</f>
        <v>247548</v>
      </c>
    </row>
    <row r="14" spans="1:4" x14ac:dyDescent="0.2">
      <c r="A14" s="3" t="s">
        <v>24</v>
      </c>
      <c r="B14" s="14">
        <v>46088</v>
      </c>
      <c r="C14" s="8">
        <f>SUM(SupremeCourtJustice2[[#This Row],[Kings County Vote Results]])</f>
        <v>46088</v>
      </c>
      <c r="D14" s="41"/>
    </row>
    <row r="15" spans="1:4" x14ac:dyDescent="0.2">
      <c r="A15" s="3" t="s">
        <v>25</v>
      </c>
      <c r="B15" s="14">
        <v>7292</v>
      </c>
      <c r="C15" s="8">
        <f>SUM(SupremeCourtJustice2[[#This Row],[Kings County Vote Results]])</f>
        <v>7292</v>
      </c>
      <c r="D15" s="41"/>
    </row>
    <row r="16" spans="1:4" x14ac:dyDescent="0.2">
      <c r="A16" s="3" t="s">
        <v>26</v>
      </c>
      <c r="B16" s="14">
        <v>191768</v>
      </c>
      <c r="C16" s="8">
        <f>SUM(SupremeCourtJustice2[[#This Row],[Kings County Vote Results]])</f>
        <v>191768</v>
      </c>
      <c r="D16" s="9">
        <f>SUM(SupremeCourtJustice2[[#This Row],[Total Votes by Party]],C17,C18)</f>
        <v>244474</v>
      </c>
    </row>
    <row r="17" spans="1:4" x14ac:dyDescent="0.2">
      <c r="A17" s="3" t="s">
        <v>27</v>
      </c>
      <c r="B17" s="14">
        <v>45480</v>
      </c>
      <c r="C17" s="8">
        <f>SUM(SupremeCourtJustice2[[#This Row],[Kings County Vote Results]])</f>
        <v>45480</v>
      </c>
      <c r="D17" s="41"/>
    </row>
    <row r="18" spans="1:4" x14ac:dyDescent="0.2">
      <c r="A18" s="3" t="s">
        <v>28</v>
      </c>
      <c r="B18" s="14">
        <v>7226</v>
      </c>
      <c r="C18" s="8">
        <f>SUM(SupremeCourtJustice2[[#This Row],[Kings County Vote Results]])</f>
        <v>7226</v>
      </c>
      <c r="D18" s="41"/>
    </row>
    <row r="19" spans="1:4" x14ac:dyDescent="0.2">
      <c r="A19" s="1" t="s">
        <v>29</v>
      </c>
      <c r="B19" s="14">
        <v>186434</v>
      </c>
      <c r="C19" s="8">
        <f>SUM(SupremeCourtJustice2[[#This Row],[Kings County Vote Results]])</f>
        <v>186434</v>
      </c>
      <c r="D19" s="9">
        <f>SUM(SupremeCourtJustice2[[#This Row],[Total Votes by Party]],C20,C21)</f>
        <v>238092</v>
      </c>
    </row>
    <row r="20" spans="1:4" x14ac:dyDescent="0.2">
      <c r="A20" s="1" t="s">
        <v>30</v>
      </c>
      <c r="B20" s="14">
        <v>44418</v>
      </c>
      <c r="C20" s="8">
        <f>SUM(SupremeCourtJustice2[[#This Row],[Kings County Vote Results]])</f>
        <v>44418</v>
      </c>
      <c r="D20" s="39"/>
    </row>
    <row r="21" spans="1:4" x14ac:dyDescent="0.2">
      <c r="A21" s="1" t="s">
        <v>31</v>
      </c>
      <c r="B21" s="14">
        <v>7240</v>
      </c>
      <c r="C21" s="8">
        <f>SUM(SupremeCourtJustice2[[#This Row],[Kings County Vote Results]])</f>
        <v>7240</v>
      </c>
      <c r="D21" s="39"/>
    </row>
    <row r="22" spans="1:4" x14ac:dyDescent="0.2">
      <c r="A22" s="3" t="s">
        <v>7</v>
      </c>
      <c r="B22" s="14">
        <v>680877</v>
      </c>
      <c r="C22" s="8">
        <f>SUM(SupremeCourtJustice2[[#This Row],[Kings County Vote Results]])</f>
        <v>680877</v>
      </c>
      <c r="D22" s="39"/>
    </row>
    <row r="23" spans="1:4" x14ac:dyDescent="0.2">
      <c r="A23" s="3" t="s">
        <v>8</v>
      </c>
      <c r="B23" s="14"/>
      <c r="C23" s="8">
        <f>SUM(SupremeCourtJustice2[[#This Row],[Kings County Vote Results]])</f>
        <v>0</v>
      </c>
      <c r="D23" s="39"/>
    </row>
    <row r="24" spans="1:4" x14ac:dyDescent="0.2">
      <c r="A24" s="3" t="s">
        <v>9</v>
      </c>
      <c r="B24" s="14">
        <v>7707</v>
      </c>
      <c r="C24" s="8">
        <f>SUM(SupremeCourtJustice2[[#This Row],[Kings County Vote Results]])</f>
        <v>7707</v>
      </c>
      <c r="D24" s="39"/>
    </row>
    <row r="25" spans="1:4" x14ac:dyDescent="0.2">
      <c r="A25" s="11" t="s">
        <v>10</v>
      </c>
      <c r="B25" s="14">
        <f>SUM(SupremeCourtJustice2[Kings County Vote Results])</f>
        <v>2423421</v>
      </c>
      <c r="C25" s="8">
        <f>SUM(SupremeCourtJustice2[Total Votes by Party])</f>
        <v>2423421</v>
      </c>
      <c r="D25" s="39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8C9F3-042C-4B50-80E4-1FC0CE7B648A}">
  <sheetPr codeName="Sheet3">
    <pageSetUpPr fitToPage="1"/>
  </sheetPr>
  <dimension ref="A1:J14"/>
  <sheetViews>
    <sheetView zoomScaleNormal="100" zoomScaleSheetLayoutView="110" workbookViewId="0">
      <selection activeCell="H31" sqref="H31"/>
    </sheetView>
  </sheetViews>
  <sheetFormatPr defaultRowHeight="12.75" x14ac:dyDescent="0.2"/>
  <cols>
    <col min="1" max="1" width="20.7109375" customWidth="1"/>
    <col min="2" max="4" width="19" customWidth="1"/>
    <col min="5" max="5" width="21.7109375" customWidth="1"/>
    <col min="6" max="9" width="19" customWidth="1"/>
    <col min="10" max="10" width="21.28515625" customWidth="1"/>
    <col min="11" max="12" width="23.5703125" customWidth="1"/>
  </cols>
  <sheetData>
    <row r="1" spans="1:10" ht="24.75" customHeight="1" x14ac:dyDescent="0.2">
      <c r="A1" s="26" t="s">
        <v>32</v>
      </c>
    </row>
    <row r="2" spans="1:10" ht="25.5" x14ac:dyDescent="0.2">
      <c r="A2" s="37" t="s">
        <v>1</v>
      </c>
      <c r="B2" s="5" t="s">
        <v>33</v>
      </c>
      <c r="C2" s="5" t="s">
        <v>34</v>
      </c>
      <c r="D2" s="5" t="s">
        <v>35</v>
      </c>
      <c r="E2" s="5" t="s">
        <v>36</v>
      </c>
      <c r="F2" s="5" t="s">
        <v>37</v>
      </c>
      <c r="G2" s="5" t="s">
        <v>38</v>
      </c>
      <c r="H2" s="5" t="s">
        <v>39</v>
      </c>
      <c r="I2" s="6" t="s">
        <v>3</v>
      </c>
      <c r="J2" s="7" t="s">
        <v>4</v>
      </c>
    </row>
    <row r="3" spans="1:10" x14ac:dyDescent="0.2">
      <c r="A3" s="1" t="s">
        <v>40</v>
      </c>
      <c r="B3" s="14">
        <v>37001</v>
      </c>
      <c r="C3" s="19">
        <v>10206</v>
      </c>
      <c r="D3" s="19">
        <v>4221</v>
      </c>
      <c r="E3" s="19">
        <v>15750</v>
      </c>
      <c r="F3" s="19">
        <v>2571</v>
      </c>
      <c r="G3" s="19">
        <v>5312</v>
      </c>
      <c r="H3" s="14">
        <v>21953</v>
      </c>
      <c r="I3" s="8">
        <f>SUM(SupremeCourtJustice3[[#This Row],[Ulster County Vote Results]],SupremeCourtJustice3[[#This Row],[Sullivan County Vote Results]],SupremeCourtJustice3[[#This Row],[Schoharie County Vote Results]],SupremeCourtJustice3[[#This Row],[Rensselaer County Vote Results]],SupremeCourtJustice3[[#This Row],[Greene County Vote Results]],SupremeCourtJustice3[[#This Row],[Columbia County Vote Results]],SupremeCourtJustice3[[#This Row],[Albany County Vote Results]])</f>
        <v>97014</v>
      </c>
      <c r="J3" s="9">
        <f>SUM(SupremeCourtJustice3[[#This Row],[Total Votes by Party]],I6)</f>
        <v>126251</v>
      </c>
    </row>
    <row r="4" spans="1:10" x14ac:dyDescent="0.2">
      <c r="A4" s="1" t="s">
        <v>41</v>
      </c>
      <c r="B4" s="14">
        <v>37249</v>
      </c>
      <c r="C4" s="19">
        <v>10408</v>
      </c>
      <c r="D4" s="19">
        <v>4178</v>
      </c>
      <c r="E4" s="19">
        <v>16266</v>
      </c>
      <c r="F4" s="19">
        <v>2427</v>
      </c>
      <c r="G4" s="19">
        <v>5188</v>
      </c>
      <c r="H4" s="14">
        <v>20822</v>
      </c>
      <c r="I4" s="8">
        <f>SUM(SupremeCourtJustice3[[#This Row],[Ulster County Vote Results]],SupremeCourtJustice3[[#This Row],[Sullivan County Vote Results]],SupremeCourtJustice3[[#This Row],[Schoharie County Vote Results]],SupremeCourtJustice3[[#This Row],[Rensselaer County Vote Results]],SupremeCourtJustice3[[#This Row],[Greene County Vote Results]],SupremeCourtJustice3[[#This Row],[Columbia County Vote Results]],SupremeCourtJustice3[[#This Row],[Albany County Vote Results]])</f>
        <v>96538</v>
      </c>
      <c r="J4" s="9">
        <f>SUM(SupremeCourtJustice3[[#This Row],[Total Votes by Party]],I7)</f>
        <v>125743</v>
      </c>
    </row>
    <row r="5" spans="1:10" x14ac:dyDescent="0.2">
      <c r="A5" s="1" t="s">
        <v>42</v>
      </c>
      <c r="B5" s="14">
        <v>34565</v>
      </c>
      <c r="C5" s="19">
        <v>9793</v>
      </c>
      <c r="D5" s="19">
        <v>3911</v>
      </c>
      <c r="E5" s="19">
        <v>14668</v>
      </c>
      <c r="F5" s="19">
        <v>2288</v>
      </c>
      <c r="G5" s="19">
        <v>4698</v>
      </c>
      <c r="H5" s="14">
        <v>19281</v>
      </c>
      <c r="I5" s="8">
        <f>SUM(SupremeCourtJustice3[[#This Row],[Ulster County Vote Results]],SupremeCourtJustice3[[#This Row],[Sullivan County Vote Results]],SupremeCourtJustice3[[#This Row],[Schoharie County Vote Results]],SupremeCourtJustice3[[#This Row],[Rensselaer County Vote Results]],SupremeCourtJustice3[[#This Row],[Greene County Vote Results]],SupremeCourtJustice3[[#This Row],[Columbia County Vote Results]],SupremeCourtJustice3[[#This Row],[Albany County Vote Results]])</f>
        <v>89204</v>
      </c>
      <c r="J5" s="9">
        <f>SUM(SupremeCourtJustice3[[#This Row],[Total Votes by Party]],I8)</f>
        <v>116747</v>
      </c>
    </row>
    <row r="6" spans="1:10" x14ac:dyDescent="0.2">
      <c r="A6" s="1" t="s">
        <v>43</v>
      </c>
      <c r="B6" s="14">
        <v>8573</v>
      </c>
      <c r="C6" s="19">
        <v>3039</v>
      </c>
      <c r="D6" s="19">
        <v>1653</v>
      </c>
      <c r="E6" s="19">
        <v>4838</v>
      </c>
      <c r="F6" s="19">
        <v>1444</v>
      </c>
      <c r="G6" s="19">
        <v>2026</v>
      </c>
      <c r="H6" s="14">
        <v>7664</v>
      </c>
      <c r="I6" s="8">
        <f>SUM(SupremeCourtJustice3[[#This Row],[Ulster County Vote Results]],SupremeCourtJustice3[[#This Row],[Sullivan County Vote Results]],SupremeCourtJustice3[[#This Row],[Schoharie County Vote Results]],SupremeCourtJustice3[[#This Row],[Rensselaer County Vote Results]],SupremeCourtJustice3[[#This Row],[Greene County Vote Results]],SupremeCourtJustice3[[#This Row],[Columbia County Vote Results]],SupremeCourtJustice3[[#This Row],[Albany County Vote Results]])</f>
        <v>29237</v>
      </c>
      <c r="J6" s="39"/>
    </row>
    <row r="7" spans="1:10" x14ac:dyDescent="0.2">
      <c r="A7" s="1" t="s">
        <v>44</v>
      </c>
      <c r="B7" s="14">
        <v>8760</v>
      </c>
      <c r="C7" s="18">
        <v>3115</v>
      </c>
      <c r="D7" s="18">
        <v>1636</v>
      </c>
      <c r="E7" s="18">
        <v>5086</v>
      </c>
      <c r="F7" s="18">
        <v>1375</v>
      </c>
      <c r="G7" s="18">
        <v>1988</v>
      </c>
      <c r="H7" s="14">
        <v>7245</v>
      </c>
      <c r="I7" s="8">
        <f>SUM(SupremeCourtJustice3[[#This Row],[Ulster County Vote Results]],SupremeCourtJustice3[[#This Row],[Sullivan County Vote Results]],SupremeCourtJustice3[[#This Row],[Schoharie County Vote Results]],SupremeCourtJustice3[[#This Row],[Rensselaer County Vote Results]],SupremeCourtJustice3[[#This Row],[Greene County Vote Results]],SupremeCourtJustice3[[#This Row],[Columbia County Vote Results]],SupremeCourtJustice3[[#This Row],[Albany County Vote Results]])</f>
        <v>29205</v>
      </c>
      <c r="J7" s="41"/>
    </row>
    <row r="8" spans="1:10" x14ac:dyDescent="0.2">
      <c r="A8" s="1" t="s">
        <v>45</v>
      </c>
      <c r="B8" s="14">
        <v>8361</v>
      </c>
      <c r="C8" s="18">
        <v>2920</v>
      </c>
      <c r="D8" s="18">
        <v>1541</v>
      </c>
      <c r="E8" s="18">
        <v>4619</v>
      </c>
      <c r="F8" s="18">
        <v>1311</v>
      </c>
      <c r="G8" s="18">
        <v>1944</v>
      </c>
      <c r="H8" s="14">
        <v>6847</v>
      </c>
      <c r="I8" s="8">
        <f>SUM(SupremeCourtJustice3[[#This Row],[Ulster County Vote Results]],SupremeCourtJustice3[[#This Row],[Sullivan County Vote Results]],SupremeCourtJustice3[[#This Row],[Schoharie County Vote Results]],SupremeCourtJustice3[[#This Row],[Rensselaer County Vote Results]],SupremeCourtJustice3[[#This Row],[Greene County Vote Results]],SupremeCourtJustice3[[#This Row],[Columbia County Vote Results]],SupremeCourtJustice3[[#This Row],[Albany County Vote Results]])</f>
        <v>27543</v>
      </c>
      <c r="J8" s="39"/>
    </row>
    <row r="9" spans="1:10" x14ac:dyDescent="0.2">
      <c r="A9" s="3" t="s">
        <v>7</v>
      </c>
      <c r="B9" s="14">
        <v>80881</v>
      </c>
      <c r="C9" s="18">
        <v>26797</v>
      </c>
      <c r="D9" s="18">
        <v>20958</v>
      </c>
      <c r="E9" s="18">
        <v>66480</v>
      </c>
      <c r="F9" s="18">
        <v>11817</v>
      </c>
      <c r="G9" s="18">
        <v>22904</v>
      </c>
      <c r="H9" s="14">
        <v>54075</v>
      </c>
      <c r="I9" s="8">
        <f>SUM(SupremeCourtJustice3[[#This Row],[Ulster County Vote Results]],SupremeCourtJustice3[[#This Row],[Sullivan County Vote Results]],SupremeCourtJustice3[[#This Row],[Schoharie County Vote Results]],SupremeCourtJustice3[[#This Row],[Rensselaer County Vote Results]],SupremeCourtJustice3[[#This Row],[Greene County Vote Results]],SupremeCourtJustice3[[#This Row],[Columbia County Vote Results]],SupremeCourtJustice3[[#This Row],[Albany County Vote Results]])</f>
        <v>283912</v>
      </c>
      <c r="J9" s="39"/>
    </row>
    <row r="10" spans="1:10" x14ac:dyDescent="0.2">
      <c r="A10" s="3" t="s">
        <v>8</v>
      </c>
      <c r="B10" s="14">
        <v>24</v>
      </c>
      <c r="C10" s="18">
        <v>6</v>
      </c>
      <c r="D10" s="18">
        <v>9</v>
      </c>
      <c r="E10" s="18">
        <v>1</v>
      </c>
      <c r="F10" s="18">
        <v>3</v>
      </c>
      <c r="G10" s="18">
        <v>38</v>
      </c>
      <c r="H10" s="14">
        <v>297</v>
      </c>
      <c r="I10" s="8">
        <f>SUM(SupremeCourtJustice3[[#This Row],[Ulster County Vote Results]],SupremeCourtJustice3[[#This Row],[Sullivan County Vote Results]],SupremeCourtJustice3[[#This Row],[Schoharie County Vote Results]],SupremeCourtJustice3[[#This Row],[Rensselaer County Vote Results]],SupremeCourtJustice3[[#This Row],[Greene County Vote Results]],SupremeCourtJustice3[[#This Row],[Columbia County Vote Results]],SupremeCourtJustice3[[#This Row],[Albany County Vote Results]])</f>
        <v>378</v>
      </c>
      <c r="J10" s="39"/>
    </row>
    <row r="11" spans="1:10" x14ac:dyDescent="0.2">
      <c r="A11" s="3" t="s">
        <v>9</v>
      </c>
      <c r="B11" s="14">
        <v>1519</v>
      </c>
      <c r="C11" s="18">
        <v>97</v>
      </c>
      <c r="D11" s="18">
        <v>140</v>
      </c>
      <c r="E11" s="18">
        <v>284</v>
      </c>
      <c r="F11" s="18">
        <v>143</v>
      </c>
      <c r="G11" s="18">
        <v>61</v>
      </c>
      <c r="H11" s="14">
        <v>251</v>
      </c>
      <c r="I11" s="8">
        <f>SUM(SupremeCourtJustice3[[#This Row],[Ulster County Vote Results]],SupremeCourtJustice3[[#This Row],[Sullivan County Vote Results]],SupremeCourtJustice3[[#This Row],[Schoharie County Vote Results]],SupremeCourtJustice3[[#This Row],[Rensselaer County Vote Results]],SupremeCourtJustice3[[#This Row],[Greene County Vote Results]],SupremeCourtJustice3[[#This Row],[Columbia County Vote Results]],SupremeCourtJustice3[[#This Row],[Albany County Vote Results]])</f>
        <v>2495</v>
      </c>
      <c r="J11" s="39"/>
    </row>
    <row r="12" spans="1:10" x14ac:dyDescent="0.2">
      <c r="A12" s="3" t="s">
        <v>10</v>
      </c>
      <c r="B12" s="15">
        <f>SUM(SupremeCourtJustice3[Albany County Vote Results])</f>
        <v>216933</v>
      </c>
      <c r="C12" s="4">
        <f>SUM(SupremeCourtJustice3[Columbia County Vote Results])</f>
        <v>66381</v>
      </c>
      <c r="D12" s="4">
        <f>SUM(SupremeCourtJustice3[Greene County Vote Results])</f>
        <v>38247</v>
      </c>
      <c r="E12" s="4">
        <f>SUM(SupremeCourtJustice3[Rensselaer County Vote Results])</f>
        <v>127992</v>
      </c>
      <c r="F12" s="4">
        <f>SUM(SupremeCourtJustice3[Schoharie County Vote Results])</f>
        <v>23379</v>
      </c>
      <c r="G12" s="4">
        <f>SUM(SupremeCourtJustice3[Sullivan County Vote Results])</f>
        <v>44159</v>
      </c>
      <c r="H12" s="15">
        <f>SUM(SupremeCourtJustice3[Ulster County Vote Results])</f>
        <v>138435</v>
      </c>
      <c r="I12" s="8">
        <f>SUM(SupremeCourtJustice3[Total Votes by Party])</f>
        <v>655526</v>
      </c>
      <c r="J12" s="39"/>
    </row>
    <row r="13" spans="1:10" x14ac:dyDescent="0.2">
      <c r="C13" s="10"/>
      <c r="D13" s="10"/>
      <c r="E13" s="10"/>
      <c r="F13" s="10"/>
      <c r="G13" s="10"/>
    </row>
    <row r="14" spans="1:10" x14ac:dyDescent="0.2">
      <c r="C14" s="10"/>
      <c r="D14" s="10"/>
      <c r="E14" s="10"/>
      <c r="F14" s="10"/>
      <c r="G14" s="10"/>
    </row>
  </sheetData>
  <phoneticPr fontId="11" type="noConversion"/>
  <pageMargins left="0.25" right="0.25" top="0.25" bottom="0.25" header="0.25" footer="0.25"/>
  <pageSetup paperSize="5" scale="89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FEF1-2C5F-4932-A1EA-AB6B37DD1983}">
  <sheetPr codeName="Sheet4">
    <pageSetUpPr fitToPage="1"/>
  </sheetPr>
  <dimension ref="A1:I9"/>
  <sheetViews>
    <sheetView workbookViewId="0">
      <selection activeCell="C32" sqref="C32"/>
    </sheetView>
  </sheetViews>
  <sheetFormatPr defaultRowHeight="12.75" x14ac:dyDescent="0.2"/>
  <cols>
    <col min="1" max="1" width="25.5703125" customWidth="1"/>
    <col min="2" max="3" width="20.5703125" customWidth="1"/>
    <col min="4" max="4" width="19.28515625" customWidth="1"/>
    <col min="5" max="9" width="20.5703125" customWidth="1"/>
    <col min="10" max="11" width="23.5703125" customWidth="1"/>
  </cols>
  <sheetData>
    <row r="1" spans="1:9" ht="24.75" customHeight="1" x14ac:dyDescent="0.2">
      <c r="A1" s="26" t="s">
        <v>46</v>
      </c>
    </row>
    <row r="2" spans="1:9" ht="25.5" x14ac:dyDescent="0.2">
      <c r="A2" s="37" t="s">
        <v>1</v>
      </c>
      <c r="B2" s="5" t="s">
        <v>47</v>
      </c>
      <c r="C2" s="5" t="s">
        <v>48</v>
      </c>
      <c r="D2" s="5" t="s">
        <v>49</v>
      </c>
      <c r="E2" s="5" t="s">
        <v>50</v>
      </c>
      <c r="F2" s="5" t="s">
        <v>51</v>
      </c>
      <c r="G2" s="5" t="s">
        <v>52</v>
      </c>
      <c r="H2" s="6" t="s">
        <v>3</v>
      </c>
      <c r="I2" s="7" t="s">
        <v>4</v>
      </c>
    </row>
    <row r="3" spans="1:9" x14ac:dyDescent="0.2">
      <c r="A3" s="1" t="s">
        <v>53</v>
      </c>
      <c r="B3" s="14">
        <v>4425</v>
      </c>
      <c r="C3" s="14">
        <v>4830</v>
      </c>
      <c r="D3" s="14">
        <v>1301</v>
      </c>
      <c r="E3" s="14">
        <v>19876</v>
      </c>
      <c r="F3" s="14">
        <v>48332</v>
      </c>
      <c r="G3" s="19">
        <v>6455</v>
      </c>
      <c r="H3" s="8">
        <f>SUM(SupremeCourtJustice5[[#This Row],[Oswego County Vote Results]],SupremeCourtJustice5[[#This Row],[Onondaga County Vote Results]],SupremeCourtJustice5[[#This Row],[Oneida County Vote Results]],SupremeCourtJustice5[[#This Row],[Lewis County Vote Results]],SupremeCourtJustice5[[#This Row],[Jefferson County Vote Results]],SupremeCourtJustice5[[#This Row],[Herkimer County Vote Results]])</f>
        <v>85219</v>
      </c>
      <c r="I3" s="9">
        <f>SUM(SupremeCourtJustice5[[#This Row],[Total Votes by Party]])</f>
        <v>85219</v>
      </c>
    </row>
    <row r="4" spans="1:9" x14ac:dyDescent="0.2">
      <c r="A4" s="3" t="s">
        <v>54</v>
      </c>
      <c r="B4" s="14">
        <v>7365</v>
      </c>
      <c r="C4" s="14">
        <v>10834</v>
      </c>
      <c r="D4" s="14">
        <v>3908</v>
      </c>
      <c r="E4" s="14">
        <v>23211</v>
      </c>
      <c r="F4" s="14">
        <v>43689</v>
      </c>
      <c r="G4" s="19">
        <v>13137</v>
      </c>
      <c r="H4" s="8">
        <f>SUM(SupremeCourtJustice5[[#This Row],[Oswego County Vote Results]],SupremeCourtJustice5[[#This Row],[Onondaga County Vote Results]],SupremeCourtJustice5[[#This Row],[Oneida County Vote Results]],SupremeCourtJustice5[[#This Row],[Lewis County Vote Results]],SupremeCourtJustice5[[#This Row],[Jefferson County Vote Results]],SupremeCourtJustice5[[#This Row],[Herkimer County Vote Results]])</f>
        <v>102144</v>
      </c>
      <c r="I4" s="9">
        <f>SUM(SupremeCourtJustice5[[#This Row],[Total Votes by Party]])</f>
        <v>102144</v>
      </c>
    </row>
    <row r="5" spans="1:9" x14ac:dyDescent="0.2">
      <c r="A5" s="3" t="s">
        <v>7</v>
      </c>
      <c r="B5" s="14">
        <v>424</v>
      </c>
      <c r="C5" s="14">
        <v>1147</v>
      </c>
      <c r="D5" s="14">
        <v>502</v>
      </c>
      <c r="E5" s="14">
        <v>1267</v>
      </c>
      <c r="F5" s="14">
        <v>2168</v>
      </c>
      <c r="G5" s="18">
        <v>1043</v>
      </c>
      <c r="H5" s="8">
        <f>SUM(SupremeCourtJustice5[[#This Row],[Oswego County Vote Results]],SupremeCourtJustice5[[#This Row],[Onondaga County Vote Results]],SupremeCourtJustice5[[#This Row],[Oneida County Vote Results]],SupremeCourtJustice5[[#This Row],[Lewis County Vote Results]],SupremeCourtJustice5[[#This Row],[Jefferson County Vote Results]],SupremeCourtJustice5[[#This Row],[Herkimer County Vote Results]])</f>
        <v>6551</v>
      </c>
      <c r="I5" s="39"/>
    </row>
    <row r="6" spans="1:9" x14ac:dyDescent="0.2">
      <c r="A6" s="3" t="s">
        <v>8</v>
      </c>
      <c r="B6" s="14">
        <v>2</v>
      </c>
      <c r="C6" s="14">
        <v>19</v>
      </c>
      <c r="D6" s="14">
        <v>4</v>
      </c>
      <c r="E6" s="14">
        <v>1</v>
      </c>
      <c r="F6" s="14">
        <v>31</v>
      </c>
      <c r="G6" s="18">
        <v>11</v>
      </c>
      <c r="H6" s="8">
        <f>SUM(SupremeCourtJustice5[[#This Row],[Oswego County Vote Results]],SupremeCourtJustice5[[#This Row],[Onondaga County Vote Results]],SupremeCourtJustice5[[#This Row],[Oneida County Vote Results]],SupremeCourtJustice5[[#This Row],[Lewis County Vote Results]],SupremeCourtJustice5[[#This Row],[Jefferson County Vote Results]],SupremeCourtJustice5[[#This Row],[Herkimer County Vote Results]])</f>
        <v>68</v>
      </c>
      <c r="I6" s="39"/>
    </row>
    <row r="7" spans="1:9" x14ac:dyDescent="0.2">
      <c r="A7" s="3" t="s">
        <v>9</v>
      </c>
      <c r="B7" s="14">
        <v>9</v>
      </c>
      <c r="C7" s="14">
        <v>10</v>
      </c>
      <c r="D7" s="14">
        <v>1</v>
      </c>
      <c r="E7" s="14">
        <v>9</v>
      </c>
      <c r="F7" s="14">
        <v>41</v>
      </c>
      <c r="G7" s="19">
        <v>7</v>
      </c>
      <c r="H7" s="8">
        <f>SUM(SupremeCourtJustice5[[#This Row],[Oswego County Vote Results]],SupremeCourtJustice5[[#This Row],[Onondaga County Vote Results]],SupremeCourtJustice5[[#This Row],[Oneida County Vote Results]],SupremeCourtJustice5[[#This Row],[Lewis County Vote Results]],SupremeCourtJustice5[[#This Row],[Jefferson County Vote Results]],SupremeCourtJustice5[[#This Row],[Herkimer County Vote Results]])</f>
        <v>77</v>
      </c>
      <c r="I7" s="39"/>
    </row>
    <row r="8" spans="1:9" x14ac:dyDescent="0.2">
      <c r="A8" s="11" t="s">
        <v>10</v>
      </c>
      <c r="B8" s="14">
        <f>SUM(SupremeCourtJustice5[Herkimer County Vote Results])</f>
        <v>12225</v>
      </c>
      <c r="C8" s="14">
        <f>SUM(SupremeCourtJustice5[Jefferson County Vote Results])</f>
        <v>16840</v>
      </c>
      <c r="D8" s="14">
        <f>SUM(SupremeCourtJustice5[Lewis County Vote Results])</f>
        <v>5716</v>
      </c>
      <c r="E8" s="14">
        <f>SUM(SupremeCourtJustice5[Oneida County Vote Results])</f>
        <v>44364</v>
      </c>
      <c r="F8" s="14">
        <f>SUM(SupremeCourtJustice5[Onondaga County Vote Results])</f>
        <v>94261</v>
      </c>
      <c r="G8" s="2">
        <f>SUM(SupremeCourtJustice5[Oswego County Vote Results])</f>
        <v>20653</v>
      </c>
      <c r="H8" s="8">
        <f>SUM(SupremeCourtJustice5[Total Votes by Party])</f>
        <v>194059</v>
      </c>
      <c r="I8" s="39"/>
    </row>
    <row r="9" spans="1:9" x14ac:dyDescent="0.2">
      <c r="G9" s="10"/>
    </row>
  </sheetData>
  <phoneticPr fontId="11" type="noConversion"/>
  <pageMargins left="0.25" right="0.25" top="0.25" bottom="0.25" header="0.25" footer="0.25"/>
  <pageSetup paperSize="5" scale="93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B6DD-2481-4993-86C3-DB06F3A0D16A}">
  <sheetPr codeName="Sheet5">
    <pageSetUpPr fitToPage="1"/>
  </sheetPr>
  <dimension ref="A1:M9"/>
  <sheetViews>
    <sheetView zoomScaleNormal="100" workbookViewId="0">
      <selection activeCell="D17" sqref="D17"/>
    </sheetView>
  </sheetViews>
  <sheetFormatPr defaultRowHeight="12.75" x14ac:dyDescent="0.2"/>
  <cols>
    <col min="1" max="1" width="20.140625" customWidth="1"/>
    <col min="2" max="2" width="13.85546875" customWidth="1"/>
    <col min="3" max="4" width="15.140625" customWidth="1"/>
    <col min="5" max="5" width="13.85546875" customWidth="1"/>
    <col min="6" max="6" width="15.28515625" customWidth="1"/>
    <col min="7" max="10" width="13.85546875" customWidth="1"/>
    <col min="11" max="13" width="15.140625" customWidth="1"/>
    <col min="14" max="15" width="23.5703125" customWidth="1"/>
  </cols>
  <sheetData>
    <row r="1" spans="1:13" ht="24.95" customHeight="1" x14ac:dyDescent="0.2">
      <c r="A1" s="26" t="s">
        <v>55</v>
      </c>
    </row>
    <row r="2" spans="1:13" ht="24.95" customHeight="1" x14ac:dyDescent="0.2">
      <c r="A2" s="37" t="s">
        <v>1</v>
      </c>
      <c r="B2" s="5" t="s">
        <v>56</v>
      </c>
      <c r="C2" s="5" t="s">
        <v>57</v>
      </c>
      <c r="D2" s="5" t="s">
        <v>58</v>
      </c>
      <c r="E2" s="5" t="s">
        <v>59</v>
      </c>
      <c r="F2" s="5" t="s">
        <v>60</v>
      </c>
      <c r="G2" s="5" t="s">
        <v>61</v>
      </c>
      <c r="H2" s="5" t="s">
        <v>62</v>
      </c>
      <c r="I2" s="5" t="s">
        <v>63</v>
      </c>
      <c r="J2" s="5" t="s">
        <v>64</v>
      </c>
      <c r="K2" s="5" t="s">
        <v>65</v>
      </c>
      <c r="L2" s="42" t="s">
        <v>3</v>
      </c>
      <c r="M2" s="43" t="s">
        <v>4</v>
      </c>
    </row>
    <row r="3" spans="1:13" x14ac:dyDescent="0.2">
      <c r="A3" s="13" t="s">
        <v>66</v>
      </c>
      <c r="B3" s="19">
        <v>17925</v>
      </c>
      <c r="C3" s="19">
        <v>4188</v>
      </c>
      <c r="D3" s="19">
        <v>2976</v>
      </c>
      <c r="E3" s="19">
        <v>3863</v>
      </c>
      <c r="F3" s="19">
        <v>3655</v>
      </c>
      <c r="G3" s="19">
        <v>5076</v>
      </c>
      <c r="H3" s="19">
        <v>5700</v>
      </c>
      <c r="I3" s="19">
        <v>1891</v>
      </c>
      <c r="J3" s="19">
        <v>3066</v>
      </c>
      <c r="K3" s="19">
        <v>11469</v>
      </c>
      <c r="L3" s="8">
        <f>SUM(SupremeCourtJustice6[[#This Row],[Tompkins County Vote Results]],SupremeCourtJustice6[[#This Row],[Tioga County Vote Results]],SupremeCourtJustice6[[#This Row],[Schuyler County Vote Results]],SupremeCourtJustice6[[#This Row],[Otsego County Vote Results]],SupremeCourtJustice6[[#This Row],[Madison County Vote Results]],SupremeCourtJustice6[[#This Row],[Delaware County Vote Results]],SupremeCourtJustice6[[#This Row],[Cortland County Vote Results]],SupremeCourtJustice6[[#This Row],[Chenango County Vote Results]],SupremeCourtJustice6[[#This Row],[Chemung County Vote Results]],SupremeCourtJustice6[[#This Row],[Broome County Vote Results]])</f>
        <v>59809</v>
      </c>
      <c r="M3" s="9">
        <f>SUM(SupremeCourtJustice6[[#This Row],[Total Votes by Party]])</f>
        <v>59809</v>
      </c>
    </row>
    <row r="4" spans="1:13" x14ac:dyDescent="0.2">
      <c r="A4" s="1" t="s">
        <v>67</v>
      </c>
      <c r="B4" s="19">
        <v>17145</v>
      </c>
      <c r="C4" s="19">
        <v>6112</v>
      </c>
      <c r="D4" s="19">
        <v>5074</v>
      </c>
      <c r="E4" s="19">
        <v>4659</v>
      </c>
      <c r="F4" s="19">
        <v>5323</v>
      </c>
      <c r="G4" s="19">
        <v>6981</v>
      </c>
      <c r="H4" s="19">
        <v>6320</v>
      </c>
      <c r="I4" s="19">
        <v>2822</v>
      </c>
      <c r="J4" s="19">
        <v>5699</v>
      </c>
      <c r="K4" s="19">
        <v>5128</v>
      </c>
      <c r="L4" s="8">
        <f>SUM(SupremeCourtJustice6[[#This Row],[Tompkins County Vote Results]],SupremeCourtJustice6[[#This Row],[Tioga County Vote Results]],SupremeCourtJustice6[[#This Row],[Schuyler County Vote Results]],SupremeCourtJustice6[[#This Row],[Otsego County Vote Results]],SupremeCourtJustice6[[#This Row],[Madison County Vote Results]],SupremeCourtJustice6[[#This Row],[Delaware County Vote Results]],SupremeCourtJustice6[[#This Row],[Cortland County Vote Results]],SupremeCourtJustice6[[#This Row],[Chenango County Vote Results]],SupremeCourtJustice6[[#This Row],[Chemung County Vote Results]],SupremeCourtJustice6[[#This Row],[Broome County Vote Results]])</f>
        <v>65263</v>
      </c>
      <c r="M4" s="9">
        <f>SUM(SupremeCourtJustice6[[#This Row],[Total Votes by Party]])</f>
        <v>65263</v>
      </c>
    </row>
    <row r="5" spans="1:13" x14ac:dyDescent="0.2">
      <c r="A5" s="1" t="s">
        <v>68</v>
      </c>
      <c r="B5" s="19">
        <v>17476</v>
      </c>
      <c r="C5" s="19">
        <v>6619</v>
      </c>
      <c r="D5" s="19">
        <v>5857</v>
      </c>
      <c r="E5" s="19">
        <v>4405</v>
      </c>
      <c r="F5" s="19">
        <v>5841</v>
      </c>
      <c r="G5" s="19">
        <v>9559</v>
      </c>
      <c r="H5" s="19">
        <v>6373</v>
      </c>
      <c r="I5" s="19">
        <v>2988</v>
      </c>
      <c r="J5" s="19">
        <v>5829</v>
      </c>
      <c r="K5" s="19">
        <v>5188</v>
      </c>
      <c r="L5" s="8">
        <f>SUM(SupremeCourtJustice6[[#This Row],[Tompkins County Vote Results]],SupremeCourtJustice6[[#This Row],[Tioga County Vote Results]],SupremeCourtJustice6[[#This Row],[Schuyler County Vote Results]],SupremeCourtJustice6[[#This Row],[Otsego County Vote Results]],SupremeCourtJustice6[[#This Row],[Madison County Vote Results]],SupremeCourtJustice6[[#This Row],[Delaware County Vote Results]],SupremeCourtJustice6[[#This Row],[Cortland County Vote Results]],SupremeCourtJustice6[[#This Row],[Chenango County Vote Results]],SupremeCourtJustice6[[#This Row],[Chemung County Vote Results]],SupremeCourtJustice6[[#This Row],[Broome County Vote Results]])</f>
        <v>70135</v>
      </c>
      <c r="M5" s="9">
        <f>SUM(SupremeCourtJustice6[[#This Row],[Total Votes by Party]])</f>
        <v>70135</v>
      </c>
    </row>
    <row r="6" spans="1:13" x14ac:dyDescent="0.2">
      <c r="A6" s="3" t="s">
        <v>7</v>
      </c>
      <c r="B6" s="2">
        <v>57963</v>
      </c>
      <c r="C6" s="2">
        <v>20594</v>
      </c>
      <c r="D6" s="2">
        <v>14059</v>
      </c>
      <c r="E6" s="2">
        <v>14100</v>
      </c>
      <c r="F6" s="2">
        <v>16660</v>
      </c>
      <c r="G6" s="2">
        <v>20659</v>
      </c>
      <c r="H6" s="2">
        <v>21742</v>
      </c>
      <c r="I6" s="2">
        <v>7545</v>
      </c>
      <c r="J6" s="2">
        <v>12942</v>
      </c>
      <c r="K6" s="2">
        <v>29667</v>
      </c>
      <c r="L6" s="8">
        <f>SUM(SupremeCourtJustice6[[#This Row],[Tompkins County Vote Results]],SupremeCourtJustice6[[#This Row],[Tioga County Vote Results]],SupremeCourtJustice6[[#This Row],[Schuyler County Vote Results]],SupremeCourtJustice6[[#This Row],[Otsego County Vote Results]],SupremeCourtJustice6[[#This Row],[Madison County Vote Results]],SupremeCourtJustice6[[#This Row],[Delaware County Vote Results]],SupremeCourtJustice6[[#This Row],[Cortland County Vote Results]],SupremeCourtJustice6[[#This Row],[Chenango County Vote Results]],SupremeCourtJustice6[[#This Row],[Chemung County Vote Results]],SupremeCourtJustice6[[#This Row],[Broome County Vote Results]])</f>
        <v>215931</v>
      </c>
      <c r="M6" s="39"/>
    </row>
    <row r="7" spans="1:13" x14ac:dyDescent="0.2">
      <c r="A7" s="3" t="s">
        <v>8</v>
      </c>
      <c r="B7" s="2">
        <v>40</v>
      </c>
      <c r="C7" s="2">
        <v>0</v>
      </c>
      <c r="D7" s="2">
        <v>3</v>
      </c>
      <c r="E7" s="2">
        <v>4</v>
      </c>
      <c r="F7" s="2">
        <v>1</v>
      </c>
      <c r="G7" s="2">
        <v>1</v>
      </c>
      <c r="H7" s="2">
        <v>0</v>
      </c>
      <c r="I7" s="2">
        <v>0</v>
      </c>
      <c r="J7" s="2">
        <v>1</v>
      </c>
      <c r="K7" s="2">
        <v>0</v>
      </c>
      <c r="L7" s="8">
        <f>SUM(SupremeCourtJustice6[[#This Row],[Tompkins County Vote Results]],SupremeCourtJustice6[[#This Row],[Tioga County Vote Results]],SupremeCourtJustice6[[#This Row],[Schuyler County Vote Results]],SupremeCourtJustice6[[#This Row],[Otsego County Vote Results]],SupremeCourtJustice6[[#This Row],[Madison County Vote Results]],SupremeCourtJustice6[[#This Row],[Delaware County Vote Results]],SupremeCourtJustice6[[#This Row],[Cortland County Vote Results]],SupremeCourtJustice6[[#This Row],[Chenango County Vote Results]],SupremeCourtJustice6[[#This Row],[Chemung County Vote Results]],SupremeCourtJustice6[[#This Row],[Broome County Vote Results]])</f>
        <v>50</v>
      </c>
      <c r="M7" s="39"/>
    </row>
    <row r="8" spans="1:13" x14ac:dyDescent="0.2">
      <c r="A8" s="3" t="s">
        <v>9</v>
      </c>
      <c r="B8" s="2">
        <v>178</v>
      </c>
      <c r="C8" s="2">
        <v>50</v>
      </c>
      <c r="D8" s="2">
        <v>27</v>
      </c>
      <c r="E8" s="2">
        <v>17</v>
      </c>
      <c r="F8" s="2">
        <v>17</v>
      </c>
      <c r="G8" s="2">
        <v>57</v>
      </c>
      <c r="H8" s="2">
        <v>44</v>
      </c>
      <c r="I8" s="2">
        <v>6</v>
      </c>
      <c r="J8" s="2">
        <v>39</v>
      </c>
      <c r="K8" s="2">
        <v>97</v>
      </c>
      <c r="L8" s="8">
        <f>SUM(SupremeCourtJustice6[[#This Row],[Tompkins County Vote Results]],SupremeCourtJustice6[[#This Row],[Tioga County Vote Results]],SupremeCourtJustice6[[#This Row],[Schuyler County Vote Results]],SupremeCourtJustice6[[#This Row],[Otsego County Vote Results]],SupremeCourtJustice6[[#This Row],[Madison County Vote Results]],SupremeCourtJustice6[[#This Row],[Delaware County Vote Results]],SupremeCourtJustice6[[#This Row],[Cortland County Vote Results]],SupremeCourtJustice6[[#This Row],[Chenango County Vote Results]],SupremeCourtJustice6[[#This Row],[Chemung County Vote Results]],SupremeCourtJustice6[[#This Row],[Broome County Vote Results]])</f>
        <v>532</v>
      </c>
      <c r="M8" s="39"/>
    </row>
    <row r="9" spans="1:13" x14ac:dyDescent="0.2">
      <c r="A9" s="11" t="s">
        <v>10</v>
      </c>
      <c r="B9" s="2">
        <f>SUM(SupremeCourtJustice6[Broome County Vote Results])</f>
        <v>110727</v>
      </c>
      <c r="C9" s="2">
        <f>SUM(SupremeCourtJustice6[Chemung County Vote Results])</f>
        <v>37563</v>
      </c>
      <c r="D9" s="2">
        <f>SUM(SupremeCourtJustice6[Chenango County Vote Results])</f>
        <v>27996</v>
      </c>
      <c r="E9" s="2">
        <f>SUM(SupremeCourtJustice6[Cortland County Vote Results])</f>
        <v>27048</v>
      </c>
      <c r="F9" s="2">
        <f>SUM(SupremeCourtJustice6[Delaware County Vote Results])</f>
        <v>31497</v>
      </c>
      <c r="G9" s="2">
        <f>SUM(SupremeCourtJustice6[Madison County Vote Results])</f>
        <v>42333</v>
      </c>
      <c r="H9" s="2">
        <f>SUM(SupremeCourtJustice6[Otsego County Vote Results])</f>
        <v>40179</v>
      </c>
      <c r="I9" s="2">
        <f>SUM(SupremeCourtJustice6[Schuyler County Vote Results])</f>
        <v>15252</v>
      </c>
      <c r="J9" s="2">
        <f>SUM(SupremeCourtJustice6[Tioga County Vote Results])</f>
        <v>27576</v>
      </c>
      <c r="K9" s="2">
        <f>SUM(SupremeCourtJustice6[Tompkins County Vote Results])</f>
        <v>51549</v>
      </c>
      <c r="L9" s="8">
        <f>SUM(SupremeCourtJustice6[Total Votes by Party])</f>
        <v>411720</v>
      </c>
      <c r="M9" s="39"/>
    </row>
  </sheetData>
  <pageMargins left="0.25" right="0.25" top="0.25" bottom="0.25" header="0.25" footer="0.25"/>
  <pageSetup paperSize="5" scale="90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4203-7B91-4871-8F77-A9608FDDDE30}">
  <sheetPr codeName="Sheet6">
    <pageSetUpPr fitToPage="1"/>
  </sheetPr>
  <dimension ref="A1:K14"/>
  <sheetViews>
    <sheetView zoomScaleNormal="100" zoomScaleSheetLayoutView="110" workbookViewId="0">
      <selection activeCell="C33" sqref="C33"/>
    </sheetView>
  </sheetViews>
  <sheetFormatPr defaultColWidth="17.140625" defaultRowHeight="12.75" x14ac:dyDescent="0.2"/>
  <cols>
    <col min="1" max="1" width="20.42578125" customWidth="1"/>
    <col min="2" max="2" width="17.5703125" customWidth="1"/>
    <col min="3" max="3" width="19.140625" customWidth="1"/>
    <col min="4" max="4" width="18.7109375" customWidth="1"/>
    <col min="5" max="5" width="18.140625" customWidth="1"/>
    <col min="6" max="6" width="17.85546875" customWidth="1"/>
    <col min="7" max="7" width="19" customWidth="1"/>
    <col min="8" max="8" width="17.140625" customWidth="1"/>
    <col min="9" max="9" width="16.85546875" customWidth="1"/>
    <col min="10" max="10" width="15.85546875" customWidth="1"/>
    <col min="11" max="11" width="17.85546875" customWidth="1"/>
  </cols>
  <sheetData>
    <row r="1" spans="1:11" ht="24.75" customHeight="1" x14ac:dyDescent="0.2">
      <c r="A1" s="26" t="s">
        <v>69</v>
      </c>
    </row>
    <row r="2" spans="1:11" ht="25.5" x14ac:dyDescent="0.2">
      <c r="A2" s="37" t="s">
        <v>1</v>
      </c>
      <c r="B2" s="5" t="s">
        <v>70</v>
      </c>
      <c r="C2" s="5" t="s">
        <v>71</v>
      </c>
      <c r="D2" s="5" t="s">
        <v>72</v>
      </c>
      <c r="E2" s="5" t="s">
        <v>73</v>
      </c>
      <c r="F2" s="5" t="s">
        <v>74</v>
      </c>
      <c r="G2" s="5" t="s">
        <v>75</v>
      </c>
      <c r="H2" s="5" t="s">
        <v>76</v>
      </c>
      <c r="I2" s="5" t="s">
        <v>77</v>
      </c>
      <c r="J2" s="42" t="s">
        <v>3</v>
      </c>
      <c r="K2" s="43" t="s">
        <v>4</v>
      </c>
    </row>
    <row r="3" spans="1:11" x14ac:dyDescent="0.2">
      <c r="A3" s="1" t="s">
        <v>78</v>
      </c>
      <c r="B3" s="17">
        <v>5228</v>
      </c>
      <c r="C3" s="17">
        <v>2910</v>
      </c>
      <c r="D3" s="17">
        <v>55234</v>
      </c>
      <c r="E3" s="17">
        <v>6077</v>
      </c>
      <c r="F3" s="17">
        <v>2074</v>
      </c>
      <c r="G3" s="17">
        <v>3322</v>
      </c>
      <c r="H3" s="2">
        <v>3790</v>
      </c>
      <c r="I3" s="19">
        <v>1130</v>
      </c>
      <c r="J3" s="8">
        <f>SUM(SupremeCourtJustice7[[#This Row],[Yates County Vote Results]],SupremeCourtJustice7[[#This Row],[Wayne County Vote Results]],SupremeCourtJustice7[[#This Row],[Steuben County Vote Results]],SupremeCourtJustice7[[#This Row],[Seneca County Vote Results]],SupremeCourtJustice7[[#This Row],[Ontario County Vote Results]],SupremeCourtJustice7[[#This Row],[Monroe County Vote Results]],SupremeCourtJustice7[[#This Row],[Livingston County Vote Results]],SupremeCourtJustice7[[#This Row],[Cayuga County Vote Results]],)</f>
        <v>79765</v>
      </c>
      <c r="K3" s="9">
        <f>SUM(SupremeCourtJustice7[[#This Row],[Total Votes by Party]],J9)</f>
        <v>88884</v>
      </c>
    </row>
    <row r="4" spans="1:11" x14ac:dyDescent="0.2">
      <c r="A4" s="1" t="s">
        <v>79</v>
      </c>
      <c r="B4" s="17">
        <v>4361</v>
      </c>
      <c r="C4" s="17">
        <v>2665</v>
      </c>
      <c r="D4" s="17">
        <v>52312</v>
      </c>
      <c r="E4" s="17">
        <v>5568</v>
      </c>
      <c r="F4" s="17">
        <v>1737</v>
      </c>
      <c r="G4" s="17">
        <v>3000</v>
      </c>
      <c r="H4" s="2">
        <v>3397</v>
      </c>
      <c r="I4" s="19">
        <v>1038</v>
      </c>
      <c r="J4" s="8">
        <f>SUM(SupremeCourtJustice7[[#This Row],[Yates County Vote Results]],SupremeCourtJustice7[[#This Row],[Wayne County Vote Results]],SupremeCourtJustice7[[#This Row],[Steuben County Vote Results]],SupremeCourtJustice7[[#This Row],[Seneca County Vote Results]],SupremeCourtJustice7[[#This Row],[Ontario County Vote Results]],SupremeCourtJustice7[[#This Row],[Monroe County Vote Results]],SupremeCourtJustice7[[#This Row],[Livingston County Vote Results]],SupremeCourtJustice7[[#This Row],[Cayuga County Vote Results]],)</f>
        <v>74078</v>
      </c>
      <c r="K4" s="9">
        <f>SUM(SupremeCourtJustice7[[#This Row],[Total Votes by Party]],J10)</f>
        <v>83186</v>
      </c>
    </row>
    <row r="5" spans="1:11" x14ac:dyDescent="0.2">
      <c r="A5" s="1" t="s">
        <v>80</v>
      </c>
      <c r="B5" s="17">
        <v>7014</v>
      </c>
      <c r="C5" s="17">
        <v>7279</v>
      </c>
      <c r="D5" s="17">
        <v>58485</v>
      </c>
      <c r="E5" s="17">
        <v>10462</v>
      </c>
      <c r="F5" s="17">
        <v>3420</v>
      </c>
      <c r="G5" s="17">
        <v>8772</v>
      </c>
      <c r="H5" s="2">
        <v>9855</v>
      </c>
      <c r="I5" s="18">
        <v>2109</v>
      </c>
      <c r="J5" s="8">
        <f>SUM(SupremeCourtJustice7[[#This Row],[Yates County Vote Results]],SupremeCourtJustice7[[#This Row],[Wayne County Vote Results]],SupremeCourtJustice7[[#This Row],[Steuben County Vote Results]],SupremeCourtJustice7[[#This Row],[Seneca County Vote Results]],SupremeCourtJustice7[[#This Row],[Ontario County Vote Results]],SupremeCourtJustice7[[#This Row],[Monroe County Vote Results]],SupremeCourtJustice7[[#This Row],[Livingston County Vote Results]],SupremeCourtJustice7[[#This Row],[Cayuga County Vote Results]],)</f>
        <v>107396</v>
      </c>
      <c r="K5" s="9">
        <f>SUM(SupremeCourtJustice7[[#This Row],[Total Votes by Party]],J7)</f>
        <v>137157</v>
      </c>
    </row>
    <row r="6" spans="1:11" x14ac:dyDescent="0.2">
      <c r="A6" s="1" t="s">
        <v>81</v>
      </c>
      <c r="B6" s="17">
        <v>8419</v>
      </c>
      <c r="C6" s="17">
        <v>6932</v>
      </c>
      <c r="D6" s="17">
        <v>54529</v>
      </c>
      <c r="E6" s="17">
        <v>10307</v>
      </c>
      <c r="F6" s="17">
        <v>3777</v>
      </c>
      <c r="G6" s="17">
        <v>9738</v>
      </c>
      <c r="H6" s="2">
        <v>9937</v>
      </c>
      <c r="I6" s="19">
        <v>2180</v>
      </c>
      <c r="J6" s="8">
        <f>SUM(SupremeCourtJustice7[[#This Row],[Yates County Vote Results]],SupremeCourtJustice7[[#This Row],[Wayne County Vote Results]],SupremeCourtJustice7[[#This Row],[Steuben County Vote Results]],SupremeCourtJustice7[[#This Row],[Seneca County Vote Results]],SupremeCourtJustice7[[#This Row],[Ontario County Vote Results]],SupremeCourtJustice7[[#This Row],[Monroe County Vote Results]],SupremeCourtJustice7[[#This Row],[Livingston County Vote Results]],SupremeCourtJustice7[[#This Row],[Cayuga County Vote Results]],)</f>
        <v>105819</v>
      </c>
      <c r="K6" s="9">
        <f>SUM(J6,J8)</f>
        <v>135817</v>
      </c>
    </row>
    <row r="7" spans="1:11" x14ac:dyDescent="0.2">
      <c r="A7" s="3" t="s">
        <v>82</v>
      </c>
      <c r="B7" s="17">
        <v>1763</v>
      </c>
      <c r="C7" s="17">
        <v>1718</v>
      </c>
      <c r="D7" s="17">
        <v>18342</v>
      </c>
      <c r="E7" s="17">
        <v>2786</v>
      </c>
      <c r="F7" s="17">
        <v>635</v>
      </c>
      <c r="G7" s="17">
        <v>1248</v>
      </c>
      <c r="H7" s="2">
        <v>2880</v>
      </c>
      <c r="I7" s="2">
        <v>389</v>
      </c>
      <c r="J7" s="8">
        <f>SUM(SupremeCourtJustice7[[#This Row],[Yates County Vote Results]],SupremeCourtJustice7[[#This Row],[Wayne County Vote Results]],SupremeCourtJustice7[[#This Row],[Steuben County Vote Results]],SupremeCourtJustice7[[#This Row],[Seneca County Vote Results]],SupremeCourtJustice7[[#This Row],[Ontario County Vote Results]],SupremeCourtJustice7[[#This Row],[Monroe County Vote Results]],SupremeCourtJustice7[[#This Row],[Livingston County Vote Results]],SupremeCourtJustice7[[#This Row],[Cayuga County Vote Results]],)</f>
        <v>29761</v>
      </c>
      <c r="K7" s="41"/>
    </row>
    <row r="8" spans="1:11" x14ac:dyDescent="0.2">
      <c r="A8" s="3" t="s">
        <v>83</v>
      </c>
      <c r="B8" s="17">
        <v>2003</v>
      </c>
      <c r="C8" s="17">
        <v>1688</v>
      </c>
      <c r="D8" s="17">
        <v>18194</v>
      </c>
      <c r="E8" s="17">
        <v>2807</v>
      </c>
      <c r="F8" s="17">
        <v>668</v>
      </c>
      <c r="G8" s="17">
        <v>1352</v>
      </c>
      <c r="H8" s="2">
        <v>2897</v>
      </c>
      <c r="I8" s="2">
        <v>389</v>
      </c>
      <c r="J8" s="8">
        <f>SUM(SupremeCourtJustice7[[#This Row],[Yates County Vote Results]],SupremeCourtJustice7[[#This Row],[Wayne County Vote Results]],SupremeCourtJustice7[[#This Row],[Steuben County Vote Results]],SupremeCourtJustice7[[#This Row],[Seneca County Vote Results]],SupremeCourtJustice7[[#This Row],[Ontario County Vote Results]],SupremeCourtJustice7[[#This Row],[Monroe County Vote Results]],SupremeCourtJustice7[[#This Row],[Livingston County Vote Results]],SupremeCourtJustice7[[#This Row],[Cayuga County Vote Results]],)</f>
        <v>29998</v>
      </c>
      <c r="K8" s="41"/>
    </row>
    <row r="9" spans="1:11" x14ac:dyDescent="0.2">
      <c r="A9" s="3" t="s">
        <v>84</v>
      </c>
      <c r="B9" s="17">
        <v>573</v>
      </c>
      <c r="C9" s="17">
        <v>330</v>
      </c>
      <c r="D9" s="17">
        <v>6523</v>
      </c>
      <c r="E9" s="17">
        <v>550</v>
      </c>
      <c r="F9" s="17">
        <v>227</v>
      </c>
      <c r="G9" s="17">
        <v>415</v>
      </c>
      <c r="H9" s="2">
        <v>406</v>
      </c>
      <c r="I9" s="2">
        <v>95</v>
      </c>
      <c r="J9" s="8">
        <f>SUM(SupremeCourtJustice7[[#This Row],[Yates County Vote Results]],SupremeCourtJustice7[[#This Row],[Wayne County Vote Results]],SupremeCourtJustice7[[#This Row],[Steuben County Vote Results]],SupremeCourtJustice7[[#This Row],[Seneca County Vote Results]],SupremeCourtJustice7[[#This Row],[Ontario County Vote Results]],SupremeCourtJustice7[[#This Row],[Monroe County Vote Results]],SupremeCourtJustice7[[#This Row],[Livingston County Vote Results]],SupremeCourtJustice7[[#This Row],[Cayuga County Vote Results]],)</f>
        <v>9119</v>
      </c>
      <c r="K9" s="41"/>
    </row>
    <row r="10" spans="1:11" x14ac:dyDescent="0.2">
      <c r="A10" s="3" t="s">
        <v>85</v>
      </c>
      <c r="B10" s="17">
        <v>470</v>
      </c>
      <c r="C10" s="17">
        <v>319</v>
      </c>
      <c r="D10" s="17">
        <v>6646</v>
      </c>
      <c r="E10" s="17">
        <v>578</v>
      </c>
      <c r="F10" s="17">
        <v>200</v>
      </c>
      <c r="G10" s="17">
        <v>432</v>
      </c>
      <c r="H10" s="2">
        <v>373</v>
      </c>
      <c r="I10" s="18">
        <v>90</v>
      </c>
      <c r="J10" s="8">
        <f>SUM(SupremeCourtJustice7[[#This Row],[Yates County Vote Results]],SupremeCourtJustice7[[#This Row],[Wayne County Vote Results]],SupremeCourtJustice7[[#This Row],[Steuben County Vote Results]],SupremeCourtJustice7[[#This Row],[Seneca County Vote Results]],SupremeCourtJustice7[[#This Row],[Ontario County Vote Results]],SupremeCourtJustice7[[#This Row],[Monroe County Vote Results]],SupremeCourtJustice7[[#This Row],[Livingston County Vote Results]],SupremeCourtJustice7[[#This Row],[Cayuga County Vote Results]],)</f>
        <v>9108</v>
      </c>
      <c r="K10" s="39"/>
    </row>
    <row r="11" spans="1:11" x14ac:dyDescent="0.2">
      <c r="A11" s="3" t="s">
        <v>7</v>
      </c>
      <c r="B11" s="16">
        <v>4552</v>
      </c>
      <c r="C11" s="16">
        <v>2447</v>
      </c>
      <c r="D11" s="16">
        <v>20929</v>
      </c>
      <c r="E11" s="16">
        <v>3803</v>
      </c>
      <c r="F11" s="16">
        <v>1890</v>
      </c>
      <c r="G11" s="16">
        <v>4950</v>
      </c>
      <c r="H11" s="2">
        <v>3559</v>
      </c>
      <c r="I11" s="2">
        <v>1013</v>
      </c>
      <c r="J11" s="8">
        <f>SUM(SupremeCourtJustice7[[#This Row],[Yates County Vote Results]],SupremeCourtJustice7[[#This Row],[Wayne County Vote Results]],SupremeCourtJustice7[[#This Row],[Steuben County Vote Results]],SupremeCourtJustice7[[#This Row],[Seneca County Vote Results]],SupremeCourtJustice7[[#This Row],[Ontario County Vote Results]],SupremeCourtJustice7[[#This Row],[Monroe County Vote Results]],SupremeCourtJustice7[[#This Row],[Livingston County Vote Results]],SupremeCourtJustice7[[#This Row],[Cayuga County Vote Results]],)</f>
        <v>43143</v>
      </c>
      <c r="K11" s="39"/>
    </row>
    <row r="12" spans="1:11" x14ac:dyDescent="0.2">
      <c r="A12" s="3" t="s">
        <v>8</v>
      </c>
      <c r="B12" s="16">
        <v>90</v>
      </c>
      <c r="C12" s="16">
        <v>38</v>
      </c>
      <c r="D12" s="16">
        <v>176</v>
      </c>
      <c r="E12" s="16">
        <v>48</v>
      </c>
      <c r="F12" s="16">
        <v>24</v>
      </c>
      <c r="G12" s="16">
        <v>57</v>
      </c>
      <c r="H12" s="2">
        <v>52</v>
      </c>
      <c r="I12" s="2">
        <v>14</v>
      </c>
      <c r="J12" s="8">
        <f>SUM(SupremeCourtJustice7[[#This Row],[Yates County Vote Results]],SupremeCourtJustice7[[#This Row],[Wayne County Vote Results]],SupremeCourtJustice7[[#This Row],[Steuben County Vote Results]],SupremeCourtJustice7[[#This Row],[Seneca County Vote Results]],SupremeCourtJustice7[[#This Row],[Ontario County Vote Results]],SupremeCourtJustice7[[#This Row],[Monroe County Vote Results]],SupremeCourtJustice7[[#This Row],[Livingston County Vote Results]],SupremeCourtJustice7[[#This Row],[Cayuga County Vote Results]],)</f>
        <v>499</v>
      </c>
      <c r="K12" s="39"/>
    </row>
    <row r="13" spans="1:11" x14ac:dyDescent="0.2">
      <c r="A13" s="3" t="s">
        <v>9</v>
      </c>
      <c r="B13" s="16">
        <v>17</v>
      </c>
      <c r="C13" s="16">
        <v>6</v>
      </c>
      <c r="D13" s="16">
        <v>72</v>
      </c>
      <c r="E13" s="16">
        <v>10</v>
      </c>
      <c r="F13" s="16">
        <v>6</v>
      </c>
      <c r="G13" s="16">
        <v>6</v>
      </c>
      <c r="H13" s="2">
        <v>8</v>
      </c>
      <c r="I13" s="2">
        <v>3</v>
      </c>
      <c r="J13" s="8">
        <f>SUM(SupremeCourtJustice7[[#This Row],[Yates County Vote Results]],SupremeCourtJustice7[[#This Row],[Wayne County Vote Results]],SupremeCourtJustice7[[#This Row],[Steuben County Vote Results]],SupremeCourtJustice7[[#This Row],[Seneca County Vote Results]],SupremeCourtJustice7[[#This Row],[Ontario County Vote Results]],SupremeCourtJustice7[[#This Row],[Monroe County Vote Results]],SupremeCourtJustice7[[#This Row],[Livingston County Vote Results]],SupremeCourtJustice7[[#This Row],[Cayuga County Vote Results]],)</f>
        <v>128</v>
      </c>
      <c r="K13" s="39"/>
    </row>
    <row r="14" spans="1:11" x14ac:dyDescent="0.2">
      <c r="A14" s="11" t="s">
        <v>10</v>
      </c>
      <c r="B14" s="2">
        <f>SUM(SupremeCourtJustice7[Cayuga County Vote Results])</f>
        <v>34490</v>
      </c>
      <c r="C14" s="2">
        <f>SUM(SupremeCourtJustice7[Livingston County Vote Results])</f>
        <v>26332</v>
      </c>
      <c r="D14" s="2">
        <f>SUM(SupremeCourtJustice7[Monroe County Vote Results])</f>
        <v>291442</v>
      </c>
      <c r="E14" s="2">
        <f>SUM(SupremeCourtJustice7[Ontario County Vote Results])</f>
        <v>42996</v>
      </c>
      <c r="F14" s="2">
        <f>SUM(SupremeCourtJustice7[Seneca County Vote Results])</f>
        <v>14658</v>
      </c>
      <c r="G14" s="2">
        <f>SUM(SupremeCourtJustice7[Steuben County Vote Results])</f>
        <v>33292</v>
      </c>
      <c r="H14" s="2">
        <f>SUM(SupremeCourtJustice7[Wayne County Vote Results])</f>
        <v>37154</v>
      </c>
      <c r="I14" s="2">
        <f>SUM(SupremeCourtJustice7[Yates County Vote Results])</f>
        <v>8450</v>
      </c>
      <c r="J14" s="8">
        <f>SUM(SupremeCourtJustice7[Total Votes by Party])</f>
        <v>488814</v>
      </c>
      <c r="K14" s="39"/>
    </row>
  </sheetData>
  <pageMargins left="0.25" right="0.25" top="0.25" bottom="0.25" header="0.25" footer="0.25"/>
  <pageSetup paperSize="5" scale="88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3F788-3C13-47C5-A88D-A33B2FB35EA4}">
  <sheetPr codeName="Sheet7">
    <pageSetUpPr fitToPage="1"/>
  </sheetPr>
  <dimension ref="A1:K20"/>
  <sheetViews>
    <sheetView zoomScaleNormal="100" workbookViewId="0">
      <selection activeCell="G34" sqref="G34"/>
    </sheetView>
  </sheetViews>
  <sheetFormatPr defaultColWidth="17.42578125" defaultRowHeight="12.75" x14ac:dyDescent="0.2"/>
  <cols>
    <col min="1" max="1" width="21.7109375" customWidth="1"/>
    <col min="2" max="4" width="15.85546875" customWidth="1"/>
    <col min="5" max="5" width="14.42578125" customWidth="1"/>
    <col min="6" max="9" width="15.85546875" customWidth="1"/>
    <col min="11" max="11" width="21.140625" customWidth="1"/>
  </cols>
  <sheetData>
    <row r="1" spans="1:11" ht="24.75" customHeight="1" x14ac:dyDescent="0.2">
      <c r="A1" s="26" t="s">
        <v>86</v>
      </c>
    </row>
    <row r="2" spans="1:11" ht="38.25" x14ac:dyDescent="0.2">
      <c r="A2" s="37" t="s">
        <v>1</v>
      </c>
      <c r="B2" s="5" t="s">
        <v>87</v>
      </c>
      <c r="C2" s="5" t="s">
        <v>88</v>
      </c>
      <c r="D2" s="5" t="s">
        <v>89</v>
      </c>
      <c r="E2" s="5" t="s">
        <v>187</v>
      </c>
      <c r="F2" s="5" t="s">
        <v>90</v>
      </c>
      <c r="G2" s="5" t="s">
        <v>91</v>
      </c>
      <c r="H2" s="5" t="s">
        <v>92</v>
      </c>
      <c r="I2" s="5" t="s">
        <v>93</v>
      </c>
      <c r="J2" s="6" t="s">
        <v>3</v>
      </c>
      <c r="K2" s="7" t="s">
        <v>4</v>
      </c>
    </row>
    <row r="3" spans="1:11" x14ac:dyDescent="0.2">
      <c r="A3" s="1" t="s">
        <v>94</v>
      </c>
      <c r="B3" s="17">
        <v>1652</v>
      </c>
      <c r="C3" s="17">
        <v>2648</v>
      </c>
      <c r="D3" s="17">
        <v>7633</v>
      </c>
      <c r="E3" s="17">
        <v>94313</v>
      </c>
      <c r="F3" s="17">
        <v>2033</v>
      </c>
      <c r="G3" s="17">
        <v>11531</v>
      </c>
      <c r="H3" s="17">
        <v>984</v>
      </c>
      <c r="I3" s="19">
        <v>1095</v>
      </c>
      <c r="J3" s="8">
        <f>SUM(SupremeCourtJustice8[[#This Row],[Wyoming County Vote Results]],SupremeCourtJustice8[[#This Row],[Orleans County Vote Results]],SupremeCourtJustice8[[#This Row],[Niagara County Vote Results]],SupremeCourtJustice8[[#This Row],[Genesee County Vote Results]],SupremeCourtJustice8[[#This Row],[Erie County 
Vote Results]],SupremeCourtJustice8[[#This Row],[Chautauqua County Vote Results]],SupremeCourtJustice8[[#This Row],[Cattaraugus County Vote Results]],SupremeCourtJustice8[[#This Row],[Allegany County Vote Results]])</f>
        <v>121889</v>
      </c>
      <c r="K3" s="9">
        <f>SUM(SupremeCourtJustice8[[#This Row],[Total Votes by Party]],J7,J11,J15)</f>
        <v>285994</v>
      </c>
    </row>
    <row r="4" spans="1:11" x14ac:dyDescent="0.2">
      <c r="A4" s="1" t="s">
        <v>95</v>
      </c>
      <c r="B4" s="17">
        <v>1441</v>
      </c>
      <c r="C4" s="17">
        <v>2351</v>
      </c>
      <c r="D4" s="17">
        <v>6137</v>
      </c>
      <c r="E4" s="17">
        <v>87505</v>
      </c>
      <c r="F4" s="17">
        <v>1815</v>
      </c>
      <c r="G4" s="17">
        <v>10702</v>
      </c>
      <c r="H4" s="17">
        <v>860</v>
      </c>
      <c r="I4" s="19">
        <v>1050</v>
      </c>
      <c r="J4" s="8">
        <f>SUM(SupremeCourtJustice8[[#This Row],[Wyoming County Vote Results]],SupremeCourtJustice8[[#This Row],[Orleans County Vote Results]],SupremeCourtJustice8[[#This Row],[Niagara County Vote Results]],SupremeCourtJustice8[[#This Row],[Genesee County Vote Results]],SupremeCourtJustice8[[#This Row],[Erie County 
Vote Results]],SupremeCourtJustice8[[#This Row],[Chautauqua County Vote Results]],SupremeCourtJustice8[[#This Row],[Cattaraugus County Vote Results]],SupremeCourtJustice8[[#This Row],[Allegany County Vote Results]])</f>
        <v>111861</v>
      </c>
      <c r="K4" s="9">
        <f>SUM(SupremeCourtJustice8[[#This Row],[Total Votes by Party]],J8,J12,J16)</f>
        <v>274861</v>
      </c>
    </row>
    <row r="5" spans="1:11" x14ac:dyDescent="0.2">
      <c r="A5" s="1" t="s">
        <v>96</v>
      </c>
      <c r="B5" s="17">
        <v>1502</v>
      </c>
      <c r="C5" s="17">
        <v>2441</v>
      </c>
      <c r="D5" s="17">
        <v>6359</v>
      </c>
      <c r="E5" s="17">
        <v>91502</v>
      </c>
      <c r="F5" s="17">
        <v>1862</v>
      </c>
      <c r="G5" s="17">
        <v>10719</v>
      </c>
      <c r="H5" s="17">
        <v>854</v>
      </c>
      <c r="I5" s="18">
        <v>1092</v>
      </c>
      <c r="J5" s="8">
        <f>SUM(SupremeCourtJustice8[[#This Row],[Wyoming County Vote Results]],SupremeCourtJustice8[[#This Row],[Orleans County Vote Results]],SupremeCourtJustice8[[#This Row],[Niagara County Vote Results]],SupremeCourtJustice8[[#This Row],[Genesee County Vote Results]],SupremeCourtJustice8[[#This Row],[Erie County 
Vote Results]],SupremeCourtJustice8[[#This Row],[Chautauqua County Vote Results]],SupremeCourtJustice8[[#This Row],[Cattaraugus County Vote Results]],SupremeCourtJustice8[[#This Row],[Allegany County Vote Results]])</f>
        <v>116331</v>
      </c>
      <c r="K5" s="9">
        <f>SUM(SupremeCourtJustice8[[#This Row],[Total Votes by Party]],J9,J13)</f>
        <v>269055</v>
      </c>
    </row>
    <row r="6" spans="1:11" x14ac:dyDescent="0.2">
      <c r="A6" s="3" t="s">
        <v>97</v>
      </c>
      <c r="B6" s="17">
        <v>1463</v>
      </c>
      <c r="C6" s="17">
        <v>2422</v>
      </c>
      <c r="D6" s="17">
        <v>6220</v>
      </c>
      <c r="E6" s="17">
        <v>90519</v>
      </c>
      <c r="F6" s="17">
        <v>1843</v>
      </c>
      <c r="G6" s="17">
        <v>10155</v>
      </c>
      <c r="H6" s="17">
        <v>859</v>
      </c>
      <c r="I6" s="2">
        <v>1088</v>
      </c>
      <c r="J6" s="8">
        <f>SUM(SupremeCourtJustice8[[#This Row],[Wyoming County Vote Results]],SupremeCourtJustice8[[#This Row],[Orleans County Vote Results]],SupremeCourtJustice8[[#This Row],[Niagara County Vote Results]],SupremeCourtJustice8[[#This Row],[Genesee County Vote Results]],SupremeCourtJustice8[[#This Row],[Erie County 
Vote Results]],SupremeCourtJustice8[[#This Row],[Chautauqua County Vote Results]],SupremeCourtJustice8[[#This Row],[Cattaraugus County Vote Results]],SupremeCourtJustice8[[#This Row],[Allegany County Vote Results]])</f>
        <v>114569</v>
      </c>
      <c r="K6" s="9">
        <f>SUM(SupremeCourtJustice8[[#This Row],[Total Votes by Party]],J10,J14)</f>
        <v>263880</v>
      </c>
    </row>
    <row r="7" spans="1:11" x14ac:dyDescent="0.2">
      <c r="A7" s="3" t="s">
        <v>98</v>
      </c>
      <c r="B7" s="17">
        <v>4861</v>
      </c>
      <c r="C7" s="17">
        <v>6061</v>
      </c>
      <c r="D7" s="17">
        <v>11454</v>
      </c>
      <c r="E7" s="17">
        <v>64628</v>
      </c>
      <c r="F7" s="17">
        <v>5410</v>
      </c>
      <c r="G7" s="17">
        <v>16187</v>
      </c>
      <c r="H7" s="17">
        <v>3585</v>
      </c>
      <c r="I7" s="2">
        <v>4321</v>
      </c>
      <c r="J7" s="8">
        <f>SUM(SupremeCourtJustice8[[#This Row],[Wyoming County Vote Results]],SupremeCourtJustice8[[#This Row],[Orleans County Vote Results]],SupremeCourtJustice8[[#This Row],[Niagara County Vote Results]],SupremeCourtJustice8[[#This Row],[Genesee County Vote Results]],SupremeCourtJustice8[[#This Row],[Erie County 
Vote Results]],SupremeCourtJustice8[[#This Row],[Chautauqua County Vote Results]],SupremeCourtJustice8[[#This Row],[Cattaraugus County Vote Results]],SupremeCourtJustice8[[#This Row],[Allegany County Vote Results]])</f>
        <v>116507</v>
      </c>
      <c r="K7" s="41"/>
    </row>
    <row r="8" spans="1:11" x14ac:dyDescent="0.2">
      <c r="A8" s="3" t="s">
        <v>99</v>
      </c>
      <c r="B8" s="17">
        <v>4640</v>
      </c>
      <c r="C8" s="17">
        <v>5810</v>
      </c>
      <c r="D8" s="17">
        <v>10385</v>
      </c>
      <c r="E8" s="17">
        <v>65528</v>
      </c>
      <c r="F8" s="17">
        <v>5307</v>
      </c>
      <c r="G8" s="17">
        <v>16098</v>
      </c>
      <c r="H8" s="17">
        <v>3281</v>
      </c>
      <c r="I8" s="2">
        <v>4259</v>
      </c>
      <c r="J8" s="8">
        <f>SUM(SupremeCourtJustice8[[#This Row],[Wyoming County Vote Results]],SupremeCourtJustice8[[#This Row],[Orleans County Vote Results]],SupremeCourtJustice8[[#This Row],[Niagara County Vote Results]],SupremeCourtJustice8[[#This Row],[Genesee County Vote Results]],SupremeCourtJustice8[[#This Row],[Erie County 
Vote Results]],SupremeCourtJustice8[[#This Row],[Chautauqua County Vote Results]],SupremeCourtJustice8[[#This Row],[Cattaraugus County Vote Results]],SupremeCourtJustice8[[#This Row],[Allegany County Vote Results]])</f>
        <v>115308</v>
      </c>
      <c r="K8" s="41"/>
    </row>
    <row r="9" spans="1:11" x14ac:dyDescent="0.2">
      <c r="A9" s="3" t="s">
        <v>100</v>
      </c>
      <c r="B9" s="17">
        <v>4534</v>
      </c>
      <c r="C9" s="17">
        <v>6001</v>
      </c>
      <c r="D9" s="17">
        <v>10483</v>
      </c>
      <c r="E9" s="17">
        <v>65665</v>
      </c>
      <c r="F9" s="17">
        <v>5131</v>
      </c>
      <c r="G9" s="17">
        <v>15833</v>
      </c>
      <c r="H9" s="17">
        <v>3238</v>
      </c>
      <c r="I9" s="2">
        <v>4273</v>
      </c>
      <c r="J9" s="8">
        <f>SUM(SupremeCourtJustice8[[#This Row],[Wyoming County Vote Results]],SupremeCourtJustice8[[#This Row],[Orleans County Vote Results]],SupremeCourtJustice8[[#This Row],[Niagara County Vote Results]],SupremeCourtJustice8[[#This Row],[Genesee County Vote Results]],SupremeCourtJustice8[[#This Row],[Erie County 
Vote Results]],SupremeCourtJustice8[[#This Row],[Chautauqua County Vote Results]],SupremeCourtJustice8[[#This Row],[Cattaraugus County Vote Results]],SupremeCourtJustice8[[#This Row],[Allegany County Vote Results]])</f>
        <v>115158</v>
      </c>
      <c r="K9" s="41"/>
    </row>
    <row r="10" spans="1:11" x14ac:dyDescent="0.2">
      <c r="A10" s="3" t="s">
        <v>101</v>
      </c>
      <c r="B10" s="17">
        <v>4580</v>
      </c>
      <c r="C10" s="17">
        <v>5844</v>
      </c>
      <c r="D10" s="17">
        <v>10298</v>
      </c>
      <c r="E10" s="17">
        <v>64168</v>
      </c>
      <c r="F10" s="17">
        <v>5052</v>
      </c>
      <c r="G10" s="17">
        <v>15189</v>
      </c>
      <c r="H10" s="17">
        <v>3198</v>
      </c>
      <c r="I10" s="2">
        <v>4241</v>
      </c>
      <c r="J10" s="8">
        <f>SUM(SupremeCourtJustice8[[#This Row],[Wyoming County Vote Results]],SupremeCourtJustice8[[#This Row],[Orleans County Vote Results]],SupremeCourtJustice8[[#This Row],[Niagara County Vote Results]],SupremeCourtJustice8[[#This Row],[Genesee County Vote Results]],SupremeCourtJustice8[[#This Row],[Erie County 
Vote Results]],SupremeCourtJustice8[[#This Row],[Chautauqua County Vote Results]],SupremeCourtJustice8[[#This Row],[Cattaraugus County Vote Results]],SupremeCourtJustice8[[#This Row],[Allegany County Vote Results]])</f>
        <v>112570</v>
      </c>
      <c r="K10" s="41"/>
    </row>
    <row r="11" spans="1:11" x14ac:dyDescent="0.2">
      <c r="A11" s="3" t="s">
        <v>102</v>
      </c>
      <c r="B11" s="17">
        <v>679</v>
      </c>
      <c r="C11" s="17">
        <v>1204</v>
      </c>
      <c r="D11" s="17">
        <v>2502</v>
      </c>
      <c r="E11" s="17">
        <v>22324</v>
      </c>
      <c r="F11" s="17">
        <v>1411</v>
      </c>
      <c r="G11" s="17">
        <v>4716</v>
      </c>
      <c r="H11" s="17">
        <v>757</v>
      </c>
      <c r="I11" s="2">
        <v>888</v>
      </c>
      <c r="J11" s="8">
        <f>SUM(SupremeCourtJustice8[[#This Row],[Wyoming County Vote Results]],SupremeCourtJustice8[[#This Row],[Orleans County Vote Results]],SupremeCourtJustice8[[#This Row],[Niagara County Vote Results]],SupremeCourtJustice8[[#This Row],[Genesee County Vote Results]],SupremeCourtJustice8[[#This Row],[Erie County 
Vote Results]],SupremeCourtJustice8[[#This Row],[Chautauqua County Vote Results]],SupremeCourtJustice8[[#This Row],[Cattaraugus County Vote Results]],SupremeCourtJustice8[[#This Row],[Allegany County Vote Results]])</f>
        <v>34481</v>
      </c>
      <c r="K11" s="41"/>
    </row>
    <row r="12" spans="1:11" x14ac:dyDescent="0.2">
      <c r="A12" s="3" t="s">
        <v>103</v>
      </c>
      <c r="B12" s="17">
        <v>690</v>
      </c>
      <c r="C12" s="17">
        <v>1188</v>
      </c>
      <c r="D12" s="17">
        <v>2317</v>
      </c>
      <c r="E12" s="17">
        <v>22962</v>
      </c>
      <c r="F12" s="17">
        <v>1395</v>
      </c>
      <c r="G12" s="17">
        <v>4822</v>
      </c>
      <c r="H12" s="17">
        <v>728</v>
      </c>
      <c r="I12" s="2">
        <v>907</v>
      </c>
      <c r="J12" s="8">
        <f>SUM(SupremeCourtJustice8[[#This Row],[Wyoming County Vote Results]],SupremeCourtJustice8[[#This Row],[Orleans County Vote Results]],SupremeCourtJustice8[[#This Row],[Niagara County Vote Results]],SupremeCourtJustice8[[#This Row],[Genesee County Vote Results]],SupremeCourtJustice8[[#This Row],[Erie County 
Vote Results]],SupremeCourtJustice8[[#This Row],[Chautauqua County Vote Results]],SupremeCourtJustice8[[#This Row],[Cattaraugus County Vote Results]],SupremeCourtJustice8[[#This Row],[Allegany County Vote Results]])</f>
        <v>35009</v>
      </c>
      <c r="K12" s="41"/>
    </row>
    <row r="13" spans="1:11" x14ac:dyDescent="0.2">
      <c r="A13" s="3" t="s">
        <v>104</v>
      </c>
      <c r="B13" s="17">
        <v>777</v>
      </c>
      <c r="C13" s="17">
        <v>1312</v>
      </c>
      <c r="D13" s="17">
        <v>2506</v>
      </c>
      <c r="E13" s="17">
        <v>24758</v>
      </c>
      <c r="F13" s="17">
        <v>1461</v>
      </c>
      <c r="G13" s="17">
        <v>5050</v>
      </c>
      <c r="H13" s="17">
        <v>760</v>
      </c>
      <c r="I13" s="2">
        <v>942</v>
      </c>
      <c r="J13" s="8">
        <f>SUM(SupremeCourtJustice8[[#This Row],[Wyoming County Vote Results]],SupremeCourtJustice8[[#This Row],[Orleans County Vote Results]],SupremeCourtJustice8[[#This Row],[Niagara County Vote Results]],SupremeCourtJustice8[[#This Row],[Genesee County Vote Results]],SupremeCourtJustice8[[#This Row],[Erie County 
Vote Results]],SupremeCourtJustice8[[#This Row],[Chautauqua County Vote Results]],SupremeCourtJustice8[[#This Row],[Cattaraugus County Vote Results]],SupremeCourtJustice8[[#This Row],[Allegany County Vote Results]])</f>
        <v>37566</v>
      </c>
      <c r="K13" s="41"/>
    </row>
    <row r="14" spans="1:11" x14ac:dyDescent="0.2">
      <c r="A14" s="3" t="s">
        <v>105</v>
      </c>
      <c r="B14" s="17">
        <v>738</v>
      </c>
      <c r="C14" s="17">
        <v>1295</v>
      </c>
      <c r="D14" s="17">
        <v>2407</v>
      </c>
      <c r="E14" s="17">
        <v>24293</v>
      </c>
      <c r="F14" s="17">
        <v>1418</v>
      </c>
      <c r="G14" s="17">
        <v>4904</v>
      </c>
      <c r="H14" s="17">
        <v>749</v>
      </c>
      <c r="I14" s="2">
        <v>937</v>
      </c>
      <c r="J14" s="8">
        <f>SUM(SupremeCourtJustice8[[#This Row],[Wyoming County Vote Results]],SupremeCourtJustice8[[#This Row],[Orleans County Vote Results]],SupremeCourtJustice8[[#This Row],[Niagara County Vote Results]],SupremeCourtJustice8[[#This Row],[Genesee County Vote Results]],SupremeCourtJustice8[[#This Row],[Erie County 
Vote Results]],SupremeCourtJustice8[[#This Row],[Chautauqua County Vote Results]],SupremeCourtJustice8[[#This Row],[Cattaraugus County Vote Results]],SupremeCourtJustice8[[#This Row],[Allegany County Vote Results]])</f>
        <v>36741</v>
      </c>
      <c r="K14" s="41"/>
    </row>
    <row r="15" spans="1:11" x14ac:dyDescent="0.2">
      <c r="A15" s="3" t="s">
        <v>106</v>
      </c>
      <c r="B15" s="17">
        <v>213</v>
      </c>
      <c r="C15" s="17">
        <v>273</v>
      </c>
      <c r="D15" s="17">
        <v>717</v>
      </c>
      <c r="E15" s="17">
        <v>10193</v>
      </c>
      <c r="F15" s="17">
        <v>240</v>
      </c>
      <c r="G15" s="17">
        <v>1237</v>
      </c>
      <c r="H15" s="17">
        <v>110</v>
      </c>
      <c r="I15" s="2">
        <v>134</v>
      </c>
      <c r="J15" s="8">
        <f>SUM(SupremeCourtJustice8[[#This Row],[Wyoming County Vote Results]],SupremeCourtJustice8[[#This Row],[Orleans County Vote Results]],SupremeCourtJustice8[[#This Row],[Niagara County Vote Results]],SupremeCourtJustice8[[#This Row],[Genesee County Vote Results]],SupremeCourtJustice8[[#This Row],[Erie County 
Vote Results]],SupremeCourtJustice8[[#This Row],[Chautauqua County Vote Results]],SupremeCourtJustice8[[#This Row],[Cattaraugus County Vote Results]],SupremeCourtJustice8[[#This Row],[Allegany County Vote Results]])</f>
        <v>13117</v>
      </c>
      <c r="K15" s="41"/>
    </row>
    <row r="16" spans="1:11" x14ac:dyDescent="0.2">
      <c r="A16" s="1" t="s">
        <v>107</v>
      </c>
      <c r="B16" s="17">
        <v>190</v>
      </c>
      <c r="C16" s="17">
        <v>258</v>
      </c>
      <c r="D16" s="17">
        <v>641</v>
      </c>
      <c r="E16" s="17">
        <v>9943</v>
      </c>
      <c r="F16" s="17">
        <v>230</v>
      </c>
      <c r="G16" s="17">
        <v>1201</v>
      </c>
      <c r="H16" s="17">
        <v>103</v>
      </c>
      <c r="I16" s="18">
        <v>117</v>
      </c>
      <c r="J16" s="8">
        <f>SUM(SupremeCourtJustice8[[#This Row],[Wyoming County Vote Results]],SupremeCourtJustice8[[#This Row],[Orleans County Vote Results]],SupremeCourtJustice8[[#This Row],[Niagara County Vote Results]],SupremeCourtJustice8[[#This Row],[Genesee County Vote Results]],SupremeCourtJustice8[[#This Row],[Erie County 
Vote Results]],SupremeCourtJustice8[[#This Row],[Chautauqua County Vote Results]],SupremeCourtJustice8[[#This Row],[Cattaraugus County Vote Results]],SupremeCourtJustice8[[#This Row],[Allegany County Vote Results]])</f>
        <v>12683</v>
      </c>
      <c r="K16" s="39"/>
    </row>
    <row r="17" spans="1:11" x14ac:dyDescent="0.2">
      <c r="A17" s="3" t="s">
        <v>7</v>
      </c>
      <c r="B17" s="16">
        <v>8820</v>
      </c>
      <c r="C17" s="16">
        <v>10945</v>
      </c>
      <c r="D17" s="16">
        <v>22385</v>
      </c>
      <c r="E17" s="16">
        <v>206608</v>
      </c>
      <c r="F17" s="16">
        <v>8808</v>
      </c>
      <c r="G17" s="16">
        <v>43885</v>
      </c>
      <c r="H17" s="16">
        <v>7402</v>
      </c>
      <c r="I17" s="2">
        <v>4492</v>
      </c>
      <c r="J17" s="8">
        <f>SUM(SupremeCourtJustice8[[#This Row],[Wyoming County Vote Results]],SupremeCourtJustice8[[#This Row],[Orleans County Vote Results]],SupremeCourtJustice8[[#This Row],[Niagara County Vote Results]],SupremeCourtJustice8[[#This Row],[Genesee County Vote Results]],SupremeCourtJustice8[[#This Row],[Erie County 
Vote Results]],SupremeCourtJustice8[[#This Row],[Chautauqua County Vote Results]],SupremeCourtJustice8[[#This Row],[Cattaraugus County Vote Results]],SupremeCourtJustice8[[#This Row],[Allegany County Vote Results]])</f>
        <v>313345</v>
      </c>
      <c r="K17" s="39"/>
    </row>
    <row r="18" spans="1:11" x14ac:dyDescent="0.2">
      <c r="A18" s="3" t="s">
        <v>8</v>
      </c>
      <c r="B18" s="16">
        <v>3</v>
      </c>
      <c r="C18" s="16">
        <v>190</v>
      </c>
      <c r="D18" s="16">
        <v>4</v>
      </c>
      <c r="E18" s="16">
        <v>368</v>
      </c>
      <c r="F18" s="16">
        <v>14</v>
      </c>
      <c r="G18" s="16">
        <v>16</v>
      </c>
      <c r="H18" s="16">
        <v>28</v>
      </c>
      <c r="I18" s="2">
        <v>12</v>
      </c>
      <c r="J18" s="8">
        <f>SUM(SupremeCourtJustice8[[#This Row],[Wyoming County Vote Results]],SupremeCourtJustice8[[#This Row],[Orleans County Vote Results]],SupremeCourtJustice8[[#This Row],[Niagara County Vote Results]],SupremeCourtJustice8[[#This Row],[Genesee County Vote Results]],SupremeCourtJustice8[[#This Row],[Erie County 
Vote Results]],SupremeCourtJustice8[[#This Row],[Chautauqua County Vote Results]],SupremeCourtJustice8[[#This Row],[Cattaraugus County Vote Results]],SupremeCourtJustice8[[#This Row],[Allegany County Vote Results]])</f>
        <v>635</v>
      </c>
      <c r="K18" s="39"/>
    </row>
    <row r="19" spans="1:11" x14ac:dyDescent="0.2">
      <c r="A19" s="3" t="s">
        <v>9</v>
      </c>
      <c r="B19" s="16">
        <v>37</v>
      </c>
      <c r="C19" s="16">
        <v>29</v>
      </c>
      <c r="D19" s="16">
        <v>76</v>
      </c>
      <c r="E19" s="16">
        <v>3451</v>
      </c>
      <c r="F19" s="16">
        <v>50</v>
      </c>
      <c r="G19" s="16">
        <v>231</v>
      </c>
      <c r="H19" s="16">
        <v>16</v>
      </c>
      <c r="I19" s="2">
        <v>13</v>
      </c>
      <c r="J19" s="8">
        <f>SUM(SupremeCourtJustice8[[#This Row],[Wyoming County Vote Results]],SupremeCourtJustice8[[#This Row],[Orleans County Vote Results]],SupremeCourtJustice8[[#This Row],[Niagara County Vote Results]],SupremeCourtJustice8[[#This Row],[Genesee County Vote Results]],SupremeCourtJustice8[[#This Row],[Erie County 
Vote Results]],SupremeCourtJustice8[[#This Row],[Chautauqua County Vote Results]],SupremeCourtJustice8[[#This Row],[Cattaraugus County Vote Results]],SupremeCourtJustice8[[#This Row],[Allegany County Vote Results]])</f>
        <v>3903</v>
      </c>
      <c r="K19" s="39"/>
    </row>
    <row r="20" spans="1:11" x14ac:dyDescent="0.2">
      <c r="A20" s="11" t="s">
        <v>10</v>
      </c>
      <c r="B20" s="2">
        <f>SUM(SupremeCourtJustice8[Allegany County Vote Results])</f>
        <v>36820</v>
      </c>
      <c r="C20" s="2">
        <f>SUM(SupremeCourtJustice8[Cattaraugus County Vote Results])</f>
        <v>50272</v>
      </c>
      <c r="D20" s="2">
        <f>SUM(SupremeCourtJustice8[Chautauqua County Vote Results])</f>
        <v>102524</v>
      </c>
      <c r="E20" s="2">
        <f>SUM(SupremeCourtJustice8[Erie County 
Vote Results])</f>
        <v>948728</v>
      </c>
      <c r="F20" s="2">
        <f>SUM(SupremeCourtJustice8[Genesee County Vote Results])</f>
        <v>43480</v>
      </c>
      <c r="G20" s="2">
        <f>SUM(SupremeCourtJustice8[Niagara County Vote Results])</f>
        <v>172476</v>
      </c>
      <c r="H20" s="2">
        <f>SUM(SupremeCourtJustice8[Orleans County Vote Results])</f>
        <v>27512</v>
      </c>
      <c r="I20" s="2">
        <f>SUM(SupremeCourtJustice8[Wyoming County Vote Results])</f>
        <v>29861</v>
      </c>
      <c r="J20" s="8">
        <f>SUM(SupremeCourtJustice8[Total Votes by Party])</f>
        <v>1411673</v>
      </c>
      <c r="K20" s="39"/>
    </row>
  </sheetData>
  <pageMargins left="0.25" right="0.25" top="0.25" bottom="0.25" header="0.25" footer="0.25"/>
  <pageSetup paperSize="5" scale="94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FB10B-F02B-48E6-9694-0A982CCEEB9E}">
  <sheetPr codeName="Sheet8">
    <pageSetUpPr fitToPage="1"/>
  </sheetPr>
  <dimension ref="A1:H21"/>
  <sheetViews>
    <sheetView workbookViewId="0">
      <selection activeCell="E35" sqref="E35"/>
    </sheetView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8" ht="24.95" customHeight="1" x14ac:dyDescent="0.2">
      <c r="A1" s="26" t="s">
        <v>108</v>
      </c>
    </row>
    <row r="2" spans="1:8" ht="24.95" customHeight="1" x14ac:dyDescent="0.2">
      <c r="A2" s="37" t="s">
        <v>1</v>
      </c>
      <c r="B2" s="5" t="s">
        <v>109</v>
      </c>
      <c r="C2" s="5" t="s">
        <v>110</v>
      </c>
      <c r="D2" s="5" t="s">
        <v>111</v>
      </c>
      <c r="E2" s="5" t="s">
        <v>112</v>
      </c>
      <c r="F2" s="5" t="s">
        <v>113</v>
      </c>
      <c r="G2" s="6" t="s">
        <v>3</v>
      </c>
      <c r="H2" s="7" t="s">
        <v>4</v>
      </c>
    </row>
    <row r="3" spans="1:8" x14ac:dyDescent="0.2">
      <c r="A3" s="1" t="s">
        <v>114</v>
      </c>
      <c r="B3" s="17">
        <v>26736</v>
      </c>
      <c r="C3" s="17">
        <v>19639</v>
      </c>
      <c r="D3" s="17">
        <v>8031</v>
      </c>
      <c r="E3" s="17">
        <v>19262</v>
      </c>
      <c r="F3" s="17">
        <v>88286</v>
      </c>
      <c r="G3" s="8">
        <f>SUM(SupremeCourtJustice9[[#This Row],[Westchester County Vote Results]],SupremeCourtJustice9[[#This Row],[Rockland County Vote Results]],SupremeCourtJustice9[[#This Row],[Putnam County Vote Results]],SupremeCourtJustice9[[#This Row],[Orange County Vote Results]],SupremeCourtJustice9[[#This Row],[Dutchess County Vote Results]])</f>
        <v>161954</v>
      </c>
      <c r="H3" s="9">
        <f>SUM(SupremeCourtJustice9[[#This Row],[Total Votes by Party]],G8)</f>
        <v>293291</v>
      </c>
    </row>
    <row r="4" spans="1:8" x14ac:dyDescent="0.2">
      <c r="A4" s="1" t="s">
        <v>115</v>
      </c>
      <c r="B4" s="17">
        <v>25212</v>
      </c>
      <c r="C4" s="17">
        <v>18291</v>
      </c>
      <c r="D4" s="17">
        <v>7748</v>
      </c>
      <c r="E4" s="17">
        <v>18780</v>
      </c>
      <c r="F4" s="17">
        <v>85165</v>
      </c>
      <c r="G4" s="8">
        <f>SUM(SupremeCourtJustice9[[#This Row],[Westchester County Vote Results]],SupremeCourtJustice9[[#This Row],[Rockland County Vote Results]],SupremeCourtJustice9[[#This Row],[Putnam County Vote Results]],SupremeCourtJustice9[[#This Row],[Orange County Vote Results]],SupremeCourtJustice9[[#This Row],[Dutchess County Vote Results]])</f>
        <v>155196</v>
      </c>
      <c r="H4" s="9">
        <f>SUM(SupremeCourtJustice9[[#This Row],[Total Votes by Party]],G9,G13)</f>
        <v>305522</v>
      </c>
    </row>
    <row r="5" spans="1:8" x14ac:dyDescent="0.2">
      <c r="A5" s="1" t="s">
        <v>116</v>
      </c>
      <c r="B5" s="17">
        <v>25992</v>
      </c>
      <c r="C5" s="17">
        <v>21303</v>
      </c>
      <c r="D5" s="17">
        <v>8058</v>
      </c>
      <c r="E5" s="17">
        <v>18395</v>
      </c>
      <c r="F5" s="17">
        <v>85543</v>
      </c>
      <c r="G5" s="8">
        <f>SUM(SupremeCourtJustice9[[#This Row],[Westchester County Vote Results]],SupremeCourtJustice9[[#This Row],[Rockland County Vote Results]],SupremeCourtJustice9[[#This Row],[Putnam County Vote Results]],SupremeCourtJustice9[[#This Row],[Orange County Vote Results]],SupremeCourtJustice9[[#This Row],[Dutchess County Vote Results]])</f>
        <v>159291</v>
      </c>
      <c r="H5" s="9">
        <f>SUM(SupremeCourtJustice9[[#This Row],[Total Votes by Party]],G14)</f>
        <v>184030</v>
      </c>
    </row>
    <row r="6" spans="1:8" x14ac:dyDescent="0.2">
      <c r="A6" s="1" t="s">
        <v>117</v>
      </c>
      <c r="B6" s="17">
        <v>27578</v>
      </c>
      <c r="C6" s="17">
        <v>22874</v>
      </c>
      <c r="D6" s="17">
        <v>8280</v>
      </c>
      <c r="E6" s="17">
        <v>19546</v>
      </c>
      <c r="F6" s="17">
        <v>90388</v>
      </c>
      <c r="G6" s="8">
        <f>SUM(SupremeCourtJustice9[[#This Row],[Westchester County Vote Results]],SupremeCourtJustice9[[#This Row],[Rockland County Vote Results]],SupremeCourtJustice9[[#This Row],[Putnam County Vote Results]],SupremeCourtJustice9[[#This Row],[Orange County Vote Results]],SupremeCourtJustice9[[#This Row],[Dutchess County Vote Results]])</f>
        <v>168666</v>
      </c>
      <c r="H6" s="9">
        <f>SUM(SupremeCourtJustice9[[#This Row],[Total Votes by Party]],G15)</f>
        <v>198107</v>
      </c>
    </row>
    <row r="7" spans="1:8" x14ac:dyDescent="0.2">
      <c r="A7" s="1" t="s">
        <v>118</v>
      </c>
      <c r="B7" s="17">
        <v>26295</v>
      </c>
      <c r="C7" s="17">
        <v>21893</v>
      </c>
      <c r="D7" s="17">
        <v>8049</v>
      </c>
      <c r="E7" s="17">
        <v>18774</v>
      </c>
      <c r="F7" s="17">
        <v>88053</v>
      </c>
      <c r="G7" s="8">
        <f>SUM(SupremeCourtJustice9[[#This Row],[Westchester County Vote Results]],SupremeCourtJustice9[[#This Row],[Rockland County Vote Results]],SupremeCourtJustice9[[#This Row],[Putnam County Vote Results]],SupremeCourtJustice9[[#This Row],[Orange County Vote Results]],SupremeCourtJustice9[[#This Row],[Dutchess County Vote Results]])</f>
        <v>163064</v>
      </c>
      <c r="H7" s="9">
        <f>SUM(SupremeCourtJustice9[[#This Row],[Total Votes by Party]],G16)</f>
        <v>190135</v>
      </c>
    </row>
    <row r="8" spans="1:8" x14ac:dyDescent="0.2">
      <c r="A8" s="1" t="s">
        <v>119</v>
      </c>
      <c r="B8" s="17">
        <v>24305</v>
      </c>
      <c r="C8" s="17">
        <v>27804</v>
      </c>
      <c r="D8" s="17">
        <v>9023</v>
      </c>
      <c r="E8" s="17">
        <v>19192</v>
      </c>
      <c r="F8" s="17">
        <v>51013</v>
      </c>
      <c r="G8" s="8">
        <f>SUM(SupremeCourtJustice9[[#This Row],[Westchester County Vote Results]],SupremeCourtJustice9[[#This Row],[Rockland County Vote Results]],SupremeCourtJustice9[[#This Row],[Putnam County Vote Results]],SupremeCourtJustice9[[#This Row],[Orange County Vote Results]],SupremeCourtJustice9[[#This Row],[Dutchess County Vote Results]])</f>
        <v>131337</v>
      </c>
      <c r="H8" s="39"/>
    </row>
    <row r="9" spans="1:8" x14ac:dyDescent="0.2">
      <c r="A9" s="1" t="s">
        <v>120</v>
      </c>
      <c r="B9" s="17">
        <v>22442</v>
      </c>
      <c r="C9" s="17">
        <v>26125</v>
      </c>
      <c r="D9" s="17">
        <v>8623</v>
      </c>
      <c r="E9" s="17">
        <v>18340</v>
      </c>
      <c r="F9" s="17">
        <v>48384</v>
      </c>
      <c r="G9" s="8">
        <f>SUM(SupremeCourtJustice9[[#This Row],[Westchester County Vote Results]],SupremeCourtJustice9[[#This Row],[Rockland County Vote Results]],SupremeCourtJustice9[[#This Row],[Putnam County Vote Results]],SupremeCourtJustice9[[#This Row],[Orange County Vote Results]],SupremeCourtJustice9[[#This Row],[Dutchess County Vote Results]])</f>
        <v>123914</v>
      </c>
      <c r="H9" s="39"/>
    </row>
    <row r="10" spans="1:8" x14ac:dyDescent="0.2">
      <c r="A10" s="1" t="s">
        <v>121</v>
      </c>
      <c r="B10" s="17">
        <v>23648</v>
      </c>
      <c r="C10" s="17">
        <v>25312</v>
      </c>
      <c r="D10" s="17">
        <v>9162</v>
      </c>
      <c r="E10" s="17">
        <v>18700</v>
      </c>
      <c r="F10" s="17">
        <v>50762</v>
      </c>
      <c r="G10" s="8">
        <f>SUM(SupremeCourtJustice9[[#This Row],[Westchester County Vote Results]],SupremeCourtJustice9[[#This Row],[Rockland County Vote Results]],SupremeCourtJustice9[[#This Row],[Putnam County Vote Results]],SupremeCourtJustice9[[#This Row],[Orange County Vote Results]],SupremeCourtJustice9[[#This Row],[Dutchess County Vote Results]])</f>
        <v>127584</v>
      </c>
      <c r="H10" s="9">
        <f>SUM(SupremeCourtJustice9[[#This Row],[Total Votes by Party]])</f>
        <v>127584</v>
      </c>
    </row>
    <row r="11" spans="1:8" x14ac:dyDescent="0.2">
      <c r="A11" s="1" t="s">
        <v>122</v>
      </c>
      <c r="B11" s="17">
        <v>23590</v>
      </c>
      <c r="C11" s="17">
        <v>24406</v>
      </c>
      <c r="D11" s="17">
        <v>8991</v>
      </c>
      <c r="E11" s="17">
        <v>18375</v>
      </c>
      <c r="F11" s="17">
        <v>49340</v>
      </c>
      <c r="G11" s="8">
        <f>SUM(SupremeCourtJustice9[[#This Row],[Westchester County Vote Results]],SupremeCourtJustice9[[#This Row],[Rockland County Vote Results]],SupremeCourtJustice9[[#This Row],[Putnam County Vote Results]],SupremeCourtJustice9[[#This Row],[Orange County Vote Results]],SupremeCourtJustice9[[#This Row],[Dutchess County Vote Results]])</f>
        <v>124702</v>
      </c>
      <c r="H11" s="9">
        <f>SUM(SupremeCourtJustice9[[#This Row],[Total Votes by Party]])</f>
        <v>124702</v>
      </c>
    </row>
    <row r="12" spans="1:8" x14ac:dyDescent="0.2">
      <c r="A12" s="1" t="s">
        <v>123</v>
      </c>
      <c r="B12" s="17">
        <v>22100</v>
      </c>
      <c r="C12" s="17">
        <v>23721</v>
      </c>
      <c r="D12" s="17">
        <v>8630</v>
      </c>
      <c r="E12" s="17">
        <v>17658</v>
      </c>
      <c r="F12" s="17">
        <v>45111</v>
      </c>
      <c r="G12" s="8">
        <f>SUM(SupremeCourtJustice9[[#This Row],[Westchester County Vote Results]],SupremeCourtJustice9[[#This Row],[Rockland County Vote Results]],SupremeCourtJustice9[[#This Row],[Putnam County Vote Results]],SupremeCourtJustice9[[#This Row],[Orange County Vote Results]],SupremeCourtJustice9[[#This Row],[Dutchess County Vote Results]])</f>
        <v>117220</v>
      </c>
      <c r="H12" s="9">
        <f>SUM(SupremeCourtJustice9[[#This Row],[Total Votes by Party]],G17)</f>
        <v>143486</v>
      </c>
    </row>
    <row r="13" spans="1:8" x14ac:dyDescent="0.2">
      <c r="A13" s="1" t="s">
        <v>124</v>
      </c>
      <c r="B13" s="17">
        <v>5611</v>
      </c>
      <c r="C13" s="17">
        <v>5229</v>
      </c>
      <c r="D13" s="17">
        <v>2385</v>
      </c>
      <c r="E13" s="17">
        <v>4257</v>
      </c>
      <c r="F13" s="17">
        <v>8930</v>
      </c>
      <c r="G13" s="8">
        <f>SUM(SupremeCourtJustice9[[#This Row],[Westchester County Vote Results]],SupremeCourtJustice9[[#This Row],[Rockland County Vote Results]],SupremeCourtJustice9[[#This Row],[Putnam County Vote Results]],SupremeCourtJustice9[[#This Row],[Orange County Vote Results]],SupremeCourtJustice9[[#This Row],[Dutchess County Vote Results]])</f>
        <v>26412</v>
      </c>
      <c r="H13" s="39"/>
    </row>
    <row r="14" spans="1:8" x14ac:dyDescent="0.2">
      <c r="A14" s="1" t="s">
        <v>125</v>
      </c>
      <c r="B14" s="17">
        <v>5173</v>
      </c>
      <c r="C14" s="17">
        <v>4721</v>
      </c>
      <c r="D14" s="17">
        <v>2261</v>
      </c>
      <c r="E14" s="17">
        <v>3930</v>
      </c>
      <c r="F14" s="17">
        <v>8654</v>
      </c>
      <c r="G14" s="8">
        <f>SUM(SupremeCourtJustice9[[#This Row],[Westchester County Vote Results]],SupremeCourtJustice9[[#This Row],[Rockland County Vote Results]],SupremeCourtJustice9[[#This Row],[Putnam County Vote Results]],SupremeCourtJustice9[[#This Row],[Orange County Vote Results]],SupremeCourtJustice9[[#This Row],[Dutchess County Vote Results]])</f>
        <v>24739</v>
      </c>
      <c r="H14" s="39"/>
    </row>
    <row r="15" spans="1:8" x14ac:dyDescent="0.2">
      <c r="A15" s="1" t="s">
        <v>126</v>
      </c>
      <c r="B15" s="17">
        <v>5723</v>
      </c>
      <c r="C15" s="17">
        <v>5457</v>
      </c>
      <c r="D15" s="17">
        <v>2557</v>
      </c>
      <c r="E15" s="17">
        <v>4428</v>
      </c>
      <c r="F15" s="17">
        <v>11276</v>
      </c>
      <c r="G15" s="8">
        <f>SUM(SupremeCourtJustice9[[#This Row],[Westchester County Vote Results]],SupremeCourtJustice9[[#This Row],[Rockland County Vote Results]],SupremeCourtJustice9[[#This Row],[Putnam County Vote Results]],SupremeCourtJustice9[[#This Row],[Orange County Vote Results]],SupremeCourtJustice9[[#This Row],[Dutchess County Vote Results]])</f>
        <v>29441</v>
      </c>
      <c r="H15" s="39"/>
    </row>
    <row r="16" spans="1:8" x14ac:dyDescent="0.2">
      <c r="A16" s="1" t="s">
        <v>127</v>
      </c>
      <c r="B16" s="17">
        <v>5363</v>
      </c>
      <c r="C16" s="17">
        <v>5089</v>
      </c>
      <c r="D16" s="17">
        <v>2470</v>
      </c>
      <c r="E16" s="17">
        <v>4007</v>
      </c>
      <c r="F16" s="17">
        <v>10142</v>
      </c>
      <c r="G16" s="8">
        <f>SUM(SupremeCourtJustice9[[#This Row],[Westchester County Vote Results]],SupremeCourtJustice9[[#This Row],[Rockland County Vote Results]],SupremeCourtJustice9[[#This Row],[Putnam County Vote Results]],SupremeCourtJustice9[[#This Row],[Orange County Vote Results]],SupremeCourtJustice9[[#This Row],[Dutchess County Vote Results]])</f>
        <v>27071</v>
      </c>
      <c r="H16" s="39"/>
    </row>
    <row r="17" spans="1:8" x14ac:dyDescent="0.2">
      <c r="A17" s="1" t="s">
        <v>128</v>
      </c>
      <c r="B17" s="17">
        <v>5709</v>
      </c>
      <c r="C17" s="17">
        <v>5543</v>
      </c>
      <c r="D17" s="17">
        <v>2470</v>
      </c>
      <c r="E17" s="17">
        <v>3974</v>
      </c>
      <c r="F17" s="17">
        <v>8570</v>
      </c>
      <c r="G17" s="8">
        <f>SUM(SupremeCourtJustice9[[#This Row],[Westchester County Vote Results]],SupremeCourtJustice9[[#This Row],[Rockland County Vote Results]],SupremeCourtJustice9[[#This Row],[Putnam County Vote Results]],SupremeCourtJustice9[[#This Row],[Orange County Vote Results]],SupremeCourtJustice9[[#This Row],[Dutchess County Vote Results]])</f>
        <v>26266</v>
      </c>
      <c r="H17" s="39"/>
    </row>
    <row r="18" spans="1:8" x14ac:dyDescent="0.2">
      <c r="A18" s="3" t="s">
        <v>7</v>
      </c>
      <c r="B18" s="16">
        <v>50293</v>
      </c>
      <c r="C18" s="16">
        <v>67735</v>
      </c>
      <c r="D18" s="16">
        <v>18598</v>
      </c>
      <c r="E18" s="16">
        <v>52340</v>
      </c>
      <c r="F18" s="16">
        <v>122808</v>
      </c>
      <c r="G18" s="8">
        <f>SUM(SupremeCourtJustice9[[#This Row],[Westchester County Vote Results]],SupremeCourtJustice9[[#This Row],[Rockland County Vote Results]],SupremeCourtJustice9[[#This Row],[Putnam County Vote Results]],SupremeCourtJustice9[[#This Row],[Orange County Vote Results]],SupremeCourtJustice9[[#This Row],[Dutchess County Vote Results]])</f>
        <v>311774</v>
      </c>
      <c r="H18" s="39"/>
    </row>
    <row r="19" spans="1:8" x14ac:dyDescent="0.2">
      <c r="A19" s="3" t="s">
        <v>8</v>
      </c>
      <c r="B19" s="16">
        <v>6513</v>
      </c>
      <c r="C19" s="16">
        <v>6755</v>
      </c>
      <c r="D19" s="16">
        <v>0</v>
      </c>
      <c r="E19" s="16">
        <v>6115</v>
      </c>
      <c r="F19" s="16">
        <v>0</v>
      </c>
      <c r="G19" s="8">
        <f>SUM(SupremeCourtJustice9[[#This Row],[Westchester County Vote Results]],SupremeCourtJustice9[[#This Row],[Rockland County Vote Results]],SupremeCourtJustice9[[#This Row],[Putnam County Vote Results]],SupremeCourtJustice9[[#This Row],[Orange County Vote Results]],SupremeCourtJustice9[[#This Row],[Dutchess County Vote Results]])</f>
        <v>19383</v>
      </c>
      <c r="H19" s="39"/>
    </row>
    <row r="20" spans="1:8" x14ac:dyDescent="0.2">
      <c r="A20" s="3" t="s">
        <v>9</v>
      </c>
      <c r="B20" s="16">
        <v>77</v>
      </c>
      <c r="C20" s="16">
        <v>208</v>
      </c>
      <c r="D20" s="16">
        <v>49</v>
      </c>
      <c r="E20" s="16">
        <v>273</v>
      </c>
      <c r="F20" s="16">
        <v>350</v>
      </c>
      <c r="G20" s="8">
        <f>SUM(SupremeCourtJustice9[[#This Row],[Westchester County Vote Results]],SupremeCourtJustice9[[#This Row],[Rockland County Vote Results]],SupremeCourtJustice9[[#This Row],[Putnam County Vote Results]],SupremeCourtJustice9[[#This Row],[Orange County Vote Results]],SupremeCourtJustice9[[#This Row],[Dutchess County Vote Results]])</f>
        <v>957</v>
      </c>
      <c r="H20" s="39"/>
    </row>
    <row r="21" spans="1:8" x14ac:dyDescent="0.2">
      <c r="A21" s="11" t="s">
        <v>10</v>
      </c>
      <c r="B21" s="2">
        <f>SUM(SupremeCourtJustice9[Dutchess County Vote Results])</f>
        <v>332360</v>
      </c>
      <c r="C21" s="2">
        <f>SUM(SupremeCourtJustice9[Orange County Vote Results])</f>
        <v>332105</v>
      </c>
      <c r="D21" s="2">
        <f>SUM(SupremeCourtJustice9[Putnam County Vote Results])</f>
        <v>115385</v>
      </c>
      <c r="E21" s="2">
        <f>SUM(SupremeCourtJustice9[Rockland County Vote Results])</f>
        <v>266346</v>
      </c>
      <c r="F21" s="2">
        <f>SUM(SupremeCourtJustice9[Westchester County Vote Results])</f>
        <v>852775</v>
      </c>
      <c r="G21" s="8">
        <f>SUM(SupremeCourtJustice9[Total Votes by Party])</f>
        <v>1898971</v>
      </c>
      <c r="H21" s="39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3225B-D692-41A9-A826-3C75EFA2A897}">
  <sheetPr codeName="Sheet9">
    <pageSetUpPr fitToPage="1"/>
  </sheetPr>
  <dimension ref="A1:E30"/>
  <sheetViews>
    <sheetView workbookViewId="0">
      <selection activeCell="G33" sqref="G33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26" t="s">
        <v>129</v>
      </c>
    </row>
    <row r="2" spans="1:5" ht="25.5" x14ac:dyDescent="0.2">
      <c r="A2" s="37" t="s">
        <v>1</v>
      </c>
      <c r="B2" s="5" t="s">
        <v>130</v>
      </c>
      <c r="C2" s="5" t="s">
        <v>131</v>
      </c>
      <c r="D2" s="6" t="s">
        <v>3</v>
      </c>
      <c r="E2" s="7" t="s">
        <v>4</v>
      </c>
    </row>
    <row r="3" spans="1:5" x14ac:dyDescent="0.2">
      <c r="A3" s="1" t="s">
        <v>132</v>
      </c>
      <c r="B3" s="17">
        <v>109977</v>
      </c>
      <c r="C3" s="2">
        <v>101856</v>
      </c>
      <c r="D3" s="8">
        <f>SUM(SupremeCourtJustice10[[#This Row],[Suffolk County Vote Results]],SupremeCourtJustice10[[#This Row],[Nassau County Vote Results]])</f>
        <v>211833</v>
      </c>
      <c r="E3" s="9">
        <f>SUM(SupremeCourtJustice10[[#This Row],[Total Votes by Party]],D11,D19)</f>
        <v>519757</v>
      </c>
    </row>
    <row r="4" spans="1:5" x14ac:dyDescent="0.2">
      <c r="A4" s="1" t="s">
        <v>133</v>
      </c>
      <c r="B4" s="17">
        <v>107296</v>
      </c>
      <c r="C4" s="2">
        <v>99629</v>
      </c>
      <c r="D4" s="8">
        <f>SUM(SupremeCourtJustice10[[#This Row],[Suffolk County Vote Results]],SupremeCourtJustice10[[#This Row],[Nassau County Vote Results]])</f>
        <v>206925</v>
      </c>
      <c r="E4" s="9">
        <f>SUM(SupremeCourtJustice10[[#This Row],[Total Votes by Party]],D12,D20)</f>
        <v>508009</v>
      </c>
    </row>
    <row r="5" spans="1:5" x14ac:dyDescent="0.2">
      <c r="A5" s="1" t="s">
        <v>134</v>
      </c>
      <c r="B5" s="17">
        <v>106042</v>
      </c>
      <c r="C5" s="2">
        <v>96675</v>
      </c>
      <c r="D5" s="8">
        <f>SUM(SupremeCourtJustice10[[#This Row],[Suffolk County Vote Results]],SupremeCourtJustice10[[#This Row],[Nassau County Vote Results]])</f>
        <v>202717</v>
      </c>
      <c r="E5" s="9">
        <f>SUM(SupremeCourtJustice10[[#This Row],[Total Votes by Party]],D13,D21)</f>
        <v>506626</v>
      </c>
    </row>
    <row r="6" spans="1:5" x14ac:dyDescent="0.2">
      <c r="A6" s="3" t="s">
        <v>135</v>
      </c>
      <c r="B6" s="17">
        <v>104749</v>
      </c>
      <c r="C6" s="2">
        <v>95855</v>
      </c>
      <c r="D6" s="8">
        <f>SUM(SupremeCourtJustice10[[#This Row],[Suffolk County Vote Results]],SupremeCourtJustice10[[#This Row],[Nassau County Vote Results]])</f>
        <v>200604</v>
      </c>
      <c r="E6" s="9">
        <f>SUM(SupremeCourtJustice10[[#This Row],[Total Votes by Party]],D14,D22)</f>
        <v>498203</v>
      </c>
    </row>
    <row r="7" spans="1:5" x14ac:dyDescent="0.2">
      <c r="A7" s="3" t="s">
        <v>136</v>
      </c>
      <c r="B7" s="17">
        <v>105606</v>
      </c>
      <c r="C7" s="2">
        <v>95851</v>
      </c>
      <c r="D7" s="8">
        <f>SUM(SupremeCourtJustice10[[#This Row],[Suffolk County Vote Results]],SupremeCourtJustice10[[#This Row],[Nassau County Vote Results]])</f>
        <v>201457</v>
      </c>
      <c r="E7" s="9">
        <f>SUM(SupremeCourtJustice10[[#This Row],[Total Votes by Party]],D15,D23)</f>
        <v>496716</v>
      </c>
    </row>
    <row r="8" spans="1:5" x14ac:dyDescent="0.2">
      <c r="A8" s="3" t="s">
        <v>137</v>
      </c>
      <c r="B8" s="17">
        <v>105614</v>
      </c>
      <c r="C8" s="2">
        <v>97986</v>
      </c>
      <c r="D8" s="8">
        <f>SUM(SupremeCourtJustice10[[#This Row],[Suffolk County Vote Results]],SupremeCourtJustice10[[#This Row],[Nassau County Vote Results]])</f>
        <v>203600</v>
      </c>
      <c r="E8" s="9">
        <f>SUM(SupremeCourtJustice10[[#This Row],[Total Votes by Party]],D16,D24)</f>
        <v>501183</v>
      </c>
    </row>
    <row r="9" spans="1:5" x14ac:dyDescent="0.2">
      <c r="A9" s="3" t="s">
        <v>138</v>
      </c>
      <c r="B9" s="17">
        <v>106133</v>
      </c>
      <c r="C9" s="2">
        <v>97669</v>
      </c>
      <c r="D9" s="8">
        <f>SUM(SupremeCourtJustice10[[#This Row],[Suffolk County Vote Results]],SupremeCourtJustice10[[#This Row],[Nassau County Vote Results]])</f>
        <v>203802</v>
      </c>
      <c r="E9" s="9">
        <f>SUM(SupremeCourtJustice10[[#This Row],[Total Votes by Party]],D17,D25)</f>
        <v>500559</v>
      </c>
    </row>
    <row r="10" spans="1:5" x14ac:dyDescent="0.2">
      <c r="A10" s="3" t="s">
        <v>139</v>
      </c>
      <c r="B10" s="17">
        <v>106487</v>
      </c>
      <c r="C10" s="2">
        <v>98072</v>
      </c>
      <c r="D10" s="8">
        <f>SUM(SupremeCourtJustice10[[#This Row],[Suffolk County Vote Results]],SupremeCourtJustice10[[#This Row],[Nassau County Vote Results]])</f>
        <v>204559</v>
      </c>
      <c r="E10" s="9">
        <f>SUM(SupremeCourtJustice10[[#This Row],[Total Votes by Party]],D18,D26)</f>
        <v>501482</v>
      </c>
    </row>
    <row r="11" spans="1:5" x14ac:dyDescent="0.2">
      <c r="A11" s="3" t="s">
        <v>140</v>
      </c>
      <c r="B11" s="17">
        <v>126576</v>
      </c>
      <c r="C11" s="2">
        <v>123792</v>
      </c>
      <c r="D11" s="8">
        <f>SUM(SupremeCourtJustice10[[#This Row],[Suffolk County Vote Results]],SupremeCourtJustice10[[#This Row],[Nassau County Vote Results]])</f>
        <v>250368</v>
      </c>
      <c r="E11" s="41"/>
    </row>
    <row r="12" spans="1:5" x14ac:dyDescent="0.2">
      <c r="A12" s="3" t="s">
        <v>141</v>
      </c>
      <c r="B12" s="17">
        <v>124596</v>
      </c>
      <c r="C12" s="2">
        <v>119680</v>
      </c>
      <c r="D12" s="8">
        <f>SUM(SupremeCourtJustice10[[#This Row],[Suffolk County Vote Results]],SupremeCourtJustice10[[#This Row],[Nassau County Vote Results]])</f>
        <v>244276</v>
      </c>
      <c r="E12" s="41"/>
    </row>
    <row r="13" spans="1:5" x14ac:dyDescent="0.2">
      <c r="A13" s="3" t="s">
        <v>142</v>
      </c>
      <c r="B13" s="17">
        <v>125126</v>
      </c>
      <c r="C13" s="2">
        <v>120361</v>
      </c>
      <c r="D13" s="8">
        <f>SUM(SupremeCourtJustice10[[#This Row],[Suffolk County Vote Results]],SupremeCourtJustice10[[#This Row],[Nassau County Vote Results]])</f>
        <v>245487</v>
      </c>
      <c r="E13" s="41"/>
    </row>
    <row r="14" spans="1:5" x14ac:dyDescent="0.2">
      <c r="A14" s="3" t="s">
        <v>143</v>
      </c>
      <c r="B14" s="17">
        <v>123039</v>
      </c>
      <c r="C14" s="2">
        <v>117924</v>
      </c>
      <c r="D14" s="8">
        <f>SUM(SupremeCourtJustice10[[#This Row],[Suffolk County Vote Results]],SupremeCourtJustice10[[#This Row],[Nassau County Vote Results]])</f>
        <v>240963</v>
      </c>
      <c r="E14" s="41"/>
    </row>
    <row r="15" spans="1:5" x14ac:dyDescent="0.2">
      <c r="A15" s="3" t="s">
        <v>144</v>
      </c>
      <c r="B15" s="17">
        <v>122281</v>
      </c>
      <c r="C15" s="2">
        <v>116716</v>
      </c>
      <c r="D15" s="8">
        <f>SUM(SupremeCourtJustice10[[#This Row],[Suffolk County Vote Results]],SupremeCourtJustice10[[#This Row],[Nassau County Vote Results]])</f>
        <v>238997</v>
      </c>
      <c r="E15" s="41"/>
    </row>
    <row r="16" spans="1:5" x14ac:dyDescent="0.2">
      <c r="A16" s="3" t="s">
        <v>145</v>
      </c>
      <c r="B16" s="17">
        <v>122746</v>
      </c>
      <c r="C16" s="2">
        <v>117783</v>
      </c>
      <c r="D16" s="8">
        <f>SUM(SupremeCourtJustice10[[#This Row],[Suffolk County Vote Results]],SupremeCourtJustice10[[#This Row],[Nassau County Vote Results]])</f>
        <v>240529</v>
      </c>
      <c r="E16" s="41"/>
    </row>
    <row r="17" spans="1:5" x14ac:dyDescent="0.2">
      <c r="A17" s="3" t="s">
        <v>146</v>
      </c>
      <c r="B17" s="17">
        <v>122941</v>
      </c>
      <c r="C17" s="2">
        <v>116896</v>
      </c>
      <c r="D17" s="8">
        <f>SUM(SupremeCourtJustice10[[#This Row],[Suffolk County Vote Results]],SupremeCourtJustice10[[#This Row],[Nassau County Vote Results]])</f>
        <v>239837</v>
      </c>
      <c r="E17" s="41"/>
    </row>
    <row r="18" spans="1:5" x14ac:dyDescent="0.2">
      <c r="A18" s="3" t="s">
        <v>147</v>
      </c>
      <c r="B18" s="17">
        <v>123194</v>
      </c>
      <c r="C18" s="2">
        <v>116942</v>
      </c>
      <c r="D18" s="8">
        <f>SUM(SupremeCourtJustice10[[#This Row],[Suffolk County Vote Results]],SupremeCourtJustice10[[#This Row],[Nassau County Vote Results]])</f>
        <v>240136</v>
      </c>
      <c r="E18" s="41"/>
    </row>
    <row r="19" spans="1:5" x14ac:dyDescent="0.2">
      <c r="A19" s="3" t="s">
        <v>148</v>
      </c>
      <c r="B19" s="17">
        <v>21993</v>
      </c>
      <c r="C19" s="2">
        <v>35563</v>
      </c>
      <c r="D19" s="8">
        <f>SUM(SupremeCourtJustice10[[#This Row],[Suffolk County Vote Results]],SupremeCourtJustice10[[#This Row],[Nassau County Vote Results]])</f>
        <v>57556</v>
      </c>
      <c r="E19" s="41"/>
    </row>
    <row r="20" spans="1:5" x14ac:dyDescent="0.2">
      <c r="A20" s="3" t="s">
        <v>149</v>
      </c>
      <c r="B20" s="17">
        <v>21847</v>
      </c>
      <c r="C20" s="2">
        <v>34961</v>
      </c>
      <c r="D20" s="8">
        <f>SUM(SupremeCourtJustice10[[#This Row],[Suffolk County Vote Results]],SupremeCourtJustice10[[#This Row],[Nassau County Vote Results]])</f>
        <v>56808</v>
      </c>
      <c r="E20" s="41"/>
    </row>
    <row r="21" spans="1:5" x14ac:dyDescent="0.2">
      <c r="A21" s="3" t="s">
        <v>150</v>
      </c>
      <c r="B21" s="17">
        <v>22681</v>
      </c>
      <c r="C21" s="2">
        <v>35741</v>
      </c>
      <c r="D21" s="8">
        <f>SUM(SupremeCourtJustice10[[#This Row],[Suffolk County Vote Results]],SupremeCourtJustice10[[#This Row],[Nassau County Vote Results]])</f>
        <v>58422</v>
      </c>
      <c r="E21" s="41"/>
    </row>
    <row r="22" spans="1:5" x14ac:dyDescent="0.2">
      <c r="A22" s="3" t="s">
        <v>151</v>
      </c>
      <c r="B22" s="17">
        <v>21847</v>
      </c>
      <c r="C22" s="2">
        <v>34789</v>
      </c>
      <c r="D22" s="8">
        <f>SUM(SupremeCourtJustice10[[#This Row],[Suffolk County Vote Results]],SupremeCourtJustice10[[#This Row],[Nassau County Vote Results]])</f>
        <v>56636</v>
      </c>
      <c r="E22" s="41"/>
    </row>
    <row r="23" spans="1:5" x14ac:dyDescent="0.2">
      <c r="A23" s="3" t="s">
        <v>152</v>
      </c>
      <c r="B23" s="17">
        <v>21791</v>
      </c>
      <c r="C23" s="2">
        <v>34471</v>
      </c>
      <c r="D23" s="8">
        <f>SUM(SupremeCourtJustice10[[#This Row],[Suffolk County Vote Results]],SupremeCourtJustice10[[#This Row],[Nassau County Vote Results]])</f>
        <v>56262</v>
      </c>
      <c r="E23" s="41"/>
    </row>
    <row r="24" spans="1:5" x14ac:dyDescent="0.2">
      <c r="A24" s="3" t="s">
        <v>153</v>
      </c>
      <c r="B24" s="17">
        <v>22073</v>
      </c>
      <c r="C24" s="2">
        <v>34981</v>
      </c>
      <c r="D24" s="8">
        <f>SUM(SupremeCourtJustice10[[#This Row],[Suffolk County Vote Results]],SupremeCourtJustice10[[#This Row],[Nassau County Vote Results]])</f>
        <v>57054</v>
      </c>
      <c r="E24" s="41"/>
    </row>
    <row r="25" spans="1:5" x14ac:dyDescent="0.2">
      <c r="A25" s="1" t="s">
        <v>154</v>
      </c>
      <c r="B25" s="17">
        <v>22155</v>
      </c>
      <c r="C25" s="2">
        <v>34765</v>
      </c>
      <c r="D25" s="8">
        <f>SUM(SupremeCourtJustice10[[#This Row],[Suffolk County Vote Results]],SupremeCourtJustice10[[#This Row],[Nassau County Vote Results]])</f>
        <v>56920</v>
      </c>
      <c r="E25" s="39"/>
    </row>
    <row r="26" spans="1:5" x14ac:dyDescent="0.2">
      <c r="A26" s="1" t="s">
        <v>155</v>
      </c>
      <c r="B26" s="17">
        <v>22102</v>
      </c>
      <c r="C26" s="2">
        <v>34685</v>
      </c>
      <c r="D26" s="8">
        <f>SUM(SupremeCourtJustice10[[#This Row],[Suffolk County Vote Results]],SupremeCourtJustice10[[#This Row],[Nassau County Vote Results]])</f>
        <v>56787</v>
      </c>
      <c r="E26" s="39"/>
    </row>
    <row r="27" spans="1:5" x14ac:dyDescent="0.2">
      <c r="A27" s="3" t="s">
        <v>7</v>
      </c>
      <c r="B27" s="16">
        <v>276566</v>
      </c>
      <c r="C27" s="2">
        <v>349266</v>
      </c>
      <c r="D27" s="8">
        <f>SUM(SupremeCourtJustice10[[#This Row],[Suffolk County Vote Results]],SupremeCourtJustice10[[#This Row],[Nassau County Vote Results]])</f>
        <v>625832</v>
      </c>
      <c r="E27" s="39"/>
    </row>
    <row r="28" spans="1:5" x14ac:dyDescent="0.2">
      <c r="A28" s="3" t="s">
        <v>8</v>
      </c>
      <c r="B28" s="16">
        <v>344</v>
      </c>
      <c r="C28" s="2">
        <v>408</v>
      </c>
      <c r="D28" s="8">
        <f>SUM(SupremeCourtJustice10[[#This Row],[Suffolk County Vote Results]],SupremeCourtJustice10[[#This Row],[Nassau County Vote Results]])</f>
        <v>752</v>
      </c>
      <c r="E28" s="39"/>
    </row>
    <row r="29" spans="1:5" x14ac:dyDescent="0.2">
      <c r="A29" s="3" t="s">
        <v>9</v>
      </c>
      <c r="B29" s="16">
        <v>3614</v>
      </c>
      <c r="C29" s="2">
        <v>2099</v>
      </c>
      <c r="D29" s="8">
        <f>SUM(SupremeCourtJustice10[[#This Row],[Suffolk County Vote Results]],SupremeCourtJustice10[[#This Row],[Nassau County Vote Results]])</f>
        <v>5713</v>
      </c>
      <c r="E29" s="39"/>
    </row>
    <row r="30" spans="1:5" x14ac:dyDescent="0.2">
      <c r="A30" s="11" t="s">
        <v>10</v>
      </c>
      <c r="B30" s="2">
        <f>SUM(SupremeCourtJustice10[Nassau County Vote Results])</f>
        <v>2299416</v>
      </c>
      <c r="C30" s="2">
        <f>SUM(SupremeCourtJustice10[Suffolk County Vote Results])</f>
        <v>2365416</v>
      </c>
      <c r="D30" s="8">
        <f>SUM(SupremeCourtJustice10[Total Votes by Party])</f>
        <v>4664832</v>
      </c>
      <c r="E30" s="39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1st JD</vt:lpstr>
      <vt:lpstr>2nd JD</vt:lpstr>
      <vt:lpstr>3rd JD</vt:lpstr>
      <vt:lpstr>5th JD</vt:lpstr>
      <vt:lpstr>6th JD</vt:lpstr>
      <vt:lpstr>7th JD</vt:lpstr>
      <vt:lpstr>8th JD</vt:lpstr>
      <vt:lpstr>9th JD</vt:lpstr>
      <vt:lpstr>10th JD</vt:lpstr>
      <vt:lpstr>11th JD</vt:lpstr>
      <vt:lpstr>12th JD</vt:lpstr>
      <vt:lpstr>13th JD</vt:lpstr>
      <vt:lpstr>Revision History</vt:lpstr>
      <vt:lpstr>'1st JD'!Print_Area</vt:lpstr>
    </vt:vector>
  </TitlesOfParts>
  <Manager/>
  <Company>NYSBOE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Ryan</dc:creator>
  <cp:keywords/>
  <dc:description/>
  <cp:lastModifiedBy>Joyce Cornell</cp:lastModifiedBy>
  <cp:revision/>
  <cp:lastPrinted>2021-12-10T15:27:21Z</cp:lastPrinted>
  <dcterms:created xsi:type="dcterms:W3CDTF">2008-10-28T18:22:21Z</dcterms:created>
  <dcterms:modified xsi:type="dcterms:W3CDTF">2021-12-14T21:45:39Z</dcterms:modified>
  <cp:category/>
  <cp:contentStatus/>
</cp:coreProperties>
</file>