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978AA040-A09A-44E1-BB97-A6F6D933AA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st CD" sheetId="3" r:id="rId1"/>
    <sheet name="2nd CD" sheetId="269" r:id="rId2"/>
    <sheet name="3rd CD" sheetId="272" r:id="rId3"/>
    <sheet name="4th CD" sheetId="273" r:id="rId4"/>
    <sheet name="5th CD" sheetId="274" r:id="rId5"/>
    <sheet name="6th CD" sheetId="275" r:id="rId6"/>
    <sheet name="7th CD" sheetId="276" r:id="rId7"/>
    <sheet name="8th CD" sheetId="277" r:id="rId8"/>
    <sheet name="9th CD" sheetId="278" r:id="rId9"/>
    <sheet name="10th CD" sheetId="279" r:id="rId10"/>
    <sheet name="11th CD" sheetId="280" r:id="rId11"/>
    <sheet name="12th CD" sheetId="281" r:id="rId12"/>
    <sheet name="13th CD" sheetId="282" r:id="rId13"/>
    <sheet name="14th CD" sheetId="283" r:id="rId14"/>
    <sheet name="15th CD" sheetId="284" r:id="rId15"/>
    <sheet name="16th CD" sheetId="285" r:id="rId16"/>
    <sheet name="17th CD" sheetId="286" r:id="rId17"/>
    <sheet name="18th CD" sheetId="287" r:id="rId18"/>
    <sheet name="19th CD" sheetId="288" r:id="rId19"/>
    <sheet name="20th CD" sheetId="289" r:id="rId20"/>
    <sheet name="21st CD" sheetId="290" r:id="rId21"/>
    <sheet name="22nd CD" sheetId="291" r:id="rId22"/>
    <sheet name="23rd CD" sheetId="292" r:id="rId23"/>
    <sheet name="24th CD" sheetId="293" r:id="rId24"/>
    <sheet name="25th CD" sheetId="294" r:id="rId25"/>
    <sheet name="26th CD" sheetId="295" r:id="rId26"/>
    <sheet name="27th CD" sheetId="296" r:id="rId27"/>
    <sheet name="Revision History" sheetId="508" r:id="rId28"/>
  </sheets>
  <definedNames>
    <definedName name="_xlnm.Print_Area" localSheetId="0">'1st CD'!$A$1:$E$11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96" l="1"/>
  <c r="M3" i="288"/>
  <c r="M6" i="288"/>
  <c r="D3" i="280"/>
  <c r="M4" i="288"/>
  <c r="M5" i="288"/>
  <c r="M7" i="288"/>
  <c r="M8" i="288"/>
  <c r="M9" i="288"/>
  <c r="M11" i="288"/>
  <c r="J10" i="288"/>
  <c r="M10" i="288" s="1"/>
  <c r="D11" i="287"/>
  <c r="E11" i="290"/>
  <c r="E12" i="296"/>
  <c r="D6" i="295" l="1"/>
  <c r="E6" i="295" s="1"/>
  <c r="G8" i="289"/>
  <c r="N7" i="288"/>
  <c r="N6" i="288"/>
  <c r="N4" i="288"/>
  <c r="N3" i="288"/>
  <c r="D8" i="286"/>
  <c r="E8" i="286" s="1"/>
  <c r="D7" i="286"/>
  <c r="E7" i="286" s="1"/>
  <c r="C8" i="278" l="1"/>
  <c r="D8" i="278" s="1"/>
  <c r="E7" i="276"/>
  <c r="F7" i="276" s="1"/>
  <c r="D4" i="274"/>
  <c r="D5" i="274"/>
  <c r="D6" i="274"/>
  <c r="C8" i="275"/>
  <c r="C7" i="275"/>
  <c r="C6" i="275"/>
  <c r="H12" i="296" l="1"/>
  <c r="G12" i="296"/>
  <c r="F12" i="296"/>
  <c r="D12" i="296"/>
  <c r="C12" i="296"/>
  <c r="B12" i="296"/>
  <c r="C11" i="295"/>
  <c r="B11" i="295"/>
  <c r="B12" i="294"/>
  <c r="E11" i="293"/>
  <c r="D11" i="293"/>
  <c r="C11" i="293"/>
  <c r="B11" i="293"/>
  <c r="L12" i="292" l="1"/>
  <c r="K12" i="292"/>
  <c r="J12" i="292"/>
  <c r="I12" i="292"/>
  <c r="H12" i="292"/>
  <c r="G12" i="292"/>
  <c r="F12" i="292"/>
  <c r="E12" i="292"/>
  <c r="D12" i="292"/>
  <c r="C12" i="292"/>
  <c r="B12" i="292"/>
  <c r="I12" i="291"/>
  <c r="H12" i="291"/>
  <c r="G12" i="291"/>
  <c r="F12" i="291"/>
  <c r="E12" i="291"/>
  <c r="D12" i="291"/>
  <c r="C12" i="291"/>
  <c r="B12" i="291"/>
  <c r="M11" i="290" l="1"/>
  <c r="L11" i="290"/>
  <c r="K11" i="290"/>
  <c r="J11" i="290"/>
  <c r="I11" i="290"/>
  <c r="H11" i="290"/>
  <c r="G11" i="290"/>
  <c r="F11" i="290"/>
  <c r="D11" i="290"/>
  <c r="C11" i="290"/>
  <c r="B11" i="290"/>
  <c r="F12" i="289"/>
  <c r="E12" i="289"/>
  <c r="D12" i="289"/>
  <c r="C12" i="289"/>
  <c r="B12" i="289"/>
  <c r="L12" i="288"/>
  <c r="K12" i="288"/>
  <c r="J12" i="288"/>
  <c r="I12" i="288"/>
  <c r="H12" i="288"/>
  <c r="G12" i="288"/>
  <c r="F12" i="288"/>
  <c r="E12" i="288"/>
  <c r="D12" i="288"/>
  <c r="C12" i="288"/>
  <c r="B12" i="288"/>
  <c r="E13" i="287"/>
  <c r="D13" i="287"/>
  <c r="C13" i="287"/>
  <c r="B13" i="287"/>
  <c r="C12" i="286"/>
  <c r="B12" i="286"/>
  <c r="C8" i="285"/>
  <c r="B8" i="285"/>
  <c r="B9" i="284"/>
  <c r="C10" i="283"/>
  <c r="B10" i="283"/>
  <c r="C10" i="282"/>
  <c r="B10" i="282"/>
  <c r="D10" i="281"/>
  <c r="C10" i="281"/>
  <c r="B10" i="281"/>
  <c r="C10" i="280"/>
  <c r="B10" i="280"/>
  <c r="C11" i="279"/>
  <c r="B11" i="279"/>
  <c r="B12" i="278"/>
  <c r="C10" i="277"/>
  <c r="B10" i="277"/>
  <c r="D11" i="276"/>
  <c r="C11" i="276"/>
  <c r="B11" i="276"/>
  <c r="B12" i="275"/>
  <c r="C7" i="274"/>
  <c r="B7" i="274"/>
  <c r="B10" i="273"/>
  <c r="D12" i="272"/>
  <c r="C12" i="272"/>
  <c r="B12" i="272"/>
  <c r="C14" i="269"/>
  <c r="B14" i="269"/>
  <c r="B11" i="3"/>
  <c r="C3" i="3" l="1"/>
  <c r="C4" i="3"/>
  <c r="C5" i="3"/>
  <c r="C6" i="3"/>
  <c r="C7" i="3"/>
  <c r="C8" i="3"/>
  <c r="C9" i="3"/>
  <c r="C10" i="3"/>
  <c r="D4" i="3" l="1"/>
  <c r="D3" i="3"/>
  <c r="C11" i="3"/>
  <c r="J10" i="291" l="1"/>
  <c r="J7" i="291"/>
  <c r="K7" i="291" s="1"/>
  <c r="J6" i="291"/>
  <c r="J5" i="291"/>
  <c r="J4" i="291"/>
  <c r="J3" i="291"/>
  <c r="K4" i="291" l="1"/>
  <c r="J11" i="296" l="1"/>
  <c r="J10" i="296"/>
  <c r="J9" i="296"/>
  <c r="J8" i="296"/>
  <c r="J7" i="296"/>
  <c r="K7" i="296" s="1"/>
  <c r="J6" i="296"/>
  <c r="J5" i="296"/>
  <c r="J4" i="296"/>
  <c r="J3" i="296"/>
  <c r="D3" i="295"/>
  <c r="D4" i="295"/>
  <c r="E4" i="295" s="1"/>
  <c r="D5" i="295"/>
  <c r="D7" i="295"/>
  <c r="D8" i="295"/>
  <c r="D9" i="295"/>
  <c r="D10" i="295"/>
  <c r="C3" i="294"/>
  <c r="C4" i="294"/>
  <c r="C5" i="294"/>
  <c r="C6" i="294"/>
  <c r="C7" i="294"/>
  <c r="D7" i="294" s="1"/>
  <c r="C8" i="294"/>
  <c r="C9" i="294"/>
  <c r="C10" i="294"/>
  <c r="C11" i="294"/>
  <c r="F10" i="293"/>
  <c r="F9" i="293"/>
  <c r="F8" i="293"/>
  <c r="F7" i="293"/>
  <c r="F6" i="293"/>
  <c r="G6" i="293" s="1"/>
  <c r="F5" i="293"/>
  <c r="F4" i="293"/>
  <c r="F3" i="293"/>
  <c r="G3" i="293" s="1"/>
  <c r="M11" i="292"/>
  <c r="M10" i="292"/>
  <c r="M9" i="292"/>
  <c r="M8" i="292"/>
  <c r="M7" i="292"/>
  <c r="N7" i="292" s="1"/>
  <c r="M6" i="292"/>
  <c r="M5" i="292"/>
  <c r="M4" i="292"/>
  <c r="M3" i="292"/>
  <c r="J11" i="291"/>
  <c r="J9" i="291"/>
  <c r="J8" i="291"/>
  <c r="K3" i="291" s="1"/>
  <c r="N10" i="290"/>
  <c r="N9" i="290"/>
  <c r="N8" i="290"/>
  <c r="N7" i="290"/>
  <c r="N6" i="290"/>
  <c r="N5" i="290"/>
  <c r="N4" i="290"/>
  <c r="N3" i="290"/>
  <c r="G3" i="289"/>
  <c r="G4" i="289"/>
  <c r="G5" i="289"/>
  <c r="G6" i="289"/>
  <c r="G7" i="289"/>
  <c r="G9" i="289"/>
  <c r="G10" i="289"/>
  <c r="G11" i="289"/>
  <c r="F12" i="287"/>
  <c r="F11" i="287"/>
  <c r="F10" i="287"/>
  <c r="F9" i="287"/>
  <c r="F8" i="287"/>
  <c r="F7" i="287"/>
  <c r="F6" i="287"/>
  <c r="F5" i="287"/>
  <c r="F4" i="287"/>
  <c r="F3" i="287"/>
  <c r="D11" i="286"/>
  <c r="D10" i="286"/>
  <c r="D9" i="286"/>
  <c r="D6" i="286"/>
  <c r="D5" i="286"/>
  <c r="E5" i="286" s="1"/>
  <c r="D4" i="286"/>
  <c r="E4" i="286" s="1"/>
  <c r="D3" i="286"/>
  <c r="D3" i="285"/>
  <c r="E3" i="285" s="1"/>
  <c r="D4" i="285"/>
  <c r="E4" i="285" s="1"/>
  <c r="D5" i="285"/>
  <c r="D6" i="285"/>
  <c r="D7" i="285"/>
  <c r="C3" i="284"/>
  <c r="C4" i="284"/>
  <c r="C5" i="284"/>
  <c r="C6" i="284"/>
  <c r="C7" i="284"/>
  <c r="C8" i="284"/>
  <c r="D9" i="283"/>
  <c r="D8" i="283"/>
  <c r="D7" i="283"/>
  <c r="D6" i="283"/>
  <c r="E6" i="283" s="1"/>
  <c r="D5" i="283"/>
  <c r="D4" i="283"/>
  <c r="D3" i="283"/>
  <c r="E3" i="283" s="1"/>
  <c r="D3" i="282"/>
  <c r="D4" i="282"/>
  <c r="E4" i="282" s="1"/>
  <c r="D5" i="282"/>
  <c r="E5" i="282" s="1"/>
  <c r="D6" i="282"/>
  <c r="D7" i="282"/>
  <c r="D8" i="282"/>
  <c r="D9" i="282"/>
  <c r="E3" i="281"/>
  <c r="F3" i="281" s="1"/>
  <c r="E4" i="281"/>
  <c r="E5" i="281"/>
  <c r="E6" i="281"/>
  <c r="F6" i="281" s="1"/>
  <c r="E7" i="281"/>
  <c r="E8" i="281"/>
  <c r="E9" i="281"/>
  <c r="D9" i="280"/>
  <c r="D8" i="280"/>
  <c r="D7" i="280"/>
  <c r="D6" i="280"/>
  <c r="D5" i="280"/>
  <c r="D4" i="280"/>
  <c r="D3" i="279"/>
  <c r="D4" i="279"/>
  <c r="D5" i="279"/>
  <c r="D6" i="279"/>
  <c r="D7" i="279"/>
  <c r="E7" i="279" s="1"/>
  <c r="D8" i="279"/>
  <c r="D9" i="279"/>
  <c r="D10" i="279"/>
  <c r="C11" i="278"/>
  <c r="C10" i="278"/>
  <c r="C9" i="278"/>
  <c r="C7" i="278"/>
  <c r="D7" i="278" s="1"/>
  <c r="C6" i="278"/>
  <c r="C5" i="278"/>
  <c r="C4" i="278"/>
  <c r="C3" i="278"/>
  <c r="D3" i="277"/>
  <c r="D4" i="277"/>
  <c r="D5" i="277"/>
  <c r="D6" i="277"/>
  <c r="D7" i="277"/>
  <c r="D8" i="277"/>
  <c r="D9" i="277"/>
  <c r="E3" i="276"/>
  <c r="E4" i="276"/>
  <c r="E5" i="276"/>
  <c r="E6" i="276"/>
  <c r="E8" i="276"/>
  <c r="E9" i="276"/>
  <c r="E10" i="276"/>
  <c r="C11" i="275"/>
  <c r="C10" i="275"/>
  <c r="C9" i="275"/>
  <c r="C5" i="275"/>
  <c r="C4" i="275"/>
  <c r="C3" i="275"/>
  <c r="D3" i="274"/>
  <c r="D7" i="274" s="1"/>
  <c r="C3" i="273"/>
  <c r="C4" i="273"/>
  <c r="C5" i="273"/>
  <c r="C6" i="273"/>
  <c r="D6" i="273" s="1"/>
  <c r="C7" i="273"/>
  <c r="C8" i="273"/>
  <c r="C9" i="273"/>
  <c r="E3" i="272"/>
  <c r="E4" i="272"/>
  <c r="E5" i="272"/>
  <c r="E6" i="272"/>
  <c r="E7" i="272"/>
  <c r="F7" i="272" s="1"/>
  <c r="E8" i="272"/>
  <c r="E9" i="272"/>
  <c r="E10" i="272"/>
  <c r="E11" i="272"/>
  <c r="D13" i="269"/>
  <c r="D12" i="269"/>
  <c r="D11" i="269"/>
  <c r="D10" i="269"/>
  <c r="D9" i="269"/>
  <c r="D8" i="269"/>
  <c r="D7" i="269"/>
  <c r="E7" i="269" s="1"/>
  <c r="D6" i="269"/>
  <c r="D5" i="269"/>
  <c r="D4" i="269"/>
  <c r="D3" i="269"/>
  <c r="E4" i="277" l="1"/>
  <c r="E4" i="279"/>
  <c r="G7" i="287"/>
  <c r="E3" i="277"/>
  <c r="G4" i="287"/>
  <c r="D4" i="273"/>
  <c r="N4" i="292"/>
  <c r="D4" i="275"/>
  <c r="E4" i="280"/>
  <c r="O4" i="290"/>
  <c r="G4" i="293"/>
  <c r="K4" i="296"/>
  <c r="F3" i="272"/>
  <c r="F4" i="276"/>
  <c r="E3" i="286"/>
  <c r="H3" i="289"/>
  <c r="N3" i="292"/>
  <c r="D4" i="294"/>
  <c r="E3" i="295"/>
  <c r="E3" i="269"/>
  <c r="D3" i="275"/>
  <c r="C12" i="275"/>
  <c r="E11" i="276"/>
  <c r="C12" i="278"/>
  <c r="D3" i="278"/>
  <c r="F4" i="281"/>
  <c r="E3" i="282"/>
  <c r="D4" i="284"/>
  <c r="C12" i="294"/>
  <c r="D3" i="294"/>
  <c r="K3" i="296"/>
  <c r="E4" i="269"/>
  <c r="D3" i="284"/>
  <c r="C9" i="284"/>
  <c r="F4" i="272"/>
  <c r="C10" i="273"/>
  <c r="D3" i="273"/>
  <c r="E4" i="283"/>
  <c r="G3" i="287"/>
  <c r="H4" i="289"/>
  <c r="O3" i="290"/>
  <c r="E3" i="280"/>
  <c r="D4" i="278"/>
  <c r="D14" i="269"/>
  <c r="E12" i="272"/>
  <c r="F3" i="276"/>
  <c r="D12" i="286"/>
  <c r="D11" i="295"/>
  <c r="D10" i="277"/>
  <c r="D11" i="279"/>
  <c r="M12" i="292"/>
  <c r="D10" i="280"/>
  <c r="D10" i="282"/>
  <c r="M12" i="288"/>
  <c r="G12" i="289"/>
  <c r="J12" i="291"/>
  <c r="F11" i="293"/>
  <c r="E10" i="281"/>
  <c r="D10" i="283"/>
  <c r="D8" i="285"/>
  <c r="F13" i="287"/>
  <c r="N11" i="290"/>
  <c r="J12" i="296"/>
  <c r="E3" i="279"/>
</calcChain>
</file>

<file path=xl/sharedStrings.xml><?xml version="1.0" encoding="utf-8"?>
<sst xmlns="http://schemas.openxmlformats.org/spreadsheetml/2006/main" count="654" uniqueCount="430">
  <si>
    <t>Blank</t>
  </si>
  <si>
    <t>Void</t>
  </si>
  <si>
    <t>Total Votes by County</t>
  </si>
  <si>
    <t>Total Votes by Party</t>
  </si>
  <si>
    <t>Total Votes by Candidate</t>
  </si>
  <si>
    <t>Candidate Name (Party)</t>
  </si>
  <si>
    <t>Scattering</t>
  </si>
  <si>
    <t>Jefferson County Vote Results</t>
  </si>
  <si>
    <t>Lewis County Vote Results</t>
  </si>
  <si>
    <t>Oneida County Vote Results</t>
  </si>
  <si>
    <t>Onondaga County Vote Results</t>
  </si>
  <si>
    <t>Chemung County Vote Results</t>
  </si>
  <si>
    <t>Chenango County Vote Results</t>
  </si>
  <si>
    <t>Cortland County Vote Results</t>
  </si>
  <si>
    <t>Delaware County Vote Results</t>
  </si>
  <si>
    <t>Madison County Vote Results</t>
  </si>
  <si>
    <t>Otsego County Vote Results</t>
  </si>
  <si>
    <t>Schuyler County Vote Results</t>
  </si>
  <si>
    <t>Tompkins County Vote Results</t>
  </si>
  <si>
    <t>Cayuga County Vote Results</t>
  </si>
  <si>
    <t>Livingston County Vote Results</t>
  </si>
  <si>
    <t>Seneca County Vote Results</t>
  </si>
  <si>
    <t>Steuben County Vote Results</t>
  </si>
  <si>
    <t>Wayne County Vote Results</t>
  </si>
  <si>
    <t>Yates County Vote Results</t>
  </si>
  <si>
    <t>Allegany County Vote Results</t>
  </si>
  <si>
    <t>Cattaraugus County Vote Results</t>
  </si>
  <si>
    <t>Chautauqua County Vote Results</t>
  </si>
  <si>
    <t>Genesee County Vote Results</t>
  </si>
  <si>
    <t>Orleans County Vote Results</t>
  </si>
  <si>
    <t>Wyoming County Vote Results</t>
  </si>
  <si>
    <t>Orange County Vote Results</t>
  </si>
  <si>
    <t>Putnam County Vote Results</t>
  </si>
  <si>
    <t>Rockland County Vote Results</t>
  </si>
  <si>
    <t>Richmond County Vote Results</t>
  </si>
  <si>
    <t>Representative in Congress 1st Congressional District - General Election - November 3, 2020</t>
  </si>
  <si>
    <t>Part of Suffolk County Vote Results</t>
  </si>
  <si>
    <t>Nancy S.  Goroff (DEM)</t>
  </si>
  <si>
    <t>Lee M. Zeldin (REP)</t>
  </si>
  <si>
    <t>Lee M. Zeldin (CON)</t>
  </si>
  <si>
    <t>Nancy S.  Goroff (WOR)</t>
  </si>
  <si>
    <t>Lee M. Zeldin (IND)</t>
  </si>
  <si>
    <t>Representative in Congress 2nd Congressional District - General Election - November 3, 2020</t>
  </si>
  <si>
    <t>Part of Nassau County Vote Results</t>
  </si>
  <si>
    <t>Jackie  Gordon (DEM)</t>
  </si>
  <si>
    <t>Andrew R. Garbarino (REP)</t>
  </si>
  <si>
    <t>Andrew R. Garbarino (CON)</t>
  </si>
  <si>
    <t>Jackie  Gordon (WOR)</t>
  </si>
  <si>
    <t>Harry R. Burger (GRE)</t>
  </si>
  <si>
    <t>Andrew R. Garbarino (LBT)</t>
  </si>
  <si>
    <t>Jackie  Gordon (IND)</t>
  </si>
  <si>
    <t>Andrew R. Garbarino (SAM)</t>
  </si>
  <si>
    <t>Representative in Congress 3rd Congressional District - General Election - November 3, 2020</t>
  </si>
  <si>
    <t>Part of Queens County Vote Results</t>
  </si>
  <si>
    <t>Thomas R.  Suozzi (DEM)</t>
  </si>
  <si>
    <t>George A.D. Santos (REP)</t>
  </si>
  <si>
    <t>George A.D. Santos (CON)</t>
  </si>
  <si>
    <t>Thomas R.  Suozzi (WOR)</t>
  </si>
  <si>
    <t>Howard Rabin (LBT)</t>
  </si>
  <si>
    <t>Thomas R.  Suozzi (IND)</t>
  </si>
  <si>
    <t>Representative in Congress 4th Congressional District - General Election - November 3, 2020</t>
  </si>
  <si>
    <t>Kathleen M. Rice (DEM)</t>
  </si>
  <si>
    <t>Douglas L. Tuman (REP)</t>
  </si>
  <si>
    <t>Douglas L. Tuman (CON)</t>
  </si>
  <si>
    <t>Joseph R. Naham (GRE)</t>
  </si>
  <si>
    <t>Representative in Congress 5th Congressional District - General Election - November 3, 2020</t>
  </si>
  <si>
    <t>Gregory W.  Meeks (DEM)</t>
  </si>
  <si>
    <t>Representative in Congress 6th Congressional District - General Election - November 3, 2020</t>
  </si>
  <si>
    <t>Grace Meng (DEM)</t>
  </si>
  <si>
    <t>Thomas J.  Zmich (REP)</t>
  </si>
  <si>
    <t>Thomas J.  Zmich (CON)</t>
  </si>
  <si>
    <t>Grace Meng (WOR)</t>
  </si>
  <si>
    <t>Thomas J.  Zmich (LBT)</t>
  </si>
  <si>
    <t>Thomas J.  Zmich (Save Our City)</t>
  </si>
  <si>
    <t>Representative in Congress 7th Congressional District - General Election - November 3, 2020</t>
  </si>
  <si>
    <t>Part of Kings County Vote Results</t>
  </si>
  <si>
    <t>Part of New York County Vote Results</t>
  </si>
  <si>
    <t>Nydia M. Velazquez (DEM)</t>
  </si>
  <si>
    <t>Brian W. Kelly (REP)</t>
  </si>
  <si>
    <t>Brian W. Kelly (CON)</t>
  </si>
  <si>
    <t>Nydia M. Velazquez (WOR)</t>
  </si>
  <si>
    <t>Gilbert Midonnet (LBT)</t>
  </si>
  <si>
    <t>Representative in Congress 8th Congressional District - General Election - November 3, 2020</t>
  </si>
  <si>
    <t>Hakeem S. Jeffries (DEM)</t>
  </si>
  <si>
    <t>Garfield H. Wallace (REP)</t>
  </si>
  <si>
    <t>Garfield H. Wallace (CON)</t>
  </si>
  <si>
    <t>Hakeem S. Jeffries (WOR)</t>
  </si>
  <si>
    <t>Representative in Congress 9th Congressional District - General Election - November 3, 2020</t>
  </si>
  <si>
    <t>Yvette D. Clarke (DEM)</t>
  </si>
  <si>
    <t>Constantine Jean-Pierre (REP)</t>
  </si>
  <si>
    <t>Constantine Jean-Pierre (CON)</t>
  </si>
  <si>
    <t>Yvette D. Clark (WOR)</t>
  </si>
  <si>
    <t>Gary Popkin (LBT)</t>
  </si>
  <si>
    <t>Joel B. Anabilah-Azumah (SAM)</t>
  </si>
  <si>
    <t>Representative in Congress 10th Congressional District - General Election - November 3, 2020</t>
  </si>
  <si>
    <t>Jerrold L. Nadler (DEM)</t>
  </si>
  <si>
    <t>Cathy A. Bernstein (REP)</t>
  </si>
  <si>
    <t>Cathy A. Bernstein (CON)</t>
  </si>
  <si>
    <t>Jerrold L. Nadler (WOR)</t>
  </si>
  <si>
    <t>Michael Madrid (LBT)</t>
  </si>
  <si>
    <t>Representative in Congress 11th Congressional District - General Election - November 3, 2020</t>
  </si>
  <si>
    <t>Max N. Rose (DEM)</t>
  </si>
  <si>
    <t>Nicole Malliotakis (REP)</t>
  </si>
  <si>
    <t>Nicole Malliotakis (CON)</t>
  </si>
  <si>
    <t>Max N. Rose (IND)</t>
  </si>
  <si>
    <t>Representative in Congress 12th Congressional District - General Election - November 3, 2020</t>
  </si>
  <si>
    <t>Carolyn B. Maloney (DEM)</t>
  </si>
  <si>
    <t>Carlos Santiago-Cano (REP)</t>
  </si>
  <si>
    <t>Carlos Santiago-Cano (CON)</t>
  </si>
  <si>
    <t>Steven Kolln (LBT)</t>
  </si>
  <si>
    <t>Representative in Congress 13th Congressional District - General Election - November 3, 2020</t>
  </si>
  <si>
    <t>Part of Bronx County Vote Results</t>
  </si>
  <si>
    <t>Adriano Espaillat (DEM)</t>
  </si>
  <si>
    <t>Lovelynn Gwinn (REP)</t>
  </si>
  <si>
    <t>Christopher Morris-Perry (CON)</t>
  </si>
  <si>
    <t>Adriano Espaillat (WOR)</t>
  </si>
  <si>
    <t>Representative in Congress 14th Congressional District - General Election - November 3, 2020</t>
  </si>
  <si>
    <t>Alexandria Ocasio-Cortez (DEM)</t>
  </si>
  <si>
    <t>John C. Cummings (REP)</t>
  </si>
  <si>
    <t>John C. Cummings (CON)</t>
  </si>
  <si>
    <t>Michelle Caruso-Cabrera (SAM)</t>
  </si>
  <si>
    <t>Representative in Congress 15th Congressional District - General Election - November 3, 2020</t>
  </si>
  <si>
    <t>Ritchie Torres (DEM)</t>
  </si>
  <si>
    <t>Patrick Delices (REP)</t>
  </si>
  <si>
    <t>Patrick Delices (CON)</t>
  </si>
  <si>
    <t>Representative in Congress 16th Congressional District - General Election - November 3, 2020</t>
  </si>
  <si>
    <t>Part of Westchester County Vote Results</t>
  </si>
  <si>
    <t>Jamaal Bowman (DEM)</t>
  </si>
  <si>
    <t>Patrick McManus (CON)</t>
  </si>
  <si>
    <t>Representative in Congress 17th Congressional District - General Election - November 3, 2020</t>
  </si>
  <si>
    <t>Mondaire Jones (DEM)</t>
  </si>
  <si>
    <t>Maureen McArdle-Schulman (REP)</t>
  </si>
  <si>
    <t>Yehudis Gottesfeld (CON)</t>
  </si>
  <si>
    <t>Mondaire Jones (WOR)</t>
  </si>
  <si>
    <t>Michael I. Parietti (SAM)</t>
  </si>
  <si>
    <t>Joshua Eisen (ECL)</t>
  </si>
  <si>
    <t>Representative in Congress 18th Congressional District - General Election - November 3, 2020</t>
  </si>
  <si>
    <t>Part of Dutchess County Vote Results</t>
  </si>
  <si>
    <t>Sean Patrick Maloney (DEM)</t>
  </si>
  <si>
    <t>Chele C. Farley (REP)</t>
  </si>
  <si>
    <t>Chele C. Farley (CON)</t>
  </si>
  <si>
    <t>Sean Patrick Maloney (WOR)</t>
  </si>
  <si>
    <t>Scott A. Smith (LBT)</t>
  </si>
  <si>
    <t>Sean Patrick Maloney (IND)</t>
  </si>
  <si>
    <t>Scott A. Smith (SAM)</t>
  </si>
  <si>
    <t>Representative in Congress 19th Congressional District - General Election - November 3, 2020</t>
  </si>
  <si>
    <t>Columbia County Vote Results</t>
  </si>
  <si>
    <t>Greene County Vote Results</t>
  </si>
  <si>
    <t>Schoharie County Vote Results</t>
  </si>
  <si>
    <t>Sullivan County Vote Results</t>
  </si>
  <si>
    <t>Ulster County Vote Results</t>
  </si>
  <si>
    <t>Part of Broome County Vote Results</t>
  </si>
  <si>
    <t>Part of Montgomery County Vote Results</t>
  </si>
  <si>
    <t>Part of Rensselaer County Vote Results</t>
  </si>
  <si>
    <t>Antonio Delgado (DEM)</t>
  </si>
  <si>
    <t>Kyle Van De Water (REP)</t>
  </si>
  <si>
    <t>Antonio Delgado (WOR)</t>
  </si>
  <si>
    <t>Steven Greenfield (GRE)</t>
  </si>
  <si>
    <t>Victoria N. Alexander (LBT)</t>
  </si>
  <si>
    <t>Antonio Delgado (SAM)</t>
  </si>
  <si>
    <t>Representative in Congress 20th Congressional District - General Election - November 3, 2020</t>
  </si>
  <si>
    <t>Albany County Vote Results</t>
  </si>
  <si>
    <t>Schenectady County Vote Results</t>
  </si>
  <si>
    <t>Part of Saratoga County Vote Results</t>
  </si>
  <si>
    <t>Paul D. Tonko (DEM)</t>
  </si>
  <si>
    <t>Elizabeth L. Joy (REP)</t>
  </si>
  <si>
    <t>Elizabeth L. Joy (CON)</t>
  </si>
  <si>
    <t>Paul D. Tonko (WOR)</t>
  </si>
  <si>
    <t>Paul D. Tonko (IND)</t>
  </si>
  <si>
    <t>Elizabeth L. Joy (SAM)</t>
  </si>
  <si>
    <t>Representative in Congress 21st Congressional District - General Election - November 3, 2020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</si>
  <si>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</si>
  <si>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</si>
  <si>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</si>
  <si>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</si>
  <si>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</si>
  <si>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St. Lawrence County Vote Results</t>
  </si>
  <si>
    <t>Warren County Vote Results</t>
  </si>
  <si>
    <t>Washington County Vote Results</t>
  </si>
  <si>
    <t>Part of Herkimer County Vote Results</t>
  </si>
  <si>
    <t>Tedra L. Cobb (DEM)</t>
  </si>
  <si>
    <t>Elise M. Stefanik (REP)</t>
  </si>
  <si>
    <t>Elise M. Stefanik (CON)</t>
  </si>
  <si>
    <t>Tedra L. Cobb (WOR)</t>
  </si>
  <si>
    <t>Elise M. Stefanik (IND)</t>
  </si>
  <si>
    <t>Representative in Congress 22nd Congressional District - General Election - November 3, 2020</t>
  </si>
  <si>
    <t>Part of Oswego County Vote Results</t>
  </si>
  <si>
    <t>Part of Tioga County Vote Results</t>
  </si>
  <si>
    <t>Anthony J. Brindisi (DEM)</t>
  </si>
  <si>
    <t>Claudia Tenney (REP)</t>
  </si>
  <si>
    <t>Claudia Tenney (CON)</t>
  </si>
  <si>
    <t>Anthony J. Brindisi (WOR)</t>
  </si>
  <si>
    <t>Keith D. Price, Jr. (LBT)</t>
  </si>
  <si>
    <t>Anthony J. Brindisi (IND)</t>
  </si>
  <si>
    <t>Representative in Congress 23rd Congressional District - General Election - November 3, 2020</t>
  </si>
  <si>
    <t>Part of Ontario County Vote Results</t>
  </si>
  <si>
    <t>Tracy Mitrano (DEM)</t>
  </si>
  <si>
    <t>Tom Reed (REP)</t>
  </si>
  <si>
    <t>Tom Reed (CON)</t>
  </si>
  <si>
    <t>Tracy Mitrano (WOR)</t>
  </si>
  <si>
    <t>Andrew M. Kolstee (LBT)</t>
  </si>
  <si>
    <t>Tom Reed (IND)</t>
  </si>
  <si>
    <t>Representative in Congress 24th Congressional District - General Election - November 3, 2020</t>
  </si>
  <si>
    <t>Dana Balter (DEM)</t>
  </si>
  <si>
    <t>John M. Katko (REP)</t>
  </si>
  <si>
    <t>John M. Katko (CON)</t>
  </si>
  <si>
    <t>Steven Williams (WOR)</t>
  </si>
  <si>
    <t>John M. Katko (IND)</t>
  </si>
  <si>
    <t>Representative in Congress 25th Congressional District - General Election - November 3, 2020</t>
  </si>
  <si>
    <t>Part of Monroe County Vote Results</t>
  </si>
  <si>
    <t>Joseph D. Morelle (DEM)</t>
  </si>
  <si>
    <t>George Mitris (REP)</t>
  </si>
  <si>
    <t>George Mitris (CON)</t>
  </si>
  <si>
    <t>Joseph D. Morelle (WOR)</t>
  </si>
  <si>
    <t>Kevin A. Wilson (LBT)</t>
  </si>
  <si>
    <t>Joseph D. Morelle (IND)</t>
  </si>
  <si>
    <t>Representative in Congress 26th Congressional District - General Election - November 3, 2020</t>
  </si>
  <si>
    <t>Part of Erie County Vote Results</t>
  </si>
  <si>
    <t>Part of Niagara County Vote Results</t>
  </si>
  <si>
    <t>Brian Higgins (DEM)</t>
  </si>
  <si>
    <t>Ricky T. Donovan, Sr. (REP)</t>
  </si>
  <si>
    <t>Brian Higgins (WOR)</t>
  </si>
  <si>
    <t>Michael P. Raleigh (GRE)</t>
  </si>
  <si>
    <t>Brian Higgins (SAM)</t>
  </si>
  <si>
    <t>Representative in Congress 27th Congressional District - General Election - November 3, 2020</t>
  </si>
  <si>
    <t>Nathan D. McMurray (DEM)</t>
  </si>
  <si>
    <t>Chris Jacobs (REP)</t>
  </si>
  <si>
    <t>Chris Jacobs (CON)</t>
  </si>
  <si>
    <t>Nathan D. McMurray (WOR)</t>
  </si>
  <si>
    <t>Duane J. Whitmer (LBT)</t>
  </si>
  <si>
    <t>Chris Jacobs (IND)</t>
  </si>
  <si>
    <t>Revision History</t>
  </si>
  <si>
    <t>Date</t>
  </si>
  <si>
    <t>Description of changes</t>
  </si>
  <si>
    <t>Original Version</t>
  </si>
  <si>
    <t>AD 122 (Shaw +7, Angelino (Rep) +11, Angelino (IND) +2 , Blank +2)</t>
  </si>
  <si>
    <t>SD 51 (Barber +4, Oberacker +2 (REP), Oberacker (CON) +1 , Blank +1)</t>
  </si>
  <si>
    <t>President (Trump R + 4, Jorgensen +1)</t>
  </si>
  <si>
    <t>JD 5 (Young R +4, Blanks +1)</t>
  </si>
  <si>
    <t>SD 48 (Ritchie R +3, Ritchie C +1, Blanks +1)</t>
  </si>
  <si>
    <t>AD 120 (Barclay R +4, Blanks +1)</t>
  </si>
  <si>
    <t>President (Biden D +2, Voids -1)</t>
  </si>
  <si>
    <t>JD 5 (McMahon D +2, Voids -1)</t>
  </si>
  <si>
    <t>CD 22 (Brindisi D +2, Voids -1)</t>
  </si>
  <si>
    <t>SD 48 (Blanks +1)</t>
  </si>
  <si>
    <t>AD 120 (Tosh D +1)</t>
  </si>
  <si>
    <t>CD 22 (Previously Uncertified - Brindisi D +6,509, Tenney R +12,372, Tenney C +1,229, Brindisi WF +651, Price +414, Brindisi I +271, Blanks +569, Voids +16, Write-In +11)</t>
  </si>
  <si>
    <t>CD 22 (Previously Uncertified - Brindisi D + 9,071, Brindisi WF +731, Brindisi I +331, Tenney R +12,611, Tenney C +1,076, Price +360, Blank +528, Void +23, Write-in +5)</t>
  </si>
  <si>
    <t>President (Biden D +1)</t>
  </si>
  <si>
    <t>JD 6 (Garry D +1, Blank -1)</t>
  </si>
  <si>
    <t>SD 51 (Barber D +1)</t>
  </si>
  <si>
    <t>AD 126 (Carabajal D +1)</t>
  </si>
  <si>
    <t>CD 22 (Previously Uncertified - Brindisi D +9,903, Tenney R +8,811, Tenney C +741, Price Jr. +613, Brindisi I +441, Scattering +6, Void +5, Blank +635)</t>
  </si>
  <si>
    <t>CD 22 (Previously Uncertified - Brindisi D +8,310, Tenney R +11,140, Tenney C +782, Brindisi WF +594, Price +654, Brindisi I +415, Blank +576, Vid +12, Scattering +8)</t>
  </si>
  <si>
    <t>President (Biden D +10, Trump R +14, Blank +4)</t>
  </si>
  <si>
    <t>JD 6(Garry D +12, Burns +10, Blanks +33, Write in +1 )</t>
  </si>
  <si>
    <t>AD 126 (Carabajal D +2, Lemonides R +2, Lemonides C +1, Blank +1)</t>
  </si>
  <si>
    <t xml:space="preserve">SD 52 (Akshar R +8, Quiter +3 , Akshar I +2 , Blank +7) </t>
  </si>
  <si>
    <t>CD 22 (Previously Uncertified - Brindisi D +45,187, Tenney R +33,920, Tenney C +2,670, Brindisi WF +3,701, Price Jr. LBT +2,461, Brindisi I +1,817, Blank +2,468, Void +85, Scattering +60)</t>
  </si>
  <si>
    <t>CD 22 (Previously Uncertified - Brindisi D +14,036, Tenney R +15,509, Brindisi WF + 980, Brindisi I + 653, Price LBT +694, Blank +839, Void +1, Scattering +12)</t>
  </si>
  <si>
    <t>CD 22 (Previously Uncertified - Brindisi D +2,387, Tenney R +2,848, Tenney C +208, Brindisi WF +167, Price Jr. LBT +194, Brindisi I +135, Blank +122, Void +4, Scattering +2)</t>
  </si>
  <si>
    <t>CD 22 (Previously Uncertified - Brindisi D +43,493, Tenney R +46,080, Tenney C +4,565, Brindisi WF +3,626, Price Jr. LBT +1,390, Brindisi I +1,840, Blank +1,677, Void 0, Scattering +38)</t>
  </si>
  <si>
    <t>President (Biden D -2, Trump R +1. Jordensen -2, Blank -1)</t>
  </si>
  <si>
    <t>JD 6 (Garry D -2, Blank -6)</t>
  </si>
  <si>
    <t>SD 53 (May D -2, Rodgers R -1, Rodgers C +1, Penner -1, Blank -1)</t>
  </si>
  <si>
    <t>AD 121 (Buttermann -2, Salka R -1, Salka C +1, Cornell LBT -1, Blank -1)</t>
  </si>
  <si>
    <t>JD 6 (Garry D -10 , Burns R -7, Garry IND -3, Blank -14 )</t>
  </si>
  <si>
    <t>SD 52 (Akshar R -5, Akshar C -1, Quiter LBT -4, Akshar I -4, Blank -1 Scattering -2)</t>
  </si>
  <si>
    <t>President (Biden D -8, Trump R -9, Jorgensen LBT, -1, Pierce IND -1, Blank +1, Void +241 )</t>
  </si>
  <si>
    <t>AD 122 (Shaw D -1, Angelino R +4, Angelino IND -2)</t>
  </si>
  <si>
    <t>AD 123 (Lupardo D -7, Lupardo WF -4 , Blank + 146, Void -152, Write In -1)</t>
  </si>
  <si>
    <t>President (Biden D +2, Trump C +1, Blank +2)</t>
  </si>
  <si>
    <t>JD 5 (McMahon D +1, McMahon C +1, Blank +3)</t>
  </si>
  <si>
    <t>SD 51 (Barber D+1, Blank +4)</t>
  </si>
  <si>
    <t>AD 101 (Miller R+1, Blank +1, Void +1)</t>
  </si>
  <si>
    <t>AD 119 (Buttenschon D +1, Blank +1)</t>
  </si>
  <si>
    <t>President (Biden D +3, Trump R +5, Trump C +1)</t>
  </si>
  <si>
    <t>CD 21 (Cobb D +3, Stefanik R +5, Stefanik C +1)</t>
  </si>
  <si>
    <t>SD 45 (Davis D +3, Stec R +5, Stec I +1)</t>
  </si>
  <si>
    <t>AD 114 (Braymer D +3, Simpson R +5, Simpson C +1)</t>
  </si>
  <si>
    <t>President (Biden D+386, Trump R+630, Trump C+50, Biden WF+20, Hawkins G+8,Jorgensen L+13, Pierce I+5, Blank +10, Void-231)</t>
  </si>
  <si>
    <t>SD 47 ( Griffo R+661, Griffo C+76, Griffo I+80, Blank +271)</t>
  </si>
  <si>
    <t>SD 53 (May D+12, Rodgers R+13, Rodgers C+1, May WF+2, Penner L+1, Blank +4)</t>
  </si>
  <si>
    <t>AD 117 (Blankenbush R+121, Blankenbush C+7 , Blankenbush I+11, Blank+46)</t>
  </si>
  <si>
    <t>AD 118 ( Smullen R+89, Smullen C+5, Smullen I+5, Blank +20)</t>
  </si>
  <si>
    <t>AD 119 (Buttenschon D+259, Zielinski R+225, Buttenschon I+28, Gentile S+5, Blank+85)</t>
  </si>
  <si>
    <t>AD 121 (Buttermann D+9, Salka R+63, Salka C+10, Mosher WF+3, Cornell L+5, Salka I+4, Blank+8)</t>
  </si>
  <si>
    <t>JD 5 (McMahon D+336, Young R+545, McMahon C+67, Blank +177)</t>
  </si>
  <si>
    <t>AD 101 (McEvoy D+28, Miller R+57, Miller C+7, McEvoy WF+5, Kidney G+3, Miller I+1, Blank +14)</t>
  </si>
  <si>
    <t>President (Blank +676, Void -201)</t>
  </si>
  <si>
    <t>JD 9 (Blank +24,877, Void -134)</t>
  </si>
  <si>
    <t>CD 18 (Blank +2,032, Void -9)</t>
  </si>
  <si>
    <t>SD 39 (Blank +1,140, Void -10)</t>
  </si>
  <si>
    <t>SD 42 (Blank +1,035, Void -12)</t>
  </si>
  <si>
    <t>AD 99 (Blank +1,069, Void +8)</t>
  </si>
  <si>
    <t>AD 100 (Blank +1,264, Void +19)</t>
  </si>
  <si>
    <t>AD 101 (Blank +213)</t>
  </si>
  <si>
    <t>AD 98 (Blank +3,901, Void +46)</t>
  </si>
  <si>
    <t>AD 104 (Blank +377)</t>
  </si>
  <si>
    <t>Putnam:</t>
  </si>
  <si>
    <t>President (Biden +2)</t>
  </si>
  <si>
    <t xml:space="preserve">JD 9 (Williams D+2, Murphy D+1, Ondrovic D+1, Walker D+2, Blank +2)   </t>
  </si>
  <si>
    <t>CD 18 (Maloney D+1, Smith L+1)</t>
  </si>
  <si>
    <t>SD 40 (Harckham D+2)</t>
  </si>
  <si>
    <t>AD 94 (Keegan D+1, Blank + 1)</t>
  </si>
  <si>
    <t xml:space="preserve">Tompkins:
</t>
  </si>
  <si>
    <t>President (Carroll -1, Simmons +1)</t>
  </si>
  <si>
    <t>Westchester:</t>
  </si>
  <si>
    <t xml:space="preserve">President (Biden D+64, Trump R+17, Trump C+1, Biden W+2, Carroll+2, La Riva+3, West+9, Blanks +6409) </t>
  </si>
  <si>
    <t>JD 9 (Williams D+40, Murphy D+42, Ondrovic D+32, Walker D+35, Guertin R+14, Starkman R+13, Hasin R+13, Walker R+17, Guertin C+2, Murphy C+4, Ondrovic C+1,Scattering +111, Blanks 305,904)</t>
  </si>
  <si>
    <t>CD 16 (Bowman +43, McManus +9, Scattering +68, Blanks +48,976)</t>
  </si>
  <si>
    <t>CD 17 (Jones D+1, McArdle-Schulman R+2, Scattering+17, Blanks+15,297)</t>
  </si>
  <si>
    <t>CD 18 (Patrick Maloney D+1, Scattering+1, Blanks+2023)</t>
  </si>
  <si>
    <t>SD 34 (Biaggi D+1, Scattering +3, Blanks+598)</t>
  </si>
  <si>
    <t>SD 35 (Stewart Cousins D+26, Stewart Cousin W+2, Scattering+69, Blanks+33,024)</t>
  </si>
  <si>
    <t>SD 36 (Bailey D+2, Blanks+3559)</t>
  </si>
  <si>
    <t>SD 37 (Mayer D+22, Saimovici D+10, Scattering +4, Blanks+13,697)</t>
  </si>
  <si>
    <t>SD 38 (Blanks+1513)</t>
  </si>
  <si>
    <t>SD 40 (Scattering +2, Blanks+4852)</t>
  </si>
  <si>
    <t>AD 88 (Paulin D+5, Scattering +17, Blanks+22685)</t>
  </si>
  <si>
    <t>AD 89 (Pretlow+8, Scattering +24, Blanks+13191)</t>
  </si>
  <si>
    <t>AD 90 (Sayegh D+30, Sayegh I+3, Scattering +28, Blanks+20971)</t>
  </si>
  <si>
    <t>AD 91 (Otis D+1, Scattering +19, Blanks+17730)</t>
  </si>
  <si>
    <t>AD 92 (Scattering +68, Blanks+22742)</t>
  </si>
  <si>
    <t>AD 93 (Burdick D+2, Scattering +4, Blanks+5550)</t>
  </si>
  <si>
    <t>AD 94 (Blanks+2459)</t>
  </si>
  <si>
    <t>AD 95 (Blanks+3812)</t>
  </si>
  <si>
    <t>Orange:</t>
  </si>
  <si>
    <t>President (Biden D+260, Trump R+59, Trump C+13, Biden W+11, Hawkins G+3, Jorgensen L+1, Carroll +2, Simmons +1, West -7, Blanks -234, Voids -46)</t>
  </si>
  <si>
    <t>JD 9 (Williams D+47, Murphy D+51, Ondrovic D+35, Walker D+50, Guertin R+15, Starkman R+11, Hason R+24, Walker R+13, Guertin C+3, Murphy C+4, Ondrovic C+3, Walker C+2, Blanks -23066, Voids +364, Scattering +5)</t>
  </si>
  <si>
    <t>CD 18 (Maloney D+260, Farley R+43, Farley C+4, Maloney W+10, Maloney I+3, Smith S+1, Blanks -1887, Voids +80, Scattering +1)</t>
  </si>
  <si>
    <t>SD 39 (Skoufis D+36, Brescia R+6, Skoufis W+2, Blanks -907, Voids +33, Scattering +1)</t>
  </si>
  <si>
    <t>SD 42 (Metzger D+18, Martucci R+11, Martucci C+2, Martucci I+1, Blanks -842, Voids +24)</t>
  </si>
  <si>
    <t>AD 98 (Bradenec R+22, Bradenec C+3, Blanks -3889, Void +2, Scattering +1)</t>
  </si>
  <si>
    <t>AD 99 (Bhandarkar D+13, Schmitt R+7, Bhandarkar W+1, Blanks -805, Voids +5)</t>
  </si>
  <si>
    <t>AD 100 (Gunther D+6, Blanks -1219)</t>
  </si>
  <si>
    <t>AD 101 (McEvoy D+3, McEvoy W+1, Blanks-217, Voids +2)</t>
  </si>
  <si>
    <t>AD 104 (Jacobson D+4, Gauzza R+2, Blanks -304, Voids +3)</t>
  </si>
  <si>
    <t>Suffolk:</t>
  </si>
  <si>
    <t xml:space="preserve">President (Biden D+12,448, Biden W+573, Trump R+4,810, Trump C+622, Hawkins G+69,Jorgensen L+135, Pierce I+63, Carroll +34, Hunter+1, Blankenship +5, La Riva +20,Simmons +9, Kishore+1, </t>
  </si>
  <si>
    <t>West +131, Charles +5, De La Fuente+3, Howard +1, Blanks+125, Voids-117)</t>
  </si>
  <si>
    <t xml:space="preserve">JD 10 (Cartright D+10,587, Marber D+9,761, Robinson D+9,880, Prager D+9,910, Bergmann D+9,934, Conway D+9,553, Mazzei D+9,585, Knobel D+9,214, Cartright R+4,081, Marber R+3,968, Mazzei+619, </t>
  </si>
  <si>
    <t xml:space="preserve">Robinson R+3,939, Prager R+3,948, Bergmann R+3,975, Conway R+3,950, Mazzei R+4,043, Knobel R+3,867, Cartright C+618, Marber C+644, Robinson C+649, Prager C+640, Bergmann C+634, Conway C+661, </t>
  </si>
  <si>
    <t>Knobel C+629, Cartright +359, Robinson I+343, Bergmann I+356, Mazzei I+355, Browns I+506, Blake I+557, Berler I+569, Tanenbaum+565, Blanks +30,169, Voids +224, Scattering +68)</t>
  </si>
  <si>
    <t>CD 1 (Goroff D+11,254, Goroff W+556, Zeldin R+5,080, Zeldin C+686, Zeldin I+186, Blanks +780, Voids +23, Scattering +8)</t>
  </si>
  <si>
    <t>CD 2 (Gordon D+112, Gordon W+10, Gordon I+1,Garbarino R+21, Garbarino C+4, Garbarino L+1, Burger G+2, Blanks +22, Void +5)</t>
  </si>
  <si>
    <t>CD 3 (Suozzi D+129, Suozzi W+10, Suozzi I+4, Santos R+24, Rabin L+2, Blanks+15, Void+2)</t>
  </si>
  <si>
    <t>SD 1 (Ahearn D+1,612, Ahearn PTT+23, Palumbo R+517, Palumbo C+71, Blanks +146, Voids +5, Scattering +2)</t>
  </si>
  <si>
    <t>SD 2 (Siderakis D+4,258, Mattera R+1,866, Mattera C+282, Mattera I +72, Mattera SN+20, Blanks +545, Voids +13, Scattering +2)</t>
  </si>
  <si>
    <t>SD 3 (Martinez D+1, Weik R+1, Blanks +1)</t>
  </si>
  <si>
    <t>SD 4 (Pellegrino D+46, Pellegrino W+3, Boyle R+11, Blanks +12, Voids +4)</t>
  </si>
  <si>
    <t>SD 5 (Gaughran D+104, Gaughran S+2, Smyth R+22, Smyth L+1, Smyth I+1, Wagner G+3, Blanks +18, Voids +2)</t>
  </si>
  <si>
    <t>SD 8 (Brooks D+50, Brooks W+8, Brooks I+1, Blanks +15)</t>
  </si>
  <si>
    <t>AD 1 (Thiele Jr. D+1,965, Thiele Jr. I+76, Collins R+612, Collins C+86, Blanks+186, Voids +4, Scattering +3)</t>
  </si>
  <si>
    <t>AD 2 (Jens-Smith D+169, Jens-Smith W+6, Giglio R+37, Giglio C+10, Giglio I+5, Van Helmond L+1, Blanks+17, Voids +1)</t>
  </si>
  <si>
    <t>AD 3 (Polgar D+4,046, De Stefano R+1,923, De Stefano C+294, De Stefano I+98, Martin L+47, Blanks +546, Voids +5, Scattering +1)</t>
  </si>
  <si>
    <t>AD 4 (Englebright D+148, Englebright W+6, Englebright I+2, Ross R+26, Ross C+2, Fischer-Gledhill +3, Blank +25)</t>
  </si>
  <si>
    <t>AD 5 (Ianacci D+4,039, Smith R+1,983, Smith C+315, Smith I+97, Blanks +609, Voids +3)</t>
  </si>
  <si>
    <t>AD 6 (Ramos D+5, Ramos W+2, Ramos I+1, Skelly R+1, Skelly C+1, Blanks +4)</t>
  </si>
  <si>
    <t>AD 7 (Genco D+276, Gandolfo R+165, Gandolfo C+21, Gandolfo I+11, Blanks +41, Voids +1)</t>
  </si>
  <si>
    <t>AD 8 (Rice D+328, Fitzpatrick R+53, Fitzpatrick C+9, Fitzpatrick I+3, Fitzpatrick SN+2, Blanks +34)</t>
  </si>
  <si>
    <t>AD 9 (Brancato D+18, Brancato W+1, Durso R+7, Blanks +3)</t>
  </si>
  <si>
    <t>AD 10 (Stern D+69, Stern W+8, Stern I+1, Silvestri R+9, Silvestri C+2, Blanks +9, Voids +1)</t>
  </si>
  <si>
    <t>AD 11 (Jean-Pierre D+76, Jean-Pierre I+3, Murray R+11, Murray C+1, Blanks +13, Voids +1)</t>
  </si>
  <si>
    <t>AD 12 (Marcantonio D+48, Marcantonio W+3, Brown R+16, Brown C+1,Brown I+1, Blanks +14)</t>
  </si>
  <si>
    <t>Onondaga:</t>
  </si>
  <si>
    <t xml:space="preserve">President (Biden D+93, Trump R+1090, Trump C+6, Biden W+4, Jorgensen +2, Pierce +3, Carroll +52, La Riva +13, Simmons +5, De La Fuente +1, West +57, Blankenship +1, Charles +6, </t>
  </si>
  <si>
    <t>Blanks -82, Voids +799)</t>
  </si>
  <si>
    <t>JD 5 (McMahon D+89, Young R+70, McMahon C+23, Blanks -79, Voids +743, Scattering -10)</t>
  </si>
  <si>
    <t>CD 24 (Balter D+83, Katko R +85, Katko C+13, Williams W+6, Katko I+3, Blanks -127, Voids +150, Scattering -10)</t>
  </si>
  <si>
    <t>SD 50 (Mannion D+45, Renna R+32, Renna C+6, Mannion W+2, Renna I+3, Blanks -26, Voids +397, Scattering -4)</t>
  </si>
  <si>
    <t>SD 53 (May D+42, Rodgers R+44, Rodgers C+4, May W+2, Rodgers I+2, Blanks - 39, Voids +329, Scattering -3)</t>
  </si>
  <si>
    <t>AD 120 (Tosh D +3, Barclay R+3, Voids +30, Scattering -1)</t>
  </si>
  <si>
    <t>AD 126 (Carabajal D+2, Lemondes R+4, Blanks -2, Voids +69, Scattering +1)</t>
  </si>
  <si>
    <t>AD 127 (Stirpe D+34, Venesky R+47, Venesky C+11, Stirpe W+2, Venesky I+2, Blanks -17, Voids +190, Scattering -2)</t>
  </si>
  <si>
    <t>AD 128 (Hunter D+16, Jackson R+11, Jackson C+1, Hunter W+3, Blanks -9, Voids +211, Scattering -4)</t>
  </si>
  <si>
    <t>AD 129 (Magnarelli D+31, Weber R+7, Weber C+1, Magnarelli I+1, Blanks -13, Void +210, Scattering -6)</t>
  </si>
  <si>
    <t>Cayuga:</t>
  </si>
  <si>
    <t>President (Biden D+202, Biden W+8, Trump R+112, Trump C+8, Jorgensen +2, Pierce +1, Blanks +4, Voids +4)</t>
  </si>
  <si>
    <t>JD 7 (Nitti D+158, Doyle R+105, Doyle C+14, Doyle W+9, Doyle I+3, Gargan D+158, Valleriani R+103, Valleriani C+13, Valleriani W+7, Valleriani I+3, Cianca D+156, Cianca W+14, Dinolfo R+97,</t>
  </si>
  <si>
    <t>Dinolfo C+15, Dinolfo I+2, Lindley D+146, Lindley R+96, Lindley C+13, Lindley W+11, Lindley I+5, Blanks +228, Voids +8)</t>
  </si>
  <si>
    <t>CD 24 (Balter D+156, Katko R+126, Katko C+11, Katko I+4, Williams W+26, Blanks +15, Voids +3)</t>
  </si>
  <si>
    <t>SD 50 (Mannion D+165, Mannion W+15, Renna R+109, Renna C+15, Renna I+5, Blanks +25, Voids +2)</t>
  </si>
  <si>
    <t>SD 54 (O'Toole D+1, Helming R+2, Helming I+1, Blanks +1)</t>
  </si>
  <si>
    <t>AD 126 (Carabajal D+123, Carabajal W+14, Lemondes R+61, Lemondes C+8, Lemondes I+6, Blanks +23, Voids +1)</t>
  </si>
  <si>
    <t>AD 130 (Comegys D+39, Maktelow R+51, Manktelow C+7, Blanks +8)</t>
  </si>
  <si>
    <t xml:space="preserve">Chautauqua:
</t>
  </si>
  <si>
    <t>President (Biden D+1)</t>
  </si>
  <si>
    <t>JD 8 (Martoche D+1)</t>
  </si>
  <si>
    <t>CD 23 (Mitrano D+1)</t>
  </si>
  <si>
    <t>SD 57 (Puglisi D+1)</t>
  </si>
  <si>
    <t>AD 150 (Cardinale D+1)</t>
  </si>
  <si>
    <t>Lewis:</t>
  </si>
  <si>
    <t>President (Trump R-4, Biden W-1, Blanks+5)</t>
  </si>
  <si>
    <t>Erie:</t>
  </si>
  <si>
    <t xml:space="preserve">President (Biden D+91, Trump R+21, Trump C+4, Biden W+5, Hawkins G+1, Jorgensen L+1, Carroll+104, La Riva+24, Collins+1, Simmons+9, De La Fuente+1, Kishore+1, West+126, Blankenship+6, </t>
  </si>
  <si>
    <t>Charles+2, Blanks+1, Voids-272)</t>
  </si>
  <si>
    <t>JD 8 (Martoche D+85, Greenan R+21, Greenan C+3, Martoche W+7, Greenan I+1, Blanks+9)</t>
  </si>
  <si>
    <t>CD 26 (Higgins D+85, Donovan R+19,Higgins W+5, Raleigh G+3, Blanks+8, Voids+2)</t>
  </si>
  <si>
    <t>CD 27 (Jacobs R+2, Jacobs C+1, Blanks+1)</t>
  </si>
  <si>
    <t>SD 59 (Gallivan R+1)</t>
  </si>
  <si>
    <t>SD 60 (Ryan D+18, Mertzluff R+5, Mertzluff C+, Ryan W+3, Ryan I+1, Blanks+3)</t>
  </si>
  <si>
    <t>SD 61 (Berger D+6, Rath R+2, Rath C+1, Blanks+3)</t>
  </si>
  <si>
    <t>SD 63 (Kennedy D+60, Kennedy W+6, Kennedy I+1, Blanks+15)</t>
  </si>
  <si>
    <t>AD 140 (Conrad D+3, Pecoraro R+1, Conrad W+1)</t>
  </si>
  <si>
    <t>AD 141 (Peoples D+41, Miles R+1, Blanks+6)</t>
  </si>
  <si>
    <t>AD 142 (Burke D+5, Szalkowski R+1, Szalkowski C+1, Burke I+1)</t>
  </si>
  <si>
    <t>AD 143 (Wallace D+8, Blanks+1)</t>
  </si>
  <si>
    <t>AD 144 (Blanks+1)</t>
  </si>
  <si>
    <t>AD 146 (McMahon D+6, Wolfgang R+2, Wolfgang C+2, Blanks+2)</t>
  </si>
  <si>
    <t>AD 147 (DiPietro R+1)</t>
  </si>
  <si>
    <t>AD 149 (Rivera D+23, Totaro R+11, Rivera W+2, Rivera I+1, Blanks+5)</t>
  </si>
  <si>
    <t>Ontario:</t>
  </si>
  <si>
    <t>President (Biden D-257, Trump R-229, Trump C-28, Biden W-19, Hawkins G-2, Jorgensen L-3, Pierce I-2, Carrol+1, La Riva+1, West+6, Blank-91, Voids+80)</t>
  </si>
  <si>
    <t xml:space="preserve">JD 7 (Nitti D-211, Gargan D-195, Cianca D-200, Cianca W-33, Lindley D-196, Lindley R-191, Lindley C-29, Lindley W-24, Lindley I-9, Doyle R-216, Doyle C-34, Doyle W-16, Doyle I-4, </t>
  </si>
  <si>
    <t>Valleriani R-213, Valleriani C-35, Valleriani W-16, Valleriani I-6, Dinolfo R-215, Dinolfo C-34, Dinolfo I-4, Blanks-42)</t>
  </si>
  <si>
    <t>CD 23 (Mitrano D-38, Reed R-30, Reed C-7, Mitrano W-1, Reed I-2, Blanks-73)</t>
  </si>
  <si>
    <t>CD 27 (McMurray D-97, McMurray W-13, Jacobs R-139, Jacobs C-22, Jacobs I-1, Whitmer L-7, Blanks-94, Voids-19, Scattering-1)</t>
  </si>
  <si>
    <t>SD 54 (O'Toole D-174, Helming R-235, Helming C-30, Helming I-14, Helming S+1, Blanks-6)</t>
  </si>
  <si>
    <t>SD 55 (Brouk D-19, Brouk W-6, Missick R-31, Missick C-7, Missick S-1, Blanks+3, Voids-24)</t>
  </si>
  <si>
    <t>AD 131 (Miller D-232, Gallahan R-229, Gallahan C-34, Wade S-10, Blanks-11, Voids-27)</t>
  </si>
  <si>
    <t>Oswego:</t>
  </si>
  <si>
    <t>Herkimer:</t>
  </si>
  <si>
    <t>Cortland:</t>
  </si>
  <si>
    <t>Chenango:</t>
  </si>
  <si>
    <t>Broome:</t>
  </si>
  <si>
    <t>Madison:</t>
  </si>
  <si>
    <t>Tioga:</t>
  </si>
  <si>
    <t>Oneida:</t>
  </si>
  <si>
    <t>Essex: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</si>
</sst>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3" fontId="3" fillId="0" borderId="3" xfId="0" applyNumberFormat="1" applyFont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  <xf numFmtId="3" fontId="0" fillId="0" borderId="0" xfId="0" applyNumberFormat="1"/>
    <xf numFmtId="0" fontId="4" fillId="3" borderId="1" xfId="0" applyFont="1" applyFill="1" applyBorder="1"/>
    <xf numFmtId="3" fontId="3" fillId="4" borderId="3" xfId="0" applyNumberFormat="1" applyFont="1" applyFill="1" applyBorder="1"/>
    <xf numFmtId="3" fontId="3" fillId="5" borderId="3" xfId="0" applyNumberFormat="1" applyFont="1" applyFill="1" applyBorder="1"/>
    <xf numFmtId="3" fontId="4" fillId="5" borderId="1" xfId="0" applyNumberFormat="1" applyFont="1" applyFill="1" applyBorder="1"/>
    <xf numFmtId="0" fontId="4" fillId="3" borderId="4" xfId="0" applyFont="1" applyFill="1" applyBorder="1" applyAlignment="1">
      <alignment wrapText="1"/>
    </xf>
    <xf numFmtId="3" fontId="3" fillId="8" borderId="1" xfId="0" applyNumberFormat="1" applyFont="1" applyFill="1" applyBorder="1"/>
    <xf numFmtId="3" fontId="3" fillId="0" borderId="1" xfId="0" applyNumberFormat="1" applyFont="1" applyFill="1" applyBorder="1"/>
    <xf numFmtId="3" fontId="3" fillId="0" borderId="3" xfId="0" applyNumberFormat="1" applyFont="1" applyFill="1" applyBorder="1"/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/>
    <xf numFmtId="0" fontId="5" fillId="0" borderId="1" xfId="0" applyFont="1" applyBorder="1"/>
    <xf numFmtId="3" fontId="5" fillId="0" borderId="1" xfId="0" applyNumberFormat="1" applyFont="1" applyBorder="1"/>
    <xf numFmtId="0" fontId="0" fillId="0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18" fontId="0" fillId="0" borderId="0" xfId="0" applyNumberFormat="1" applyAlignment="1">
      <alignment horizontal="left"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5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3360E458-6900-4D2A-96C6-CCDE53875AB0}" name="RepInCongressCongressionalDistrict1General" displayName="RepInCongressCongressionalDistrict1General" ref="A2:D11" totalsRowCount="1" headerRowDxfId="507" dataDxfId="505" totalsRowDxfId="503" headerRowBorderDxfId="506" tableBorderDxfId="504" totalsRowBorderDxfId="502">
  <autoFilter ref="A2:D10" xr:uid="{E4C80049-8B70-4EEE-86C5-EA95090A6C7F}">
    <filterColumn colId="0" hiddenButton="1"/>
    <filterColumn colId="1" hiddenButton="1"/>
    <filterColumn colId="2" hiddenButton="1"/>
    <filterColumn colId="3" hiddenButton="1"/>
  </autoFilter>
  <tableColumns count="4">
    <tableColumn id="1" xr3:uid="{F55769B7-1EE8-4111-B5C7-664BD53898E2}" name="Candidate Name (Party)" totalsRowLabel="Total Votes by County" dataDxfId="501" totalsRowDxfId="500"/>
    <tableColumn id="4" xr3:uid="{FF2A52C8-02FA-47B6-8F63-8DF9903732A9}" name="Part of Suffolk County Vote Results" totalsRowFunction="custom" dataDxfId="499" totalsRowDxfId="498">
      <totalsRowFormula>SUM(RepInCongressCongressionalDistrict1General[Part of Suffolk County Vote Results])</totalsRowFormula>
    </tableColumn>
    <tableColumn id="3" xr3:uid="{503A5495-0B8B-4E93-AE2D-CAFDED3E2B5E}" name="Total Votes by Party" totalsRowFunction="custom" dataDxfId="497" totalsRowDxfId="496">
      <calculatedColumnFormula>RepInCongressCongressionalDistrict1General[[#This Row],[Part of Suffolk County Vote Results]]</calculatedColumnFormula>
      <totalsRowFormula>SUM(RepInCongressCongressionalDistrict1General[Total Votes by Party])</totalsRowFormula>
    </tableColumn>
    <tableColumn id="2" xr3:uid="{4CB84B57-FB31-4C33-9F99-F201AB3F4146}" name="Total Votes by Candidate" dataDxfId="495" totalsRowDxfId="494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E664E6E9-8966-4899-90B4-998B434E9246}" name="RepInCongressCongressionalDistrict2General" displayName="RepInCongressCongressionalDistrict2General" ref="A2:E14" totalsRowCount="1" headerRowDxfId="493" dataDxfId="491" totalsRowDxfId="489" headerRowBorderDxfId="492" tableBorderDxfId="490" totalsRowBorderDxfId="488">
  <autoFilter ref="A2:E13" xr:uid="{D9123418-E292-4761-8C58-00BD3857154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692862D-9A05-476F-B4D0-3142509B53B7}" name="Candidate Name (Party)" totalsRowLabel="Total Votes by County" dataDxfId="487" totalsRowDxfId="486"/>
    <tableColumn id="2" xr3:uid="{33A9B2DA-4CD5-41DC-A979-5A88B1EA0C30}" name="Part of Nassau County Vote Results" totalsRowFunction="custom" dataDxfId="485" totalsRowDxfId="484">
      <totalsRowFormula>SUM(RepInCongressCongressionalDistrict2General[Part of Nassau County Vote Results])</totalsRowFormula>
    </tableColumn>
    <tableColumn id="4" xr3:uid="{48268465-4E29-462B-8AB7-3A7F4550B6BA}" name="Part of Suffolk County Vote Results" totalsRowFunction="custom" dataDxfId="483" totalsRowDxfId="482">
      <totalsRowFormula>SUM(RepInCongressCongressionalDistrict2General[Part of Suffolk County Vote Results])</totalsRowFormula>
    </tableColumn>
    <tableColumn id="3" xr3:uid="{0AFE27B0-93B9-4957-BE65-719E19EFD23F}" name="Total Votes by Party" totalsRowFunction="custom" dataDxfId="481" totalsRowDxfId="480">
      <totalsRowFormula>SUM(RepInCongressCongressionalDistrict2General[Total Votes by Party])</totalsRowFormula>
    </tableColumn>
    <tableColumn id="5" xr3:uid="{C9AD6328-E38D-4C45-8E1C-2187F14B563F}" name="Total Votes by Candidate" dataDxfId="479" totalsRowDxfId="47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C7D3C537-F411-461A-9141-69F0EB7B37F7}" name="RepInCongressCongressionalDistrict3General" displayName="RepInCongressCongressionalDistrict3General" ref="A2:F12" totalsRowCount="1" headerRowDxfId="477" dataDxfId="475" headerRowBorderDxfId="476" tableBorderDxfId="474" totalsRowBorderDxfId="473">
  <autoFilter ref="A2:F11" xr:uid="{013F4201-9F43-4569-BC15-21711BC52D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346004-8430-44AA-9F34-92C37645585A}" name="Candidate Name (Party)" totalsRowLabel="Total Votes by County" dataDxfId="472" totalsRowDxfId="471"/>
    <tableColumn id="2" xr3:uid="{3FFE43FB-3BCD-428F-875E-2AB03E9E6A59}" name="Part of Nassau County Vote Results" totalsRowFunction="custom" dataDxfId="470" totalsRowDxfId="469">
      <totalsRowFormula>SUM(RepInCongressCongressionalDistrict3General[Part of Nassau County Vote Results])</totalsRowFormula>
    </tableColumn>
    <tableColumn id="3" xr3:uid="{A213CC25-9939-41CD-A4D2-18A1B293F9F7}" name="Part of Queens County Vote Results" totalsRowFunction="custom" totalsRowDxfId="468">
      <totalsRowFormula>SUM(RepInCongressCongressionalDistrict3General[Part of Queens County Vote Results])</totalsRowFormula>
    </tableColumn>
    <tableColumn id="4" xr3:uid="{8B5FBB76-DF38-4273-A5E2-D2E983F8E695}" name="Part of Suffolk County Vote Results" totalsRowFunction="custom" dataDxfId="467" totalsRowDxfId="466">
      <totalsRowFormula>SUM(RepInCongressCongressionalDistrict3General[Part of Suffolk County Vote Results])</totalsRowFormula>
    </tableColumn>
    <tableColumn id="6" xr3:uid="{353A649F-E7C0-4046-A97D-D139F1F615C7}" name="Total Votes by Party" totalsRowFunction="custom" dataDxfId="465" totalsRowDxfId="464">
      <calculatedColumnFormula>SUM(RepInCongressCongressionalDistrict3General[[#This Row],[Part of Nassau County Vote Results]:[Part of Suffolk County Vote Results]])</calculatedColumnFormula>
      <totalsRowFormula>SUM(RepInCongressCongressionalDistrict3General[Total Votes by Party])</totalsRowFormula>
    </tableColumn>
    <tableColumn id="5" xr3:uid="{CE72F6BF-9C5F-45E4-8877-628105F24873}" name="Total Votes by Candidate" dataDxfId="463" totalsRowDxfId="46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C595583A-4A9B-440E-AFC7-6842CBABCD02}" name="RepInCongressCongressionalDistrict4General" displayName="RepInCongressCongressionalDistrict4General" ref="A2:D10" totalsRowCount="1" headerRowDxfId="461" dataDxfId="459" totalsRowDxfId="457" headerRowBorderDxfId="460" tableBorderDxfId="458" totalsRowBorderDxfId="456">
  <autoFilter ref="A2:D9" xr:uid="{921EDB68-DC53-40F7-A5D9-925E119F012C}">
    <filterColumn colId="0" hiddenButton="1"/>
    <filterColumn colId="1" hiddenButton="1"/>
    <filterColumn colId="2" hiddenButton="1"/>
    <filterColumn colId="3" hiddenButton="1"/>
  </autoFilter>
  <tableColumns count="4">
    <tableColumn id="1" xr3:uid="{BC751C3F-8D6B-4C65-A0CF-5B70C18FE315}" name="Candidate Name (Party)" totalsRowLabel="Total Votes by County" dataDxfId="455" totalsRowDxfId="454"/>
    <tableColumn id="4" xr3:uid="{276626CC-9119-41D9-AFCE-313522824A3D}" name="Part of Nassau County Vote Results" totalsRowFunction="custom" dataDxfId="453" totalsRowDxfId="452">
      <totalsRowFormula>SUM(RepInCongressCongressionalDistrict4General[Part of Nassau County Vote Results])</totalsRowFormula>
    </tableColumn>
    <tableColumn id="3" xr3:uid="{6282D6F6-5532-48EB-B4CD-A9A16174B236}" name="Total Votes by Party" totalsRowFunction="custom" dataDxfId="451" totalsRowDxfId="450">
      <calculatedColumnFormula>RepInCongressCongressionalDistrict4General[[#This Row],[Part of Nassau County Vote Results]]</calculatedColumnFormula>
      <totalsRowFormula>SUM(RepInCongressCongressionalDistrict4General[Total Votes by Party])</totalsRowFormula>
    </tableColumn>
    <tableColumn id="2" xr3:uid="{3E5B5254-F527-4424-9254-96BCC72910BC}" name="Total Votes by Candidate" dataDxfId="449" totalsRowDxfId="448">
      <calculatedColumnFormula>SUM(RepInCongressCongressionalDistrict4General[[#This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12CE04F7-5869-41E1-99F8-1C7649AE021F}" name="RepInCongressCongressionalDistrict5General" displayName="RepInCongressCongressionalDistrict5General" ref="A2:E7" totalsRowCount="1" headerRowDxfId="447" dataDxfId="445" totalsRowDxfId="443" headerRowBorderDxfId="446" tableBorderDxfId="444" totalsRowBorderDxfId="442">
  <autoFilter ref="A2:E6" xr:uid="{B823C752-69AB-40CC-A239-F27F579B07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6ACFFD6-CBD4-4EBC-B8D3-33C5B38B2975}" name="Candidate Name (Party)" totalsRowLabel="Total Votes by County" dataDxfId="441" totalsRowDxfId="440"/>
    <tableColumn id="2" xr3:uid="{832779FF-7A21-4D4A-927B-5C0733A8CE08}" name="Part of Nassau County Vote Results" totalsRowFunction="custom" dataDxfId="439" totalsRowDxfId="438">
      <totalsRowFormula>SUM(RepInCongressCongressionalDistrict5General[Part of Nassau County Vote Results])</totalsRowFormula>
    </tableColumn>
    <tableColumn id="4" xr3:uid="{9EF5D0E6-1813-44CF-A26A-4B1C1CB6F462}" name="Part of Queens County Vote Results" totalsRowFunction="custom" totalsRowDxfId="437">
      <totalsRowFormula>SUM(RepInCongressCongressionalDistrict5General[Part of Queens County Vote Results])</totalsRowFormula>
    </tableColumn>
    <tableColumn id="3" xr3:uid="{D29C26D6-D05C-4171-B6D3-9BB83666034A}" name="Total Votes by Party" totalsRowFunction="custom" dataDxfId="436" totalsRowDxfId="435">
      <calculatedColumnFormula>SUM(RepInCongressCongressionalDistrict5General[[#This Row],[Part of Nassau County Vote Results]:[Part of Queens County Vote Results]])</calculatedColumnFormula>
      <totalsRowFormula>SUM(RepInCongressCongressionalDistrict5General[Total Votes by Party])</totalsRowFormula>
    </tableColumn>
    <tableColumn id="5" xr3:uid="{3611E431-9422-44C7-8856-BC736AC90C61}" name="Total Votes by Candidate" dataDxfId="434" totalsRowDxfId="4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09EE3C34-E00C-484E-B52C-C0362C76A10A}" name="RepInCongressCongressionalDistrict6General" displayName="RepInCongressCongressionalDistrict6General" ref="A2:D12" totalsRowCount="1" headerRowDxfId="432" dataDxfId="430" totalsRowDxfId="428" headerRowBorderDxfId="431" tableBorderDxfId="429" totalsRowBorderDxfId="427">
  <autoFilter ref="A2:D11" xr:uid="{A5D383CB-B61F-4561-ADC3-55A409D5E370}">
    <filterColumn colId="0" hiddenButton="1"/>
    <filterColumn colId="1" hiddenButton="1"/>
    <filterColumn colId="2" hiddenButton="1"/>
    <filterColumn colId="3" hiddenButton="1"/>
  </autoFilter>
  <tableColumns count="4">
    <tableColumn id="1" xr3:uid="{DB5AA337-5F7B-4275-9C0D-402F772AD411}" name="Candidate Name (Party)" totalsRowLabel="Total Votes by County" dataDxfId="426" totalsRowDxfId="425"/>
    <tableColumn id="4" xr3:uid="{8D6960C5-2AF2-48E5-8469-41DDA9CAA21C}" name="Part of Queens County Vote Results" totalsRowFunction="custom" dataDxfId="424" totalsRowDxfId="423">
      <totalsRowFormula>SUM(RepInCongressCongressionalDistrict6General[Part of Queens County Vote Results])</totalsRowFormula>
    </tableColumn>
    <tableColumn id="3" xr3:uid="{42FD8FB8-03B9-466C-A91F-225490A89ACF}" name="Total Votes by Party" totalsRowFunction="custom" dataDxfId="422" totalsRowDxfId="421">
      <totalsRowFormula>SUM(RepInCongressCongressionalDistrict6General[Total Votes by Party])</totalsRowFormula>
    </tableColumn>
    <tableColumn id="2" xr3:uid="{2DF13FB4-15F2-4C5B-B757-58DE004F141B}" name="Total Votes by Candidate" dataDxfId="420" totalsRowDxfId="419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4EC5AF66-F56B-400A-8491-DEDC7C247A95}" name="RepInCongressCongressionalDistrict7General" displayName="RepInCongressCongressionalDistrict7General" ref="A2:F11" totalsRowCount="1" headerRowDxfId="418" dataDxfId="416" totalsRowDxfId="414" headerRowBorderDxfId="417" tableBorderDxfId="415" totalsRowBorderDxfId="413">
  <autoFilter ref="A2:F10" xr:uid="{44B01D1C-45DF-49CF-8E6C-ADBDB09A40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F0D22D-2030-4AC9-85EA-04E2D1854B4B}" name="Candidate Name (Party)" totalsRowLabel="Total Votes by County" dataDxfId="412" totalsRowDxfId="411"/>
    <tableColumn id="2" xr3:uid="{205E90C1-B9FA-4478-A57A-BEEDA815557A}" name="Part of Kings County Vote Results" totalsRowFunction="custom" totalsRowDxfId="410">
      <totalsRowFormula>SUM(RepInCongressCongressionalDistrict7General[Part of Kings County Vote Results])</totalsRowFormula>
    </tableColumn>
    <tableColumn id="3" xr3:uid="{52E10317-EBC0-4702-8D23-69A3D5DAFC42}" name="Part of New York County Vote Results" totalsRowFunction="custom" dataDxfId="409" totalsRowDxfId="408">
      <totalsRowFormula>SUM(RepInCongressCongressionalDistrict7General[Part of New York County Vote Results])</totalsRowFormula>
    </tableColumn>
    <tableColumn id="4" xr3:uid="{1BD0D9D2-C1A1-4C0D-80AB-713A8EB2064F}" name="Part of Queens County Vote Results" totalsRowFunction="custom" dataDxfId="407" totalsRowDxfId="406">
      <totalsRowFormula>SUM(RepInCongressCongressionalDistrict7General[Part of Queens County Vote Results])</totalsRowFormula>
    </tableColumn>
    <tableColumn id="6" xr3:uid="{F3829902-3F45-4ECE-894B-3D723F37BAA8}" name="Total Votes by Party" totalsRowFunction="custom" dataDxfId="405" totalsRowDxfId="404">
      <calculatedColumnFormula>SUM(RepInCongressCongressionalDistrict7General[[#This Row],[Part of Kings County Vote Results]:[Part of Queens County Vote Results]])</calculatedColumnFormula>
      <totalsRowFormula>SUM(RepInCongressCongressionalDistrict7General[Total Votes by Party])</totalsRowFormula>
    </tableColumn>
    <tableColumn id="5" xr3:uid="{32ABD5FB-A716-4778-B570-2DEF6D2B443B}" name="Total Votes by Candidate" dataDxfId="403" totalsRowDxfId="402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99CC535E-BAF6-4D40-A339-E7962257CFD2}" name="RepInCongressCongressionalDistrict8General" displayName="RepInCongressCongressionalDistrict8General" ref="A2:E10" totalsRowCount="1" headerRowDxfId="401" dataDxfId="399" totalsRowDxfId="397" headerRowBorderDxfId="400" tableBorderDxfId="398" totalsRowBorderDxfId="396">
  <autoFilter ref="A2:E9" xr:uid="{9F90E68D-AC1A-410B-ACBC-D9097683019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0C3BF1C-D451-4B8C-A252-C60943EC0DB7}" name="Candidate Name (Party)" totalsRowLabel="Total Votes by County" dataDxfId="395" totalsRowDxfId="394"/>
    <tableColumn id="2" xr3:uid="{F9C16063-6E9F-4235-A579-C54670157247}" name="Part of Kings County Vote Results" totalsRowFunction="custom" totalsRowDxfId="393">
      <totalsRowFormula>SUM(RepInCongressCongressionalDistrict8General[Part of Kings County Vote Results])</totalsRowFormula>
    </tableColumn>
    <tableColumn id="4" xr3:uid="{38FB2E3D-E23E-4DB9-9D22-33060A8F5910}" name="Part of Queens County Vote Results" totalsRowFunction="custom" dataDxfId="392" totalsRowDxfId="391">
      <totalsRowFormula>SUM(RepInCongressCongressionalDistrict8General[Part of Queens County Vote Results])</totalsRowFormula>
    </tableColumn>
    <tableColumn id="3" xr3:uid="{2CB06F0A-C24C-43D5-A007-A53EF5AC9990}" name="Total Votes by Party" totalsRowFunction="custom" dataDxfId="390" totalsRowDxfId="389">
      <calculatedColumnFormula>SUM(RepInCongressCongressionalDistrict8General[[#This Row],[Part of Kings County Vote Results]:[Part of Queens County Vote Results]])</calculatedColumnFormula>
      <totalsRowFormula>SUM(RepInCongressCongressionalDistrict8General[Total Votes by Party])</totalsRowFormula>
    </tableColumn>
    <tableColumn id="5" xr3:uid="{B6F65832-8A3B-482B-86EA-6B7E28105CE0}" name="Total Votes by Candidate" dataDxfId="388" totalsRowDxfId="387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89D64423-93DB-4D2A-B47C-7A84045E58E8}" name="RepInCongressCongressionalDistrict9General" displayName="RepInCongressCongressionalDistrict9General" ref="A2:D12" totalsRowCount="1" headerRowDxfId="386" dataDxfId="384" totalsRowDxfId="382" headerRowBorderDxfId="385" tableBorderDxfId="383" totalsRowBorderDxfId="381">
  <autoFilter ref="A2:D11" xr:uid="{2ABB5165-DA54-458E-948F-F67912A9FB1C}">
    <filterColumn colId="0" hiddenButton="1"/>
    <filterColumn colId="1" hiddenButton="1"/>
    <filterColumn colId="2" hiddenButton="1"/>
    <filterColumn colId="3" hiddenButton="1"/>
  </autoFilter>
  <tableColumns count="4">
    <tableColumn id="1" xr3:uid="{02F95D63-F688-4055-9A5A-6EC8BC64F083}" name="Candidate Name (Party)" totalsRowLabel="Total Votes by County" dataDxfId="380" totalsRowDxfId="379"/>
    <tableColumn id="4" xr3:uid="{B59B8BFC-66E1-40DC-878F-5E611FC673A2}" name="Part of Kings County Vote Results" totalsRowFunction="custom" totalsRowDxfId="378">
      <totalsRowFormula>SUM(RepInCongressCongressionalDistrict9General[Part of Kings County Vote Results])</totalsRowFormula>
    </tableColumn>
    <tableColumn id="3" xr3:uid="{2F43D2D1-4380-459F-A5B2-C3A03515658E}" name="Total Votes by Party" totalsRowFunction="custom" dataDxfId="377" totalsRowDxfId="376">
      <totalsRowFormula>SUM(RepInCongressCongressionalDistrict9General[Total Votes by Party])</totalsRowFormula>
    </tableColumn>
    <tableColumn id="2" xr3:uid="{54D10975-6EB5-447B-932C-4A4DDDABFDD1}" name="Total Votes by Candidate" dataDxfId="375" totalsRowDxfId="374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ABD4D607-E80F-4830-BB96-B9587F1B3DCA}" name="RepInCongressCongressionalDistrict10General" displayName="RepInCongressCongressionalDistrict10General" ref="A2:E11" totalsRowCount="1" headerRowDxfId="373" dataDxfId="371" totalsRowDxfId="369" headerRowBorderDxfId="372" tableBorderDxfId="370" totalsRowBorderDxfId="368">
  <autoFilter ref="A2:E10" xr:uid="{466D8A0E-FA77-4AB9-9F29-55E4B0D53A8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9AC27C-0C75-47CE-8664-E1F582877172}" name="Candidate Name (Party)" totalsRowLabel="Total Votes by County" dataDxfId="367" totalsRowDxfId="366"/>
    <tableColumn id="2" xr3:uid="{B57280ED-811B-4EF6-894E-DC9673EFA19C}" name="Part of Kings County Vote Results" totalsRowFunction="custom" totalsRowDxfId="365">
      <totalsRowFormula>SUM(RepInCongressCongressionalDistrict10General[Part of Kings County Vote Results])</totalsRowFormula>
    </tableColumn>
    <tableColumn id="4" xr3:uid="{6D6E0D4E-BE68-451E-8CBC-6E1E65C38FB6}" name="Part of New York County Vote Results" totalsRowFunction="custom" dataDxfId="364" totalsRowDxfId="363">
      <totalsRowFormula>SUM(RepInCongressCongressionalDistrict10General[Part of New York County Vote Results])</totalsRowFormula>
    </tableColumn>
    <tableColumn id="3" xr3:uid="{A3F550F8-935D-46FE-9F34-1DF89B800AED}" name="Total Votes by Party" totalsRowFunction="custom" dataDxfId="362" totalsRowDxfId="361">
      <calculatedColumnFormula>SUM(RepInCongressCongressionalDistrict10General[[#This Row],[Part of Kings County Vote Results]:[Part of New York County Vote Results]])</calculatedColumnFormula>
      <totalsRowFormula>SUM(RepInCongressCongressionalDistrict10General[Total Votes by Party])</totalsRowFormula>
    </tableColumn>
    <tableColumn id="5" xr3:uid="{74CE9B3E-91BB-4F2C-94A2-632469675F99}" name="Total Votes by Candidate" dataDxfId="360" totalsRowDxfId="359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C73CB7D1-FB4F-40CF-A794-F5A09466A725}" name="RepInCongressCongressionalDistrict11General" displayName="RepInCongressCongressionalDistrict11General" ref="A2:E10" totalsRowCount="1" headerRowDxfId="358" dataDxfId="356" totalsRowDxfId="354" headerRowBorderDxfId="357" tableBorderDxfId="355" totalsRowBorderDxfId="353">
  <autoFilter ref="A2:E9" xr:uid="{2B509EDC-5809-47C3-974E-7BB7547D093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16DAC2-AD3B-46D4-958D-3FF8B26112AB}" name="Candidate Name (Party)" totalsRowLabel="Total Votes by County" dataDxfId="352" totalsRowDxfId="351"/>
    <tableColumn id="2" xr3:uid="{D6EC9CBC-7502-4381-8892-16BF4E292400}" name="Richmond County Vote Results" totalsRowFunction="custom" dataDxfId="350" totalsRowDxfId="349">
      <totalsRowFormula>SUM(RepInCongressCongressionalDistrict11General[Richmond County Vote Results])</totalsRowFormula>
    </tableColumn>
    <tableColumn id="4" xr3:uid="{669E601B-2E17-4E64-818E-66BA19E14CBC}" name="Part of Kings County Vote Results" totalsRowFunction="custom" totalsRowDxfId="348">
      <totalsRowFormula>SUM(RepInCongressCongressionalDistrict11General[Part of Kings County Vote Results])</totalsRowFormula>
    </tableColumn>
    <tableColumn id="3" xr3:uid="{8AC8A471-BCE8-40A5-A789-0AAD08E358A6}" name="Total Votes by Party" totalsRowFunction="custom" dataDxfId="347" totalsRowDxfId="346">
      <totalsRowFormula>SUM(RepInCongressCongressionalDistrict11General[Total Votes by Party])</totalsRowFormula>
    </tableColumn>
    <tableColumn id="5" xr3:uid="{49546E72-DC01-42AA-A4EC-0D150649B837}" name="Total Votes by Candidate" dataDxfId="345" totalsRowDxfId="344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687321F4-5E89-4041-BF7F-EB1071068019}" name="RepInCongressCongressionalDistrict12General" displayName="RepInCongressCongressionalDistrict12General" ref="A2:F10" totalsRowCount="1" headerRowDxfId="343" dataDxfId="341" totalsRowDxfId="339" headerRowBorderDxfId="342" tableBorderDxfId="340" totalsRowBorderDxfId="338">
  <autoFilter ref="A2:F9" xr:uid="{21975E14-01E6-4429-9B84-675EEFAF38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E55DAF8-37E6-479D-AD4D-0150D1209647}" name="Candidate Name (Party)" totalsRowLabel="Total Votes by County" dataDxfId="337" totalsRowDxfId="336"/>
    <tableColumn id="2" xr3:uid="{D2AEF873-4F80-4055-8EDF-1D259E40C846}" name="Part of Kings County Vote Results" totalsRowFunction="custom" totalsRowDxfId="335">
      <totalsRowFormula>SUM(RepInCongressCongressionalDistrict12General[Part of Kings County Vote Results])</totalsRowFormula>
    </tableColumn>
    <tableColumn id="3" xr3:uid="{625BB6E0-0D5C-4660-AF23-D012F0D884C4}" name="Part of New York County Vote Results" totalsRowFunction="custom" dataDxfId="334" totalsRowDxfId="333">
      <totalsRowFormula>SUM(RepInCongressCongressionalDistrict12General[Part of New York County Vote Results])</totalsRowFormula>
    </tableColumn>
    <tableColumn id="4" xr3:uid="{7A15AAEC-3A8A-47A5-9863-C62677C87321}" name="Part of Queens County Vote Results" totalsRowFunction="custom" dataDxfId="332" totalsRowDxfId="331">
      <totalsRowFormula>SUM(RepInCongressCongressionalDistrict12General[Part of Queens County Vote Results])</totalsRowFormula>
    </tableColumn>
    <tableColumn id="6" xr3:uid="{C28BF2D1-1D95-4101-B8B0-1C3204A575CB}" name="Total Votes by Party" totalsRowFunction="custom" dataDxfId="330" totalsRowDxfId="329">
      <calculatedColumnFormula>SUM(RepInCongressCongressionalDistrict12General[[#This Row],[Part of Kings County Vote Results]:[Part of Queens County Vote Results]])</calculatedColumnFormula>
      <totalsRowFormula>SUM(RepInCongressCongressionalDistrict12General[Total Votes by Party])</totalsRowFormula>
    </tableColumn>
    <tableColumn id="5" xr3:uid="{8D6F464E-7BC4-431E-9B1A-11AE95710797}" name="Total Votes by Candidate" dataDxfId="328" totalsRowDxfId="327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789D1B03-40C2-48E1-96BE-AD1EBC7C4293}" name="RepInCongressCongressionalDistrict13General" displayName="RepInCongressCongressionalDistrict13General" ref="A2:E10" totalsRowCount="1" headerRowDxfId="326" dataDxfId="324" totalsRowDxfId="322" headerRowBorderDxfId="325" tableBorderDxfId="323" totalsRowBorderDxfId="321">
  <autoFilter ref="A2:E9" xr:uid="{FF6665A5-72E6-44D5-BE3B-8B2CACB4A7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CFC7FCD-829F-47A2-9E90-BD090F79091C}" name="Candidate Name (Party)" totalsRowLabel="Total Votes by County" dataDxfId="320" totalsRowDxfId="319"/>
    <tableColumn id="2" xr3:uid="{7AEDE33E-464A-4BBB-9B15-C229AB96C71C}" name="Part of Bronx County Vote Results" totalsRowFunction="custom" dataDxfId="318" totalsRowDxfId="317">
      <totalsRowFormula>SUM(RepInCongressCongressionalDistrict13General[Part of Bronx County Vote Results])</totalsRowFormula>
    </tableColumn>
    <tableColumn id="4" xr3:uid="{EDF84E86-82B5-42D9-BF0D-9E15E15068F7}" name="Part of New York County Vote Results" totalsRowFunction="custom" totalsRowDxfId="316">
      <totalsRowFormula>SUM(RepInCongressCongressionalDistrict13General[Part of New York County Vote Results])</totalsRowFormula>
    </tableColumn>
    <tableColumn id="3" xr3:uid="{2C016697-F77A-46AC-A8B7-741A1E1C82E7}" name="Total Votes by Party" totalsRowFunction="custom" dataDxfId="315" totalsRowDxfId="314">
      <calculatedColumnFormula>SUM(RepInCongressCongressionalDistrict13General[[#This Row],[Part of Bronx County Vote Results]:[Part of New York County Vote Results]])</calculatedColumnFormula>
      <totalsRowFormula>SUM(RepInCongressCongressionalDistrict13General[Total Votes by Party])</totalsRowFormula>
    </tableColumn>
    <tableColumn id="5" xr3:uid="{5AB7B685-4601-4745-A880-56062D6BF8B9}" name="Total Votes by Candidate" dataDxfId="313" totalsRowDxfId="312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ADFC4C1E-E564-4B0A-BC17-14931795F068}" name="RepInCongressCongressionalDistrict14General" displayName="RepInCongressCongressionalDistrict14General" ref="A2:E10" totalsRowCount="1" headerRowDxfId="311" dataDxfId="309" totalsRowDxfId="307" headerRowBorderDxfId="310" tableBorderDxfId="308" totalsRowBorderDxfId="306">
  <autoFilter ref="A2:E9" xr:uid="{0748C5B6-70AB-43AF-9D47-AE1627D28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3D4618A-846F-433A-A0D2-24DD8772BBFC}" name="Candidate Name (Party)" totalsRowLabel="Total Votes by County" dataDxfId="305" totalsRowDxfId="304"/>
    <tableColumn id="2" xr3:uid="{F5E83189-543E-41A6-BE54-1ED4B7D69810}" name="Part of Bronx County Vote Results" totalsRowFunction="custom" totalsRowDxfId="303">
      <totalsRowFormula>SUM(RepInCongressCongressionalDistrict14General[Part of Bronx County Vote Results])</totalsRowFormula>
    </tableColumn>
    <tableColumn id="4" xr3:uid="{CA85D24B-4718-4DC2-8371-033455B23A89}" name="Part of Queens County Vote Results" totalsRowFunction="custom" totalsRowDxfId="302">
      <totalsRowFormula>SUM(RepInCongressCongressionalDistrict14General[Part of Queens County Vote Results])</totalsRowFormula>
    </tableColumn>
    <tableColumn id="3" xr3:uid="{4AEC0CDF-7C37-4A84-A489-532CF56D680A}" name="Total Votes by Party" totalsRowFunction="custom" dataDxfId="301" totalsRowDxfId="300">
      <totalsRowFormula>SUM(RepInCongressCongressionalDistrict14General[Total Votes by Party])</totalsRowFormula>
    </tableColumn>
    <tableColumn id="5" xr3:uid="{B787A747-D054-4587-9335-57A68B1267A4}" name="Total Votes by Candidate" dataDxfId="299" totalsRowDxfId="298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D63B24CB-B50D-4A1B-A541-DF730F807C10}" name="RepInCongressCongressionalDistrict15General" displayName="RepInCongressCongressionalDistrict15General" ref="A2:D9" totalsRowCount="1" headerRowDxfId="297" dataDxfId="295" totalsRowDxfId="293" headerRowBorderDxfId="296" tableBorderDxfId="294" totalsRowBorderDxfId="292">
  <autoFilter ref="A2:D8" xr:uid="{BA9C7FE1-F4F4-409E-B13A-39FF6A93574F}">
    <filterColumn colId="0" hiddenButton="1"/>
    <filterColumn colId="1" hiddenButton="1"/>
    <filterColumn colId="2" hiddenButton="1"/>
    <filterColumn colId="3" hiddenButton="1"/>
  </autoFilter>
  <tableColumns count="4">
    <tableColumn id="1" xr3:uid="{C6FE19A6-58B0-49B7-9197-37B2E96327F4}" name="Candidate Name (Party)" totalsRowLabel="Total Votes by County" dataDxfId="291" totalsRowDxfId="290"/>
    <tableColumn id="4" xr3:uid="{E38FE170-C113-4FFC-885D-0DE6F5CD9179}" name="Part of Bronx County Vote Results" totalsRowFunction="custom" dataDxfId="289" totalsRowDxfId="288">
      <totalsRowFormula>SUM(RepInCongressCongressionalDistrict15General[Part of Bronx County Vote Results])</totalsRowFormula>
    </tableColumn>
    <tableColumn id="3" xr3:uid="{FC986551-FBCF-4ABA-906B-7EE182F18A14}" name="Total Votes by Party" totalsRowFunction="custom" dataDxfId="287" totalsRowDxfId="286">
      <calculatedColumnFormula>RepInCongressCongressionalDistrict15General[[#This Row],[Part of Bronx County Vote Results]]</calculatedColumnFormula>
      <totalsRowFormula>SUM(RepInCongressCongressionalDistrict15General[Total Votes by Party])</totalsRowFormula>
    </tableColumn>
    <tableColumn id="2" xr3:uid="{6D11020E-D1E2-4EA8-94D3-04A061DBF3BF}" name="Total Votes by Candidate" dataDxfId="285" totalsRowDxfId="284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45ADB0A2-F725-48C0-9DE3-088162D46A3A}" name="RepInCongressCongressionalDistrict16General" displayName="RepInCongressCongressionalDistrict16General" ref="A2:E8" totalsRowCount="1" headerRowDxfId="283" dataDxfId="281" totalsRowDxfId="279" headerRowBorderDxfId="282" tableBorderDxfId="280" totalsRowBorderDxfId="278">
  <autoFilter ref="A2:E7" xr:uid="{151567D1-C9D1-459F-A027-DDDB16941B5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63EAEC1-7364-4EDB-B492-D360C680765C}" name="Candidate Name (Party)" totalsRowLabel="Total Votes by County" dataDxfId="277" totalsRowDxfId="276"/>
    <tableColumn id="2" xr3:uid="{83A6AFDB-728E-4A68-8573-88562F65AF9F}" name="Part of Bronx County Vote Results" totalsRowFunction="custom" dataDxfId="275" totalsRowDxfId="274">
      <totalsRowFormula>SUM(RepInCongressCongressionalDistrict16General[Part of Bronx County Vote Results])</totalsRowFormula>
    </tableColumn>
    <tableColumn id="4" xr3:uid="{13E8579A-B85F-4B46-AEF8-3410B5F48C39}" name="Part of Westchester County Vote Results" totalsRowFunction="custom" dataDxfId="273" totalsRowDxfId="272">
      <totalsRowFormula>SUM(RepInCongressCongressionalDistrict16General[Part of Westchester County Vote Results])</totalsRowFormula>
    </tableColumn>
    <tableColumn id="3" xr3:uid="{748F98F0-C32F-45BD-82A3-F12400F117D4}" name="Total Votes by Party" totalsRowFunction="custom" dataDxfId="271" totalsRowDxfId="270">
      <calculatedColumnFormula>SUM(RepInCongressCongressionalDistrict16General[[#This Row],[Part of Bronx County Vote Results]:[Part of Westchester County Vote Results]])</calculatedColumnFormula>
      <totalsRowFormula>SUM(RepInCongressCongressionalDistrict16General[Total Votes by Party])</totalsRowFormula>
    </tableColumn>
    <tableColumn id="5" xr3:uid="{F8AB6772-35E6-4BFC-90F6-4D09175E744C}" name="Total Votes by Candidate" dataDxfId="269" totalsRowDxfId="268">
      <calculatedColumnFormula>SUM(RepInCongressCongressionalDistrict16General[[#This Row],[Total Votes by Party]])</calculatedColumnFormula>
    </tableColumn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8E6D9853-BD3C-46C0-A8EF-BD20C31304DF}" name="RepInCongressCongressionalDistrict17General" displayName="RepInCongressCongressionalDistrict17General" ref="A2:E12" totalsRowCount="1" headerRowDxfId="267" dataDxfId="265" totalsRowDxfId="263" headerRowBorderDxfId="266" tableBorderDxfId="264" totalsRowBorderDxfId="262">
  <autoFilter ref="A2:E11" xr:uid="{BB80A5BF-F8A6-4751-8ACC-0548AF09BF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AA91614-36B0-411C-B449-8D6992324145}" name="Candidate Name (Party)" totalsRowLabel="Total Votes by County" dataDxfId="261" totalsRowDxfId="260"/>
    <tableColumn id="2" xr3:uid="{DCA157F0-E380-418C-8FD6-3873DE2FAFE1}" name="Rockland County Vote Results" totalsRowFunction="custom" dataDxfId="259" totalsRowDxfId="258">
      <totalsRowFormula>SUM(RepInCongressCongressionalDistrict17General[Rockland County Vote Results])</totalsRowFormula>
    </tableColumn>
    <tableColumn id="4" xr3:uid="{8A1720F6-0F92-4677-A01F-9F2721B6C043}" name="Part of Westchester County Vote Results" totalsRowFunction="custom" dataDxfId="257" totalsRowDxfId="256">
      <totalsRowFormula>SUM(RepInCongressCongressionalDistrict17General[Part of Westchester County Vote Results])</totalsRowFormula>
    </tableColumn>
    <tableColumn id="3" xr3:uid="{0A15F1CE-5BF6-4A59-8344-5D88947E189E}" name="Total Votes by Party" totalsRowFunction="custom" dataDxfId="255" totalsRowDxfId="254">
      <totalsRowFormula>SUM(RepInCongressCongressionalDistrict17General[Total Votes by Party])</totalsRowFormula>
    </tableColumn>
    <tableColumn id="5" xr3:uid="{2B3967D0-6A4C-47F0-84DC-C59EF6B0238E}" name="Total Votes by Candidate" dataDxfId="253" totalsRowDxfId="252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114A1A57-0D4A-414F-88C7-6D9E0BDD8B2C}" name="RepInCongressCongressionalDistrict18General" displayName="RepInCongressCongressionalDistrict18General" ref="A2:G13" totalsRowCount="1" headerRowDxfId="251" dataDxfId="249" totalsRowDxfId="247" headerRowBorderDxfId="250" tableBorderDxfId="248" totalsRowBorderDxfId="246">
  <autoFilter ref="A2:G12" xr:uid="{F7C835FC-B4CE-47D2-B193-E5C29F42EB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84C8668-1BDB-4BCA-9193-A7874CFAAFCB}" name="Candidate Name (Party)" totalsRowLabel="Total Votes by County" dataDxfId="245" totalsRowDxfId="244"/>
    <tableColumn id="2" xr3:uid="{AA11E8EA-C3A9-469D-8275-056BBD29C411}" name="Orange County Vote Results" totalsRowFunction="custom" dataDxfId="243" totalsRowDxfId="242">
      <totalsRowFormula>SUM(RepInCongressCongressionalDistrict18General[Orange County Vote Results])</totalsRowFormula>
    </tableColumn>
    <tableColumn id="6" xr3:uid="{212C4272-2109-4679-B4F2-43726311D23F}" name="Putnam County Vote Results" totalsRowFunction="custom" dataDxfId="241" totalsRowDxfId="240">
      <totalsRowFormula>SUM(RepInCongressCongressionalDistrict18General[Putnam County Vote Results])</totalsRowFormula>
    </tableColumn>
    <tableColumn id="3" xr3:uid="{A200AAE1-63C7-4130-A849-993302FAA4D4}" name="Part of Dutchess County Vote Results" totalsRowFunction="custom" dataDxfId="239" totalsRowDxfId="238">
      <totalsRowFormula>SUM(RepInCongressCongressionalDistrict18General[Part of Dutchess County Vote Results])</totalsRowFormula>
    </tableColumn>
    <tableColumn id="4" xr3:uid="{EC9821C3-918F-4078-9C43-6F709FB484C2}" name="Part of Westchester County Vote Results" totalsRowFunction="custom" dataDxfId="237" totalsRowDxfId="236">
      <totalsRowFormula>SUM(RepInCongressCongressionalDistrict18General[Part of Westchester County Vote Results])</totalsRowFormula>
    </tableColumn>
    <tableColumn id="7" xr3:uid="{8631C07E-838E-43CE-85B0-88AE4C67896A}" name="Total Votes by Party" totalsRowFunction="custom" dataDxfId="235" totalsRowDxfId="234">
      <totalsRowFormula>SUM(RepInCongressCongressionalDistrict18General[Total Votes by Party])</totalsRowFormula>
    </tableColumn>
    <tableColumn id="5" xr3:uid="{2EAD6376-B387-4E9A-A0E0-F6D62726E71E}" name="Total Votes by Candidate" dataDxfId="233" totalsRowDxfId="232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41D9D4F8-363E-482A-AF8E-2680A0093B50}" name="RepInCongressCongressionalDistrict19General" displayName="RepInCongressCongressionalDistrict19General" ref="A2:N12" totalsRowCount="1" headerRowDxfId="231" dataDxfId="229" totalsRowDxfId="227" headerRowBorderDxfId="230" tableBorderDxfId="228" totalsRowBorderDxfId="226">
  <autoFilter ref="A2:N11" xr:uid="{E4E31CCD-DBAF-461B-809F-2E5F9AA9AF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DBA7B2B-EA38-469B-8839-987534AAFA6F}" name="Candidate Name (Party)" totalsRowLabel="Total Votes by County" dataDxfId="225" totalsRowDxfId="224"/>
    <tableColumn id="2" xr3:uid="{46BA17B5-06B6-4C10-A4E0-1355D2C43272}" name="Columbia County Vote Results" totalsRowFunction="custom" dataDxfId="223" totalsRowDxfId="222">
      <totalsRowFormula>SUM(RepInCongressCongressionalDistrict19General[Columbia County Vote Results])</totalsRowFormula>
    </tableColumn>
    <tableColumn id="13" xr3:uid="{83B78516-C2B5-4206-A365-E76EE852C03B}" name="Delaware County Vote Results" totalsRowFunction="custom" dataDxfId="221" totalsRowDxfId="220">
      <totalsRowFormula>SUM(RepInCongressCongressionalDistrict19General[Delaware County Vote Results])</totalsRowFormula>
    </tableColumn>
    <tableColumn id="12" xr3:uid="{CB8BEE87-FB3F-42A8-B151-6E535D5B60DD}" name="Greene County Vote Results" totalsRowFunction="custom" dataDxfId="219" totalsRowDxfId="218">
      <totalsRowFormula>SUM(RepInCongressCongressionalDistrict19General[Greene County Vote Results])</totalsRowFormula>
    </tableColumn>
    <tableColumn id="11" xr3:uid="{C8191123-CF8C-4AC5-B44A-FAFF24926FAB}" name="Otsego County Vote Results" totalsRowFunction="custom" dataDxfId="217" totalsRowDxfId="216">
      <totalsRowFormula>SUM(RepInCongressCongressionalDistrict19General[Otsego County Vote Results])</totalsRowFormula>
    </tableColumn>
    <tableColumn id="10" xr3:uid="{1AAAA1E6-7E6B-4690-A8A6-CEE8467A2060}" name="Schoharie County Vote Results" totalsRowFunction="custom" dataDxfId="215" totalsRowDxfId="214">
      <totalsRowFormula>SUM(RepInCongressCongressionalDistrict19General[Schoharie County Vote Results])</totalsRowFormula>
    </tableColumn>
    <tableColumn id="9" xr3:uid="{7907CF37-297D-41CC-A2C5-25B6E23033F8}" name="Sullivan County Vote Results" totalsRowFunction="custom" dataDxfId="213" totalsRowDxfId="212">
      <totalsRowFormula>SUM(RepInCongressCongressionalDistrict19General[Sullivan County Vote Results])</totalsRowFormula>
    </tableColumn>
    <tableColumn id="8" xr3:uid="{2D159585-DAD7-4144-A1F8-D95A3060FE93}" name="Ulster County Vote Results" totalsRowFunction="custom" dataDxfId="211" totalsRowDxfId="210">
      <totalsRowFormula>SUM(RepInCongressCongressionalDistrict19General[Ulster County Vote Results])</totalsRowFormula>
    </tableColumn>
    <tableColumn id="7" xr3:uid="{F12A0E0B-7DFC-433D-B30A-F95A471B7F91}" name="Part of Broome County Vote Results" totalsRowFunction="custom" dataDxfId="209" totalsRowDxfId="208">
      <totalsRowFormula>SUM(RepInCongressCongressionalDistrict19General[Part of Broome County Vote Results])</totalsRowFormula>
    </tableColumn>
    <tableColumn id="6" xr3:uid="{C9904E6E-72A3-44D0-9744-8350AACE4327}" name="Part of Dutchess County Vote Results" totalsRowFunction="custom" dataDxfId="207" totalsRowDxfId="206">
      <totalsRowFormula>SUM(RepInCongressCongressionalDistrict19General[Part of Dutchess County Vote Results])</totalsRowFormula>
    </tableColumn>
    <tableColumn id="3" xr3:uid="{A3BC6F16-C78A-405E-A1C4-97DCD032FE40}" name="Part of Montgomery County Vote Results" totalsRowFunction="custom" dataDxfId="205" totalsRowDxfId="204">
      <totalsRowFormula>SUM(RepInCongressCongressionalDistrict19General[Part of Montgomery County Vote Results])</totalsRowFormula>
    </tableColumn>
    <tableColumn id="4" xr3:uid="{E100F9A2-BC33-429B-8A77-13CD2DAC369A}" name="Part of Rensselaer County Vote Results" totalsRowFunction="custom" dataDxfId="203" totalsRowDxfId="202">
      <totalsRowFormula>SUM(RepInCongressCongressionalDistrict19General[Part of Rensselaer County Vote Results])</totalsRowFormula>
    </tableColumn>
    <tableColumn id="14" xr3:uid="{37C95375-5419-413C-8497-8040C2790C2A}" name="Total Votes by Party" totalsRowFunction="custom" dataDxfId="201" totalsRowDxfId="200">
      <calculatedColumnFormula>SUM(B3:L3)</calculatedColumnFormula>
      <totalsRowFormula>SUM(RepInCongressCongressionalDistrict19General[Total Votes by Party])</totalsRowFormula>
    </tableColumn>
    <tableColumn id="5" xr3:uid="{0ABF6663-7FBF-4004-B5A1-4BEFD3C1E299}" name="Total Votes by Candidate" dataDxfId="199" totalsRowDxfId="198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972D72CF-7CA0-4678-8A37-84068BF5FF92}" name="RepInCongressCongressionalDistrict20General" displayName="RepInCongressCongressionalDistrict20General" ref="A2:H12" totalsRowCount="1" headerRowDxfId="197" dataDxfId="195" totalsRowDxfId="193" headerRowBorderDxfId="196" tableBorderDxfId="194" totalsRowBorderDxfId="192">
  <autoFilter ref="A2:H11" xr:uid="{D11F5F7B-D6D9-482B-935E-CBFF3FAE7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4677EFD-B2EE-4EA3-A325-8B4063054F08}" name="Candidate Name (Party)" totalsRowLabel="Total Votes by County" dataDxfId="191" totalsRowDxfId="190"/>
    <tableColumn id="2" xr3:uid="{F8297057-8D21-445D-B24E-0F752C70DDEA}" name="Albany County Vote Results" totalsRowFunction="custom" dataDxfId="189" totalsRowDxfId="188">
      <totalsRowFormula>SUM(RepInCongressCongressionalDistrict20General[Albany County Vote Results])</totalsRowFormula>
    </tableColumn>
    <tableColumn id="6" xr3:uid="{DE30FF58-9668-4FBF-A20B-91FB5BA8DD7F}" name="Schenectady County Vote Results" totalsRowFunction="custom" dataDxfId="187" totalsRowDxfId="186">
      <totalsRowFormula>SUM(RepInCongressCongressionalDistrict20General[Schenectady County Vote Results])</totalsRowFormula>
    </tableColumn>
    <tableColumn id="7" xr3:uid="{8EB65011-574B-4613-90A0-E303E7576D2B}" name="Part of Montgomery County Vote Results" totalsRowFunction="custom" dataDxfId="185" totalsRowDxfId="184">
      <totalsRowFormula>SUM(RepInCongressCongressionalDistrict20General[Part of Montgomery County Vote Results])</totalsRowFormula>
    </tableColumn>
    <tableColumn id="3" xr3:uid="{8C06863C-40C3-4828-AE2B-586E88185CFE}" name="Part of Rensselaer County Vote Results" totalsRowFunction="custom" dataDxfId="183" totalsRowDxfId="182">
      <totalsRowFormula>SUM(RepInCongressCongressionalDistrict20General[Part of Rensselaer County Vote Results])</totalsRowFormula>
    </tableColumn>
    <tableColumn id="4" xr3:uid="{3F86401C-94EF-4A30-85C9-D4AF8B806C00}" name="Part of Saratoga County Vote Results" totalsRowFunction="custom" dataDxfId="181" totalsRowDxfId="180">
      <totalsRowFormula>SUM(RepInCongressCongressionalDistrict20General[Part of Saratoga County Vote Results])</totalsRowFormula>
    </tableColumn>
    <tableColumn id="8" xr3:uid="{DD98D69E-B422-4834-B061-193593C2F13B}" name="Total Votes by Party" totalsRowFunction="custom" dataDxfId="179" totalsRowDxfId="178">
      <calculatedColumnFormula>SUM(RepInCongressCongressionalDistrict20General[[#This Row],[Albany County Vote Results]:[Part of Saratoga County Vote Results]])</calculatedColumnFormula>
      <totalsRowFormula>SUM(RepInCongressCongressionalDistrict20General[Total Votes by Party])</totalsRowFormula>
    </tableColumn>
    <tableColumn id="5" xr3:uid="{064CE07F-687E-4621-B62F-797AA4C8A757}" name="Total Votes by Candidate" dataDxfId="177" totalsRowDxfId="176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B1D129B5-7C0A-49B5-9D51-E39EB6D8C0BB}" name="RepInCongressCongressionalDistrict21General" displayName="RepInCongressCongressionalDistrict21General" ref="A2:O11" totalsRowCount="1" headerRowDxfId="175" dataDxfId="173" totalsRowDxfId="171" headerRowBorderDxfId="174" tableBorderDxfId="172" totalsRowBorderDxfId="170">
  <autoFilter ref="A2:O10" xr:uid="{539EBD77-812D-4C79-BDB5-02B7A3F2A6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10372CC-F0B4-4D03-B18F-0B091F080003}" name="Candidate Name (Party)" totalsRowLabel="Total Votes by County" dataDxfId="169" totalsRowDxfId="168"/>
    <tableColumn id="2" xr3:uid="{44660E60-3D62-411E-AE8C-DCCA283B9518}" name="Clinton County Vote Results" totalsRowFunction="custom" dataDxfId="167" totalsRowDxfId="166">
      <totalsRowFormula>SUM(RepInCongressCongressionalDistrict21General[Clinton County Vote Results])</totalsRowFormula>
    </tableColumn>
    <tableColumn id="13" xr3:uid="{DC1111B1-A9BE-4551-B4E5-C7C90B637D3B}" name="Essex County Vote Results" totalsRowFunction="custom" dataDxfId="165" totalsRowDxfId="164">
      <totalsRowFormula>SUM(RepInCongressCongressionalDistrict21General[Essex County Vote Results])</totalsRowFormula>
    </tableColumn>
    <tableColumn id="12" xr3:uid="{6C0A255D-E8D5-4493-AD2D-C38C2151C913}" name="Franklin County Vote Results" totalsRowFunction="custom" dataDxfId="163" totalsRowDxfId="162">
      <totalsRowFormula>SUM(RepInCongressCongressionalDistrict21General[Franklin County Vote Results])</totalsRowFormula>
    </tableColumn>
    <tableColumn id="11" xr3:uid="{BB4E1751-4615-442B-B5B0-51CC4B746A8E}" name="Fulton County Vote Results" totalsRowFunction="custom" dataDxfId="161" totalsRowDxfId="160">
      <totalsRowFormula>SUBTOTAL(109,E3:E10)</totalsRowFormula>
    </tableColumn>
    <tableColumn id="10" xr3:uid="{45957038-5BAA-4E7B-87A3-6BF908354987}" name="Hamilton County Vote Results" totalsRowFunction="custom" dataDxfId="159" totalsRowDxfId="158">
      <totalsRowFormula>SUM(RepInCongressCongressionalDistrict21General[Hamilton County Vote Results])</totalsRowFormula>
    </tableColumn>
    <tableColumn id="9" xr3:uid="{B4CC33EE-CAE7-463F-A47A-1CB2AB789153}" name="Jefferson County Vote Results" totalsRowFunction="custom" dataDxfId="157" totalsRowDxfId="156">
      <totalsRowFormula>SUM(RepInCongressCongressionalDistrict21General[Jefferson County Vote Results])</totalsRowFormula>
    </tableColumn>
    <tableColumn id="8" xr3:uid="{39F07F54-054F-453D-8764-03DE9276019B}" name="Lewis County Vote Results" totalsRowFunction="custom" dataDxfId="155" totalsRowDxfId="154">
      <totalsRowFormula>SUM(RepInCongressCongressionalDistrict21General[Lewis County Vote Results])</totalsRowFormula>
    </tableColumn>
    <tableColumn id="7" xr3:uid="{38F5589E-C3B1-4323-B79E-FE840EB7DC2B}" name="St. Lawrence County Vote Results" totalsRowFunction="custom" dataDxfId="153" totalsRowDxfId="152">
      <totalsRowFormula>SUM(RepInCongressCongressionalDistrict21General[St. Lawrence County Vote Results])</totalsRowFormula>
    </tableColumn>
    <tableColumn id="14" xr3:uid="{C892F57C-904A-4741-80BB-4A8BA67F899C}" name="Warren County Vote Results" totalsRowFunction="custom" dataDxfId="151" totalsRowDxfId="150">
      <totalsRowFormula>SUM(RepInCongressCongressionalDistrict21General[Warren County Vote Results])</totalsRowFormula>
    </tableColumn>
    <tableColumn id="6" xr3:uid="{14B9BF99-467C-4086-9B2F-234ACDB3A26A}" name="Washington County Vote Results" totalsRowFunction="custom" dataDxfId="149" totalsRowDxfId="148">
      <totalsRowFormula>SUM(RepInCongressCongressionalDistrict21General[Washington County Vote Results])</totalsRowFormula>
    </tableColumn>
    <tableColumn id="3" xr3:uid="{549D1D91-6913-4EB8-B261-CD6DC9BE75C2}" name="Part of Herkimer County Vote Results" totalsRowFunction="custom" dataDxfId="147" totalsRowDxfId="146">
      <totalsRowFormula>SUM(RepInCongressCongressionalDistrict21General[Part of Herkimer County Vote Results])</totalsRowFormula>
    </tableColumn>
    <tableColumn id="4" xr3:uid="{FB490569-86FE-427C-8B5C-66CF3B61E2C2}" name="Part of Saratoga County Vote Results" totalsRowFunction="custom" dataDxfId="145" totalsRowDxfId="144">
      <totalsRowFormula>SUM(RepInCongressCongressionalDistrict21General[Part of Saratoga County Vote Results])</totalsRowFormula>
    </tableColumn>
    <tableColumn id="15" xr3:uid="{A91E87BB-0DA5-49A9-8541-21CB30863C87}" name="Total Votes by Party" totalsRowFunction="custom" dataDxfId="143" totalsRowDxfId="142">
      <totalsRowFormula>SUM(RepInCongressCongressionalDistrict21General[Total Votes by Party])</totalsRowFormula>
    </tableColumn>
    <tableColumn id="5" xr3:uid="{7913F281-116C-41E0-90D4-F3F4A3C95F25}" name="Total Votes by Candidate" dataDxfId="141" totalsRowDxfId="140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F7D0908A-BD3B-4F67-B670-46CA1D13FFF3}" name="RepInCongressCongressionalDistrict22General" displayName="RepInCongressCongressionalDistrict22General" ref="A2:K12" totalsRowCount="1" headerRowDxfId="139" dataDxfId="137" totalsRowDxfId="135" headerRowBorderDxfId="138" tableBorderDxfId="136" totalsRowBorderDxfId="134">
  <autoFilter ref="A2:K11" xr:uid="{004FB23F-B89A-4BE0-8C7A-0D0D60DB0C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F60D30-94A8-436E-B5C4-6B140AA511CD}" name="Candidate Name (Party)" totalsRowLabel="Total Votes by County" dataDxfId="133" totalsRowDxfId="132"/>
    <tableColumn id="2" xr3:uid="{B7E5CBB5-A1F7-4C47-BCD9-51372BFE2D1A}" name="Chenango County Vote Results" totalsRowFunction="custom" dataDxfId="131" totalsRowDxfId="130">
      <totalsRowFormula>SUM(RepInCongressCongressionalDistrict22General[Chenango County Vote Results])</totalsRowFormula>
    </tableColumn>
    <tableColumn id="6" xr3:uid="{2BC7034A-E4BB-4D6C-8C07-B9D18B9DF579}" name="Cortland County Vote Results" totalsRowFunction="custom" dataDxfId="129" totalsRowDxfId="128">
      <totalsRowFormula>SUM(RepInCongressCongressionalDistrict22General[Cortland County Vote Results])</totalsRowFormula>
    </tableColumn>
    <tableColumn id="7" xr3:uid="{A80B3F51-8BFE-40E8-88EE-E491CA92D0C2}" name="Madison County Vote Results" totalsRowFunction="custom" dataDxfId="127" totalsRowDxfId="126">
      <totalsRowFormula>SUM(RepInCongressCongressionalDistrict22General[Madison County Vote Results])</totalsRowFormula>
    </tableColumn>
    <tableColumn id="10" xr3:uid="{D2A4178A-8CC3-455B-A57C-A09435C18EB5}" name="Oneida County Vote Results" totalsRowFunction="custom" dataDxfId="125" totalsRowDxfId="124">
      <totalsRowFormula>SUM(RepInCongressCongressionalDistrict22General[Oneida County Vote Results])</totalsRowFormula>
    </tableColumn>
    <tableColumn id="9" xr3:uid="{61B710FA-CCB4-4DE9-BF0F-281325E05AC2}" name="Part of Broome County Vote Results" totalsRowFunction="custom" dataDxfId="123" totalsRowDxfId="122">
      <totalsRowFormula>SUM(RepInCongressCongressionalDistrict22General[Part of Broome County Vote Results])</totalsRowFormula>
    </tableColumn>
    <tableColumn id="8" xr3:uid="{FE45732F-0B4F-4563-AAFF-BCBD930A1282}" name="Part of Herkimer County Vote Results" totalsRowFunction="custom" dataDxfId="121" totalsRowDxfId="120">
      <totalsRowFormula>SUM(RepInCongressCongressionalDistrict22General[Part of Herkimer County Vote Results])</totalsRowFormula>
    </tableColumn>
    <tableColumn id="3" xr3:uid="{097899C5-40CA-41F5-A9FB-B2B3B146F0EF}" name="Part of Oswego County Vote Results" totalsRowFunction="custom" dataDxfId="119" totalsRowDxfId="118">
      <totalsRowFormula>SUM(RepInCongressCongressionalDistrict22General[Part of Oswego County Vote Results])</totalsRowFormula>
    </tableColumn>
    <tableColumn id="4" xr3:uid="{06EEFD3F-A81C-4724-9E15-14098B6A2D6B}" name="Part of Tioga County Vote Results" totalsRowFunction="custom" dataDxfId="117" totalsRowDxfId="116">
      <totalsRowFormula>SUM(RepInCongressCongressionalDistrict22General[Part of Tioga County Vote Results])</totalsRowFormula>
    </tableColumn>
    <tableColumn id="11" xr3:uid="{1FFD6898-B788-4DAB-8DBC-C3D249265995}" name="Total Votes by Party" totalsRowFunction="custom" dataDxfId="115" totalsRowDxfId="114">
      <totalsRowFormula>SUM(RepInCongressCongressionalDistrict22General[Total Votes by Party])</totalsRowFormula>
    </tableColumn>
    <tableColumn id="5" xr3:uid="{3385B94D-1E14-48C4-96F4-E067268AA07A}" name="Total Votes by Candidate" dataDxfId="113" totalsRowDxfId="112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CC0D3B32-924A-41CE-A7C8-EFF11F472E4C}" name="RepInCongressCongressionalDistrict23General" displayName="RepInCongressCongressionalDistrict23General" ref="A2:N12" totalsRowCount="1" headerRowDxfId="111" dataDxfId="109" totalsRowDxfId="107" headerRowBorderDxfId="110" tableBorderDxfId="108" totalsRowBorderDxfId="106">
  <autoFilter ref="A2:N11" xr:uid="{0C49DDDC-F88C-4209-934A-3C7F684B09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B381825-A6A7-41F4-9B98-E093B20BA3E2}" name="Candidate Name (Party)" totalsRowLabel="Total Votes by County" dataDxfId="105" totalsRowDxfId="104"/>
    <tableColumn id="2" xr3:uid="{91B7D694-EF5A-40F0-ABC6-DA6FD965728B}" name="Allegany County Vote Results" totalsRowFunction="custom" dataDxfId="103" totalsRowDxfId="102">
      <totalsRowFormula>SUM(RepInCongressCongressionalDistrict23General[Allegany County Vote Results])</totalsRowFormula>
    </tableColumn>
    <tableColumn id="13" xr3:uid="{B8AF5636-B7EA-49F8-86EC-2309AF8A4B50}" name="Cattaraugus County Vote Results" totalsRowFunction="custom" dataDxfId="101" totalsRowDxfId="100">
      <totalsRowFormula>SUM(RepInCongressCongressionalDistrict23General[Cattaraugus County Vote Results])</totalsRowFormula>
    </tableColumn>
    <tableColumn id="12" xr3:uid="{65A0DF7B-2F47-453A-BA96-EF7CA2CE7728}" name="Chautauqua County Vote Results" totalsRowFunction="custom" dataDxfId="99" totalsRowDxfId="98">
      <totalsRowFormula>SUM(RepInCongressCongressionalDistrict23General[Chautauqua County Vote Results])</totalsRowFormula>
    </tableColumn>
    <tableColumn id="11" xr3:uid="{36965201-DF71-4922-8DF0-223DFBA57BCC}" name="Chemung County Vote Results" totalsRowFunction="custom" dataDxfId="97" totalsRowDxfId="96">
      <totalsRowFormula>SUM(RepInCongressCongressionalDistrict23General[Chemung County Vote Results])</totalsRowFormula>
    </tableColumn>
    <tableColumn id="10" xr3:uid="{1B3FAB3F-A642-4B3D-8E9A-ED777847132C}" name="Schuyler County Vote Results" totalsRowFunction="custom" dataDxfId="95" totalsRowDxfId="94">
      <totalsRowFormula>SUM(RepInCongressCongressionalDistrict23General[Schuyler County Vote Results])</totalsRowFormula>
    </tableColumn>
    <tableColumn id="9" xr3:uid="{87BCA5CA-1F57-43A1-B59B-CBD6E23670E1}" name="Seneca County Vote Results" totalsRowFunction="custom" dataDxfId="93" totalsRowDxfId="92">
      <totalsRowFormula>SUM(RepInCongressCongressionalDistrict23General[Seneca County Vote Results])</totalsRowFormula>
    </tableColumn>
    <tableColumn id="8" xr3:uid="{883A6522-0E51-42F2-89DE-37AC5CB4CEA5}" name="Steuben County Vote Results" totalsRowFunction="custom" dataDxfId="91" totalsRowDxfId="90">
      <totalsRowFormula>SUM(RepInCongressCongressionalDistrict23General[Steuben County Vote Results])</totalsRowFormula>
    </tableColumn>
    <tableColumn id="7" xr3:uid="{052BE1E5-E45B-4BB7-848A-53770399BC02}" name="Tompkins County Vote Results" totalsRowFunction="custom" dataDxfId="89" totalsRowDxfId="88">
      <totalsRowFormula>SUM(RepInCongressCongressionalDistrict23General[Tompkins County Vote Results])</totalsRowFormula>
    </tableColumn>
    <tableColumn id="14" xr3:uid="{69B96D39-EEFF-4ADF-BDFC-7466049AD51A}" name="Yates County Vote Results" totalsRowFunction="custom" dataDxfId="87" totalsRowDxfId="86">
      <totalsRowFormula>SUM(RepInCongressCongressionalDistrict23General[Yates County Vote Results])</totalsRowFormula>
    </tableColumn>
    <tableColumn id="3" xr3:uid="{BB82E46B-8A1B-460C-B1DC-B64D94788E7B}" name="Part of Ontario County Vote Results" totalsRowFunction="custom" dataDxfId="85" totalsRowDxfId="84">
      <totalsRowFormula>SUM(RepInCongressCongressionalDistrict23General[Part of Ontario County Vote Results])</totalsRowFormula>
    </tableColumn>
    <tableColumn id="4" xr3:uid="{9BBDE277-A359-405D-AA3A-4E36A5FF4E91}" name="Part of Tioga County Vote Results" totalsRowFunction="custom" dataDxfId="83" totalsRowDxfId="82">
      <totalsRowFormula>SUM(RepInCongressCongressionalDistrict23General[Part of Tioga County Vote Results])</totalsRowFormula>
    </tableColumn>
    <tableColumn id="6" xr3:uid="{BC96CA23-1184-4D91-9B79-6EC1EDC7097B}" name="Total Votes by Party" totalsRowFunction="custom" dataDxfId="81" totalsRowDxfId="80">
      <totalsRowFormula>SUM(RepInCongressCongressionalDistrict23General[Total Votes by Party])</totalsRowFormula>
    </tableColumn>
    <tableColumn id="5" xr3:uid="{BE95CCB2-44E1-42CD-ACE8-032314B77109}" name="Total Votes by Candidate" dataDxfId="79" totalsRowDxfId="78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CDDE415A-1582-4110-9682-829D3C1DB869}" name="RepInCongressCongressionalDistrict24General" displayName="RepInCongressCongressionalDistrict24General" ref="A2:G11" totalsRowCount="1" headerRowDxfId="77" dataDxfId="75" totalsRowDxfId="73" headerRowBorderDxfId="76" tableBorderDxfId="74" totalsRowBorderDxfId="72">
  <autoFilter ref="A2:G10" xr:uid="{73707D82-830B-41CE-ABF5-16DAFA77C9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790CB0B-2A47-493B-B8D6-180377419AFA}" name="Candidate Name (Party)" totalsRowLabel="Total Votes by County" dataDxfId="71" totalsRowDxfId="70"/>
    <tableColumn id="2" xr3:uid="{F6CCEAE4-4E7D-4926-B101-97E0A084CF4B}" name="Cayuga County Vote Results" totalsRowFunction="custom" dataDxfId="69" totalsRowDxfId="68">
      <totalsRowFormula>SUM(RepInCongressCongressionalDistrict24General[Cayuga County Vote Results])</totalsRowFormula>
    </tableColumn>
    <tableColumn id="6" xr3:uid="{355186F7-C723-4428-B7D0-D18412F3DF14}" name="Onondaga County Vote Results" totalsRowFunction="custom" dataDxfId="67" totalsRowDxfId="66">
      <totalsRowFormula>SUM(RepInCongressCongressionalDistrict24General[Onondaga County Vote Results])</totalsRowFormula>
    </tableColumn>
    <tableColumn id="3" xr3:uid="{361B2B71-0A58-42E4-8977-78EE89517964}" name="Wayne County Vote Results" totalsRowFunction="custom" dataDxfId="65" totalsRowDxfId="64">
      <totalsRowFormula>SUM(RepInCongressCongressionalDistrict24General[Wayne County Vote Results])</totalsRowFormula>
    </tableColumn>
    <tableColumn id="4" xr3:uid="{5C434877-BDD4-4510-ACF3-8CA6C22409DF}" name="Part of Oswego County Vote Results" totalsRowFunction="custom" dataDxfId="63" totalsRowDxfId="62">
      <totalsRowFormula>SUM(RepInCongressCongressionalDistrict24General[Part of Oswego County Vote Results])</totalsRowFormula>
    </tableColumn>
    <tableColumn id="7" xr3:uid="{4315A5E6-291B-495E-9BCA-8709729E2888}" name="Total Votes by Party" totalsRowFunction="custom" dataDxfId="61" totalsRowDxfId="60">
      <totalsRowFormula>SUM(RepInCongressCongressionalDistrict24General[Total Votes by Party])</totalsRowFormula>
    </tableColumn>
    <tableColumn id="5" xr3:uid="{0417FAF6-AD4C-424F-BA9F-3C86A24E64D0}" name="Total Votes by Candidate" dataDxfId="59" totalsRowDxfId="58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93E77C43-6179-4793-9ADD-584BD2F08AFF}" name="RepInCongressCongressionalDistrict25General" displayName="RepInCongressCongressionalDistrict25General" ref="A2:D12" totalsRowCount="1" headerRowDxfId="57" dataDxfId="55" totalsRowDxfId="53" headerRowBorderDxfId="56" tableBorderDxfId="54" totalsRowBorderDxfId="52">
  <autoFilter ref="A2:D11" xr:uid="{64708C82-C3FB-4629-83EE-627387BA1A7D}">
    <filterColumn colId="0" hiddenButton="1"/>
    <filterColumn colId="1" hiddenButton="1"/>
    <filterColumn colId="2" hiddenButton="1"/>
    <filterColumn colId="3" hiddenButton="1"/>
  </autoFilter>
  <tableColumns count="4">
    <tableColumn id="1" xr3:uid="{04DEFDB3-5743-4BAE-A03E-546E1D43CD0B}" name="Candidate Name (Party)" totalsRowLabel="Total Votes by County" dataDxfId="51" totalsRowDxfId="50"/>
    <tableColumn id="4" xr3:uid="{D01E3B79-4FBA-4E5E-AC4C-10F7743B2A1F}" name="Part of Monroe County Vote Results" totalsRowFunction="custom" dataDxfId="49" totalsRowDxfId="48">
      <totalsRowFormula>SUM(RepInCongressCongressionalDistrict25General[Part of Monroe County Vote Results])</totalsRowFormula>
    </tableColumn>
    <tableColumn id="3" xr3:uid="{261A85ED-C96C-4BE5-925E-61D4B4E1B249}" name="Total Votes by Party" totalsRowFunction="custom" dataDxfId="47" totalsRowDxfId="46">
      <calculatedColumnFormula>RepInCongressCongressionalDistrict25General[[#This Row],[Part of Monroe County Vote Results]]</calculatedColumnFormula>
      <totalsRowFormula>SUM(RepInCongressCongressionalDistrict25General[Total Votes by Party])</totalsRowFormula>
    </tableColumn>
    <tableColumn id="2" xr3:uid="{015F276C-E4F4-4FE4-AE37-0E7107CC6789}" name="Total Votes by Candidate" dataDxfId="45" totalsRowDxfId="44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2ED76ED2-DD89-4027-9405-3D982AA05D6C}" name="RepInCongressCongressionalDistrict26General" displayName="RepInCongressCongressionalDistrict26General" ref="A2:E11" totalsRowCount="1" headerRowDxfId="43" dataDxfId="41" totalsRowDxfId="39" headerRowBorderDxfId="42" tableBorderDxfId="40" totalsRowBorderDxfId="38">
  <autoFilter ref="A2:E10" xr:uid="{3936682D-ED33-46CD-BD56-5B7D602B4D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BB70ED1-DFF1-4861-9471-9EB62ED8C005}" name="Candidate Name (Party)" totalsRowLabel="Total Votes by County" dataDxfId="37" totalsRowDxfId="36"/>
    <tableColumn id="2" xr3:uid="{744F6BC8-4266-402F-8543-1A2BD92C8C2F}" name="Part of Erie County Vote Results" totalsRowFunction="custom" dataDxfId="35" totalsRowDxfId="34">
      <totalsRowFormula>SUM(RepInCongressCongressionalDistrict26General[Part of Erie County Vote Results])</totalsRowFormula>
    </tableColumn>
    <tableColumn id="4" xr3:uid="{54463627-5A90-424A-8164-99297B9D61E7}" name="Part of Niagara County Vote Results" totalsRowFunction="custom" dataDxfId="33" totalsRowDxfId="32">
      <totalsRowFormula>SUM(RepInCongressCongressionalDistrict26General[Part of Niagara County Vote Results])</totalsRowFormula>
    </tableColumn>
    <tableColumn id="3" xr3:uid="{81E47EAA-43D8-4BE9-90EC-8913E3D26071}" name="Total Votes by Party" totalsRowFunction="custom" dataDxfId="31" totalsRowDxfId="30">
      <calculatedColumnFormula>SUM(RepInCongressCongressionalDistrict26General[[#This Row],[Part of Erie County Vote Results]:[Part of Niagara County Vote Results]])</calculatedColumnFormula>
      <totalsRowFormula>SUM(RepInCongressCongressionalDistrict26General[Total Votes by Party])</totalsRowFormula>
    </tableColumn>
    <tableColumn id="5" xr3:uid="{1B027D29-9AB8-4774-AB31-F008DB726843}" name="Total Votes by Candidate" dataDxfId="29" totalsRowDxfId="28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65DD54A7-46C8-4997-8E41-962ECE1A7C40}" name="RepInCongressCongressionalDistrict27General" displayName="RepInCongressCongressionalDistrict27General" ref="A2:K12" totalsRowCount="1" headerRowDxfId="27" dataDxfId="25" totalsRowDxfId="23" headerRowBorderDxfId="26" tableBorderDxfId="24" totalsRowBorderDxfId="22">
  <autoFilter ref="A2:K11" xr:uid="{CC33615E-FD2B-4AF4-B459-101BAA968D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675D384-EE38-421C-A0B3-E83E0DACCBB6}" name="Candidate Name (Party)" totalsRowLabel="Total Votes by County" dataDxfId="21" totalsRowDxfId="20"/>
    <tableColumn id="2" xr3:uid="{D3F7C6C1-DA48-479C-AB85-7FC097128FCF}" name="Genesee County Vote Results" totalsRowFunction="custom" dataDxfId="19" totalsRowDxfId="18">
      <totalsRowFormula>SUM(RepInCongressCongressionalDistrict27General[Genesee County Vote Results])</totalsRowFormula>
    </tableColumn>
    <tableColumn id="13" xr3:uid="{4D18FB46-F4EA-400C-8E3D-DF5B11B3CBC8}" name="Livingston County Vote Results" totalsRowFunction="custom" dataDxfId="17" totalsRowDxfId="16">
      <totalsRowFormula>SUM(RepInCongressCongressionalDistrict27General[Livingston County Vote Results])</totalsRowFormula>
    </tableColumn>
    <tableColumn id="12" xr3:uid="{B542F8F1-5AA3-476E-94C9-A8125ACC4A44}" name="Orleans County Vote Results" totalsRowFunction="custom" dataDxfId="15" totalsRowDxfId="14">
      <totalsRowFormula>SUM(RepInCongressCongressionalDistrict27General[Orleans County Vote Results])</totalsRowFormula>
    </tableColumn>
    <tableColumn id="11" xr3:uid="{D77EB94B-0505-42C6-8B51-EDA576FBF1D1}" name="Wyoming County Vote Results" totalsRowFunction="custom" dataDxfId="13" totalsRowDxfId="12">
      <totalsRowFormula>SUM(RepInCongressCongressionalDistrict27General[Wyoming County Vote Results])</totalsRowFormula>
    </tableColumn>
    <tableColumn id="10" xr3:uid="{064AB5AD-5DF8-4B9B-9F4A-A73652DA1E2D}" name="Part of Erie County Vote Results" totalsRowFunction="custom" dataDxfId="11" totalsRowDxfId="10">
      <totalsRowFormula>SUM(RepInCongressCongressionalDistrict27General[Part of Erie County Vote Results])</totalsRowFormula>
    </tableColumn>
    <tableColumn id="9" xr3:uid="{450C9B05-A670-493A-A5EF-76B024C76662}" name="Part of Monroe County Vote Results" totalsRowFunction="custom" dataDxfId="9" totalsRowDxfId="8">
      <totalsRowFormula>SUM(RepInCongressCongressionalDistrict27General[Part of Monroe County Vote Results])</totalsRowFormula>
    </tableColumn>
    <tableColumn id="3" xr3:uid="{486F1ECC-5131-4749-BCEF-AE3CE5C5A809}" name="Part of Niagara County Vote Results" totalsRowFunction="custom" dataDxfId="7" totalsRowDxfId="6">
      <totalsRowFormula>SUM(RepInCongressCongressionalDistrict27General[Part of Niagara County Vote Results])</totalsRowFormula>
    </tableColumn>
    <tableColumn id="4" xr3:uid="{FBC27BE9-D4AE-425C-976C-91703E035EF1}" name="Part of Ontario County Vote Results" totalsRowFunction="custom" dataDxfId="5" totalsRowDxfId="4">
      <totalsRowFormula>SUBTOTAL(109,I3:I11)</totalsRowFormula>
    </tableColumn>
    <tableColumn id="6" xr3:uid="{E886213C-3C74-4548-B51E-2097AFE754D5}" name="Total Votes by Party" totalsRowFunction="custom" dataDxfId="3" totalsRowDxfId="2">
      <totalsRowFormula>SUM(RepInCongressCongressionalDistrict27General[Total Votes by Party])</totalsRowFormula>
    </tableColumn>
    <tableColumn id="5" xr3:uid="{C347AAC4-B14F-4E92-9768-057C788921B5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"/>
  <sheetViews>
    <sheetView tabSelected="1" zoomScaleNormal="100" zoomScaleSheetLayoutView="120" workbookViewId="0">
      <selection activeCell="A18" sqref="A18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5" ht="24.9" customHeight="1" x14ac:dyDescent="0.25">
      <c r="A1" s="35" t="s">
        <v>35</v>
      </c>
    </row>
    <row r="2" spans="1:5" ht="24.9" customHeight="1" x14ac:dyDescent="0.25">
      <c r="A2" s="5" t="s">
        <v>5</v>
      </c>
      <c r="B2" s="6" t="s">
        <v>36</v>
      </c>
      <c r="C2" s="7" t="s">
        <v>3</v>
      </c>
      <c r="D2" s="8" t="s">
        <v>4</v>
      </c>
    </row>
    <row r="3" spans="1:5" ht="13.8" x14ac:dyDescent="0.3">
      <c r="A3" s="1" t="s">
        <v>37</v>
      </c>
      <c r="B3" s="19">
        <v>160978</v>
      </c>
      <c r="C3" s="9">
        <f>RepInCongressCongressionalDistrict1General[[#This Row],[Part of Suffolk County Vote Results]]</f>
        <v>160978</v>
      </c>
      <c r="D3" s="10">
        <f>SUM(RepInCongressCongressionalDistrict1General[[#This Row],[Total Votes by Party]],C6)</f>
        <v>169294</v>
      </c>
    </row>
    <row r="4" spans="1:5" ht="13.8" x14ac:dyDescent="0.3">
      <c r="A4" s="1" t="s">
        <v>38</v>
      </c>
      <c r="B4" s="19">
        <v>180855</v>
      </c>
      <c r="C4" s="9">
        <f>RepInCongressCongressionalDistrict1General[[#This Row],[Part of Suffolk County Vote Results]]</f>
        <v>180855</v>
      </c>
      <c r="D4" s="10">
        <f>SUM(RepInCongressCongressionalDistrict1General[[#This Row],[Total Votes by Party]],C5,C7)</f>
        <v>205715</v>
      </c>
    </row>
    <row r="5" spans="1:5" ht="13.8" x14ac:dyDescent="0.3">
      <c r="A5" s="1" t="s">
        <v>39</v>
      </c>
      <c r="B5" s="19">
        <v>21611</v>
      </c>
      <c r="C5" s="9">
        <f>RepInCongressCongressionalDistrict1General[[#This Row],[Part of Suffolk County Vote Results]]</f>
        <v>21611</v>
      </c>
      <c r="D5" s="11"/>
    </row>
    <row r="6" spans="1:5" ht="13.8" x14ac:dyDescent="0.3">
      <c r="A6" s="1" t="s">
        <v>40</v>
      </c>
      <c r="B6" s="19">
        <v>8316</v>
      </c>
      <c r="C6" s="9">
        <f>RepInCongressCongressionalDistrict1General[[#This Row],[Part of Suffolk County Vote Results]]</f>
        <v>8316</v>
      </c>
      <c r="D6" s="11"/>
    </row>
    <row r="7" spans="1:5" ht="13.8" x14ac:dyDescent="0.3">
      <c r="A7" s="1" t="s">
        <v>41</v>
      </c>
      <c r="B7" s="19">
        <v>3249</v>
      </c>
      <c r="C7" s="9">
        <f>RepInCongressCongressionalDistrict1General[[#This Row],[Part of Suffolk County Vote Results]]</f>
        <v>3249</v>
      </c>
      <c r="D7" s="11"/>
    </row>
    <row r="8" spans="1:5" ht="13.8" x14ac:dyDescent="0.3">
      <c r="A8" s="3" t="s">
        <v>0</v>
      </c>
      <c r="B8" s="19">
        <v>13773</v>
      </c>
      <c r="C8" s="9">
        <f>RepInCongressCongressionalDistrict1General[[#This Row],[Part of Suffolk County Vote Results]]</f>
        <v>13773</v>
      </c>
      <c r="D8" s="11"/>
    </row>
    <row r="9" spans="1:5" ht="13.8" x14ac:dyDescent="0.3">
      <c r="A9" s="3" t="s">
        <v>1</v>
      </c>
      <c r="B9" s="19">
        <v>125</v>
      </c>
      <c r="C9" s="9">
        <f>RepInCongressCongressionalDistrict1General[[#This Row],[Part of Suffolk County Vote Results]]</f>
        <v>125</v>
      </c>
      <c r="D9" s="11"/>
    </row>
    <row r="10" spans="1:5" ht="13.8" x14ac:dyDescent="0.3">
      <c r="A10" s="3" t="s">
        <v>6</v>
      </c>
      <c r="B10" s="19">
        <v>107</v>
      </c>
      <c r="C10" s="14">
        <f>RepInCongressCongressionalDistrict1General[[#This Row],[Part of Suffolk County Vote Results]]</f>
        <v>107</v>
      </c>
      <c r="D10" s="15"/>
    </row>
    <row r="11" spans="1:5" ht="13.8" x14ac:dyDescent="0.3">
      <c r="A11" s="13" t="s">
        <v>2</v>
      </c>
      <c r="B11" s="19">
        <f>SUM(RepInCongressCongressionalDistrict1General[Part of Suffolk County Vote Results])</f>
        <v>389014</v>
      </c>
      <c r="C11" s="14">
        <f>SUM(RepInCongressCongressionalDistrict1General[Total Votes by Party])</f>
        <v>389014</v>
      </c>
      <c r="D11" s="11"/>
      <c r="E11" s="36"/>
    </row>
  </sheetData>
  <phoneticPr fontId="1" type="noConversion"/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7" max="4" man="1"/>
    <brk id="80" max="4" man="1"/>
    <brk id="123" max="4" man="1"/>
    <brk id="165" max="16383" man="1"/>
    <brk id="189" max="16383" man="1"/>
    <brk id="223" max="16383" man="1"/>
    <brk id="261" max="16383" man="1"/>
    <brk id="303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1944-8E89-4B3B-8D15-4448CBA23A71}">
  <sheetPr>
    <pageSetUpPr fitToPage="1"/>
  </sheetPr>
  <dimension ref="A1:E14"/>
  <sheetViews>
    <sheetView zoomScaleNormal="100" zoomScaleSheetLayoutView="100" workbookViewId="0">
      <selection activeCell="B29" sqref="B29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42</v>
      </c>
    </row>
    <row r="2" spans="1:5" ht="27.6" x14ac:dyDescent="0.25">
      <c r="A2" s="5" t="s">
        <v>5</v>
      </c>
      <c r="B2" s="6" t="s">
        <v>43</v>
      </c>
      <c r="C2" s="6" t="s">
        <v>36</v>
      </c>
      <c r="D2" s="7" t="s">
        <v>3</v>
      </c>
      <c r="E2" s="8" t="s">
        <v>4</v>
      </c>
    </row>
    <row r="3" spans="1:5" ht="13.8" x14ac:dyDescent="0.3">
      <c r="A3" s="1" t="s">
        <v>44</v>
      </c>
      <c r="B3" s="19">
        <v>36436</v>
      </c>
      <c r="C3" s="18">
        <v>108413</v>
      </c>
      <c r="D3" s="9">
        <f>SUM(RepInCongressCongressionalDistrict2General[[#This Row],[Part of Nassau County Vote Results]:[Part of Suffolk County Vote Results]])</f>
        <v>144849</v>
      </c>
      <c r="E3" s="10">
        <f>SUM(RepInCongressCongressionalDistrict2General[[#This Row],[Total Votes by Party]],D6,D9)</f>
        <v>154246</v>
      </c>
    </row>
    <row r="4" spans="1:5" ht="13.8" x14ac:dyDescent="0.3">
      <c r="A4" s="1" t="s">
        <v>45</v>
      </c>
      <c r="B4" s="19">
        <v>59115</v>
      </c>
      <c r="C4" s="18">
        <v>99036</v>
      </c>
      <c r="D4" s="9">
        <f>SUM(RepInCongressCongressionalDistrict2General[[#This Row],[Part of Nassau County Vote Results]:[Part of Suffolk County Vote Results]])</f>
        <v>158151</v>
      </c>
      <c r="E4" s="10">
        <f>SUM(RepInCongressCongressionalDistrict2General[[#This Row],[Total Votes by Party]],D5,D8,D10)</f>
        <v>177379</v>
      </c>
    </row>
    <row r="5" spans="1:5" ht="13.8" x14ac:dyDescent="0.3">
      <c r="A5" s="1" t="s">
        <v>46</v>
      </c>
      <c r="B5" s="19">
        <v>5168</v>
      </c>
      <c r="C5" s="18">
        <v>12266</v>
      </c>
      <c r="D5" s="9">
        <f>SUM(RepInCongressCongressionalDistrict2General[[#This Row],[Part of Nassau County Vote Results]:[Part of Suffolk County Vote Results]])</f>
        <v>17434</v>
      </c>
      <c r="E5" s="11"/>
    </row>
    <row r="6" spans="1:5" ht="13.8" x14ac:dyDescent="0.3">
      <c r="A6" s="1" t="s">
        <v>47</v>
      </c>
      <c r="B6" s="19">
        <v>1525</v>
      </c>
      <c r="C6" s="18">
        <v>4855</v>
      </c>
      <c r="D6" s="9">
        <f>SUM(RepInCongressCongressionalDistrict2General[[#This Row],[Part of Nassau County Vote Results]:[Part of Suffolk County Vote Results]])</f>
        <v>6380</v>
      </c>
      <c r="E6" s="11"/>
    </row>
    <row r="7" spans="1:5" ht="13.8" x14ac:dyDescent="0.3">
      <c r="A7" s="1" t="s">
        <v>48</v>
      </c>
      <c r="B7" s="19">
        <v>815</v>
      </c>
      <c r="C7" s="18">
        <v>2633</v>
      </c>
      <c r="D7" s="9">
        <f>SUM(RepInCongressCongressionalDistrict2General[[#This Row],[Part of Nassau County Vote Results]:[Part of Suffolk County Vote Results]])</f>
        <v>3448</v>
      </c>
      <c r="E7" s="10">
        <f>SUM(RepInCongressCongressionalDistrict2General[[#This Row],[Total Votes by Party]])</f>
        <v>3448</v>
      </c>
    </row>
    <row r="8" spans="1:5" ht="13.8" x14ac:dyDescent="0.3">
      <c r="A8" s="1" t="s">
        <v>49</v>
      </c>
      <c r="B8" s="19">
        <v>422</v>
      </c>
      <c r="C8" s="18">
        <v>1069</v>
      </c>
      <c r="D8" s="9">
        <f>SUM(RepInCongressCongressionalDistrict2General[[#This Row],[Part of Nassau County Vote Results]:[Part of Suffolk County Vote Results]])</f>
        <v>1491</v>
      </c>
      <c r="E8" s="11"/>
    </row>
    <row r="9" spans="1:5" ht="13.8" x14ac:dyDescent="0.3">
      <c r="A9" s="1" t="s">
        <v>50</v>
      </c>
      <c r="B9" s="19">
        <v>637</v>
      </c>
      <c r="C9" s="18">
        <v>2380</v>
      </c>
      <c r="D9" s="9">
        <f>SUM(RepInCongressCongressionalDistrict2General[[#This Row],[Part of Nassau County Vote Results]:[Part of Suffolk County Vote Results]])</f>
        <v>3017</v>
      </c>
      <c r="E9" s="11"/>
    </row>
    <row r="10" spans="1:5" ht="13.8" x14ac:dyDescent="0.3">
      <c r="A10" s="1" t="s">
        <v>51</v>
      </c>
      <c r="B10" s="19">
        <v>81</v>
      </c>
      <c r="C10" s="18">
        <v>222</v>
      </c>
      <c r="D10" s="9">
        <f>SUM(RepInCongressCongressionalDistrict2General[[#This Row],[Part of Nassau County Vote Results]:[Part of Suffolk County Vote Results]])</f>
        <v>303</v>
      </c>
      <c r="E10" s="11"/>
    </row>
    <row r="11" spans="1:5" ht="13.8" x14ac:dyDescent="0.3">
      <c r="A11" s="3" t="s">
        <v>0</v>
      </c>
      <c r="B11" s="19">
        <v>7105</v>
      </c>
      <c r="C11" s="18">
        <v>15956</v>
      </c>
      <c r="D11" s="9">
        <f>SUM(RepInCongressCongressionalDistrict2General[[#This Row],[Part of Nassau County Vote Results]:[Part of Suffolk County Vote Results]])</f>
        <v>23061</v>
      </c>
      <c r="E11" s="11"/>
    </row>
    <row r="12" spans="1:5" ht="13.8" x14ac:dyDescent="0.3">
      <c r="A12" s="3" t="s">
        <v>1</v>
      </c>
      <c r="B12" s="19">
        <v>149</v>
      </c>
      <c r="C12" s="18">
        <v>244</v>
      </c>
      <c r="D12" s="9">
        <f>SUM(RepInCongressCongressionalDistrict2General[[#This Row],[Part of Nassau County Vote Results]:[Part of Suffolk County Vote Results]])</f>
        <v>393</v>
      </c>
      <c r="E12" s="11"/>
    </row>
    <row r="13" spans="1:5" ht="13.8" x14ac:dyDescent="0.3">
      <c r="A13" s="3" t="s">
        <v>6</v>
      </c>
      <c r="B13" s="19">
        <v>30</v>
      </c>
      <c r="C13" s="18">
        <v>60</v>
      </c>
      <c r="D13" s="9">
        <f>SUM(RepInCongressCongressionalDistrict2General[[#This Row],[Part of Nassau County Vote Results]:[Part of Suffolk County Vote Results]])</f>
        <v>90</v>
      </c>
      <c r="E13" s="11"/>
    </row>
    <row r="14" spans="1:5" ht="13.8" x14ac:dyDescent="0.3">
      <c r="A14" s="13" t="s">
        <v>2</v>
      </c>
      <c r="B14" s="19">
        <f>SUM(RepInCongressCongressionalDistrict2General[Part of Nassau County Vote Results])</f>
        <v>111483</v>
      </c>
      <c r="C14" s="18">
        <f>SUM(RepInCongressCongressionalDistrict2General[Part of Suffolk County Vote Results])</f>
        <v>247134</v>
      </c>
      <c r="D14" s="9">
        <f>SUM(RepInCongressCongressionalDistrict2General[Total Votes by Party])</f>
        <v>358617</v>
      </c>
      <c r="E14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C9F3-042C-4B50-80E4-1FC0CE7B648A}">
  <sheetPr>
    <pageSetUpPr fitToPage="1"/>
  </sheetPr>
  <dimension ref="A1:F14"/>
  <sheetViews>
    <sheetView zoomScaleNormal="100" zoomScaleSheetLayoutView="110"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24.75" customHeight="1" x14ac:dyDescent="0.25">
      <c r="A1" s="35" t="s">
        <v>52</v>
      </c>
    </row>
    <row r="2" spans="1:6" ht="27.6" x14ac:dyDescent="0.25">
      <c r="A2" s="5" t="s">
        <v>5</v>
      </c>
      <c r="B2" s="6" t="s">
        <v>43</v>
      </c>
      <c r="C2" s="6" t="s">
        <v>53</v>
      </c>
      <c r="D2" s="6" t="s">
        <v>36</v>
      </c>
      <c r="E2" s="7" t="s">
        <v>3</v>
      </c>
      <c r="F2" s="8" t="s">
        <v>4</v>
      </c>
    </row>
    <row r="3" spans="1:6" ht="13.8" x14ac:dyDescent="0.3">
      <c r="A3" s="1" t="s">
        <v>54</v>
      </c>
      <c r="B3" s="19">
        <v>100736</v>
      </c>
      <c r="C3" s="24">
        <v>29539</v>
      </c>
      <c r="D3" s="19">
        <v>65781</v>
      </c>
      <c r="E3" s="9">
        <f>SUM(RepInCongressCongressionalDistrict3General[[#This Row],[Part of Nassau County Vote Results]:[Part of Suffolk County Vote Results]])</f>
        <v>196056</v>
      </c>
      <c r="F3" s="10">
        <f>SUM(RepInCongressCongressionalDistrict3General[[#This Row],[Total Votes by Party]],E6,E8)</f>
        <v>208555</v>
      </c>
    </row>
    <row r="4" spans="1:6" ht="13.8" x14ac:dyDescent="0.3">
      <c r="A4" s="1" t="s">
        <v>55</v>
      </c>
      <c r="B4" s="19">
        <v>74624</v>
      </c>
      <c r="C4" s="24">
        <v>18647</v>
      </c>
      <c r="D4" s="19">
        <v>54190</v>
      </c>
      <c r="E4" s="9">
        <f>SUM(RepInCongressCongressionalDistrict3General[[#This Row],[Part of Nassau County Vote Results]:[Part of Suffolk County Vote Results]])</f>
        <v>147461</v>
      </c>
      <c r="F4" s="10">
        <f>SUM(RepInCongressCongressionalDistrict3General[[#This Row],[Total Votes by Party]],E5)</f>
        <v>161931</v>
      </c>
    </row>
    <row r="5" spans="1:6" ht="13.8" x14ac:dyDescent="0.3">
      <c r="A5" s="1" t="s">
        <v>56</v>
      </c>
      <c r="B5" s="19">
        <v>6296</v>
      </c>
      <c r="C5" s="24">
        <v>1672</v>
      </c>
      <c r="D5" s="19">
        <v>6502</v>
      </c>
      <c r="E5" s="9">
        <f>SUM(RepInCongressCongressionalDistrict3General[[#This Row],[Part of Nassau County Vote Results]:[Part of Suffolk County Vote Results]])</f>
        <v>14470</v>
      </c>
      <c r="F5" s="11"/>
    </row>
    <row r="6" spans="1:6" ht="13.8" x14ac:dyDescent="0.3">
      <c r="A6" s="1" t="s">
        <v>57</v>
      </c>
      <c r="B6" s="19">
        <v>3800</v>
      </c>
      <c r="C6" s="24">
        <v>2206</v>
      </c>
      <c r="D6" s="19">
        <v>3197</v>
      </c>
      <c r="E6" s="9">
        <f>SUM(RepInCongressCongressionalDistrict3General[[#This Row],[Part of Nassau County Vote Results]:[Part of Suffolk County Vote Results]])</f>
        <v>9203</v>
      </c>
      <c r="F6" s="11"/>
    </row>
    <row r="7" spans="1:6" ht="13.8" x14ac:dyDescent="0.3">
      <c r="A7" s="1" t="s">
        <v>58</v>
      </c>
      <c r="B7" s="19">
        <v>1039</v>
      </c>
      <c r="C7" s="23">
        <v>287</v>
      </c>
      <c r="D7" s="19">
        <v>830</v>
      </c>
      <c r="E7" s="9">
        <f>SUM(RepInCongressCongressionalDistrict3General[[#This Row],[Part of Nassau County Vote Results]:[Part of Suffolk County Vote Results]])</f>
        <v>2156</v>
      </c>
      <c r="F7" s="10">
        <f>SUM(RepInCongressCongressionalDistrict3General[[#This Row],[Total Votes by Party]])</f>
        <v>2156</v>
      </c>
    </row>
    <row r="8" spans="1:6" ht="13.8" x14ac:dyDescent="0.3">
      <c r="A8" s="1" t="s">
        <v>59</v>
      </c>
      <c r="B8" s="19">
        <v>1549</v>
      </c>
      <c r="C8" s="23">
        <v>122</v>
      </c>
      <c r="D8" s="19">
        <v>1625</v>
      </c>
      <c r="E8" s="9">
        <f>SUM(RepInCongressCongressionalDistrict3General[[#This Row],[Part of Nassau County Vote Results]:[Part of Suffolk County Vote Results]])</f>
        <v>3296</v>
      </c>
      <c r="F8" s="11"/>
    </row>
    <row r="9" spans="1:6" ht="13.8" x14ac:dyDescent="0.3">
      <c r="A9" s="3" t="s">
        <v>0</v>
      </c>
      <c r="B9" s="19">
        <v>13938</v>
      </c>
      <c r="C9" s="23">
        <v>3408</v>
      </c>
      <c r="D9" s="19">
        <v>8416</v>
      </c>
      <c r="E9" s="9">
        <f>SUM(RepInCongressCongressionalDistrict3General[[#This Row],[Part of Nassau County Vote Results]:[Part of Suffolk County Vote Results]])</f>
        <v>25762</v>
      </c>
      <c r="F9" s="11"/>
    </row>
    <row r="10" spans="1:6" ht="13.8" x14ac:dyDescent="0.3">
      <c r="A10" s="3" t="s">
        <v>1</v>
      </c>
      <c r="B10" s="19">
        <v>248</v>
      </c>
      <c r="C10" s="23">
        <v>9</v>
      </c>
      <c r="D10" s="19">
        <v>87</v>
      </c>
      <c r="E10" s="9">
        <f>SUM(RepInCongressCongressionalDistrict3General[[#This Row],[Part of Nassau County Vote Results]:[Part of Suffolk County Vote Results]])</f>
        <v>344</v>
      </c>
      <c r="F10" s="11"/>
    </row>
    <row r="11" spans="1:6" ht="13.8" x14ac:dyDescent="0.3">
      <c r="A11" s="3" t="s">
        <v>6</v>
      </c>
      <c r="B11" s="19">
        <v>68</v>
      </c>
      <c r="C11" s="23">
        <v>36</v>
      </c>
      <c r="D11" s="19">
        <v>35</v>
      </c>
      <c r="E11" s="9">
        <f>SUM(RepInCongressCongressionalDistrict3General[[#This Row],[Part of Nassau County Vote Results]:[Part of Suffolk County Vote Results]])</f>
        <v>139</v>
      </c>
      <c r="F11" s="11"/>
    </row>
    <row r="12" spans="1:6" ht="13.8" x14ac:dyDescent="0.3">
      <c r="A12" s="3" t="s">
        <v>2</v>
      </c>
      <c r="B12" s="20">
        <f>SUM(RepInCongressCongressionalDistrict3General[Part of Nassau County Vote Results])</f>
        <v>202298</v>
      </c>
      <c r="C12" s="4">
        <f>SUM(RepInCongressCongressionalDistrict3General[Part of Queens County Vote Results])</f>
        <v>55926</v>
      </c>
      <c r="D12" s="20">
        <f>SUM(RepInCongressCongressionalDistrict3General[Part of Suffolk County Vote Results])</f>
        <v>140663</v>
      </c>
      <c r="E12" s="9">
        <f>SUM(RepInCongressCongressionalDistrict3General[Total Votes by Party])</f>
        <v>398887</v>
      </c>
      <c r="F12" s="11"/>
    </row>
    <row r="13" spans="1:6" x14ac:dyDescent="0.25">
      <c r="C13" s="12"/>
    </row>
    <row r="14" spans="1:6" x14ac:dyDescent="0.25">
      <c r="C14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27DE-15FF-4B0A-804E-0E179C27E990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5" t="s">
        <v>60</v>
      </c>
    </row>
    <row r="2" spans="1:4" ht="24.9" customHeight="1" x14ac:dyDescent="0.25">
      <c r="A2" s="5" t="s">
        <v>5</v>
      </c>
      <c r="B2" s="6" t="s">
        <v>43</v>
      </c>
      <c r="C2" s="7" t="s">
        <v>3</v>
      </c>
      <c r="D2" s="8" t="s">
        <v>4</v>
      </c>
    </row>
    <row r="3" spans="1:4" ht="13.5" customHeight="1" x14ac:dyDescent="0.3">
      <c r="A3" s="17" t="s">
        <v>61</v>
      </c>
      <c r="B3" s="19">
        <v>199762</v>
      </c>
      <c r="C3" s="9">
        <f>RepInCongressCongressionalDistrict4General[[#This Row],[Part of Nassau County Vote Results]]</f>
        <v>199762</v>
      </c>
      <c r="D3" s="10">
        <f>SUM(RepInCongressCongressionalDistrict4General[[#This Row],[Total Votes by Party]])</f>
        <v>199762</v>
      </c>
    </row>
    <row r="4" spans="1:4" ht="13.8" x14ac:dyDescent="0.3">
      <c r="A4" s="1" t="s">
        <v>62</v>
      </c>
      <c r="B4" s="19">
        <v>139559</v>
      </c>
      <c r="C4" s="9">
        <f>RepInCongressCongressionalDistrict4General[[#This Row],[Part of Nassau County Vote Results]]</f>
        <v>139559</v>
      </c>
      <c r="D4" s="10">
        <f>SUM(RepInCongressCongressionalDistrict4General[[#This Row],[Total Votes by Party]],C5)</f>
        <v>153007</v>
      </c>
    </row>
    <row r="5" spans="1:4" ht="13.8" x14ac:dyDescent="0.3">
      <c r="A5" s="1" t="s">
        <v>63</v>
      </c>
      <c r="B5" s="19">
        <v>13448</v>
      </c>
      <c r="C5" s="9">
        <f>RepInCongressCongressionalDistrict4General[[#This Row],[Part of Nassau County Vote Results]]</f>
        <v>13448</v>
      </c>
      <c r="D5" s="11"/>
    </row>
    <row r="6" spans="1:4" ht="13.8" x14ac:dyDescent="0.3">
      <c r="A6" s="1" t="s">
        <v>64</v>
      </c>
      <c r="B6" s="19">
        <v>3024</v>
      </c>
      <c r="C6" s="9">
        <f>RepInCongressCongressionalDistrict4General[[#This Row],[Part of Nassau County Vote Results]]</f>
        <v>3024</v>
      </c>
      <c r="D6" s="10">
        <f>SUM(RepInCongressCongressionalDistrict4General[[#This Row],[Total Votes by Party]])</f>
        <v>3024</v>
      </c>
    </row>
    <row r="7" spans="1:4" ht="13.8" x14ac:dyDescent="0.3">
      <c r="A7" s="3" t="s">
        <v>0</v>
      </c>
      <c r="B7" s="19">
        <v>28742</v>
      </c>
      <c r="C7" s="9">
        <f>RepInCongressCongressionalDistrict4General[[#This Row],[Part of Nassau County Vote Results]]</f>
        <v>28742</v>
      </c>
      <c r="D7" s="11"/>
    </row>
    <row r="8" spans="1:4" ht="13.8" x14ac:dyDescent="0.3">
      <c r="A8" s="3" t="s">
        <v>1</v>
      </c>
      <c r="B8" s="19">
        <v>361</v>
      </c>
      <c r="C8" s="9">
        <f>RepInCongressCongressionalDistrict4General[[#This Row],[Part of Nassau County Vote Results]]</f>
        <v>361</v>
      </c>
      <c r="D8" s="11"/>
    </row>
    <row r="9" spans="1:4" ht="13.8" x14ac:dyDescent="0.3">
      <c r="A9" s="3" t="s">
        <v>6</v>
      </c>
      <c r="B9" s="19">
        <v>119</v>
      </c>
      <c r="C9" s="9">
        <f>RepInCongressCongressionalDistrict4General[[#This Row],[Part of Nassau County Vote Results]]</f>
        <v>119</v>
      </c>
      <c r="D9" s="11"/>
    </row>
    <row r="10" spans="1:4" ht="13.8" x14ac:dyDescent="0.3">
      <c r="A10" s="13" t="s">
        <v>2</v>
      </c>
      <c r="B10" s="19">
        <f>SUM(RepInCongressCongressionalDistrict4General[Part of Nassau County Vote Results])</f>
        <v>385015</v>
      </c>
      <c r="C10" s="9">
        <f>SUM(RepInCongressCongressionalDistrict4General[Total Votes by Party])</f>
        <v>385015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FEF1-2C5F-4932-A1EA-AB6B37DD1983}">
  <sheetPr>
    <pageSetUpPr fitToPage="1"/>
  </sheetPr>
  <dimension ref="A1:E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65</v>
      </c>
    </row>
    <row r="2" spans="1:5" ht="27.6" x14ac:dyDescent="0.25">
      <c r="A2" s="5" t="s">
        <v>5</v>
      </c>
      <c r="B2" s="6" t="s">
        <v>43</v>
      </c>
      <c r="C2" s="6" t="s">
        <v>53</v>
      </c>
      <c r="D2" s="7" t="s">
        <v>3</v>
      </c>
      <c r="E2" s="8" t="s">
        <v>4</v>
      </c>
    </row>
    <row r="3" spans="1:5" ht="13.8" x14ac:dyDescent="0.3">
      <c r="A3" s="1" t="s">
        <v>66</v>
      </c>
      <c r="B3" s="19">
        <v>28672</v>
      </c>
      <c r="C3" s="24">
        <v>200453</v>
      </c>
      <c r="D3" s="9">
        <f>SUM(RepInCongressCongressionalDistrict5General[[#This Row],[Part of Nassau County Vote Results]:[Part of Queens County Vote Results]])</f>
        <v>229125</v>
      </c>
      <c r="E3" s="11"/>
    </row>
    <row r="4" spans="1:5" ht="13.8" x14ac:dyDescent="0.3">
      <c r="A4" s="3" t="s">
        <v>0</v>
      </c>
      <c r="B4" s="19">
        <v>10780</v>
      </c>
      <c r="C4" s="23">
        <v>36411</v>
      </c>
      <c r="D4" s="9">
        <f>SUM(RepInCongressCongressionalDistrict5General[[#This Row],[Part of Nassau County Vote Results]:[Part of Queens County Vote Results]])</f>
        <v>47191</v>
      </c>
      <c r="E4" s="11"/>
    </row>
    <row r="5" spans="1:5" ht="13.8" x14ac:dyDescent="0.3">
      <c r="A5" s="3" t="s">
        <v>1</v>
      </c>
      <c r="B5" s="19">
        <v>2</v>
      </c>
      <c r="C5" s="23">
        <v>37</v>
      </c>
      <c r="D5" s="9">
        <f>SUM(RepInCongressCongressionalDistrict5General[[#This Row],[Part of Nassau County Vote Results]:[Part of Queens County Vote Results]])</f>
        <v>39</v>
      </c>
      <c r="E5" s="11"/>
    </row>
    <row r="6" spans="1:5" ht="13.8" x14ac:dyDescent="0.3">
      <c r="A6" s="3" t="s">
        <v>6</v>
      </c>
      <c r="B6" s="19">
        <v>115</v>
      </c>
      <c r="C6" s="24">
        <v>1439</v>
      </c>
      <c r="D6" s="9">
        <f>SUM(RepInCongressCongressionalDistrict5General[[#This Row],[Part of Nassau County Vote Results]:[Part of Queens County Vote Results]])</f>
        <v>1554</v>
      </c>
      <c r="E6" s="11"/>
    </row>
    <row r="7" spans="1:5" ht="13.8" x14ac:dyDescent="0.3">
      <c r="A7" s="13" t="s">
        <v>2</v>
      </c>
      <c r="B7" s="19">
        <f>SUM(RepInCongressCongressionalDistrict5General[Part of Nassau County Vote Results])</f>
        <v>39569</v>
      </c>
      <c r="C7" s="2">
        <f>SUM(RepInCongressCongressionalDistrict5General[Part of Queens County Vote Results])</f>
        <v>238340</v>
      </c>
      <c r="D7" s="9">
        <f>SUM(RepInCongressCongressionalDistrict5General[Total Votes by Party])</f>
        <v>277909</v>
      </c>
      <c r="E7" s="11"/>
    </row>
    <row r="8" spans="1:5" x14ac:dyDescent="0.25">
      <c r="C8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B6DD-2481-4993-86C3-DB06F3A0D16A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5" t="s">
        <v>67</v>
      </c>
    </row>
    <row r="2" spans="1:4" ht="24.9" customHeight="1" x14ac:dyDescent="0.25">
      <c r="A2" s="5" t="s">
        <v>5</v>
      </c>
      <c r="B2" s="6" t="s">
        <v>53</v>
      </c>
      <c r="C2" s="7" t="s">
        <v>3</v>
      </c>
      <c r="D2" s="8" t="s">
        <v>4</v>
      </c>
    </row>
    <row r="3" spans="1:4" ht="13.8" x14ac:dyDescent="0.3">
      <c r="A3" s="17" t="s">
        <v>68</v>
      </c>
      <c r="B3" s="24">
        <v>144149</v>
      </c>
      <c r="C3" s="9">
        <f>RepInCongressCongressionalDistrict6General[[#This Row],[Part of Queens County Vote Results]]</f>
        <v>144149</v>
      </c>
      <c r="D3" s="10">
        <f>SUM(RepInCongressCongressionalDistrict6General[[#This Row],[Total Votes by Party]],C6)</f>
        <v>158862</v>
      </c>
    </row>
    <row r="4" spans="1:4" ht="13.8" x14ac:dyDescent="0.3">
      <c r="A4" s="1" t="s">
        <v>69</v>
      </c>
      <c r="B4" s="24">
        <v>67735</v>
      </c>
      <c r="C4" s="9">
        <f>RepInCongressCongressionalDistrict6General[[#This Row],[Part of Queens County Vote Results]]</f>
        <v>67735</v>
      </c>
      <c r="D4" s="10">
        <f>SUM(RepInCongressCongressionalDistrict6General[[#This Row],[Total Votes by Party]],C5,C7,C8)</f>
        <v>74829</v>
      </c>
    </row>
    <row r="5" spans="1:4" ht="13.8" x14ac:dyDescent="0.3">
      <c r="A5" s="1" t="s">
        <v>70</v>
      </c>
      <c r="B5" s="24">
        <v>5231</v>
      </c>
      <c r="C5" s="9">
        <f>RepInCongressCongressionalDistrict6General[[#This Row],[Part of Queens County Vote Results]]</f>
        <v>5231</v>
      </c>
      <c r="D5" s="11"/>
    </row>
    <row r="6" spans="1:4" ht="13.8" x14ac:dyDescent="0.3">
      <c r="A6" s="1" t="s">
        <v>71</v>
      </c>
      <c r="B6" s="24">
        <v>14713</v>
      </c>
      <c r="C6" s="9">
        <f>RepInCongressCongressionalDistrict6General[[#This Row],[Part of Queens County Vote Results]]</f>
        <v>14713</v>
      </c>
      <c r="D6" s="11"/>
    </row>
    <row r="7" spans="1:4" ht="13.8" x14ac:dyDescent="0.3">
      <c r="A7" s="1" t="s">
        <v>72</v>
      </c>
      <c r="B7" s="23">
        <v>754</v>
      </c>
      <c r="C7" s="9">
        <f>RepInCongressCongressionalDistrict6General[[#This Row],[Part of Queens County Vote Results]]</f>
        <v>754</v>
      </c>
      <c r="D7" s="11"/>
    </row>
    <row r="8" spans="1:4" ht="13.8" x14ac:dyDescent="0.3">
      <c r="A8" s="1" t="s">
        <v>73</v>
      </c>
      <c r="B8" s="24">
        <v>1109</v>
      </c>
      <c r="C8" s="9">
        <f>RepInCongressCongressionalDistrict6General[[#This Row],[Part of Queens County Vote Results]]</f>
        <v>1109</v>
      </c>
      <c r="D8" s="11"/>
    </row>
    <row r="9" spans="1:4" ht="13.8" x14ac:dyDescent="0.3">
      <c r="A9" s="3" t="s">
        <v>0</v>
      </c>
      <c r="B9" s="2">
        <v>15552</v>
      </c>
      <c r="C9" s="9">
        <f>RepInCongressCongressionalDistrict6General[[#This Row],[Part of Queens County Vote Results]]</f>
        <v>15552</v>
      </c>
      <c r="D9" s="11"/>
    </row>
    <row r="10" spans="1:4" ht="13.8" x14ac:dyDescent="0.3">
      <c r="A10" s="3" t="s">
        <v>1</v>
      </c>
      <c r="B10" s="2">
        <v>27</v>
      </c>
      <c r="C10" s="9">
        <f>RepInCongressCongressionalDistrict6General[[#This Row],[Part of Queens County Vote Results]]</f>
        <v>27</v>
      </c>
      <c r="D10" s="11"/>
    </row>
    <row r="11" spans="1:4" ht="13.8" x14ac:dyDescent="0.3">
      <c r="A11" s="3" t="s">
        <v>6</v>
      </c>
      <c r="B11" s="2">
        <v>223</v>
      </c>
      <c r="C11" s="9">
        <f>RepInCongressCongressionalDistrict6General[[#This Row],[Part of Queens County Vote Results]]</f>
        <v>223</v>
      </c>
      <c r="D11" s="11"/>
    </row>
    <row r="12" spans="1:4" ht="13.8" x14ac:dyDescent="0.3">
      <c r="A12" s="13" t="s">
        <v>2</v>
      </c>
      <c r="B12" s="2">
        <f>SUM(RepInCongressCongressionalDistrict6General[Part of Queens County Vote Results])</f>
        <v>249493</v>
      </c>
      <c r="C12" s="9">
        <f>SUM(RepInCongressCongressionalDistrict6General[Total Votes by Party])</f>
        <v>249493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203-7B91-4871-8F77-A9608FDDDE30}">
  <sheetPr>
    <pageSetUpPr fitToPage="1"/>
  </sheetPr>
  <dimension ref="A1:F11"/>
  <sheetViews>
    <sheetView zoomScaleNormal="100" zoomScaleSheetLayoutView="110"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24.75" customHeight="1" x14ac:dyDescent="0.25">
      <c r="A1" s="35" t="s">
        <v>74</v>
      </c>
    </row>
    <row r="2" spans="1:6" ht="27.6" x14ac:dyDescent="0.25">
      <c r="A2" s="5" t="s">
        <v>5</v>
      </c>
      <c r="B2" s="6" t="s">
        <v>75</v>
      </c>
      <c r="C2" s="6" t="s">
        <v>76</v>
      </c>
      <c r="D2" s="6" t="s">
        <v>53</v>
      </c>
      <c r="E2" s="7" t="s">
        <v>3</v>
      </c>
      <c r="F2" s="8" t="s">
        <v>4</v>
      </c>
    </row>
    <row r="3" spans="1:6" ht="13.8" x14ac:dyDescent="0.3">
      <c r="A3" s="1" t="s">
        <v>77</v>
      </c>
      <c r="B3" s="22">
        <v>113835</v>
      </c>
      <c r="C3" s="2">
        <v>21337</v>
      </c>
      <c r="D3" s="24">
        <v>21717</v>
      </c>
      <c r="E3" s="9">
        <f>SUM(RepInCongressCongressionalDistrict7General[[#This Row],[Part of Kings County Vote Results]:[Part of Queens County Vote Results]])</f>
        <v>156889</v>
      </c>
      <c r="F3" s="10">
        <f>SUM(RepInCongressCongressionalDistrict7General[[#This Row],[Total Votes by Party]],E6)</f>
        <v>191073</v>
      </c>
    </row>
    <row r="4" spans="1:6" ht="13.8" x14ac:dyDescent="0.3">
      <c r="A4" s="1" t="s">
        <v>78</v>
      </c>
      <c r="B4" s="22">
        <v>19278</v>
      </c>
      <c r="C4" s="2">
        <v>4007</v>
      </c>
      <c r="D4" s="24">
        <v>6119</v>
      </c>
      <c r="E4" s="9">
        <f>SUM(RepInCongressCongressionalDistrict7General[[#This Row],[Part of Kings County Vote Results]:[Part of Queens County Vote Results]])</f>
        <v>29404</v>
      </c>
      <c r="F4" s="10">
        <f>SUM(RepInCongressCongressionalDistrict7General[[#This Row],[Total Votes by Party]],E5)</f>
        <v>32520</v>
      </c>
    </row>
    <row r="5" spans="1:6" ht="13.8" x14ac:dyDescent="0.3">
      <c r="A5" s="1" t="s">
        <v>79</v>
      </c>
      <c r="B5" s="22">
        <v>2120</v>
      </c>
      <c r="C5" s="2">
        <v>378</v>
      </c>
      <c r="D5" s="23">
        <v>618</v>
      </c>
      <c r="E5" s="9">
        <f>SUM(RepInCongressCongressionalDistrict7General[[#This Row],[Part of Kings County Vote Results]:[Part of Queens County Vote Results]])</f>
        <v>3116</v>
      </c>
      <c r="F5" s="11"/>
    </row>
    <row r="6" spans="1:6" ht="13.8" x14ac:dyDescent="0.3">
      <c r="A6" s="1" t="s">
        <v>80</v>
      </c>
      <c r="B6" s="22">
        <v>27314</v>
      </c>
      <c r="C6" s="2">
        <v>3314</v>
      </c>
      <c r="D6" s="24">
        <v>3556</v>
      </c>
      <c r="E6" s="9">
        <f>SUM(RepInCongressCongressionalDistrict7General[[#This Row],[Part of Kings County Vote Results]:[Part of Queens County Vote Results]])</f>
        <v>34184</v>
      </c>
      <c r="F6" s="11"/>
    </row>
    <row r="7" spans="1:6" ht="13.8" x14ac:dyDescent="0.3">
      <c r="A7" s="3" t="s">
        <v>81</v>
      </c>
      <c r="B7" s="22">
        <v>1099</v>
      </c>
      <c r="C7" s="2">
        <v>235</v>
      </c>
      <c r="D7" s="23">
        <v>188</v>
      </c>
      <c r="E7" s="9">
        <f>SUM(RepInCongressCongressionalDistrict7General[[#This Row],[Part of Kings County Vote Results]:[Part of Queens County Vote Results]])</f>
        <v>1522</v>
      </c>
      <c r="F7" s="10">
        <f>SUM(RepInCongressCongressionalDistrict7General[[#This Row],[Total Votes by Party]])</f>
        <v>1522</v>
      </c>
    </row>
    <row r="8" spans="1:6" ht="13.8" x14ac:dyDescent="0.3">
      <c r="A8" s="3" t="s">
        <v>0</v>
      </c>
      <c r="B8" s="21">
        <v>5881</v>
      </c>
      <c r="C8" s="2">
        <v>2136</v>
      </c>
      <c r="D8" s="2">
        <v>1681</v>
      </c>
      <c r="E8" s="9">
        <f>SUM(RepInCongressCongressionalDistrict7General[[#This Row],[Part of Kings County Vote Results]:[Part of Queens County Vote Results]])</f>
        <v>9698</v>
      </c>
      <c r="F8" s="11"/>
    </row>
    <row r="9" spans="1:6" ht="13.8" x14ac:dyDescent="0.3">
      <c r="A9" s="3" t="s">
        <v>1</v>
      </c>
      <c r="B9" s="21">
        <v>10</v>
      </c>
      <c r="C9" s="2">
        <v>0</v>
      </c>
      <c r="D9" s="2">
        <v>8</v>
      </c>
      <c r="E9" s="9">
        <f>SUM(RepInCongressCongressionalDistrict7General[[#This Row],[Part of Kings County Vote Results]:[Part of Queens County Vote Results]])</f>
        <v>18</v>
      </c>
      <c r="F9" s="11"/>
    </row>
    <row r="10" spans="1:6" ht="13.8" x14ac:dyDescent="0.3">
      <c r="A10" s="3" t="s">
        <v>6</v>
      </c>
      <c r="B10" s="21">
        <v>255</v>
      </c>
      <c r="C10" s="2">
        <v>47</v>
      </c>
      <c r="D10" s="2">
        <v>36</v>
      </c>
      <c r="E10" s="9">
        <f>SUM(RepInCongressCongressionalDistrict7General[[#This Row],[Part of Kings County Vote Results]:[Part of Queens County Vote Results]])</f>
        <v>338</v>
      </c>
      <c r="F10" s="11"/>
    </row>
    <row r="11" spans="1:6" ht="13.8" x14ac:dyDescent="0.3">
      <c r="A11" s="13" t="s">
        <v>2</v>
      </c>
      <c r="B11" s="2">
        <f>SUM(RepInCongressCongressionalDistrict7General[Part of Kings County Vote Results])</f>
        <v>169792</v>
      </c>
      <c r="C11" s="2">
        <f>SUM(RepInCongressCongressionalDistrict7General[Part of New York County Vote Results])</f>
        <v>31454</v>
      </c>
      <c r="D11" s="2">
        <f>SUM(RepInCongressCongressionalDistrict7General[Part of Queens County Vote Results])</f>
        <v>33923</v>
      </c>
      <c r="E11" s="9">
        <f>SUM(RepInCongressCongressionalDistrict7General[Total Votes by Party])</f>
        <v>235169</v>
      </c>
      <c r="F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F788-3C13-47C5-A88D-A33B2FB35EA4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82</v>
      </c>
    </row>
    <row r="2" spans="1:5" ht="27.6" x14ac:dyDescent="0.25">
      <c r="A2" s="5" t="s">
        <v>5</v>
      </c>
      <c r="B2" s="6" t="s">
        <v>75</v>
      </c>
      <c r="C2" s="6" t="s">
        <v>53</v>
      </c>
      <c r="D2" s="7" t="s">
        <v>3</v>
      </c>
      <c r="E2" s="8" t="s">
        <v>4</v>
      </c>
    </row>
    <row r="3" spans="1:5" ht="13.8" x14ac:dyDescent="0.3">
      <c r="A3" s="1" t="s">
        <v>83</v>
      </c>
      <c r="B3" s="22">
        <v>198307</v>
      </c>
      <c r="C3" s="24">
        <v>8804</v>
      </c>
      <c r="D3" s="9">
        <f>SUM(RepInCongressCongressionalDistrict8General[[#This Row],[Part of Kings County Vote Results]:[Part of Queens County Vote Results]])</f>
        <v>207111</v>
      </c>
      <c r="E3" s="10">
        <f>SUM(RepInCongressCongressionalDistrict8General[[#This Row],[Total Votes by Party]],D6)</f>
        <v>234933</v>
      </c>
    </row>
    <row r="4" spans="1:5" ht="13.8" x14ac:dyDescent="0.3">
      <c r="A4" s="1" t="s">
        <v>84</v>
      </c>
      <c r="B4" s="22">
        <v>30934</v>
      </c>
      <c r="C4" s="24">
        <v>8190</v>
      </c>
      <c r="D4" s="9">
        <f>SUM(RepInCongressCongressionalDistrict8General[[#This Row],[Part of Kings County Vote Results]:[Part of Queens County Vote Results]])</f>
        <v>39124</v>
      </c>
      <c r="E4" s="10">
        <f>SUM(RepInCongressCongressionalDistrict8General[[#This Row],[Total Votes by Party]],D5)</f>
        <v>42007</v>
      </c>
    </row>
    <row r="5" spans="1:5" ht="13.8" x14ac:dyDescent="0.3">
      <c r="A5" s="1" t="s">
        <v>85</v>
      </c>
      <c r="B5" s="22">
        <v>2237</v>
      </c>
      <c r="C5" s="23">
        <v>646</v>
      </c>
      <c r="D5" s="9">
        <f>SUM(RepInCongressCongressionalDistrict8General[[#This Row],[Part of Kings County Vote Results]:[Part of Queens County Vote Results]])</f>
        <v>2883</v>
      </c>
      <c r="E5" s="11"/>
    </row>
    <row r="6" spans="1:5" ht="13.8" x14ac:dyDescent="0.3">
      <c r="A6" s="1" t="s">
        <v>86</v>
      </c>
      <c r="B6" s="22">
        <v>27136</v>
      </c>
      <c r="C6" s="23">
        <v>686</v>
      </c>
      <c r="D6" s="9">
        <f>SUM(RepInCongressCongressionalDistrict8General[[#This Row],[Part of Kings County Vote Results]:[Part of Queens County Vote Results]])</f>
        <v>27822</v>
      </c>
      <c r="E6" s="11"/>
    </row>
    <row r="7" spans="1:5" ht="13.8" x14ac:dyDescent="0.3">
      <c r="A7" s="3" t="s">
        <v>0</v>
      </c>
      <c r="B7" s="21">
        <v>7262</v>
      </c>
      <c r="C7" s="2">
        <v>1294</v>
      </c>
      <c r="D7" s="9">
        <f>SUM(RepInCongressCongressionalDistrict8General[[#This Row],[Part of Kings County Vote Results]:[Part of Queens County Vote Results]])</f>
        <v>8556</v>
      </c>
      <c r="E7" s="11"/>
    </row>
    <row r="8" spans="1:5" ht="13.8" x14ac:dyDescent="0.3">
      <c r="A8" s="3" t="s">
        <v>1</v>
      </c>
      <c r="B8" s="21">
        <v>7</v>
      </c>
      <c r="C8" s="2">
        <v>3</v>
      </c>
      <c r="D8" s="9">
        <f>SUM(RepInCongressCongressionalDistrict8General[[#This Row],[Part of Kings County Vote Results]:[Part of Queens County Vote Results]])</f>
        <v>10</v>
      </c>
      <c r="E8" s="11"/>
    </row>
    <row r="9" spans="1:5" ht="13.8" x14ac:dyDescent="0.3">
      <c r="A9" s="3" t="s">
        <v>6</v>
      </c>
      <c r="B9" s="21">
        <v>218</v>
      </c>
      <c r="C9" s="2">
        <v>11</v>
      </c>
      <c r="D9" s="9">
        <f>SUM(RepInCongressCongressionalDistrict8General[[#This Row],[Part of Kings County Vote Results]:[Part of Queens County Vote Results]])</f>
        <v>229</v>
      </c>
      <c r="E9" s="11"/>
    </row>
    <row r="10" spans="1:5" ht="13.8" x14ac:dyDescent="0.3">
      <c r="A10" s="13" t="s">
        <v>2</v>
      </c>
      <c r="B10" s="2">
        <f>SUM(RepInCongressCongressionalDistrict8General[Part of Kings County Vote Results])</f>
        <v>266101</v>
      </c>
      <c r="C10" s="2">
        <f>SUM(RepInCongressCongressionalDistrict8General[Part of Queens County Vote Results])</f>
        <v>19634</v>
      </c>
      <c r="D10" s="9">
        <f>SUM(RepInCongressCongressionalDistrict8General[Total Votes by Party])</f>
        <v>285735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B10B-F02B-48E6-9694-0A982CCEEB9E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5" t="s">
        <v>87</v>
      </c>
    </row>
    <row r="2" spans="1:4" ht="24.9" customHeight="1" x14ac:dyDescent="0.25">
      <c r="A2" s="5" t="s">
        <v>5</v>
      </c>
      <c r="B2" s="6" t="s">
        <v>75</v>
      </c>
      <c r="C2" s="7" t="s">
        <v>3</v>
      </c>
      <c r="D2" s="8" t="s">
        <v>4</v>
      </c>
    </row>
    <row r="3" spans="1:4" ht="13.8" x14ac:dyDescent="0.3">
      <c r="A3" s="1" t="s">
        <v>88</v>
      </c>
      <c r="B3" s="22">
        <v>195758</v>
      </c>
      <c r="C3" s="9">
        <f>RepInCongressCongressionalDistrict9General[[#This Row],[Part of Kings County Vote Results]]</f>
        <v>195758</v>
      </c>
      <c r="D3" s="10">
        <f>SUM(RepInCongressCongressionalDistrict9General[[#This Row],[Total Votes by Party]],C6)</f>
        <v>230221</v>
      </c>
    </row>
    <row r="4" spans="1:4" ht="13.8" x14ac:dyDescent="0.3">
      <c r="A4" s="1" t="s">
        <v>89</v>
      </c>
      <c r="B4" s="22">
        <v>40110</v>
      </c>
      <c r="C4" s="9">
        <f>RepInCongressCongressionalDistrict9General[[#This Row],[Part of Kings County Vote Results]]</f>
        <v>40110</v>
      </c>
      <c r="D4" s="10">
        <f>SUM(RepInCongressCongressionalDistrict9General[[#This Row],[Total Votes by Party]],C5)</f>
        <v>43950</v>
      </c>
    </row>
    <row r="5" spans="1:4" ht="13.8" x14ac:dyDescent="0.3">
      <c r="A5" s="1" t="s">
        <v>90</v>
      </c>
      <c r="B5" s="22">
        <v>3840</v>
      </c>
      <c r="C5" s="9">
        <f>RepInCongressCongressionalDistrict9General[[#This Row],[Part of Kings County Vote Results]]</f>
        <v>3840</v>
      </c>
      <c r="D5" s="11"/>
    </row>
    <row r="6" spans="1:4" ht="13.8" x14ac:dyDescent="0.3">
      <c r="A6" s="1" t="s">
        <v>91</v>
      </c>
      <c r="B6" s="22">
        <v>34463</v>
      </c>
      <c r="C6" s="9">
        <f>RepInCongressCongressionalDistrict9General[[#This Row],[Part of Kings County Vote Results]]</f>
        <v>34463</v>
      </c>
      <c r="D6" s="11"/>
    </row>
    <row r="7" spans="1:4" ht="13.8" x14ac:dyDescent="0.3">
      <c r="A7" s="1" t="s">
        <v>92</v>
      </c>
      <c r="B7" s="22">
        <v>1644</v>
      </c>
      <c r="C7" s="9">
        <f>RepInCongressCongressionalDistrict9General[[#This Row],[Part of Kings County Vote Results]]</f>
        <v>1644</v>
      </c>
      <c r="D7" s="10">
        <f>RepInCongressCongressionalDistrict9General[[#This Row],[Total Votes by Party]]</f>
        <v>1644</v>
      </c>
    </row>
    <row r="8" spans="1:4" ht="13.8" x14ac:dyDescent="0.3">
      <c r="A8" s="1" t="s">
        <v>93</v>
      </c>
      <c r="B8" s="22">
        <v>1052</v>
      </c>
      <c r="C8" s="9">
        <f>RepInCongressCongressionalDistrict9General[[#This Row],[Part of Kings County Vote Results]]</f>
        <v>1052</v>
      </c>
      <c r="D8" s="10">
        <f>RepInCongressCongressionalDistrict9General[[#This Row],[Total Votes by Party]]</f>
        <v>1052</v>
      </c>
    </row>
    <row r="9" spans="1:4" ht="13.8" x14ac:dyDescent="0.3">
      <c r="A9" s="3" t="s">
        <v>0</v>
      </c>
      <c r="B9" s="21">
        <v>10157</v>
      </c>
      <c r="C9" s="9">
        <f>RepInCongressCongressionalDistrict9General[[#This Row],[Part of Kings County Vote Results]]</f>
        <v>10157</v>
      </c>
      <c r="D9" s="11"/>
    </row>
    <row r="10" spans="1:4" ht="13.8" x14ac:dyDescent="0.3">
      <c r="A10" s="3" t="s">
        <v>1</v>
      </c>
      <c r="B10" s="21">
        <v>7</v>
      </c>
      <c r="C10" s="9">
        <f>RepInCongressCongressionalDistrict9General[[#This Row],[Part of Kings County Vote Results]]</f>
        <v>7</v>
      </c>
      <c r="D10" s="11"/>
    </row>
    <row r="11" spans="1:4" ht="13.8" x14ac:dyDescent="0.3">
      <c r="A11" s="3" t="s">
        <v>6</v>
      </c>
      <c r="B11" s="21">
        <v>381</v>
      </c>
      <c r="C11" s="9">
        <f>RepInCongressCongressionalDistrict9General[[#This Row],[Part of Kings County Vote Results]]</f>
        <v>381</v>
      </c>
      <c r="D11" s="11"/>
    </row>
    <row r="12" spans="1:4" ht="13.8" x14ac:dyDescent="0.3">
      <c r="A12" s="13" t="s">
        <v>2</v>
      </c>
      <c r="B12" s="2">
        <f>SUM(RepInCongressCongressionalDistrict9General[Part of Kings County Vote Results])</f>
        <v>287412</v>
      </c>
      <c r="C12" s="9">
        <f>SUM(RepInCongressCongressionalDistrict9General[Total Votes by Party])</f>
        <v>287412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25B-D692-41A9-A826-3C75EFA2A897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94</v>
      </c>
    </row>
    <row r="2" spans="1:5" ht="27.6" x14ac:dyDescent="0.25">
      <c r="A2" s="5" t="s">
        <v>5</v>
      </c>
      <c r="B2" s="6" t="s">
        <v>75</v>
      </c>
      <c r="C2" s="6" t="s">
        <v>76</v>
      </c>
      <c r="D2" s="7" t="s">
        <v>3</v>
      </c>
      <c r="E2" s="8" t="s">
        <v>4</v>
      </c>
    </row>
    <row r="3" spans="1:5" ht="13.8" x14ac:dyDescent="0.3">
      <c r="A3" s="1" t="s">
        <v>95</v>
      </c>
      <c r="B3" s="22">
        <v>29564</v>
      </c>
      <c r="C3" s="2">
        <v>151651</v>
      </c>
      <c r="D3" s="9">
        <f>SUM(RepInCongressCongressionalDistrict10General[[#This Row],[Part of Kings County Vote Results]:[Part of New York County Vote Results]])</f>
        <v>181215</v>
      </c>
      <c r="E3" s="10">
        <f>SUM(RepInCongressCongressionalDistrict10General[[#This Row],[Total Votes by Party]],D6)</f>
        <v>206310</v>
      </c>
    </row>
    <row r="4" spans="1:5" ht="13.8" x14ac:dyDescent="0.3">
      <c r="A4" s="1" t="s">
        <v>96</v>
      </c>
      <c r="B4" s="22">
        <v>33438</v>
      </c>
      <c r="C4" s="2">
        <v>27607</v>
      </c>
      <c r="D4" s="9">
        <f>SUM(RepInCongressCongressionalDistrict10General[[#This Row],[Part of Kings County Vote Results]:[Part of New York County Vote Results]])</f>
        <v>61045</v>
      </c>
      <c r="E4" s="10">
        <f>SUM(RepInCongressCongressionalDistrict10General[[#This Row],[Total Votes by Party]],D5)</f>
        <v>66889</v>
      </c>
    </row>
    <row r="5" spans="1:5" ht="13.8" x14ac:dyDescent="0.3">
      <c r="A5" s="1" t="s">
        <v>97</v>
      </c>
      <c r="B5" s="22">
        <v>3880</v>
      </c>
      <c r="C5" s="2">
        <v>1964</v>
      </c>
      <c r="D5" s="9">
        <f>SUM(RepInCongressCongressionalDistrict10General[[#This Row],[Part of Kings County Vote Results]:[Part of New York County Vote Results]])</f>
        <v>5844</v>
      </c>
      <c r="E5" s="11"/>
    </row>
    <row r="6" spans="1:5" ht="13.8" x14ac:dyDescent="0.3">
      <c r="A6" s="1" t="s">
        <v>98</v>
      </c>
      <c r="B6" s="22">
        <v>4518</v>
      </c>
      <c r="C6" s="2">
        <v>20577</v>
      </c>
      <c r="D6" s="9">
        <f>SUM(RepInCongressCongressionalDistrict10General[[#This Row],[Part of Kings County Vote Results]:[Part of New York County Vote Results]])</f>
        <v>25095</v>
      </c>
      <c r="E6" s="11"/>
    </row>
    <row r="7" spans="1:5" ht="13.8" x14ac:dyDescent="0.3">
      <c r="A7" s="1" t="s">
        <v>99</v>
      </c>
      <c r="B7" s="22">
        <v>732</v>
      </c>
      <c r="C7" s="2">
        <v>2638</v>
      </c>
      <c r="D7" s="9">
        <f>SUM(RepInCongressCongressionalDistrict10General[[#This Row],[Part of Kings County Vote Results]:[Part of New York County Vote Results]])</f>
        <v>3370</v>
      </c>
      <c r="E7" s="10">
        <f>SUM(RepInCongressCongressionalDistrict10General[[#This Row],[Total Votes by Party]])</f>
        <v>3370</v>
      </c>
    </row>
    <row r="8" spans="1:5" ht="13.8" x14ac:dyDescent="0.3">
      <c r="A8" s="3" t="s">
        <v>0</v>
      </c>
      <c r="B8" s="21">
        <v>5719</v>
      </c>
      <c r="C8" s="2">
        <v>6420</v>
      </c>
      <c r="D8" s="9">
        <f>SUM(RepInCongressCongressionalDistrict10General[[#This Row],[Part of Kings County Vote Results]:[Part of New York County Vote Results]])</f>
        <v>12139</v>
      </c>
      <c r="E8" s="11"/>
    </row>
    <row r="9" spans="1:5" ht="13.8" x14ac:dyDescent="0.3">
      <c r="A9" s="3" t="s">
        <v>1</v>
      </c>
      <c r="B9" s="21">
        <v>3</v>
      </c>
      <c r="C9" s="2">
        <v>12</v>
      </c>
      <c r="D9" s="9">
        <f>SUM(RepInCongressCongressionalDistrict10General[[#This Row],[Part of Kings County Vote Results]:[Part of New York County Vote Results]])</f>
        <v>15</v>
      </c>
      <c r="E9" s="11"/>
    </row>
    <row r="10" spans="1:5" ht="13.8" x14ac:dyDescent="0.3">
      <c r="A10" s="3" t="s">
        <v>6</v>
      </c>
      <c r="B10" s="21">
        <v>162</v>
      </c>
      <c r="C10" s="2">
        <v>245</v>
      </c>
      <c r="D10" s="9">
        <f>SUM(RepInCongressCongressionalDistrict10General[[#This Row],[Part of Kings County Vote Results]:[Part of New York County Vote Results]])</f>
        <v>407</v>
      </c>
      <c r="E10" s="11"/>
    </row>
    <row r="11" spans="1:5" ht="13.8" x14ac:dyDescent="0.3">
      <c r="A11" s="13" t="s">
        <v>2</v>
      </c>
      <c r="B11" s="2">
        <f>SUM(RepInCongressCongressionalDistrict10General[Part of Kings County Vote Results])</f>
        <v>78016</v>
      </c>
      <c r="C11" s="2">
        <f>SUM(RepInCongressCongressionalDistrict10General[Part of New York County Vote Results])</f>
        <v>211114</v>
      </c>
      <c r="D11" s="9">
        <f>SUM(RepInCongressCongressionalDistrict10General[Total Votes by Party])</f>
        <v>289130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BDA8-A20A-4ECD-9044-D16AC07C4695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100</v>
      </c>
    </row>
    <row r="2" spans="1:5" ht="27.6" x14ac:dyDescent="0.25">
      <c r="A2" s="5" t="s">
        <v>5</v>
      </c>
      <c r="B2" s="6" t="s">
        <v>34</v>
      </c>
      <c r="C2" s="6" t="s">
        <v>75</v>
      </c>
      <c r="D2" s="7" t="s">
        <v>3</v>
      </c>
      <c r="E2" s="8" t="s">
        <v>4</v>
      </c>
    </row>
    <row r="3" spans="1:5" ht="13.8" x14ac:dyDescent="0.3">
      <c r="A3" s="1" t="s">
        <v>101</v>
      </c>
      <c r="B3" s="2">
        <v>93408</v>
      </c>
      <c r="C3" s="22">
        <v>41217</v>
      </c>
      <c r="D3" s="9">
        <f>SUM(RepInCongressCongressionalDistrict11General[[#This Row],[Richmond County Vote Results]:[Part of Kings County Vote Results]])</f>
        <v>134625</v>
      </c>
      <c r="E3" s="10">
        <f>SUM(RepInCongressCongressionalDistrict11General[[#This Row],[Total Votes by Party]],D6)</f>
        <v>137198</v>
      </c>
    </row>
    <row r="4" spans="1:5" ht="13.8" x14ac:dyDescent="0.3">
      <c r="A4" s="1" t="s">
        <v>102</v>
      </c>
      <c r="B4" s="2">
        <v>108414</v>
      </c>
      <c r="C4" s="22">
        <v>35006</v>
      </c>
      <c r="D4" s="9">
        <f>SUM(RepInCongressCongressionalDistrict11General[[#This Row],[Richmond County Vote Results]:[Part of Kings County Vote Results]])</f>
        <v>143420</v>
      </c>
      <c r="E4" s="10">
        <f>SUM(RepInCongressCongressionalDistrict11General[[#This Row],[Total Votes by Party]],D5)</f>
        <v>155608</v>
      </c>
    </row>
    <row r="5" spans="1:5" ht="13.8" x14ac:dyDescent="0.3">
      <c r="A5" s="1" t="s">
        <v>103</v>
      </c>
      <c r="B5" s="2">
        <v>9108</v>
      </c>
      <c r="C5" s="22">
        <v>3080</v>
      </c>
      <c r="D5" s="9">
        <f>SUM(RepInCongressCongressionalDistrict11General[[#This Row],[Richmond County Vote Results]:[Part of Kings County Vote Results]])</f>
        <v>12188</v>
      </c>
      <c r="E5" s="11"/>
    </row>
    <row r="6" spans="1:5" ht="13.8" x14ac:dyDescent="0.3">
      <c r="A6" s="1" t="s">
        <v>104</v>
      </c>
      <c r="B6" s="2">
        <v>1860</v>
      </c>
      <c r="C6" s="22">
        <v>713</v>
      </c>
      <c r="D6" s="9">
        <f>SUM(RepInCongressCongressionalDistrict11General[[#This Row],[Richmond County Vote Results]:[Part of Kings County Vote Results]])</f>
        <v>2573</v>
      </c>
      <c r="E6" s="11"/>
    </row>
    <row r="7" spans="1:5" ht="13.8" x14ac:dyDescent="0.3">
      <c r="A7" s="3" t="s">
        <v>0</v>
      </c>
      <c r="B7" s="2">
        <v>4671</v>
      </c>
      <c r="C7" s="21">
        <v>3339</v>
      </c>
      <c r="D7" s="9">
        <f>SUM(RepInCongressCongressionalDistrict11General[[#This Row],[Richmond County Vote Results]:[Part of Kings County Vote Results]])</f>
        <v>8010</v>
      </c>
      <c r="E7" s="11"/>
    </row>
    <row r="8" spans="1:5" ht="13.8" x14ac:dyDescent="0.3">
      <c r="A8" s="3" t="s">
        <v>1</v>
      </c>
      <c r="B8" s="2">
        <v>25</v>
      </c>
      <c r="C8" s="21">
        <v>2</v>
      </c>
      <c r="D8" s="9">
        <f>SUM(RepInCongressCongressionalDistrict11General[[#This Row],[Richmond County Vote Results]:[Part of Kings County Vote Results]])</f>
        <v>27</v>
      </c>
      <c r="E8" s="11"/>
    </row>
    <row r="9" spans="1:5" ht="13.8" x14ac:dyDescent="0.3">
      <c r="A9" s="3" t="s">
        <v>6</v>
      </c>
      <c r="B9" s="2">
        <v>413</v>
      </c>
      <c r="C9" s="21">
        <v>95</v>
      </c>
      <c r="D9" s="9">
        <f>SUM(RepInCongressCongressionalDistrict11General[[#This Row],[Richmond County Vote Results]:[Part of Kings County Vote Results]])</f>
        <v>508</v>
      </c>
      <c r="E9" s="11"/>
    </row>
    <row r="10" spans="1:5" ht="13.8" x14ac:dyDescent="0.3">
      <c r="A10" s="13" t="s">
        <v>2</v>
      </c>
      <c r="B10" s="2">
        <f>SUM(RepInCongressCongressionalDistrict11General[Richmond County Vote Results])</f>
        <v>217899</v>
      </c>
      <c r="C10" s="2">
        <f>SUM(RepInCongressCongressionalDistrict11General[Part of Kings County Vote Results])</f>
        <v>83452</v>
      </c>
      <c r="D10" s="9">
        <f>SUM(RepInCongressCongressionalDistrict11General[Total Votes by Party])</f>
        <v>301351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6810-9FEC-4E0C-B513-8E2136773A96}">
  <sheetPr>
    <pageSetUpPr fitToPage="1"/>
  </sheetPr>
  <dimension ref="A1:F10"/>
  <sheetViews>
    <sheetView zoomScaleNormal="100" zoomScaleSheetLayoutView="110"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24.75" customHeight="1" x14ac:dyDescent="0.25">
      <c r="A1" s="35" t="s">
        <v>105</v>
      </c>
    </row>
    <row r="2" spans="1:6" ht="27.6" x14ac:dyDescent="0.25">
      <c r="A2" s="5" t="s">
        <v>5</v>
      </c>
      <c r="B2" s="6" t="s">
        <v>75</v>
      </c>
      <c r="C2" s="6" t="s">
        <v>76</v>
      </c>
      <c r="D2" s="6" t="s">
        <v>53</v>
      </c>
      <c r="E2" s="7" t="s">
        <v>3</v>
      </c>
      <c r="F2" s="8" t="s">
        <v>4</v>
      </c>
    </row>
    <row r="3" spans="1:6" ht="13.8" x14ac:dyDescent="0.3">
      <c r="A3" s="1" t="s">
        <v>106</v>
      </c>
      <c r="B3" s="22">
        <v>29627</v>
      </c>
      <c r="C3" s="2">
        <v>193336</v>
      </c>
      <c r="D3" s="24">
        <v>42209</v>
      </c>
      <c r="E3" s="9">
        <f>SUM(RepInCongressCongressionalDistrict12General[[#This Row],[Part of Kings County Vote Results]:[Part of Queens County Vote Results]])</f>
        <v>265172</v>
      </c>
      <c r="F3" s="10">
        <f>SUM(RepInCongressCongressionalDistrict12General[[#This Row],[Total Votes by Party]])</f>
        <v>265172</v>
      </c>
    </row>
    <row r="4" spans="1:6" ht="13.8" x14ac:dyDescent="0.3">
      <c r="A4" s="1" t="s">
        <v>107</v>
      </c>
      <c r="B4" s="22">
        <v>3655</v>
      </c>
      <c r="C4" s="2">
        <v>38485</v>
      </c>
      <c r="D4" s="24">
        <v>7017</v>
      </c>
      <c r="E4" s="9">
        <f>SUM(RepInCongressCongressionalDistrict12General[[#This Row],[Part of Kings County Vote Results]:[Part of Queens County Vote Results]])</f>
        <v>49157</v>
      </c>
      <c r="F4" s="10">
        <f>SUM(RepInCongressCongressionalDistrict12General[[#This Row],[Total Votes by Party]],E5)</f>
        <v>53061</v>
      </c>
    </row>
    <row r="5" spans="1:6" ht="13.8" x14ac:dyDescent="0.3">
      <c r="A5" s="1" t="s">
        <v>108</v>
      </c>
      <c r="B5" s="22">
        <v>379</v>
      </c>
      <c r="C5" s="2">
        <v>2746</v>
      </c>
      <c r="D5" s="23">
        <v>779</v>
      </c>
      <c r="E5" s="9">
        <f>SUM(RepInCongressCongressionalDistrict12General[[#This Row],[Part of Kings County Vote Results]:[Part of Queens County Vote Results]])</f>
        <v>3904</v>
      </c>
      <c r="F5" s="11"/>
    </row>
    <row r="6" spans="1:6" ht="13.8" x14ac:dyDescent="0.3">
      <c r="A6" s="1" t="s">
        <v>109</v>
      </c>
      <c r="B6" s="22">
        <v>487</v>
      </c>
      <c r="C6" s="2">
        <v>2815</v>
      </c>
      <c r="D6" s="23">
        <v>713</v>
      </c>
      <c r="E6" s="9">
        <f>SUM(RepInCongressCongressionalDistrict12General[[#This Row],[Part of Kings County Vote Results]:[Part of Queens County Vote Results]])</f>
        <v>4015</v>
      </c>
      <c r="F6" s="10">
        <f>SUM(RepInCongressCongressionalDistrict12General[[#This Row],[Total Votes by Party]])</f>
        <v>4015</v>
      </c>
    </row>
    <row r="7" spans="1:6" ht="13.8" x14ac:dyDescent="0.3">
      <c r="A7" s="3" t="s">
        <v>0</v>
      </c>
      <c r="B7" s="21">
        <v>1369</v>
      </c>
      <c r="C7" s="2">
        <v>8987</v>
      </c>
      <c r="D7" s="2">
        <v>2691</v>
      </c>
      <c r="E7" s="9">
        <f>SUM(RepInCongressCongressionalDistrict12General[[#This Row],[Part of Kings County Vote Results]:[Part of Queens County Vote Results]])</f>
        <v>13047</v>
      </c>
      <c r="F7" s="11"/>
    </row>
    <row r="8" spans="1:6" ht="13.8" x14ac:dyDescent="0.3">
      <c r="A8" s="3" t="s">
        <v>1</v>
      </c>
      <c r="B8" s="21">
        <v>0</v>
      </c>
      <c r="C8" s="2">
        <v>5</v>
      </c>
      <c r="D8" s="2">
        <v>6</v>
      </c>
      <c r="E8" s="9">
        <f>SUM(RepInCongressCongressionalDistrict12General[[#This Row],[Part of Kings County Vote Results]:[Part of Queens County Vote Results]])</f>
        <v>11</v>
      </c>
      <c r="F8" s="11"/>
    </row>
    <row r="9" spans="1:6" ht="13.8" x14ac:dyDescent="0.3">
      <c r="A9" s="3" t="s">
        <v>6</v>
      </c>
      <c r="B9" s="21">
        <v>85</v>
      </c>
      <c r="C9" s="2">
        <v>520</v>
      </c>
      <c r="D9" s="2">
        <v>168</v>
      </c>
      <c r="E9" s="9">
        <f>SUM(RepInCongressCongressionalDistrict12General[[#This Row],[Part of Kings County Vote Results]:[Part of Queens County Vote Results]])</f>
        <v>773</v>
      </c>
      <c r="F9" s="11"/>
    </row>
    <row r="10" spans="1:6" ht="13.8" x14ac:dyDescent="0.3">
      <c r="A10" s="13" t="s">
        <v>2</v>
      </c>
      <c r="B10" s="2">
        <f>SUM(RepInCongressCongressionalDistrict12General[Part of Kings County Vote Results])</f>
        <v>35602</v>
      </c>
      <c r="C10" s="2">
        <f>SUM(RepInCongressCongressionalDistrict12General[Part of New York County Vote Results])</f>
        <v>246894</v>
      </c>
      <c r="D10" s="2">
        <f>SUM(RepInCongressCongressionalDistrict12General[Part of Queens County Vote Results])</f>
        <v>53583</v>
      </c>
      <c r="E10" s="9">
        <f>SUM(RepInCongressCongressionalDistrict12General[Total Votes by Party])</f>
        <v>336079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D071-119F-4D3B-82AF-74BF8D09625E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110</v>
      </c>
    </row>
    <row r="2" spans="1:5" ht="27.6" x14ac:dyDescent="0.25">
      <c r="A2" s="5" t="s">
        <v>5</v>
      </c>
      <c r="B2" s="6" t="s">
        <v>111</v>
      </c>
      <c r="C2" s="6" t="s">
        <v>76</v>
      </c>
      <c r="D2" s="7" t="s">
        <v>3</v>
      </c>
      <c r="E2" s="8" t="s">
        <v>4</v>
      </c>
    </row>
    <row r="3" spans="1:5" ht="13.8" x14ac:dyDescent="0.3">
      <c r="A3" s="1" t="s">
        <v>112</v>
      </c>
      <c r="B3" s="2">
        <v>42558</v>
      </c>
      <c r="C3" s="24">
        <v>160358</v>
      </c>
      <c r="D3" s="9">
        <f>SUM(RepInCongressCongressionalDistrict13General[[#This Row],[Part of Bronx County Vote Results]:[Part of New York County Vote Results]])</f>
        <v>202916</v>
      </c>
      <c r="E3" s="10">
        <f>SUM(RepInCongressCongressionalDistrict13General[[#This Row],[Total Votes by Party]],D6)</f>
        <v>231841</v>
      </c>
    </row>
    <row r="4" spans="1:5" ht="13.8" x14ac:dyDescent="0.3">
      <c r="A4" s="1" t="s">
        <v>113</v>
      </c>
      <c r="B4" s="2">
        <v>5884</v>
      </c>
      <c r="C4" s="24">
        <v>13945</v>
      </c>
      <c r="D4" s="9">
        <f>SUM(RepInCongressCongressionalDistrict13General[[#This Row],[Part of Bronx County Vote Results]:[Part of New York County Vote Results]])</f>
        <v>19829</v>
      </c>
      <c r="E4" s="10">
        <f>SUM(RepInCongressCongressionalDistrict13General[[#This Row],[Total Votes by Party]])</f>
        <v>19829</v>
      </c>
    </row>
    <row r="5" spans="1:5" ht="13.8" x14ac:dyDescent="0.3">
      <c r="A5" s="1" t="s">
        <v>114</v>
      </c>
      <c r="B5" s="2">
        <v>787</v>
      </c>
      <c r="C5" s="24">
        <v>2508</v>
      </c>
      <c r="D5" s="9">
        <f>SUM(RepInCongressCongressionalDistrict13General[[#This Row],[Part of Bronx County Vote Results]:[Part of New York County Vote Results]])</f>
        <v>3295</v>
      </c>
      <c r="E5" s="10">
        <f>SUM(RepInCongressCongressionalDistrict13General[[#This Row],[Total Votes by Party]])</f>
        <v>3295</v>
      </c>
    </row>
    <row r="6" spans="1:5" ht="13.8" x14ac:dyDescent="0.3">
      <c r="A6" s="1" t="s">
        <v>115</v>
      </c>
      <c r="B6" s="2">
        <v>3813</v>
      </c>
      <c r="C6" s="24">
        <v>25112</v>
      </c>
      <c r="D6" s="9">
        <f>SUM(RepInCongressCongressionalDistrict13General[[#This Row],[Part of Bronx County Vote Results]:[Part of New York County Vote Results]])</f>
        <v>28925</v>
      </c>
      <c r="E6" s="11"/>
    </row>
    <row r="7" spans="1:5" ht="13.8" x14ac:dyDescent="0.3">
      <c r="A7" s="3" t="s">
        <v>0</v>
      </c>
      <c r="B7" s="2">
        <v>2191</v>
      </c>
      <c r="C7" s="23">
        <v>9663</v>
      </c>
      <c r="D7" s="9">
        <f>SUM(RepInCongressCongressionalDistrict13General[[#This Row],[Part of Bronx County Vote Results]:[Part of New York County Vote Results]])</f>
        <v>11854</v>
      </c>
      <c r="E7" s="11"/>
    </row>
    <row r="8" spans="1:5" ht="13.8" x14ac:dyDescent="0.3">
      <c r="A8" s="3" t="s">
        <v>1</v>
      </c>
      <c r="B8" s="2">
        <v>0</v>
      </c>
      <c r="C8" s="23">
        <v>12</v>
      </c>
      <c r="D8" s="9">
        <f>SUM(RepInCongressCongressionalDistrict13General[[#This Row],[Part of Bronx County Vote Results]:[Part of New York County Vote Results]])</f>
        <v>12</v>
      </c>
      <c r="E8" s="11"/>
    </row>
    <row r="9" spans="1:5" ht="13.8" x14ac:dyDescent="0.3">
      <c r="A9" s="3" t="s">
        <v>6</v>
      </c>
      <c r="B9" s="2">
        <v>60</v>
      </c>
      <c r="C9" s="23">
        <v>345</v>
      </c>
      <c r="D9" s="9">
        <f>SUM(RepInCongressCongressionalDistrict13General[[#This Row],[Part of Bronx County Vote Results]:[Part of New York County Vote Results]])</f>
        <v>405</v>
      </c>
      <c r="E9" s="11"/>
    </row>
    <row r="10" spans="1:5" ht="13.8" x14ac:dyDescent="0.3">
      <c r="A10" s="13" t="s">
        <v>2</v>
      </c>
      <c r="B10" s="2">
        <f>SUM(RepInCongressCongressionalDistrict13General[Part of Bronx County Vote Results])</f>
        <v>55293</v>
      </c>
      <c r="C10" s="2">
        <f>SUM(RepInCongressCongressionalDistrict13General[Part of New York County Vote Results])</f>
        <v>211943</v>
      </c>
      <c r="D10" s="9">
        <f>SUM(RepInCongressCongressionalDistrict13General[Total Votes by Party])</f>
        <v>267236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FCD1-ADA7-4FCA-80B9-C7957D633204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116</v>
      </c>
    </row>
    <row r="2" spans="1:5" ht="27.6" x14ac:dyDescent="0.25">
      <c r="A2" s="5" t="s">
        <v>5</v>
      </c>
      <c r="B2" s="6" t="s">
        <v>111</v>
      </c>
      <c r="C2" s="6" t="s">
        <v>53</v>
      </c>
      <c r="D2" s="7" t="s">
        <v>3</v>
      </c>
      <c r="E2" s="8" t="s">
        <v>4</v>
      </c>
    </row>
    <row r="3" spans="1:5" ht="13.8" x14ac:dyDescent="0.3">
      <c r="A3" s="1" t="s">
        <v>117</v>
      </c>
      <c r="B3" s="24">
        <v>52860</v>
      </c>
      <c r="C3" s="24">
        <v>99801</v>
      </c>
      <c r="D3" s="9">
        <f>SUM(RepInCongressCongressionalDistrict14General[[#This Row],[Part of Bronx County Vote Results]:[Part of Queens County Vote Results]])</f>
        <v>152661</v>
      </c>
      <c r="E3" s="10">
        <f>SUM(RepInCongressCongressionalDistrict14General[[#This Row],[Total Votes by Party]])</f>
        <v>152661</v>
      </c>
    </row>
    <row r="4" spans="1:5" ht="13.8" x14ac:dyDescent="0.3">
      <c r="A4" s="1" t="s">
        <v>118</v>
      </c>
      <c r="B4" s="24">
        <v>21290</v>
      </c>
      <c r="C4" s="24">
        <v>31187</v>
      </c>
      <c r="D4" s="9">
        <f>SUM(RepInCongressCongressionalDistrict14General[[#This Row],[Part of Bronx County Vote Results]:[Part of Queens County Vote Results]])</f>
        <v>52477</v>
      </c>
      <c r="E4" s="10">
        <f>SUM(RepInCongressCongressionalDistrict14General[[#This Row],[Total Votes by Party]],D5)</f>
        <v>58440</v>
      </c>
    </row>
    <row r="5" spans="1:5" ht="13.8" x14ac:dyDescent="0.3">
      <c r="A5" s="1" t="s">
        <v>119</v>
      </c>
      <c r="B5" s="24">
        <v>2648</v>
      </c>
      <c r="C5" s="24">
        <v>3315</v>
      </c>
      <c r="D5" s="9">
        <f>SUM(RepInCongressCongressionalDistrict14General[[#This Row],[Part of Bronx County Vote Results]:[Part of Queens County Vote Results]])</f>
        <v>5963</v>
      </c>
      <c r="E5" s="11"/>
    </row>
    <row r="6" spans="1:5" ht="13.8" x14ac:dyDescent="0.3">
      <c r="A6" s="1" t="s">
        <v>120</v>
      </c>
      <c r="B6" s="23">
        <v>592</v>
      </c>
      <c r="C6" s="24">
        <v>1408</v>
      </c>
      <c r="D6" s="9">
        <f>SUM(RepInCongressCongressionalDistrict14General[[#This Row],[Part of Bronx County Vote Results]:[Part of Queens County Vote Results]])</f>
        <v>2000</v>
      </c>
      <c r="E6" s="10">
        <f>SUM(RepInCongressCongressionalDistrict14General[[#This Row],[Total Votes by Party]])</f>
        <v>2000</v>
      </c>
    </row>
    <row r="7" spans="1:5" ht="13.8" x14ac:dyDescent="0.3">
      <c r="A7" s="3" t="s">
        <v>0</v>
      </c>
      <c r="B7" s="23">
        <v>2551</v>
      </c>
      <c r="C7" s="23">
        <v>7720</v>
      </c>
      <c r="D7" s="9">
        <f>SUM(RepInCongressCongressionalDistrict14General[[#This Row],[Part of Bronx County Vote Results]:[Part of Queens County Vote Results]])</f>
        <v>10271</v>
      </c>
      <c r="E7" s="11"/>
    </row>
    <row r="8" spans="1:5" ht="13.8" x14ac:dyDescent="0.3">
      <c r="A8" s="3" t="s">
        <v>1</v>
      </c>
      <c r="B8" s="23">
        <v>0</v>
      </c>
      <c r="C8" s="23">
        <v>17</v>
      </c>
      <c r="D8" s="9">
        <f>SUM(RepInCongressCongressionalDistrict14General[[#This Row],[Part of Bronx County Vote Results]:[Part of Queens County Vote Results]])</f>
        <v>17</v>
      </c>
      <c r="E8" s="11"/>
    </row>
    <row r="9" spans="1:5" ht="13.8" x14ac:dyDescent="0.3">
      <c r="A9" s="3" t="s">
        <v>6</v>
      </c>
      <c r="B9" s="23">
        <v>71</v>
      </c>
      <c r="C9" s="23">
        <v>151</v>
      </c>
      <c r="D9" s="9">
        <f>SUM(RepInCongressCongressionalDistrict14General[[#This Row],[Part of Bronx County Vote Results]:[Part of Queens County Vote Results]])</f>
        <v>222</v>
      </c>
      <c r="E9" s="11"/>
    </row>
    <row r="10" spans="1:5" ht="13.8" x14ac:dyDescent="0.3">
      <c r="A10" s="13" t="s">
        <v>2</v>
      </c>
      <c r="B10" s="2">
        <f>SUM(RepInCongressCongressionalDistrict14General[Part of Bronx County Vote Results])</f>
        <v>80012</v>
      </c>
      <c r="C10" s="2">
        <f>SUM(RepInCongressCongressionalDistrict14General[Part of Queens County Vote Results])</f>
        <v>143599</v>
      </c>
      <c r="D10" s="9">
        <f>SUM(RepInCongressCongressionalDistrict14General[Total Votes by Party])</f>
        <v>223611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164B-B12E-480E-8935-AA7D81FDB309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5" t="s">
        <v>121</v>
      </c>
    </row>
    <row r="2" spans="1:4" ht="24.9" customHeight="1" x14ac:dyDescent="0.25">
      <c r="A2" s="5" t="s">
        <v>5</v>
      </c>
      <c r="B2" s="6" t="s">
        <v>111</v>
      </c>
      <c r="C2" s="7" t="s">
        <v>3</v>
      </c>
      <c r="D2" s="8" t="s">
        <v>4</v>
      </c>
    </row>
    <row r="3" spans="1:4" ht="13.8" x14ac:dyDescent="0.3">
      <c r="A3" s="1" t="s">
        <v>122</v>
      </c>
      <c r="B3" s="2">
        <v>169533</v>
      </c>
      <c r="C3" s="9">
        <f>RepInCongressCongressionalDistrict15General[[#This Row],[Part of Bronx County Vote Results]]</f>
        <v>169533</v>
      </c>
      <c r="D3" s="10">
        <f>SUM(RepInCongressCongressionalDistrict15General[[#This Row],[Total Votes by Party]])</f>
        <v>169533</v>
      </c>
    </row>
    <row r="4" spans="1:4" ht="13.8" x14ac:dyDescent="0.3">
      <c r="A4" s="1" t="s">
        <v>123</v>
      </c>
      <c r="B4" s="2">
        <v>18984</v>
      </c>
      <c r="C4" s="9">
        <f>RepInCongressCongressionalDistrict15General[[#This Row],[Part of Bronx County Vote Results]]</f>
        <v>18984</v>
      </c>
      <c r="D4" s="10">
        <f>SUM(RepInCongressCongressionalDistrict15General[[#This Row],[Total Votes by Party]],C5)</f>
        <v>21221</v>
      </c>
    </row>
    <row r="5" spans="1:4" ht="13.8" x14ac:dyDescent="0.3">
      <c r="A5" s="1" t="s">
        <v>124</v>
      </c>
      <c r="B5" s="2">
        <v>2237</v>
      </c>
      <c r="C5" s="9">
        <f>RepInCongressCongressionalDistrict15General[[#This Row],[Part of Bronx County Vote Results]]</f>
        <v>2237</v>
      </c>
      <c r="D5" s="11"/>
    </row>
    <row r="6" spans="1:4" ht="13.8" x14ac:dyDescent="0.3">
      <c r="A6" s="3" t="s">
        <v>0</v>
      </c>
      <c r="B6" s="2">
        <v>9168</v>
      </c>
      <c r="C6" s="9">
        <f>RepInCongressCongressionalDistrict15General[[#This Row],[Part of Bronx County Vote Results]]</f>
        <v>9168</v>
      </c>
      <c r="D6" s="11"/>
    </row>
    <row r="7" spans="1:4" ht="13.8" x14ac:dyDescent="0.3">
      <c r="A7" s="3" t="s">
        <v>1</v>
      </c>
      <c r="B7" s="2">
        <v>0</v>
      </c>
      <c r="C7" s="9">
        <f>RepInCongressCongressionalDistrict15General[[#This Row],[Part of Bronx County Vote Results]]</f>
        <v>0</v>
      </c>
      <c r="D7" s="11"/>
    </row>
    <row r="8" spans="1:4" ht="13.8" x14ac:dyDescent="0.3">
      <c r="A8" s="3" t="s">
        <v>6</v>
      </c>
      <c r="B8" s="2">
        <v>283</v>
      </c>
      <c r="C8" s="9">
        <f>RepInCongressCongressionalDistrict15General[[#This Row],[Part of Bronx County Vote Results]]</f>
        <v>283</v>
      </c>
      <c r="D8" s="11"/>
    </row>
    <row r="9" spans="1:4" ht="13.8" x14ac:dyDescent="0.3">
      <c r="A9" s="13" t="s">
        <v>2</v>
      </c>
      <c r="B9" s="2">
        <f>SUM(RepInCongressCongressionalDistrict15General[Part of Bronx County Vote Results])</f>
        <v>200205</v>
      </c>
      <c r="C9" s="9">
        <f>SUM(RepInCongressCongressionalDistrict15General[Total Votes by Party])</f>
        <v>200205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8681-0909-4972-9D99-267675C27B06}">
  <sheetPr>
    <pageSetUpPr fitToPage="1"/>
  </sheetPr>
  <dimension ref="A1:E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125</v>
      </c>
    </row>
    <row r="2" spans="1:5" ht="27.6" x14ac:dyDescent="0.25">
      <c r="A2" s="5" t="s">
        <v>5</v>
      </c>
      <c r="B2" s="6" t="s">
        <v>111</v>
      </c>
      <c r="C2" s="6" t="s">
        <v>126</v>
      </c>
      <c r="D2" s="7" t="s">
        <v>3</v>
      </c>
      <c r="E2" s="8" t="s">
        <v>4</v>
      </c>
    </row>
    <row r="3" spans="1:5" ht="13.8" x14ac:dyDescent="0.3">
      <c r="A3" s="1" t="s">
        <v>127</v>
      </c>
      <c r="B3" s="2">
        <v>82344</v>
      </c>
      <c r="C3" s="19">
        <v>136170</v>
      </c>
      <c r="D3" s="9">
        <f>SUM(RepInCongressCongressionalDistrict16General[[#This Row],[Part of Bronx County Vote Results]:[Part of Westchester County Vote Results]])</f>
        <v>218514</v>
      </c>
      <c r="E3" s="10">
        <f>SUM(RepInCongressCongressionalDistrict16General[[#This Row],[Total Votes by Party]])</f>
        <v>218514</v>
      </c>
    </row>
    <row r="4" spans="1:5" ht="13.8" x14ac:dyDescent="0.3">
      <c r="A4" s="1" t="s">
        <v>128</v>
      </c>
      <c r="B4" s="2">
        <v>8261</v>
      </c>
      <c r="C4" s="19">
        <v>32833</v>
      </c>
      <c r="D4" s="9">
        <f>SUM(RepInCongressCongressionalDistrict16General[[#This Row],[Part of Bronx County Vote Results]:[Part of Westchester County Vote Results]])</f>
        <v>41094</v>
      </c>
      <c r="E4" s="10">
        <f>SUM(RepInCongressCongressionalDistrict16General[[#This Row],[Total Votes by Party]])</f>
        <v>41094</v>
      </c>
    </row>
    <row r="5" spans="1:5" ht="13.8" x14ac:dyDescent="0.3">
      <c r="A5" s="3" t="s">
        <v>0</v>
      </c>
      <c r="B5" s="2">
        <v>6090</v>
      </c>
      <c r="C5" s="19">
        <v>48976</v>
      </c>
      <c r="D5" s="9">
        <f>SUM(RepInCongressCongressionalDistrict16General[[#This Row],[Part of Bronx County Vote Results]:[Part of Westchester County Vote Results]])</f>
        <v>55066</v>
      </c>
      <c r="E5" s="11"/>
    </row>
    <row r="6" spans="1:5" ht="13.8" x14ac:dyDescent="0.3">
      <c r="A6" s="3" t="s">
        <v>1</v>
      </c>
      <c r="B6" s="2">
        <v>0</v>
      </c>
      <c r="C6" s="19"/>
      <c r="D6" s="9">
        <f>SUM(RepInCongressCongressionalDistrict16General[[#This Row],[Part of Bronx County Vote Results]:[Part of Westchester County Vote Results]])</f>
        <v>0</v>
      </c>
      <c r="E6" s="11"/>
    </row>
    <row r="7" spans="1:5" ht="13.8" x14ac:dyDescent="0.3">
      <c r="A7" s="3" t="s">
        <v>6</v>
      </c>
      <c r="B7" s="2">
        <v>194</v>
      </c>
      <c r="C7" s="19">
        <v>288</v>
      </c>
      <c r="D7" s="9">
        <f>SUM(RepInCongressCongressionalDistrict16General[[#This Row],[Part of Bronx County Vote Results]:[Part of Westchester County Vote Results]])</f>
        <v>482</v>
      </c>
      <c r="E7" s="11"/>
    </row>
    <row r="8" spans="1:5" ht="13.8" x14ac:dyDescent="0.3">
      <c r="A8" s="13" t="s">
        <v>2</v>
      </c>
      <c r="B8" s="2">
        <f>SUM(RepInCongressCongressionalDistrict16General[Part of Bronx County Vote Results])</f>
        <v>96889</v>
      </c>
      <c r="C8" s="2">
        <f>SUM(RepInCongressCongressionalDistrict16General[Part of Westchester County Vote Results])</f>
        <v>218267</v>
      </c>
      <c r="D8" s="9">
        <f>SUM(RepInCongressCongressionalDistrict16General[Total Votes by Party])</f>
        <v>315156</v>
      </c>
      <c r="E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75DB-BB47-45B1-A0A8-557E2E88EE14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7.3320312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129</v>
      </c>
    </row>
    <row r="2" spans="1:5" ht="27.6" x14ac:dyDescent="0.25">
      <c r="A2" s="5" t="s">
        <v>5</v>
      </c>
      <c r="B2" s="6" t="s">
        <v>33</v>
      </c>
      <c r="C2" s="6" t="s">
        <v>126</v>
      </c>
      <c r="D2" s="7" t="s">
        <v>3</v>
      </c>
      <c r="E2" s="8" t="s">
        <v>4</v>
      </c>
    </row>
    <row r="3" spans="1:5" ht="13.8" x14ac:dyDescent="0.3">
      <c r="A3" s="1" t="s">
        <v>130</v>
      </c>
      <c r="B3" s="19">
        <v>68697</v>
      </c>
      <c r="C3" s="19">
        <v>115279</v>
      </c>
      <c r="D3" s="9">
        <f>SUM(RepInCongressCongressionalDistrict17General[[#This Row],[Rockland County Vote Results]:[Part of Westchester County Vote Results]])</f>
        <v>183976</v>
      </c>
      <c r="E3" s="10">
        <f>SUM(RepInCongressCongressionalDistrict17General[[#This Row],[Total Votes by Party]],D6)</f>
        <v>197354</v>
      </c>
    </row>
    <row r="4" spans="1:5" ht="13.8" x14ac:dyDescent="0.3">
      <c r="A4" s="1" t="s">
        <v>131</v>
      </c>
      <c r="B4" s="19">
        <v>54791</v>
      </c>
      <c r="C4" s="19">
        <v>62518</v>
      </c>
      <c r="D4" s="9">
        <f>SUM(RepInCongressCongressionalDistrict17General[[#This Row],[Rockland County Vote Results]:[Part of Westchester County Vote Results]])</f>
        <v>117309</v>
      </c>
      <c r="E4" s="10">
        <f>SUM(RepInCongressCongressionalDistrict17General[[#This Row],[Total Votes by Party]])</f>
        <v>117309</v>
      </c>
    </row>
    <row r="5" spans="1:5" ht="13.8" x14ac:dyDescent="0.3">
      <c r="A5" s="1" t="s">
        <v>132</v>
      </c>
      <c r="B5" s="19">
        <v>4544</v>
      </c>
      <c r="C5" s="19">
        <v>4343</v>
      </c>
      <c r="D5" s="9">
        <f>SUM(RepInCongressCongressionalDistrict17General[[#This Row],[Rockland County Vote Results]:[Part of Westchester County Vote Results]])</f>
        <v>8887</v>
      </c>
      <c r="E5" s="10">
        <f>SUM(RepInCongressCongressionalDistrict17General[[#This Row],[Total Votes by Party]])</f>
        <v>8887</v>
      </c>
    </row>
    <row r="6" spans="1:5" ht="13.8" x14ac:dyDescent="0.3">
      <c r="A6" s="1" t="s">
        <v>133</v>
      </c>
      <c r="B6" s="19">
        <v>4758</v>
      </c>
      <c r="C6" s="19">
        <v>8620</v>
      </c>
      <c r="D6" s="9">
        <f>SUM(RepInCongressCongressionalDistrict17General[[#This Row],[Rockland County Vote Results]:[Part of Westchester County Vote Results]])</f>
        <v>13378</v>
      </c>
      <c r="E6" s="11"/>
    </row>
    <row r="7" spans="1:5" ht="13.8" x14ac:dyDescent="0.3">
      <c r="A7" s="3" t="s">
        <v>134</v>
      </c>
      <c r="B7" s="19">
        <v>1974</v>
      </c>
      <c r="C7" s="19">
        <v>771</v>
      </c>
      <c r="D7" s="9">
        <f>SUM(RepInCongressCongressionalDistrict17General[[#This Row],[Rockland County Vote Results]:[Part of Westchester County Vote Results]])</f>
        <v>2745</v>
      </c>
      <c r="E7" s="10">
        <f>SUM(RepInCongressCongressionalDistrict17General[[#This Row],[Total Votes by Party]])</f>
        <v>2745</v>
      </c>
    </row>
    <row r="8" spans="1:5" ht="13.8" x14ac:dyDescent="0.3">
      <c r="A8" s="3" t="s">
        <v>135</v>
      </c>
      <c r="B8" s="19">
        <v>4740</v>
      </c>
      <c r="C8" s="19">
        <v>1623</v>
      </c>
      <c r="D8" s="9">
        <f>SUM(RepInCongressCongressionalDistrict17General[[#This Row],[Rockland County Vote Results]:[Part of Westchester County Vote Results]])</f>
        <v>6363</v>
      </c>
      <c r="E8" s="10">
        <f>SUM(RepInCongressCongressionalDistrict17General[[#This Row],[Total Votes by Party]])</f>
        <v>6363</v>
      </c>
    </row>
    <row r="9" spans="1:5" ht="13.8" x14ac:dyDescent="0.3">
      <c r="A9" s="3" t="s">
        <v>0</v>
      </c>
      <c r="B9" s="19">
        <v>11370</v>
      </c>
      <c r="C9" s="19">
        <v>15297</v>
      </c>
      <c r="D9" s="9">
        <f>SUM(RepInCongressCongressionalDistrict17General[[#This Row],[Rockland County Vote Results]:[Part of Westchester County Vote Results]])</f>
        <v>26667</v>
      </c>
      <c r="E9" s="11"/>
    </row>
    <row r="10" spans="1:5" ht="13.8" x14ac:dyDescent="0.3">
      <c r="A10" s="3" t="s">
        <v>1</v>
      </c>
      <c r="B10" s="19">
        <v>419</v>
      </c>
      <c r="C10" s="19"/>
      <c r="D10" s="9">
        <f>SUM(RepInCongressCongressionalDistrict17General[[#This Row],[Rockland County Vote Results]:[Part of Westchester County Vote Results]])</f>
        <v>419</v>
      </c>
      <c r="E10" s="11"/>
    </row>
    <row r="11" spans="1:5" ht="13.8" x14ac:dyDescent="0.3">
      <c r="A11" s="3" t="s">
        <v>6</v>
      </c>
      <c r="B11" s="19">
        <v>88</v>
      </c>
      <c r="C11" s="19">
        <v>126</v>
      </c>
      <c r="D11" s="9">
        <f>SUM(RepInCongressCongressionalDistrict17General[[#This Row],[Rockland County Vote Results]:[Part of Westchester County Vote Results]])</f>
        <v>214</v>
      </c>
      <c r="E11" s="11"/>
    </row>
    <row r="12" spans="1:5" ht="13.8" x14ac:dyDescent="0.3">
      <c r="A12" s="13" t="s">
        <v>2</v>
      </c>
      <c r="B12" s="19">
        <f>SUM(RepInCongressCongressionalDistrict17General[Rockland County Vote Results])</f>
        <v>151381</v>
      </c>
      <c r="C12" s="2">
        <f>SUM(RepInCongressCongressionalDistrict17General[Part of Westchester County Vote Results])</f>
        <v>208577</v>
      </c>
      <c r="D12" s="9">
        <f>SUM(RepInCongressCongressionalDistrict17General[Total Votes by Party])</f>
        <v>359958</v>
      </c>
      <c r="E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15AE-67CA-4C17-9207-132B2124528A}">
  <sheetPr>
    <pageSetUpPr fitToPage="1"/>
  </sheetPr>
  <dimension ref="A1:G13"/>
  <sheetViews>
    <sheetView zoomScaleNormal="100" zoomScaleSheetLayoutView="100" workbookViewId="0">
      <selection activeCell="F29" sqref="F29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24.75" customHeight="1" x14ac:dyDescent="0.25">
      <c r="A1" s="35" t="s">
        <v>136</v>
      </c>
    </row>
    <row r="2" spans="1:7" ht="27.6" x14ac:dyDescent="0.25">
      <c r="A2" s="5" t="s">
        <v>5</v>
      </c>
      <c r="B2" s="6" t="s">
        <v>31</v>
      </c>
      <c r="C2" s="6" t="s">
        <v>32</v>
      </c>
      <c r="D2" s="6" t="s">
        <v>137</v>
      </c>
      <c r="E2" s="6" t="s">
        <v>126</v>
      </c>
      <c r="F2" s="7" t="s">
        <v>3</v>
      </c>
      <c r="G2" s="8" t="s">
        <v>4</v>
      </c>
    </row>
    <row r="3" spans="1:7" ht="13.8" x14ac:dyDescent="0.3">
      <c r="A3" s="1" t="s">
        <v>138</v>
      </c>
      <c r="B3" s="2">
        <v>82120</v>
      </c>
      <c r="C3" s="2">
        <v>22565</v>
      </c>
      <c r="D3" s="2">
        <v>43502</v>
      </c>
      <c r="E3" s="19">
        <v>22974</v>
      </c>
      <c r="F3" s="9">
        <f>SUM(RepInCongressCongressionalDistrict18General[[#This Row],[Orange County Vote Results]:[Part of Westchester County Vote Results]])</f>
        <v>171161</v>
      </c>
      <c r="G3" s="10">
        <f>SUM(RepInCongressCongressionalDistrict18General[[#This Row],[Total Votes by Party]],F6,F8)</f>
        <v>187444</v>
      </c>
    </row>
    <row r="4" spans="1:7" ht="13.8" x14ac:dyDescent="0.3">
      <c r="A4" s="1" t="s">
        <v>139</v>
      </c>
      <c r="B4" s="2">
        <v>62562</v>
      </c>
      <c r="C4" s="2">
        <v>23567</v>
      </c>
      <c r="D4" s="2">
        <v>28809</v>
      </c>
      <c r="E4" s="19">
        <v>13673</v>
      </c>
      <c r="F4" s="9">
        <f>SUM(RepInCongressCongressionalDistrict18General[[#This Row],[Orange County Vote Results]:[Part of Westchester County Vote Results]])</f>
        <v>128611</v>
      </c>
      <c r="G4" s="10">
        <f>SUM(RepInCongressCongressionalDistrict18General[[#This Row],[Total Votes by Party]],F5)</f>
        <v>145145</v>
      </c>
    </row>
    <row r="5" spans="1:7" ht="13.8" x14ac:dyDescent="0.3">
      <c r="A5" s="1" t="s">
        <v>140</v>
      </c>
      <c r="B5" s="2">
        <v>7816</v>
      </c>
      <c r="C5" s="2">
        <v>3016</v>
      </c>
      <c r="D5" s="2">
        <v>4274</v>
      </c>
      <c r="E5" s="19">
        <v>1428</v>
      </c>
      <c r="F5" s="9">
        <f>SUM(RepInCongressCongressionalDistrict18General[[#This Row],[Orange County Vote Results]:[Part of Westchester County Vote Results]])</f>
        <v>16534</v>
      </c>
      <c r="G5" s="11"/>
    </row>
    <row r="6" spans="1:7" ht="13.8" x14ac:dyDescent="0.3">
      <c r="A6" s="1" t="s">
        <v>141</v>
      </c>
      <c r="B6" s="2">
        <v>5693</v>
      </c>
      <c r="C6" s="2">
        <v>2073</v>
      </c>
      <c r="D6" s="2">
        <v>3903</v>
      </c>
      <c r="E6" s="19">
        <v>1255</v>
      </c>
      <c r="F6" s="9">
        <f>SUM(RepInCongressCongressionalDistrict18General[[#This Row],[Orange County Vote Results]:[Part of Westchester County Vote Results]])</f>
        <v>12924</v>
      </c>
      <c r="G6" s="11"/>
    </row>
    <row r="7" spans="1:7" ht="13.8" x14ac:dyDescent="0.3">
      <c r="A7" s="1" t="s">
        <v>142</v>
      </c>
      <c r="B7" s="2">
        <v>1518</v>
      </c>
      <c r="C7" s="2">
        <v>377</v>
      </c>
      <c r="D7" s="2">
        <v>576</v>
      </c>
      <c r="E7" s="19">
        <v>216</v>
      </c>
      <c r="F7" s="9">
        <f>SUM(RepInCongressCongressionalDistrict18General[[#This Row],[Orange County Vote Results]:[Part of Westchester County Vote Results]])</f>
        <v>2687</v>
      </c>
      <c r="G7" s="10">
        <f>SUM(RepInCongressCongressionalDistrict18General[[#This Row],[Total Votes by Party]],F9)</f>
        <v>3164</v>
      </c>
    </row>
    <row r="8" spans="1:7" ht="13.8" x14ac:dyDescent="0.3">
      <c r="A8" s="1" t="s">
        <v>143</v>
      </c>
      <c r="B8" s="2">
        <v>1519</v>
      </c>
      <c r="C8" s="2">
        <v>592</v>
      </c>
      <c r="D8" s="2">
        <v>937</v>
      </c>
      <c r="E8" s="19">
        <v>311</v>
      </c>
      <c r="F8" s="9">
        <f>SUM(RepInCongressCongressionalDistrict18General[[#This Row],[Orange County Vote Results]:[Part of Westchester County Vote Results]])</f>
        <v>3359</v>
      </c>
      <c r="G8" s="11"/>
    </row>
    <row r="9" spans="1:7" ht="13.8" x14ac:dyDescent="0.3">
      <c r="A9" s="1" t="s">
        <v>144</v>
      </c>
      <c r="B9" s="2">
        <v>315</v>
      </c>
      <c r="C9" s="2">
        <v>51</v>
      </c>
      <c r="D9" s="2">
        <v>75</v>
      </c>
      <c r="E9" s="19">
        <v>36</v>
      </c>
      <c r="F9" s="9">
        <f>SUM(RepInCongressCongressionalDistrict18General[[#This Row],[Orange County Vote Results]:[Part of Westchester County Vote Results]])</f>
        <v>477</v>
      </c>
      <c r="G9" s="11"/>
    </row>
    <row r="10" spans="1:7" ht="13.8" x14ac:dyDescent="0.3">
      <c r="A10" s="3" t="s">
        <v>0</v>
      </c>
      <c r="B10" s="19">
        <v>12150</v>
      </c>
      <c r="C10" s="2">
        <v>3065</v>
      </c>
      <c r="D10" s="2">
        <v>5452</v>
      </c>
      <c r="E10" s="19">
        <v>2023</v>
      </c>
      <c r="F10" s="9">
        <f>SUM(RepInCongressCongressionalDistrict18General[[#This Row],[Orange County Vote Results]:[Part of Westchester County Vote Results]])</f>
        <v>22690</v>
      </c>
      <c r="G10" s="11"/>
    </row>
    <row r="11" spans="1:7" ht="13.8" x14ac:dyDescent="0.3">
      <c r="A11" s="3" t="s">
        <v>1</v>
      </c>
      <c r="B11" s="19">
        <v>71</v>
      </c>
      <c r="C11" s="2">
        <v>0</v>
      </c>
      <c r="D11" s="2">
        <f>90+16</f>
        <v>106</v>
      </c>
      <c r="E11" s="19"/>
      <c r="F11" s="9">
        <f>SUM(RepInCongressCongressionalDistrict18General[[#This Row],[Orange County Vote Results]:[Part of Westchester County Vote Results]])</f>
        <v>177</v>
      </c>
      <c r="G11" s="11"/>
    </row>
    <row r="12" spans="1:7" ht="13.8" x14ac:dyDescent="0.3">
      <c r="A12" s="3" t="s">
        <v>6</v>
      </c>
      <c r="B12" s="2">
        <v>79</v>
      </c>
      <c r="C12" s="2">
        <v>14</v>
      </c>
      <c r="D12" s="2">
        <v>12</v>
      </c>
      <c r="E12" s="19">
        <v>13</v>
      </c>
      <c r="F12" s="9">
        <f>SUM(RepInCongressCongressionalDistrict18General[[#This Row],[Orange County Vote Results]:[Part of Westchester County Vote Results]])</f>
        <v>118</v>
      </c>
      <c r="G12" s="11"/>
    </row>
    <row r="13" spans="1:7" ht="13.8" x14ac:dyDescent="0.3">
      <c r="A13" s="13" t="s">
        <v>2</v>
      </c>
      <c r="B13" s="2">
        <f>SUM(RepInCongressCongressionalDistrict18General[Orange County Vote Results])</f>
        <v>173843</v>
      </c>
      <c r="C13" s="2">
        <f>SUM(RepInCongressCongressionalDistrict18General[Putnam County Vote Results])</f>
        <v>55320</v>
      </c>
      <c r="D13" s="2">
        <f>SUM(RepInCongressCongressionalDistrict18General[Part of Dutchess County Vote Results])</f>
        <v>87646</v>
      </c>
      <c r="E13" s="2">
        <f>SUM(RepInCongressCongressionalDistrict18General[Part of Westchester County Vote Results])</f>
        <v>41929</v>
      </c>
      <c r="F13" s="9">
        <f>SUM(RepInCongressCongressionalDistrict18General[Total Votes by Party])</f>
        <v>358738</v>
      </c>
      <c r="G13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06BE-F025-4B05-9CCF-98CBA7FDDBE2}">
  <sheetPr>
    <pageSetUpPr fitToPage="1"/>
  </sheetPr>
  <dimension ref="A1:N12"/>
  <sheetViews>
    <sheetView zoomScale="90" zoomScaleNormal="90" zoomScaleSheetLayoutView="90" workbookViewId="0">
      <pane xSplit="1" topLeftCell="D1" activePane="topRight" state="frozen"/>
      <selection activeCell="A32" sqref="A32:XFD32"/>
      <selection pane="topRight" activeCell="M27" sqref="M27"/>
    </sheetView>
  </sheetViews>
  <sheetFormatPr defaultRowHeight="13.2" x14ac:dyDescent="0.25"/>
  <cols>
    <col min="1" max="1" width="25.6640625" customWidth="1"/>
    <col min="2" max="14" width="15.6640625" customWidth="1"/>
    <col min="15" max="16" width="23.5546875" customWidth="1"/>
  </cols>
  <sheetData>
    <row r="1" spans="1:14" ht="24.75" customHeight="1" x14ac:dyDescent="0.25">
      <c r="A1" s="35" t="s">
        <v>145</v>
      </c>
    </row>
    <row r="2" spans="1:14" ht="59.25" customHeight="1" x14ac:dyDescent="0.25">
      <c r="A2" s="5" t="s">
        <v>5</v>
      </c>
      <c r="B2" s="6" t="s">
        <v>146</v>
      </c>
      <c r="C2" s="6" t="s">
        <v>14</v>
      </c>
      <c r="D2" s="6" t="s">
        <v>147</v>
      </c>
      <c r="E2" s="6" t="s">
        <v>16</v>
      </c>
      <c r="F2" s="6" t="s">
        <v>148</v>
      </c>
      <c r="G2" s="6" t="s">
        <v>149</v>
      </c>
      <c r="H2" s="6" t="s">
        <v>150</v>
      </c>
      <c r="I2" s="6" t="s">
        <v>151</v>
      </c>
      <c r="J2" s="6" t="s">
        <v>137</v>
      </c>
      <c r="K2" s="6" t="s">
        <v>152</v>
      </c>
      <c r="L2" s="6" t="s">
        <v>153</v>
      </c>
      <c r="M2" s="7" t="s">
        <v>3</v>
      </c>
      <c r="N2" s="8" t="s">
        <v>4</v>
      </c>
    </row>
    <row r="3" spans="1:14" ht="13.8" x14ac:dyDescent="0.3">
      <c r="A3" s="1" t="s">
        <v>154</v>
      </c>
      <c r="B3" s="2">
        <v>18445</v>
      </c>
      <c r="C3" s="2">
        <v>8998</v>
      </c>
      <c r="D3" s="2">
        <v>9729</v>
      </c>
      <c r="E3" s="2">
        <v>12863</v>
      </c>
      <c r="F3" s="2">
        <v>5778</v>
      </c>
      <c r="G3" s="19">
        <v>14955</v>
      </c>
      <c r="H3" s="2">
        <v>50043</v>
      </c>
      <c r="I3" s="2">
        <v>377</v>
      </c>
      <c r="J3" s="2">
        <v>29537</v>
      </c>
      <c r="K3" s="18">
        <v>2270</v>
      </c>
      <c r="L3" s="2">
        <v>15286</v>
      </c>
      <c r="M3" s="9">
        <f t="shared" ref="M3:M11" si="0">SUM(B3:L3)</f>
        <v>168281</v>
      </c>
      <c r="N3" s="10">
        <f>SUM(RepInCongressCongressionalDistrict19General[[#This Row],[Total Votes by Party]],M5,M8)</f>
        <v>192100</v>
      </c>
    </row>
    <row r="4" spans="1:14" ht="13.8" x14ac:dyDescent="0.3">
      <c r="A4" s="1" t="s">
        <v>155</v>
      </c>
      <c r="B4" s="2">
        <v>12918</v>
      </c>
      <c r="C4" s="2">
        <v>11528</v>
      </c>
      <c r="D4" s="2">
        <v>12378</v>
      </c>
      <c r="E4" s="2">
        <v>10861</v>
      </c>
      <c r="F4" s="2">
        <v>8102</v>
      </c>
      <c r="G4" s="19">
        <v>14827</v>
      </c>
      <c r="H4" s="2">
        <v>33164</v>
      </c>
      <c r="I4" s="2">
        <v>574</v>
      </c>
      <c r="J4" s="2">
        <v>26402</v>
      </c>
      <c r="K4" s="18">
        <v>3371</v>
      </c>
      <c r="L4" s="2">
        <v>17350</v>
      </c>
      <c r="M4" s="9">
        <f t="shared" si="0"/>
        <v>151475</v>
      </c>
      <c r="N4" s="10">
        <f>SUM(RepInCongressCongressionalDistrict19General[[#This Row],[Total Votes by Party]])</f>
        <v>151475</v>
      </c>
    </row>
    <row r="5" spans="1:14" ht="13.8" x14ac:dyDescent="0.3">
      <c r="A5" s="1" t="s">
        <v>156</v>
      </c>
      <c r="B5" s="2">
        <v>2737</v>
      </c>
      <c r="C5" s="2">
        <v>867</v>
      </c>
      <c r="D5" s="2">
        <v>1437</v>
      </c>
      <c r="E5" s="2">
        <v>1049</v>
      </c>
      <c r="F5" s="2">
        <v>809</v>
      </c>
      <c r="G5" s="19">
        <v>1758</v>
      </c>
      <c r="H5" s="2">
        <v>9243</v>
      </c>
      <c r="I5" s="2">
        <v>43</v>
      </c>
      <c r="J5" s="2">
        <v>2577</v>
      </c>
      <c r="K5" s="18">
        <v>304</v>
      </c>
      <c r="L5" s="2">
        <v>2145</v>
      </c>
      <c r="M5" s="9">
        <f t="shared" si="0"/>
        <v>22969</v>
      </c>
      <c r="N5" s="11"/>
    </row>
    <row r="6" spans="1:14" ht="13.8" x14ac:dyDescent="0.3">
      <c r="A6" s="1" t="s">
        <v>157</v>
      </c>
      <c r="B6" s="2">
        <v>234</v>
      </c>
      <c r="C6" s="2">
        <v>149</v>
      </c>
      <c r="D6" s="2">
        <v>180</v>
      </c>
      <c r="E6" s="2">
        <v>200</v>
      </c>
      <c r="F6" s="2">
        <v>107</v>
      </c>
      <c r="G6" s="19">
        <v>239</v>
      </c>
      <c r="H6" s="2">
        <v>975</v>
      </c>
      <c r="I6" s="2">
        <v>5</v>
      </c>
      <c r="J6" s="2">
        <v>396</v>
      </c>
      <c r="K6" s="18">
        <v>34</v>
      </c>
      <c r="L6" s="2">
        <v>280</v>
      </c>
      <c r="M6" s="9">
        <f t="shared" si="0"/>
        <v>2799</v>
      </c>
      <c r="N6" s="10">
        <f>SUM(RepInCongressCongressionalDistrict19General[[#This Row],[Total Votes by Party]])</f>
        <v>2799</v>
      </c>
    </row>
    <row r="7" spans="1:14" ht="13.8" x14ac:dyDescent="0.3">
      <c r="A7" s="1" t="s">
        <v>158</v>
      </c>
      <c r="B7" s="2">
        <v>374</v>
      </c>
      <c r="C7" s="2">
        <v>253</v>
      </c>
      <c r="D7" s="2">
        <v>282</v>
      </c>
      <c r="E7" s="2">
        <v>382</v>
      </c>
      <c r="F7" s="2">
        <v>259</v>
      </c>
      <c r="G7" s="19">
        <v>333</v>
      </c>
      <c r="H7" s="2">
        <v>1087</v>
      </c>
      <c r="I7" s="2">
        <v>17</v>
      </c>
      <c r="J7" s="2">
        <v>636</v>
      </c>
      <c r="K7" s="18">
        <v>75</v>
      </c>
      <c r="L7" s="2">
        <v>526</v>
      </c>
      <c r="M7" s="9">
        <f t="shared" si="0"/>
        <v>4224</v>
      </c>
      <c r="N7" s="10">
        <f>SUM(RepInCongressCongressionalDistrict19General[[#This Row],[Total Votes by Party]])</f>
        <v>4224</v>
      </c>
    </row>
    <row r="8" spans="1:14" ht="13.8" x14ac:dyDescent="0.3">
      <c r="A8" s="1" t="s">
        <v>159</v>
      </c>
      <c r="B8" s="2">
        <v>75</v>
      </c>
      <c r="C8" s="2">
        <v>58</v>
      </c>
      <c r="D8" s="2">
        <v>59</v>
      </c>
      <c r="E8" s="2">
        <v>63</v>
      </c>
      <c r="F8" s="2">
        <v>42</v>
      </c>
      <c r="G8" s="19">
        <v>89</v>
      </c>
      <c r="H8" s="2">
        <v>218</v>
      </c>
      <c r="I8" s="2">
        <v>2</v>
      </c>
      <c r="J8" s="2">
        <v>127</v>
      </c>
      <c r="K8" s="18">
        <v>23</v>
      </c>
      <c r="L8" s="2">
        <v>94</v>
      </c>
      <c r="M8" s="9">
        <f t="shared" si="0"/>
        <v>850</v>
      </c>
      <c r="N8" s="11"/>
    </row>
    <row r="9" spans="1:14" ht="13.8" x14ac:dyDescent="0.3">
      <c r="A9" s="3" t="s">
        <v>0</v>
      </c>
      <c r="B9" s="2">
        <v>934</v>
      </c>
      <c r="C9" s="2">
        <v>908</v>
      </c>
      <c r="D9" s="2">
        <v>1074</v>
      </c>
      <c r="E9" s="2">
        <v>1522</v>
      </c>
      <c r="F9" s="2">
        <v>630</v>
      </c>
      <c r="G9" s="19">
        <v>2838</v>
      </c>
      <c r="H9" s="2">
        <v>3219</v>
      </c>
      <c r="I9" s="2">
        <v>84</v>
      </c>
      <c r="J9" s="2">
        <v>4431</v>
      </c>
      <c r="K9" s="18">
        <v>299</v>
      </c>
      <c r="L9" s="2">
        <v>1477</v>
      </c>
      <c r="M9" s="9">
        <f t="shared" si="0"/>
        <v>17416</v>
      </c>
      <c r="N9" s="11"/>
    </row>
    <row r="10" spans="1:14" ht="13.8" x14ac:dyDescent="0.3">
      <c r="A10" s="3" t="s">
        <v>1</v>
      </c>
      <c r="B10" s="2">
        <v>29</v>
      </c>
      <c r="C10" s="2">
        <v>0</v>
      </c>
      <c r="D10" s="2">
        <v>32</v>
      </c>
      <c r="E10" s="2">
        <v>1</v>
      </c>
      <c r="F10" s="2">
        <v>16</v>
      </c>
      <c r="G10" s="19">
        <v>39</v>
      </c>
      <c r="H10" s="2">
        <v>76</v>
      </c>
      <c r="I10" s="2">
        <v>1</v>
      </c>
      <c r="J10" s="2">
        <f>42+5</f>
        <v>47</v>
      </c>
      <c r="K10" s="18">
        <v>5</v>
      </c>
      <c r="L10" s="2">
        <v>0</v>
      </c>
      <c r="M10" s="9">
        <f t="shared" si="0"/>
        <v>246</v>
      </c>
      <c r="N10" s="11"/>
    </row>
    <row r="11" spans="1:14" ht="13.8" x14ac:dyDescent="0.3">
      <c r="A11" s="3" t="s">
        <v>6</v>
      </c>
      <c r="B11" s="2">
        <v>35</v>
      </c>
      <c r="C11" s="2">
        <v>313</v>
      </c>
      <c r="D11" s="2">
        <v>142</v>
      </c>
      <c r="E11" s="2">
        <v>1277</v>
      </c>
      <c r="F11" s="2">
        <v>67</v>
      </c>
      <c r="G11" s="19">
        <v>54</v>
      </c>
      <c r="H11" s="2">
        <v>135</v>
      </c>
      <c r="I11" s="2">
        <v>0</v>
      </c>
      <c r="J11" s="2">
        <v>88</v>
      </c>
      <c r="K11" s="18">
        <v>8</v>
      </c>
      <c r="L11" s="2">
        <v>54</v>
      </c>
      <c r="M11" s="9">
        <f t="shared" si="0"/>
        <v>2173</v>
      </c>
      <c r="N11" s="11"/>
    </row>
    <row r="12" spans="1:14" ht="13.8" x14ac:dyDescent="0.3">
      <c r="A12" s="13" t="s">
        <v>2</v>
      </c>
      <c r="B12" s="2">
        <f>SUM(RepInCongressCongressionalDistrict19General[Columbia County Vote Results])</f>
        <v>35781</v>
      </c>
      <c r="C12" s="2">
        <f>SUM(RepInCongressCongressionalDistrict19General[Delaware County Vote Results])</f>
        <v>23074</v>
      </c>
      <c r="D12" s="2">
        <f>SUM(RepInCongressCongressionalDistrict19General[Greene County Vote Results])</f>
        <v>25313</v>
      </c>
      <c r="E12" s="2">
        <f>SUM(RepInCongressCongressionalDistrict19General[Otsego County Vote Results])</f>
        <v>28218</v>
      </c>
      <c r="F12" s="2">
        <f>SUM(RepInCongressCongressionalDistrict19General[Schoharie County Vote Results])</f>
        <v>15810</v>
      </c>
      <c r="G12" s="19">
        <f>SUM(RepInCongressCongressionalDistrict19General[Sullivan County Vote Results])</f>
        <v>35132</v>
      </c>
      <c r="H12" s="2">
        <f>SUM(RepInCongressCongressionalDistrict19General[Ulster County Vote Results])</f>
        <v>98160</v>
      </c>
      <c r="I12" s="2">
        <f>SUM(RepInCongressCongressionalDistrict19General[Part of Broome County Vote Results])</f>
        <v>1103</v>
      </c>
      <c r="J12" s="2">
        <f>SUM(RepInCongressCongressionalDistrict19General[Part of Dutchess County Vote Results])</f>
        <v>64241</v>
      </c>
      <c r="K12" s="18">
        <f>SUM(RepInCongressCongressionalDistrict19General[Part of Montgomery County Vote Results])</f>
        <v>6389</v>
      </c>
      <c r="L12" s="2">
        <f>SUM(RepInCongressCongressionalDistrict19General[Part of Rensselaer County Vote Results])</f>
        <v>37212</v>
      </c>
      <c r="M12" s="9">
        <f>SUM(RepInCongressCongressionalDistrict19General[Total Votes by Party])</f>
        <v>370433</v>
      </c>
      <c r="N12" s="11"/>
    </row>
  </sheetData>
  <pageMargins left="0.25" right="0.25" top="0.25" bottom="0.25" header="0.25" footer="0.25"/>
  <pageSetup paperSize="5" scale="76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6B42-BEBB-4C4A-BAC1-766C70289916}">
  <sheetPr>
    <pageSetUpPr fitToPage="1"/>
  </sheetPr>
  <dimension ref="A1:H12"/>
  <sheetViews>
    <sheetView zoomScaleNormal="100" zoomScaleSheetLayoutView="100" workbookViewId="0">
      <selection activeCell="A32" sqref="A32:XFD32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24.75" customHeight="1" x14ac:dyDescent="0.25">
      <c r="A1" s="35" t="s">
        <v>160</v>
      </c>
    </row>
    <row r="2" spans="1:8" ht="27.6" x14ac:dyDescent="0.25">
      <c r="A2" s="5" t="s">
        <v>5</v>
      </c>
      <c r="B2" s="6" t="s">
        <v>161</v>
      </c>
      <c r="C2" s="6" t="s">
        <v>162</v>
      </c>
      <c r="D2" s="6" t="s">
        <v>152</v>
      </c>
      <c r="E2" s="6" t="s">
        <v>153</v>
      </c>
      <c r="F2" s="6" t="s">
        <v>163</v>
      </c>
      <c r="G2" s="7" t="s">
        <v>3</v>
      </c>
      <c r="H2" s="8" t="s">
        <v>4</v>
      </c>
    </row>
    <row r="3" spans="1:8" ht="13.8" x14ac:dyDescent="0.3">
      <c r="A3" s="1" t="s">
        <v>164</v>
      </c>
      <c r="B3" s="2">
        <v>88304</v>
      </c>
      <c r="C3" s="2">
        <v>38006</v>
      </c>
      <c r="D3" s="18">
        <v>5866</v>
      </c>
      <c r="E3" s="2">
        <v>21867</v>
      </c>
      <c r="F3" s="2">
        <v>40028</v>
      </c>
      <c r="G3" s="9">
        <f>SUM(RepInCongressCongressionalDistrict20General[[#This Row],[Albany County Vote Results]:[Part of Saratoga County Vote Results]])</f>
        <v>194071</v>
      </c>
      <c r="H3" s="10">
        <f>SUM(RepInCongressCongressionalDistrict20General[[#This Row],[Total Votes by Party]],G6,G7)</f>
        <v>219705</v>
      </c>
    </row>
    <row r="4" spans="1:8" ht="13.8" x14ac:dyDescent="0.3">
      <c r="A4" s="1" t="s">
        <v>165</v>
      </c>
      <c r="B4" s="2">
        <v>43671</v>
      </c>
      <c r="C4" s="2">
        <v>25676</v>
      </c>
      <c r="D4" s="18">
        <v>7003</v>
      </c>
      <c r="E4" s="2">
        <v>13508</v>
      </c>
      <c r="F4" s="2">
        <v>30981</v>
      </c>
      <c r="G4" s="9">
        <f>SUM(RepInCongressCongressionalDistrict20General[[#This Row],[Albany County Vote Results]:[Part of Saratoga County Vote Results]])</f>
        <v>120839</v>
      </c>
      <c r="H4" s="10">
        <f>SUM(RepInCongressCongressionalDistrict20General[[#This Row],[Total Votes by Party]],G5,G8)</f>
        <v>139446</v>
      </c>
    </row>
    <row r="5" spans="1:8" ht="13.8" x14ac:dyDescent="0.3">
      <c r="A5" s="1" t="s">
        <v>166</v>
      </c>
      <c r="B5" s="2">
        <v>5862</v>
      </c>
      <c r="C5" s="2">
        <v>4612</v>
      </c>
      <c r="D5" s="18">
        <v>969</v>
      </c>
      <c r="E5" s="2">
        <v>2271</v>
      </c>
      <c r="F5" s="2">
        <v>4135</v>
      </c>
      <c r="G5" s="9">
        <f>SUM(RepInCongressCongressionalDistrict20General[[#This Row],[Albany County Vote Results]:[Part of Saratoga County Vote Results]])</f>
        <v>17849</v>
      </c>
      <c r="H5" s="11"/>
    </row>
    <row r="6" spans="1:8" ht="13.8" x14ac:dyDescent="0.3">
      <c r="A6" s="1" t="s">
        <v>167</v>
      </c>
      <c r="B6" s="2">
        <v>9858</v>
      </c>
      <c r="C6" s="2">
        <v>3326</v>
      </c>
      <c r="D6" s="18">
        <v>447</v>
      </c>
      <c r="E6" s="2">
        <v>2751</v>
      </c>
      <c r="F6" s="2">
        <v>3296</v>
      </c>
      <c r="G6" s="9">
        <f>SUM(RepInCongressCongressionalDistrict20General[[#This Row],[Albany County Vote Results]:[Part of Saratoga County Vote Results]])</f>
        <v>19678</v>
      </c>
      <c r="H6" s="11"/>
    </row>
    <row r="7" spans="1:8" ht="13.8" x14ac:dyDescent="0.3">
      <c r="A7" s="1" t="s">
        <v>168</v>
      </c>
      <c r="B7" s="2">
        <v>2349</v>
      </c>
      <c r="C7" s="2">
        <v>1201</v>
      </c>
      <c r="D7" s="18">
        <v>219</v>
      </c>
      <c r="E7" s="2">
        <v>951</v>
      </c>
      <c r="F7" s="2">
        <v>1236</v>
      </c>
      <c r="G7" s="9">
        <f>SUM(RepInCongressCongressionalDistrict20General[[#This Row],[Albany County Vote Results]:[Part of Saratoga County Vote Results]])</f>
        <v>5956</v>
      </c>
      <c r="H7" s="11"/>
    </row>
    <row r="8" spans="1:8" ht="13.8" x14ac:dyDescent="0.3">
      <c r="A8" s="3" t="s">
        <v>169</v>
      </c>
      <c r="B8" s="2">
        <v>324</v>
      </c>
      <c r="C8" s="2">
        <v>164</v>
      </c>
      <c r="D8" s="18">
        <v>31</v>
      </c>
      <c r="E8" s="2">
        <v>90</v>
      </c>
      <c r="F8" s="2">
        <v>149</v>
      </c>
      <c r="G8" s="9">
        <f>SUM(RepInCongressCongressionalDistrict20General[[#This Row],[Albany County Vote Results]:[Part of Saratoga County Vote Results]])</f>
        <v>758</v>
      </c>
      <c r="H8" s="16"/>
    </row>
    <row r="9" spans="1:8" ht="13.8" x14ac:dyDescent="0.3">
      <c r="A9" s="3" t="s">
        <v>0</v>
      </c>
      <c r="B9" s="2">
        <v>4149</v>
      </c>
      <c r="C9" s="2">
        <v>2255</v>
      </c>
      <c r="D9" s="18">
        <v>311</v>
      </c>
      <c r="E9" s="2">
        <v>1297</v>
      </c>
      <c r="F9" s="2">
        <v>1806</v>
      </c>
      <c r="G9" s="9">
        <f>SUM(RepInCongressCongressionalDistrict20General[[#This Row],[Albany County Vote Results]:[Part of Saratoga County Vote Results]])</f>
        <v>9818</v>
      </c>
      <c r="H9" s="11"/>
    </row>
    <row r="10" spans="1:8" ht="13.8" x14ac:dyDescent="0.3">
      <c r="A10" s="3" t="s">
        <v>1</v>
      </c>
      <c r="B10" s="2">
        <v>103</v>
      </c>
      <c r="C10" s="2">
        <v>80</v>
      </c>
      <c r="D10" s="18">
        <v>7</v>
      </c>
      <c r="E10" s="2">
        <v>0</v>
      </c>
      <c r="F10" s="2">
        <v>22</v>
      </c>
      <c r="G10" s="9">
        <f>SUM(RepInCongressCongressionalDistrict20General[[#This Row],[Albany County Vote Results]:[Part of Saratoga County Vote Results]])</f>
        <v>212</v>
      </c>
      <c r="H10" s="11"/>
    </row>
    <row r="11" spans="1:8" ht="13.8" x14ac:dyDescent="0.3">
      <c r="A11" s="3" t="s">
        <v>6</v>
      </c>
      <c r="B11" s="2">
        <v>107</v>
      </c>
      <c r="C11" s="2">
        <v>44</v>
      </c>
      <c r="D11" s="18">
        <v>4</v>
      </c>
      <c r="E11" s="2">
        <v>15</v>
      </c>
      <c r="F11" s="2">
        <v>21</v>
      </c>
      <c r="G11" s="9">
        <f>SUM(RepInCongressCongressionalDistrict20General[[#This Row],[Albany County Vote Results]:[Part of Saratoga County Vote Results]])</f>
        <v>191</v>
      </c>
      <c r="H11" s="11"/>
    </row>
    <row r="12" spans="1:8" ht="13.8" x14ac:dyDescent="0.3">
      <c r="A12" s="13" t="s">
        <v>2</v>
      </c>
      <c r="B12" s="2">
        <f>SUM(RepInCongressCongressionalDistrict20General[Albany County Vote Results])</f>
        <v>154727</v>
      </c>
      <c r="C12" s="2">
        <f>SUM(RepInCongressCongressionalDistrict20General[Schenectady County Vote Results])</f>
        <v>75364</v>
      </c>
      <c r="D12" s="18">
        <f>SUM(RepInCongressCongressionalDistrict20General[Part of Montgomery County Vote Results])</f>
        <v>14857</v>
      </c>
      <c r="E12" s="2">
        <f>SUM(RepInCongressCongressionalDistrict20General[Part of Rensselaer County Vote Results])</f>
        <v>42750</v>
      </c>
      <c r="F12" s="2">
        <f>SUM(RepInCongressCongressionalDistrict20General[Part of Saratoga County Vote Results])</f>
        <v>81674</v>
      </c>
      <c r="G12" s="9">
        <f>SUM(RepInCongressCongressionalDistrict20General[Total Votes by Party])</f>
        <v>369372</v>
      </c>
      <c r="H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6032-061E-40BD-BBF8-BA73AEDB0FDD}">
  <sheetPr>
    <pageSetUpPr fitToPage="1"/>
  </sheetPr>
  <dimension ref="A1:O11"/>
  <sheetViews>
    <sheetView zoomScale="90" zoomScaleNormal="90" zoomScaleSheetLayoutView="90" workbookViewId="0">
      <selection activeCell="N30" sqref="N30"/>
    </sheetView>
  </sheetViews>
  <sheetFormatPr defaultRowHeight="13.2" x14ac:dyDescent="0.25"/>
  <cols>
    <col min="1" max="1" width="25.5546875" customWidth="1"/>
    <col min="2" max="15" width="12.6640625" customWidth="1"/>
    <col min="16" max="17" width="23.5546875" customWidth="1"/>
  </cols>
  <sheetData>
    <row r="1" spans="1:15" ht="24.75" customHeight="1" x14ac:dyDescent="0.25">
      <c r="A1" s="35" t="s">
        <v>170</v>
      </c>
    </row>
    <row r="2" spans="1:15" ht="51" customHeight="1" x14ac:dyDescent="0.25">
      <c r="A2" s="5" t="s">
        <v>5</v>
      </c>
      <c r="B2" s="6" t="s">
        <v>171</v>
      </c>
      <c r="C2" s="6" t="s">
        <v>172</v>
      </c>
      <c r="D2" s="6" t="s">
        <v>173</v>
      </c>
      <c r="E2" s="6" t="s">
        <v>174</v>
      </c>
      <c r="F2" s="6" t="s">
        <v>175</v>
      </c>
      <c r="G2" s="6" t="s">
        <v>7</v>
      </c>
      <c r="H2" s="6" t="s">
        <v>8</v>
      </c>
      <c r="I2" s="6" t="s">
        <v>176</v>
      </c>
      <c r="J2" s="6" t="s">
        <v>177</v>
      </c>
      <c r="K2" s="6" t="s">
        <v>178</v>
      </c>
      <c r="L2" s="6" t="s">
        <v>179</v>
      </c>
      <c r="M2" s="6" t="s">
        <v>163</v>
      </c>
      <c r="N2" s="28" t="s">
        <v>3</v>
      </c>
      <c r="O2" s="29" t="s">
        <v>4</v>
      </c>
    </row>
    <row r="3" spans="1:15" ht="13.8" x14ac:dyDescent="0.3">
      <c r="A3" s="1" t="s">
        <v>180</v>
      </c>
      <c r="B3" s="2">
        <v>15894</v>
      </c>
      <c r="C3" s="2">
        <v>8583</v>
      </c>
      <c r="D3" s="2">
        <v>8268</v>
      </c>
      <c r="E3" s="2">
        <v>6904</v>
      </c>
      <c r="F3" s="2">
        <v>1030</v>
      </c>
      <c r="G3" s="2">
        <v>14649</v>
      </c>
      <c r="H3" s="2">
        <v>3189</v>
      </c>
      <c r="I3" s="2">
        <v>17156</v>
      </c>
      <c r="J3" s="2">
        <v>15284</v>
      </c>
      <c r="K3" s="2">
        <v>9981</v>
      </c>
      <c r="L3" s="2">
        <v>1226</v>
      </c>
      <c r="M3" s="2">
        <v>20258</v>
      </c>
      <c r="N3" s="9">
        <f>SUM(RepInCongressCongressionalDistrict21General[[#This Row],[Clinton County Vote Results]:[Part of Saratoga County Vote Results]])</f>
        <v>122422</v>
      </c>
      <c r="O3" s="10">
        <f>SUM(RepInCongressCongressionalDistrict21General[[#This Row],[Total Votes by Party]],N6)</f>
        <v>131995</v>
      </c>
    </row>
    <row r="4" spans="1:15" ht="13.8" x14ac:dyDescent="0.3">
      <c r="A4" s="1" t="s">
        <v>181</v>
      </c>
      <c r="B4" s="2">
        <v>16249</v>
      </c>
      <c r="C4" s="2">
        <v>9002</v>
      </c>
      <c r="D4" s="2">
        <v>9465</v>
      </c>
      <c r="E4" s="2">
        <v>14120</v>
      </c>
      <c r="F4" s="2">
        <v>2115</v>
      </c>
      <c r="G4" s="2">
        <v>25427</v>
      </c>
      <c r="H4" s="2">
        <v>8583</v>
      </c>
      <c r="I4" s="2">
        <v>23495</v>
      </c>
      <c r="J4" s="2">
        <v>17256</v>
      </c>
      <c r="K4" s="2">
        <v>15231</v>
      </c>
      <c r="L4" s="2">
        <v>3009</v>
      </c>
      <c r="M4" s="2">
        <v>25732</v>
      </c>
      <c r="N4" s="9">
        <f>SUM(RepInCongressCongressionalDistrict21General[[#This Row],[Clinton County Vote Results]:[Part of Saratoga County Vote Results]])</f>
        <v>169684</v>
      </c>
      <c r="O4" s="10">
        <f>SUM(RepInCongressCongressionalDistrict21General[[#This Row],[Total Votes by Party]],N5,N7)</f>
        <v>188655</v>
      </c>
    </row>
    <row r="5" spans="1:15" ht="13.8" x14ac:dyDescent="0.3">
      <c r="A5" s="1" t="s">
        <v>182</v>
      </c>
      <c r="B5" s="2">
        <v>1309</v>
      </c>
      <c r="C5" s="2">
        <v>657</v>
      </c>
      <c r="D5" s="2">
        <v>665</v>
      </c>
      <c r="E5" s="2">
        <v>1475</v>
      </c>
      <c r="F5" s="2">
        <v>185</v>
      </c>
      <c r="G5" s="2">
        <v>1991</v>
      </c>
      <c r="H5" s="2">
        <v>694</v>
      </c>
      <c r="I5" s="2">
        <v>2093</v>
      </c>
      <c r="J5" s="2">
        <v>1617</v>
      </c>
      <c r="K5" s="2">
        <v>1507</v>
      </c>
      <c r="L5" s="2">
        <v>236</v>
      </c>
      <c r="M5" s="2">
        <v>2615</v>
      </c>
      <c r="N5" s="9">
        <f>SUM(RepInCongressCongressionalDistrict21General[[#This Row],[Clinton County Vote Results]:[Part of Saratoga County Vote Results]])</f>
        <v>15044</v>
      </c>
      <c r="O5" s="11"/>
    </row>
    <row r="6" spans="1:15" ht="13.8" x14ac:dyDescent="0.3">
      <c r="A6" s="1" t="s">
        <v>183</v>
      </c>
      <c r="B6" s="2">
        <v>1318</v>
      </c>
      <c r="C6" s="2">
        <v>695</v>
      </c>
      <c r="D6" s="2">
        <v>624</v>
      </c>
      <c r="E6" s="2">
        <v>566</v>
      </c>
      <c r="F6" s="2">
        <v>70</v>
      </c>
      <c r="G6" s="2">
        <v>905</v>
      </c>
      <c r="H6" s="2">
        <v>214</v>
      </c>
      <c r="I6" s="2">
        <v>1219</v>
      </c>
      <c r="J6" s="2">
        <v>1320</v>
      </c>
      <c r="K6" s="2">
        <v>839</v>
      </c>
      <c r="L6" s="2">
        <v>101</v>
      </c>
      <c r="M6" s="2">
        <v>1702</v>
      </c>
      <c r="N6" s="9">
        <f>SUM(RepInCongressCongressionalDistrict21General[[#This Row],[Clinton County Vote Results]:[Part of Saratoga County Vote Results]])</f>
        <v>9573</v>
      </c>
      <c r="O6" s="11"/>
    </row>
    <row r="7" spans="1:15" ht="13.8" x14ac:dyDescent="0.3">
      <c r="A7" s="1" t="s">
        <v>184</v>
      </c>
      <c r="B7" s="2">
        <v>502</v>
      </c>
      <c r="C7" s="2">
        <v>191</v>
      </c>
      <c r="D7" s="2">
        <v>199</v>
      </c>
      <c r="E7" s="2">
        <v>215</v>
      </c>
      <c r="F7" s="2">
        <v>26</v>
      </c>
      <c r="G7" s="2">
        <v>507</v>
      </c>
      <c r="H7" s="2">
        <v>142</v>
      </c>
      <c r="I7" s="2">
        <v>550</v>
      </c>
      <c r="J7" s="2">
        <v>442</v>
      </c>
      <c r="K7" s="2">
        <v>344</v>
      </c>
      <c r="L7" s="2">
        <v>35</v>
      </c>
      <c r="M7" s="2">
        <v>774</v>
      </c>
      <c r="N7" s="9">
        <f>SUM(RepInCongressCongressionalDistrict21General[[#This Row],[Clinton County Vote Results]:[Part of Saratoga County Vote Results]])</f>
        <v>3927</v>
      </c>
      <c r="O7" s="11"/>
    </row>
    <row r="8" spans="1:15" ht="13.8" x14ac:dyDescent="0.3">
      <c r="A8" s="3" t="s">
        <v>0</v>
      </c>
      <c r="B8" s="2">
        <v>246</v>
      </c>
      <c r="C8" s="2">
        <v>329</v>
      </c>
      <c r="D8" s="2">
        <v>185</v>
      </c>
      <c r="E8" s="2">
        <v>775</v>
      </c>
      <c r="F8" s="2">
        <v>63</v>
      </c>
      <c r="G8" s="2">
        <v>591</v>
      </c>
      <c r="H8" s="2">
        <v>203</v>
      </c>
      <c r="I8" s="2">
        <v>734</v>
      </c>
      <c r="J8" s="2">
        <v>430</v>
      </c>
      <c r="K8" s="2">
        <v>347</v>
      </c>
      <c r="L8" s="2">
        <v>221</v>
      </c>
      <c r="M8" s="2">
        <v>775</v>
      </c>
      <c r="N8" s="9">
        <f>SUM(RepInCongressCongressionalDistrict21General[[#This Row],[Clinton County Vote Results]:[Part of Saratoga County Vote Results]])</f>
        <v>4899</v>
      </c>
      <c r="O8" s="11"/>
    </row>
    <row r="9" spans="1:15" ht="13.8" x14ac:dyDescent="0.3">
      <c r="A9" s="3" t="s">
        <v>1</v>
      </c>
      <c r="B9" s="2">
        <v>5</v>
      </c>
      <c r="C9" s="2">
        <v>15</v>
      </c>
      <c r="D9" s="2">
        <v>8</v>
      </c>
      <c r="E9" s="2">
        <v>7</v>
      </c>
      <c r="F9" s="2">
        <v>0</v>
      </c>
      <c r="G9" s="2">
        <v>33</v>
      </c>
      <c r="H9" s="2">
        <v>5</v>
      </c>
      <c r="I9" s="2">
        <v>6</v>
      </c>
      <c r="J9" s="2">
        <v>13</v>
      </c>
      <c r="K9" s="2">
        <v>7</v>
      </c>
      <c r="L9" s="2">
        <v>1</v>
      </c>
      <c r="M9" s="2">
        <v>11</v>
      </c>
      <c r="N9" s="9">
        <f>SUM(RepInCongressCongressionalDistrict21General[[#This Row],[Clinton County Vote Results]:[Part of Saratoga County Vote Results]])</f>
        <v>111</v>
      </c>
      <c r="O9" s="11"/>
    </row>
    <row r="10" spans="1:15" ht="13.8" x14ac:dyDescent="0.3">
      <c r="A10" s="3" t="s">
        <v>6</v>
      </c>
      <c r="B10" s="2">
        <v>18</v>
      </c>
      <c r="C10" s="2">
        <v>7</v>
      </c>
      <c r="D10" s="2">
        <v>6</v>
      </c>
      <c r="E10" s="2">
        <v>10</v>
      </c>
      <c r="F10" s="2">
        <v>0</v>
      </c>
      <c r="G10" s="2">
        <v>24</v>
      </c>
      <c r="H10" s="2">
        <v>6</v>
      </c>
      <c r="I10" s="2">
        <v>14</v>
      </c>
      <c r="J10" s="2">
        <v>29</v>
      </c>
      <c r="K10" s="2">
        <v>9</v>
      </c>
      <c r="L10" s="2">
        <v>0</v>
      </c>
      <c r="M10" s="2">
        <v>15</v>
      </c>
      <c r="N10" s="9">
        <f>SUM(RepInCongressCongressionalDistrict21General[[#This Row],[Clinton County Vote Results]:[Part of Saratoga County Vote Results]])</f>
        <v>138</v>
      </c>
      <c r="O10" s="11"/>
    </row>
    <row r="11" spans="1:15" ht="13.8" x14ac:dyDescent="0.3">
      <c r="A11" s="13" t="s">
        <v>2</v>
      </c>
      <c r="B11" s="2">
        <f>SUM(RepInCongressCongressionalDistrict21General[Clinton County Vote Results])</f>
        <v>35541</v>
      </c>
      <c r="C11" s="2">
        <f>SUM(RepInCongressCongressionalDistrict21General[Essex County Vote Results])</f>
        <v>19479</v>
      </c>
      <c r="D11" s="2">
        <f>SUM(RepInCongressCongressionalDistrict21General[Franklin County Vote Results])</f>
        <v>19420</v>
      </c>
      <c r="E11" s="2">
        <f>SUBTOTAL(109,E3:E10)</f>
        <v>24072</v>
      </c>
      <c r="F11" s="2">
        <f>SUM(RepInCongressCongressionalDistrict21General[Hamilton County Vote Results])</f>
        <v>3489</v>
      </c>
      <c r="G11" s="2">
        <f>SUM(RepInCongressCongressionalDistrict21General[Jefferson County Vote Results])</f>
        <v>44127</v>
      </c>
      <c r="H11" s="2">
        <f>SUM(RepInCongressCongressionalDistrict21General[Lewis County Vote Results])</f>
        <v>13036</v>
      </c>
      <c r="I11" s="2">
        <f>SUM(RepInCongressCongressionalDistrict21General[St. Lawrence County Vote Results])</f>
        <v>45267</v>
      </c>
      <c r="J11" s="2">
        <f>SUM(RepInCongressCongressionalDistrict21General[Warren County Vote Results])</f>
        <v>36391</v>
      </c>
      <c r="K11" s="2">
        <f>SUM(RepInCongressCongressionalDistrict21General[Washington County Vote Results])</f>
        <v>28265</v>
      </c>
      <c r="L11" s="2">
        <f>SUM(RepInCongressCongressionalDistrict21General[Part of Herkimer County Vote Results])</f>
        <v>4829</v>
      </c>
      <c r="M11" s="2">
        <f>SUM(RepInCongressCongressionalDistrict21General[Part of Saratoga County Vote Results])</f>
        <v>51882</v>
      </c>
      <c r="N11" s="9">
        <f>SUM(RepInCongressCongressionalDistrict21General[Total Votes by Party])</f>
        <v>325798</v>
      </c>
      <c r="O11" s="11"/>
    </row>
  </sheetData>
  <pageMargins left="0.25" right="0.25" top="0.25" bottom="0.25" header="0.25" footer="0.25"/>
  <pageSetup paperSize="5" scale="86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FF37-0B7D-4D5C-8DFA-567C3BEFAE80}">
  <sheetPr>
    <pageSetUpPr fitToPage="1"/>
  </sheetPr>
  <dimension ref="A1:K15"/>
  <sheetViews>
    <sheetView zoomScale="80" zoomScaleNormal="80" zoomScaleSheetLayoutView="90" workbookViewId="0">
      <selection activeCell="J36" sqref="J36"/>
    </sheetView>
  </sheetViews>
  <sheetFormatPr defaultRowHeight="13.2" x14ac:dyDescent="0.25"/>
  <cols>
    <col min="1" max="1" width="25.5546875" customWidth="1"/>
    <col min="2" max="11" width="20.5546875" customWidth="1"/>
    <col min="12" max="13" width="23.5546875" customWidth="1"/>
  </cols>
  <sheetData>
    <row r="1" spans="1:11" ht="24.75" customHeight="1" x14ac:dyDescent="0.25">
      <c r="A1" s="35" t="s">
        <v>185</v>
      </c>
    </row>
    <row r="2" spans="1:11" ht="27.6" x14ac:dyDescent="0.25">
      <c r="A2" s="5" t="s">
        <v>5</v>
      </c>
      <c r="B2" s="6" t="s">
        <v>12</v>
      </c>
      <c r="C2" s="6" t="s">
        <v>13</v>
      </c>
      <c r="D2" s="6" t="s">
        <v>15</v>
      </c>
      <c r="E2" s="6" t="s">
        <v>9</v>
      </c>
      <c r="F2" s="6" t="s">
        <v>151</v>
      </c>
      <c r="G2" s="6" t="s">
        <v>179</v>
      </c>
      <c r="H2" s="6" t="s">
        <v>186</v>
      </c>
      <c r="I2" s="6" t="s">
        <v>187</v>
      </c>
      <c r="J2" s="7" t="s">
        <v>3</v>
      </c>
      <c r="K2" s="8" t="s">
        <v>4</v>
      </c>
    </row>
    <row r="3" spans="1:11" ht="13.8" x14ac:dyDescent="0.3">
      <c r="A3" s="1" t="s">
        <v>188</v>
      </c>
      <c r="B3" s="2">
        <v>8310</v>
      </c>
      <c r="C3" s="2">
        <v>9903</v>
      </c>
      <c r="D3" s="2">
        <v>14036</v>
      </c>
      <c r="E3" s="2">
        <v>43493</v>
      </c>
      <c r="F3" s="2">
        <v>45187</v>
      </c>
      <c r="G3" s="2">
        <v>9071</v>
      </c>
      <c r="H3" s="2">
        <v>6511</v>
      </c>
      <c r="I3" s="2">
        <v>2387</v>
      </c>
      <c r="J3" s="9">
        <f>SUM(RepInCongressCongressionalDistrict22General[[#This Row],[Chenango County Vote Results]:[Part of Tioga County Vote Results]])</f>
        <v>138898</v>
      </c>
      <c r="K3" s="10">
        <f>SUM(RepInCongressCongressionalDistrict22General[[#This Row],[Total Votes by Party]],J6,J8)</f>
        <v>155989</v>
      </c>
    </row>
    <row r="4" spans="1:11" ht="13.8" x14ac:dyDescent="0.3">
      <c r="A4" s="1" t="s">
        <v>189</v>
      </c>
      <c r="B4" s="2">
        <v>11140</v>
      </c>
      <c r="C4" s="2">
        <v>8811</v>
      </c>
      <c r="D4" s="2">
        <v>15509</v>
      </c>
      <c r="E4" s="2">
        <v>46080</v>
      </c>
      <c r="F4" s="2">
        <v>33920</v>
      </c>
      <c r="G4" s="2">
        <v>12611</v>
      </c>
      <c r="H4" s="2">
        <v>12372</v>
      </c>
      <c r="I4" s="2">
        <v>2848</v>
      </c>
      <c r="J4" s="9">
        <f>SUM(RepInCongressCongressionalDistrict22General[[#This Row],[Chenango County Vote Results]:[Part of Tioga County Vote Results]])</f>
        <v>143291</v>
      </c>
      <c r="K4" s="10">
        <f>SUM(RepInCongressCongressionalDistrict22General[[#This Row],[Total Votes by Party]],J5)</f>
        <v>156098</v>
      </c>
    </row>
    <row r="5" spans="1:11" ht="13.8" x14ac:dyDescent="0.3">
      <c r="A5" s="1" t="s">
        <v>190</v>
      </c>
      <c r="B5" s="2">
        <v>782</v>
      </c>
      <c r="C5" s="2">
        <v>741</v>
      </c>
      <c r="D5" s="2">
        <v>1536</v>
      </c>
      <c r="E5" s="2">
        <v>4565</v>
      </c>
      <c r="F5" s="2">
        <v>2670</v>
      </c>
      <c r="G5" s="2">
        <v>1076</v>
      </c>
      <c r="H5" s="2">
        <v>1229</v>
      </c>
      <c r="I5" s="2">
        <v>208</v>
      </c>
      <c r="J5" s="9">
        <f>SUM(RepInCongressCongressionalDistrict22General[[#This Row],[Chenango County Vote Results]:[Part of Tioga County Vote Results]])</f>
        <v>12807</v>
      </c>
      <c r="K5" s="11"/>
    </row>
    <row r="6" spans="1:11" ht="13.8" x14ac:dyDescent="0.3">
      <c r="A6" s="1" t="s">
        <v>191</v>
      </c>
      <c r="B6" s="2">
        <v>594</v>
      </c>
      <c r="C6" s="2">
        <v>738</v>
      </c>
      <c r="D6" s="2">
        <v>980</v>
      </c>
      <c r="E6" s="2">
        <v>3626</v>
      </c>
      <c r="F6" s="2">
        <v>3701</v>
      </c>
      <c r="G6" s="2">
        <v>731</v>
      </c>
      <c r="H6" s="2">
        <v>651</v>
      </c>
      <c r="I6" s="2">
        <v>167</v>
      </c>
      <c r="J6" s="9">
        <f>SUM(RepInCongressCongressionalDistrict22General[[#This Row],[Chenango County Vote Results]:[Part of Tioga County Vote Results]])</f>
        <v>11188</v>
      </c>
      <c r="K6" s="11"/>
    </row>
    <row r="7" spans="1:11" ht="13.8" x14ac:dyDescent="0.3">
      <c r="A7" s="1" t="s">
        <v>192</v>
      </c>
      <c r="B7" s="2">
        <v>654</v>
      </c>
      <c r="C7" s="2">
        <v>613</v>
      </c>
      <c r="D7" s="2">
        <v>694</v>
      </c>
      <c r="E7" s="2">
        <v>1390</v>
      </c>
      <c r="F7" s="2">
        <v>2461</v>
      </c>
      <c r="G7" s="2">
        <v>360</v>
      </c>
      <c r="H7" s="2">
        <v>414</v>
      </c>
      <c r="I7" s="2">
        <v>194</v>
      </c>
      <c r="J7" s="9">
        <f>SUM(RepInCongressCongressionalDistrict22General[[#This Row],[Chenango County Vote Results]:[Part of Tioga County Vote Results]])</f>
        <v>6780</v>
      </c>
      <c r="K7" s="10">
        <f>SUM(RepInCongressCongressionalDistrict22General[[#This Row],[Total Votes by Party]])</f>
        <v>6780</v>
      </c>
    </row>
    <row r="8" spans="1:11" ht="13.8" x14ac:dyDescent="0.3">
      <c r="A8" s="1" t="s">
        <v>193</v>
      </c>
      <c r="B8" s="2">
        <v>415</v>
      </c>
      <c r="C8" s="2">
        <v>441</v>
      </c>
      <c r="D8" s="2">
        <v>653</v>
      </c>
      <c r="E8" s="2">
        <v>1840</v>
      </c>
      <c r="F8" s="2">
        <v>1817</v>
      </c>
      <c r="G8" s="2">
        <v>331</v>
      </c>
      <c r="H8" s="2">
        <v>271</v>
      </c>
      <c r="I8" s="2">
        <v>135</v>
      </c>
      <c r="J8" s="9">
        <f>SUM(RepInCongressCongressionalDistrict22General[[#This Row],[Chenango County Vote Results]:[Part of Tioga County Vote Results]])</f>
        <v>5903</v>
      </c>
      <c r="K8" s="11"/>
    </row>
    <row r="9" spans="1:11" ht="13.8" x14ac:dyDescent="0.3">
      <c r="A9" s="3" t="s">
        <v>0</v>
      </c>
      <c r="B9" s="2">
        <v>576</v>
      </c>
      <c r="C9" s="2">
        <v>6</v>
      </c>
      <c r="D9" s="2">
        <v>839</v>
      </c>
      <c r="E9" s="2">
        <v>1677</v>
      </c>
      <c r="F9" s="2">
        <v>2468</v>
      </c>
      <c r="G9" s="2">
        <v>528</v>
      </c>
      <c r="H9" s="2">
        <v>569</v>
      </c>
      <c r="I9" s="2">
        <v>122</v>
      </c>
      <c r="J9" s="9">
        <f>SUM(RepInCongressCongressionalDistrict22General[[#This Row],[Chenango County Vote Results]:[Part of Tioga County Vote Results]])</f>
        <v>6785</v>
      </c>
      <c r="K9" s="11"/>
    </row>
    <row r="10" spans="1:11" ht="13.8" x14ac:dyDescent="0.3">
      <c r="A10" s="3" t="s">
        <v>1</v>
      </c>
      <c r="B10" s="2">
        <v>12</v>
      </c>
      <c r="C10" s="2">
        <v>5</v>
      </c>
      <c r="D10" s="2">
        <v>1</v>
      </c>
      <c r="E10" s="2">
        <v>0</v>
      </c>
      <c r="F10" s="2">
        <v>85</v>
      </c>
      <c r="G10" s="2">
        <v>23</v>
      </c>
      <c r="H10" s="2">
        <v>15</v>
      </c>
      <c r="I10" s="2">
        <v>4</v>
      </c>
      <c r="J10" s="9">
        <f>SUM(RepInCongressCongressionalDistrict22General[[#This Row],[Chenango County Vote Results]:[Part of Tioga County Vote Results]])</f>
        <v>145</v>
      </c>
      <c r="K10" s="11"/>
    </row>
    <row r="11" spans="1:11" ht="13.8" x14ac:dyDescent="0.3">
      <c r="A11" s="3" t="s">
        <v>6</v>
      </c>
      <c r="B11" s="2">
        <v>8</v>
      </c>
      <c r="C11" s="2">
        <v>635</v>
      </c>
      <c r="D11" s="2">
        <v>12</v>
      </c>
      <c r="E11" s="2">
        <v>38</v>
      </c>
      <c r="F11" s="2">
        <v>60</v>
      </c>
      <c r="G11" s="2">
        <v>5</v>
      </c>
      <c r="H11" s="2">
        <v>11</v>
      </c>
      <c r="I11" s="2">
        <v>2</v>
      </c>
      <c r="J11" s="9">
        <f>SUM(RepInCongressCongressionalDistrict22General[[#This Row],[Chenango County Vote Results]:[Part of Tioga County Vote Results]])</f>
        <v>771</v>
      </c>
      <c r="K11" s="11"/>
    </row>
    <row r="12" spans="1:11" ht="13.8" x14ac:dyDescent="0.3">
      <c r="A12" s="13" t="s">
        <v>2</v>
      </c>
      <c r="B12" s="2">
        <f>SUM(RepInCongressCongressionalDistrict22General[Chenango County Vote Results])</f>
        <v>22491</v>
      </c>
      <c r="C12" s="2">
        <f>SUM(RepInCongressCongressionalDistrict22General[Cortland County Vote Results])</f>
        <v>21893</v>
      </c>
      <c r="D12" s="2">
        <f>SUM(RepInCongressCongressionalDistrict22General[Madison County Vote Results])</f>
        <v>34260</v>
      </c>
      <c r="E12" s="2">
        <f>SUM(RepInCongressCongressionalDistrict22General[Oneida County Vote Results])</f>
        <v>102709</v>
      </c>
      <c r="F12" s="2">
        <f>SUM(RepInCongressCongressionalDistrict22General[Part of Broome County Vote Results])</f>
        <v>92369</v>
      </c>
      <c r="G12" s="2">
        <f>SUM(RepInCongressCongressionalDistrict22General[Part of Herkimer County Vote Results])</f>
        <v>24736</v>
      </c>
      <c r="H12" s="2">
        <f>SUM(RepInCongressCongressionalDistrict22General[Part of Oswego County Vote Results])</f>
        <v>22043</v>
      </c>
      <c r="I12" s="2">
        <f>SUM(RepInCongressCongressionalDistrict22General[Part of Tioga County Vote Results])</f>
        <v>6067</v>
      </c>
      <c r="J12" s="9">
        <f>SUM(RepInCongressCongressionalDistrict22General[Total Votes by Party])</f>
        <v>326568</v>
      </c>
      <c r="K12" s="11"/>
    </row>
    <row r="15" spans="1:11" x14ac:dyDescent="0.25">
      <c r="B15" s="25"/>
      <c r="C15" s="25"/>
      <c r="D15" s="25"/>
      <c r="E15" s="25"/>
    </row>
  </sheetData>
  <pageMargins left="0.25" right="0.25" top="0.25" bottom="0.25" header="0.25" footer="0.25"/>
  <pageSetup paperSize="5" scale="76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EEDB-6D97-4977-A366-FFFA79432F9A}">
  <sheetPr>
    <pageSetUpPr fitToPage="1"/>
  </sheetPr>
  <dimension ref="A1:N12"/>
  <sheetViews>
    <sheetView zoomScale="90" zoomScaleNormal="90" zoomScaleSheetLayoutView="90" workbookViewId="0">
      <selection activeCell="M33" sqref="M33"/>
    </sheetView>
  </sheetViews>
  <sheetFormatPr defaultRowHeight="13.2" x14ac:dyDescent="0.25"/>
  <cols>
    <col min="1" max="1" width="25.5546875" customWidth="1"/>
    <col min="2" max="14" width="13.6640625" customWidth="1"/>
    <col min="15" max="16" width="23.5546875" customWidth="1"/>
  </cols>
  <sheetData>
    <row r="1" spans="1:14" ht="24.75" customHeight="1" x14ac:dyDescent="0.25">
      <c r="A1" s="35" t="s">
        <v>194</v>
      </c>
    </row>
    <row r="2" spans="1:14" ht="38.25" customHeight="1" x14ac:dyDescent="0.25">
      <c r="A2" s="5" t="s">
        <v>5</v>
      </c>
      <c r="B2" s="6" t="s">
        <v>25</v>
      </c>
      <c r="C2" s="6" t="s">
        <v>26</v>
      </c>
      <c r="D2" s="6" t="s">
        <v>27</v>
      </c>
      <c r="E2" s="6" t="s">
        <v>11</v>
      </c>
      <c r="F2" s="6" t="s">
        <v>17</v>
      </c>
      <c r="G2" s="6" t="s">
        <v>21</v>
      </c>
      <c r="H2" s="6" t="s">
        <v>22</v>
      </c>
      <c r="I2" s="6" t="s">
        <v>18</v>
      </c>
      <c r="J2" s="6" t="s">
        <v>24</v>
      </c>
      <c r="K2" s="6" t="s">
        <v>195</v>
      </c>
      <c r="L2" s="6" t="s">
        <v>187</v>
      </c>
      <c r="M2" s="28" t="s">
        <v>3</v>
      </c>
      <c r="N2" s="29" t="s">
        <v>4</v>
      </c>
    </row>
    <row r="3" spans="1:14" ht="13.8" x14ac:dyDescent="0.3">
      <c r="A3" s="1" t="s">
        <v>196</v>
      </c>
      <c r="B3" s="2">
        <v>5121</v>
      </c>
      <c r="C3" s="2">
        <v>10178</v>
      </c>
      <c r="D3" s="2">
        <v>19455</v>
      </c>
      <c r="E3" s="2">
        <v>13852</v>
      </c>
      <c r="F3" s="2">
        <v>3255</v>
      </c>
      <c r="G3" s="2">
        <v>5802</v>
      </c>
      <c r="H3" s="2">
        <v>13290</v>
      </c>
      <c r="I3" s="19">
        <v>27450</v>
      </c>
      <c r="J3" s="2">
        <v>3621</v>
      </c>
      <c r="K3" s="2">
        <v>8014</v>
      </c>
      <c r="L3" s="2">
        <v>5987</v>
      </c>
      <c r="M3" s="9">
        <f>SUM(RepInCongressCongressionalDistrict23General[[#This Row],[Allegany County Vote Results]:[Part of Tioga County Vote Results]])</f>
        <v>116025</v>
      </c>
      <c r="N3" s="10">
        <f>SUM(RepInCongressCongressionalDistrict23General[[#This Row],[Total Votes by Party]],M6)</f>
        <v>128976</v>
      </c>
    </row>
    <row r="4" spans="1:14" ht="13.8" x14ac:dyDescent="0.3">
      <c r="A4" s="1" t="s">
        <v>197</v>
      </c>
      <c r="B4" s="2">
        <v>13128</v>
      </c>
      <c r="C4" s="2">
        <v>19743</v>
      </c>
      <c r="D4" s="2">
        <v>31020</v>
      </c>
      <c r="E4" s="2">
        <v>21236</v>
      </c>
      <c r="F4" s="2">
        <v>5309</v>
      </c>
      <c r="G4" s="2">
        <v>7532</v>
      </c>
      <c r="H4" s="2">
        <v>27824</v>
      </c>
      <c r="I4" s="19">
        <v>10569</v>
      </c>
      <c r="J4" s="2">
        <v>5676</v>
      </c>
      <c r="K4" s="2">
        <v>9253</v>
      </c>
      <c r="L4" s="2">
        <v>10510</v>
      </c>
      <c r="M4" s="9">
        <f>SUM(RepInCongressCongressionalDistrict23General[[#This Row],[Allegany County Vote Results]:[Part of Tioga County Vote Results]])</f>
        <v>161800</v>
      </c>
      <c r="N4" s="10">
        <f>SUM(RepInCongressCongressionalDistrict23General[[#This Row],[Total Votes by Party]],M5,M8)</f>
        <v>181021</v>
      </c>
    </row>
    <row r="5" spans="1:14" ht="13.8" x14ac:dyDescent="0.3">
      <c r="A5" s="1" t="s">
        <v>198</v>
      </c>
      <c r="B5" s="2">
        <v>1092</v>
      </c>
      <c r="C5" s="2">
        <v>2025</v>
      </c>
      <c r="D5" s="2">
        <v>4007</v>
      </c>
      <c r="E5" s="2">
        <v>1554</v>
      </c>
      <c r="F5" s="2">
        <v>437</v>
      </c>
      <c r="G5" s="2">
        <v>793</v>
      </c>
      <c r="H5" s="2">
        <v>2270</v>
      </c>
      <c r="I5" s="19">
        <v>829</v>
      </c>
      <c r="J5" s="2">
        <v>645</v>
      </c>
      <c r="K5" s="2">
        <v>1138</v>
      </c>
      <c r="L5" s="2">
        <v>722</v>
      </c>
      <c r="M5" s="9">
        <f>SUM(RepInCongressCongressionalDistrict23General[[#This Row],[Allegany County Vote Results]:[Part of Tioga County Vote Results]])</f>
        <v>15512</v>
      </c>
      <c r="N5" s="11"/>
    </row>
    <row r="6" spans="1:14" ht="13.8" x14ac:dyDescent="0.3">
      <c r="A6" s="1" t="s">
        <v>199</v>
      </c>
      <c r="B6" s="2">
        <v>502</v>
      </c>
      <c r="C6" s="2">
        <v>979</v>
      </c>
      <c r="D6" s="2">
        <v>1880</v>
      </c>
      <c r="E6" s="2">
        <v>960</v>
      </c>
      <c r="F6" s="2">
        <v>342</v>
      </c>
      <c r="G6" s="2">
        <v>532</v>
      </c>
      <c r="H6" s="2">
        <v>1166</v>
      </c>
      <c r="I6" s="19">
        <v>4995</v>
      </c>
      <c r="J6" s="2">
        <v>322</v>
      </c>
      <c r="K6" s="2">
        <v>722</v>
      </c>
      <c r="L6" s="2">
        <v>551</v>
      </c>
      <c r="M6" s="9">
        <f>SUM(RepInCongressCongressionalDistrict23General[[#This Row],[Allegany County Vote Results]:[Part of Tioga County Vote Results]])</f>
        <v>12951</v>
      </c>
      <c r="N6" s="11"/>
    </row>
    <row r="7" spans="1:14" ht="13.8" x14ac:dyDescent="0.3">
      <c r="A7" s="1" t="s">
        <v>200</v>
      </c>
      <c r="B7" s="2">
        <v>230</v>
      </c>
      <c r="C7" s="2">
        <v>420</v>
      </c>
      <c r="D7" s="2">
        <v>835</v>
      </c>
      <c r="E7" s="2">
        <v>509</v>
      </c>
      <c r="F7" s="2">
        <v>125</v>
      </c>
      <c r="G7" s="2">
        <v>116</v>
      </c>
      <c r="H7" s="2">
        <v>367</v>
      </c>
      <c r="I7" s="19">
        <v>493</v>
      </c>
      <c r="J7" s="2">
        <v>69</v>
      </c>
      <c r="K7" s="2">
        <v>190</v>
      </c>
      <c r="L7" s="2">
        <v>296</v>
      </c>
      <c r="M7" s="9">
        <f>SUM(RepInCongressCongressionalDistrict23General[[#This Row],[Allegany County Vote Results]:[Part of Tioga County Vote Results]])</f>
        <v>3650</v>
      </c>
      <c r="N7" s="10">
        <f>SUM(RepInCongressCongressionalDistrict23General[[#This Row],[Total Votes by Party]])</f>
        <v>3650</v>
      </c>
    </row>
    <row r="8" spans="1:14" ht="13.8" x14ac:dyDescent="0.3">
      <c r="A8" s="1" t="s">
        <v>201</v>
      </c>
      <c r="B8" s="2">
        <v>214</v>
      </c>
      <c r="C8" s="2">
        <v>414</v>
      </c>
      <c r="D8" s="2">
        <v>726</v>
      </c>
      <c r="E8" s="2">
        <v>604</v>
      </c>
      <c r="F8" s="2">
        <v>123</v>
      </c>
      <c r="G8" s="2">
        <v>170</v>
      </c>
      <c r="H8" s="2">
        <v>411</v>
      </c>
      <c r="I8" s="19">
        <v>418</v>
      </c>
      <c r="J8" s="2">
        <v>98</v>
      </c>
      <c r="K8" s="2">
        <v>238</v>
      </c>
      <c r="L8" s="2">
        <v>293</v>
      </c>
      <c r="M8" s="9">
        <f>SUM(RepInCongressCongressionalDistrict23General[[#This Row],[Allegany County Vote Results]:[Part of Tioga County Vote Results]])</f>
        <v>3709</v>
      </c>
      <c r="N8" s="11"/>
    </row>
    <row r="9" spans="1:14" ht="13.8" x14ac:dyDescent="0.3">
      <c r="A9" s="3" t="s">
        <v>0</v>
      </c>
      <c r="B9" s="2">
        <v>599</v>
      </c>
      <c r="C9" s="2">
        <v>1217</v>
      </c>
      <c r="D9" s="2">
        <v>1775</v>
      </c>
      <c r="E9" s="2">
        <v>996</v>
      </c>
      <c r="F9" s="2">
        <v>195</v>
      </c>
      <c r="G9" s="2">
        <v>752</v>
      </c>
      <c r="H9" s="2">
        <v>1156</v>
      </c>
      <c r="I9" s="19">
        <v>1222</v>
      </c>
      <c r="J9" s="2">
        <v>345</v>
      </c>
      <c r="K9" s="2">
        <v>938</v>
      </c>
      <c r="L9" s="2">
        <v>718</v>
      </c>
      <c r="M9" s="9">
        <f>SUM(RepInCongressCongressionalDistrict23General[[#This Row],[Allegany County Vote Results]:[Part of Tioga County Vote Results]])</f>
        <v>9913</v>
      </c>
      <c r="N9" s="11"/>
    </row>
    <row r="10" spans="1:14" ht="13.8" x14ac:dyDescent="0.3">
      <c r="A10" s="3" t="s">
        <v>1</v>
      </c>
      <c r="B10" s="2">
        <v>4</v>
      </c>
      <c r="C10" s="2">
        <v>35</v>
      </c>
      <c r="D10" s="2">
        <v>48</v>
      </c>
      <c r="E10" s="2">
        <v>0</v>
      </c>
      <c r="F10" s="2">
        <v>6</v>
      </c>
      <c r="G10" s="2">
        <v>18</v>
      </c>
      <c r="H10" s="2">
        <v>20</v>
      </c>
      <c r="I10" s="19">
        <v>18</v>
      </c>
      <c r="J10" s="2">
        <v>9</v>
      </c>
      <c r="K10" s="2">
        <v>15</v>
      </c>
      <c r="L10" s="2">
        <v>14</v>
      </c>
      <c r="M10" s="9">
        <f>SUM(RepInCongressCongressionalDistrict23General[[#This Row],[Allegany County Vote Results]:[Part of Tioga County Vote Results]])</f>
        <v>187</v>
      </c>
      <c r="N10" s="11"/>
    </row>
    <row r="11" spans="1:14" ht="13.8" x14ac:dyDescent="0.3">
      <c r="A11" s="3" t="s">
        <v>6</v>
      </c>
      <c r="B11" s="2">
        <v>5</v>
      </c>
      <c r="C11" s="2">
        <v>3</v>
      </c>
      <c r="D11" s="2">
        <v>23</v>
      </c>
      <c r="E11" s="2">
        <v>0</v>
      </c>
      <c r="F11" s="2">
        <v>7</v>
      </c>
      <c r="G11" s="2">
        <v>3</v>
      </c>
      <c r="H11" s="2">
        <v>10</v>
      </c>
      <c r="I11" s="19">
        <v>53</v>
      </c>
      <c r="J11" s="2">
        <v>3</v>
      </c>
      <c r="K11" s="2">
        <v>4</v>
      </c>
      <c r="L11" s="2">
        <v>7</v>
      </c>
      <c r="M11" s="9">
        <f>SUM(RepInCongressCongressionalDistrict23General[[#This Row],[Allegany County Vote Results]:[Part of Tioga County Vote Results]])</f>
        <v>118</v>
      </c>
      <c r="N11" s="11"/>
    </row>
    <row r="12" spans="1:14" ht="13.8" x14ac:dyDescent="0.3">
      <c r="A12" s="13" t="s">
        <v>2</v>
      </c>
      <c r="B12" s="2">
        <f>SUM(RepInCongressCongressionalDistrict23General[Allegany County Vote Results])</f>
        <v>20895</v>
      </c>
      <c r="C12" s="2">
        <f>SUM(RepInCongressCongressionalDistrict23General[Cattaraugus County Vote Results])</f>
        <v>35014</v>
      </c>
      <c r="D12" s="2">
        <f>SUM(RepInCongressCongressionalDistrict23General[Chautauqua County Vote Results])</f>
        <v>59769</v>
      </c>
      <c r="E12" s="2">
        <f>SUM(RepInCongressCongressionalDistrict23General[Chemung County Vote Results])</f>
        <v>39711</v>
      </c>
      <c r="F12" s="2">
        <f>SUM(RepInCongressCongressionalDistrict23General[Schuyler County Vote Results])</f>
        <v>9799</v>
      </c>
      <c r="G12" s="2">
        <f>SUM(RepInCongressCongressionalDistrict23General[Seneca County Vote Results])</f>
        <v>15718</v>
      </c>
      <c r="H12" s="2">
        <f>SUM(RepInCongressCongressionalDistrict23General[Steuben County Vote Results])</f>
        <v>46514</v>
      </c>
      <c r="I12" s="2">
        <f>SUM(RepInCongressCongressionalDistrict23General[Tompkins County Vote Results])</f>
        <v>46047</v>
      </c>
      <c r="J12" s="2">
        <f>SUM(RepInCongressCongressionalDistrict23General[Yates County Vote Results])</f>
        <v>10788</v>
      </c>
      <c r="K12" s="2">
        <f>SUM(RepInCongressCongressionalDistrict23General[Part of Ontario County Vote Results])</f>
        <v>20512</v>
      </c>
      <c r="L12" s="2">
        <f>SUM(RepInCongressCongressionalDistrict23General[Part of Tioga County Vote Results])</f>
        <v>19098</v>
      </c>
      <c r="M12" s="9">
        <f>SUM(RepInCongressCongressionalDistrict23General[Total Votes by Party])</f>
        <v>323865</v>
      </c>
      <c r="N12" s="11"/>
    </row>
  </sheetData>
  <pageMargins left="0.25" right="0.25" top="0.25" bottom="0.25" header="0.25" footer="0.25"/>
  <pageSetup paperSize="5" scale="86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10A-E04E-45E5-BFC2-533B20054108}">
  <sheetPr>
    <pageSetUpPr fitToPage="1"/>
  </sheetPr>
  <dimension ref="A1:G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24.75" customHeight="1" x14ac:dyDescent="0.25">
      <c r="A1" s="35" t="s">
        <v>202</v>
      </c>
    </row>
    <row r="2" spans="1:7" ht="27.6" x14ac:dyDescent="0.25">
      <c r="A2" s="5" t="s">
        <v>5</v>
      </c>
      <c r="B2" s="6" t="s">
        <v>19</v>
      </c>
      <c r="C2" s="6" t="s">
        <v>10</v>
      </c>
      <c r="D2" s="6" t="s">
        <v>23</v>
      </c>
      <c r="E2" s="6" t="s">
        <v>186</v>
      </c>
      <c r="F2" s="7" t="s">
        <v>3</v>
      </c>
      <c r="G2" s="8" t="s">
        <v>4</v>
      </c>
    </row>
    <row r="3" spans="1:7" ht="13.8" x14ac:dyDescent="0.3">
      <c r="A3" s="1" t="s">
        <v>203</v>
      </c>
      <c r="B3" s="19">
        <v>12679</v>
      </c>
      <c r="C3" s="19">
        <v>110541</v>
      </c>
      <c r="D3" s="2">
        <v>13703</v>
      </c>
      <c r="E3" s="2">
        <v>10954</v>
      </c>
      <c r="F3" s="9">
        <f>SUM(RepInCongressCongressionalDistrict24General[[#This Row],[Cayuga County Vote Results]:[Part of Oswego County Vote Results]])</f>
        <v>147877</v>
      </c>
      <c r="G3" s="10">
        <f>SUM(RepInCongressCongressionalDistrict24General[[#This Row],[Total Votes by Party]])</f>
        <v>147877</v>
      </c>
    </row>
    <row r="4" spans="1:7" ht="13.8" x14ac:dyDescent="0.3">
      <c r="A4" s="1" t="s">
        <v>204</v>
      </c>
      <c r="B4" s="19">
        <v>19243</v>
      </c>
      <c r="C4" s="19">
        <v>96660</v>
      </c>
      <c r="D4" s="2">
        <v>23392</v>
      </c>
      <c r="E4" s="2">
        <v>16941</v>
      </c>
      <c r="F4" s="9">
        <f>SUM(RepInCongressCongressionalDistrict24General[[#This Row],[Cayuga County Vote Results]:[Part of Oswego County Vote Results]])</f>
        <v>156236</v>
      </c>
      <c r="G4" s="10">
        <f>SUM(RepInCongressCongressionalDistrict24General[[#This Row],[Total Votes by Party]],F5,F7)</f>
        <v>182809</v>
      </c>
    </row>
    <row r="5" spans="1:7" ht="13.8" x14ac:dyDescent="0.3">
      <c r="A5" s="1" t="s">
        <v>205</v>
      </c>
      <c r="B5" s="19">
        <v>2290</v>
      </c>
      <c r="C5" s="19">
        <v>13150</v>
      </c>
      <c r="D5" s="2">
        <v>3609</v>
      </c>
      <c r="E5" s="2">
        <v>2037</v>
      </c>
      <c r="F5" s="9">
        <f>SUM(RepInCongressCongressionalDistrict24General[[#This Row],[Cayuga County Vote Results]:[Part of Oswego County Vote Results]])</f>
        <v>21086</v>
      </c>
      <c r="G5" s="11"/>
    </row>
    <row r="6" spans="1:7" ht="13.8" x14ac:dyDescent="0.3">
      <c r="A6" s="1" t="s">
        <v>206</v>
      </c>
      <c r="B6" s="19">
        <v>1269</v>
      </c>
      <c r="C6" s="19">
        <v>8588</v>
      </c>
      <c r="D6" s="2">
        <v>1886</v>
      </c>
      <c r="E6" s="2">
        <v>1521</v>
      </c>
      <c r="F6" s="9">
        <f>SUM(RepInCongressCongressionalDistrict24General[[#This Row],[Cayuga County Vote Results]:[Part of Oswego County Vote Results]])</f>
        <v>13264</v>
      </c>
      <c r="G6" s="10">
        <f>SUM(RepInCongressCongressionalDistrict24General[[#This Row],[Total Votes by Party]])</f>
        <v>13264</v>
      </c>
    </row>
    <row r="7" spans="1:7" ht="13.8" x14ac:dyDescent="0.3">
      <c r="A7" s="1" t="s">
        <v>207</v>
      </c>
      <c r="B7" s="19">
        <v>399</v>
      </c>
      <c r="C7" s="19">
        <v>4263</v>
      </c>
      <c r="D7" s="2">
        <v>435</v>
      </c>
      <c r="E7" s="2">
        <v>390</v>
      </c>
      <c r="F7" s="9">
        <f>SUM(RepInCongressCongressionalDistrict24General[[#This Row],[Cayuga County Vote Results]:[Part of Oswego County Vote Results]])</f>
        <v>5487</v>
      </c>
      <c r="G7" s="11"/>
    </row>
    <row r="8" spans="1:7" ht="13.8" x14ac:dyDescent="0.3">
      <c r="A8" s="3" t="s">
        <v>0</v>
      </c>
      <c r="B8" s="19">
        <v>1180</v>
      </c>
      <c r="C8" s="19">
        <v>4136</v>
      </c>
      <c r="D8" s="2">
        <v>1958</v>
      </c>
      <c r="E8" s="2">
        <v>929</v>
      </c>
      <c r="F8" s="9">
        <f>SUM(RepInCongressCongressionalDistrict24General[[#This Row],[Cayuga County Vote Results]:[Part of Oswego County Vote Results]])</f>
        <v>8203</v>
      </c>
      <c r="G8" s="11"/>
    </row>
    <row r="9" spans="1:7" ht="13.8" x14ac:dyDescent="0.3">
      <c r="A9" s="3" t="s">
        <v>1</v>
      </c>
      <c r="B9" s="19">
        <v>26</v>
      </c>
      <c r="C9" s="19">
        <v>264</v>
      </c>
      <c r="D9" s="2">
        <v>41</v>
      </c>
      <c r="E9" s="2">
        <v>22</v>
      </c>
      <c r="F9" s="9">
        <f>SUM(RepInCongressCongressionalDistrict24General[[#This Row],[Cayuga County Vote Results]:[Part of Oswego County Vote Results]])</f>
        <v>353</v>
      </c>
      <c r="G9" s="11"/>
    </row>
    <row r="10" spans="1:7" ht="13.8" x14ac:dyDescent="0.3">
      <c r="A10" s="3" t="s">
        <v>6</v>
      </c>
      <c r="B10" s="19">
        <v>15</v>
      </c>
      <c r="C10" s="19">
        <v>134</v>
      </c>
      <c r="D10" s="2">
        <v>7</v>
      </c>
      <c r="E10" s="2">
        <v>21</v>
      </c>
      <c r="F10" s="9">
        <f>SUM(RepInCongressCongressionalDistrict24General[[#This Row],[Cayuga County Vote Results]:[Part of Oswego County Vote Results]])</f>
        <v>177</v>
      </c>
      <c r="G10" s="11"/>
    </row>
    <row r="11" spans="1:7" ht="13.8" x14ac:dyDescent="0.3">
      <c r="A11" s="13" t="s">
        <v>2</v>
      </c>
      <c r="B11" s="2">
        <f>SUM(RepInCongressCongressionalDistrict24General[Cayuga County Vote Results])</f>
        <v>37101</v>
      </c>
      <c r="C11" s="19">
        <f>SUM(RepInCongressCongressionalDistrict24General[Onondaga County Vote Results])</f>
        <v>237736</v>
      </c>
      <c r="D11" s="2">
        <f>SUM(RepInCongressCongressionalDistrict24General[Wayne County Vote Results])</f>
        <v>45031</v>
      </c>
      <c r="E11" s="2">
        <f>SUM(RepInCongressCongressionalDistrict24General[Part of Oswego County Vote Results])</f>
        <v>32815</v>
      </c>
      <c r="F11" s="9">
        <f>SUM(RepInCongressCongressionalDistrict24General[Total Votes by Party])</f>
        <v>352683</v>
      </c>
      <c r="G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2975-5FAD-4DAE-88E7-95FA6F3FCB95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5" t="s">
        <v>208</v>
      </c>
    </row>
    <row r="2" spans="1:4" ht="24.9" customHeight="1" x14ac:dyDescent="0.25">
      <c r="A2" s="5" t="s">
        <v>5</v>
      </c>
      <c r="B2" s="6" t="s">
        <v>209</v>
      </c>
      <c r="C2" s="7" t="s">
        <v>3</v>
      </c>
      <c r="D2" s="8" t="s">
        <v>4</v>
      </c>
    </row>
    <row r="3" spans="1:4" ht="13.8" x14ac:dyDescent="0.3">
      <c r="A3" s="1" t="s">
        <v>210</v>
      </c>
      <c r="B3" s="2">
        <v>187503</v>
      </c>
      <c r="C3" s="9">
        <f>RepInCongressCongressionalDistrict25General[[#This Row],[Part of Monroe County Vote Results]]</f>
        <v>187503</v>
      </c>
      <c r="D3" s="10">
        <f>SUM(RepInCongressCongressionalDistrict25General[[#This Row],[Total Votes by Party]],C6,C8)</f>
        <v>206396</v>
      </c>
    </row>
    <row r="4" spans="1:4" ht="13.8" x14ac:dyDescent="0.3">
      <c r="A4" s="1" t="s">
        <v>211</v>
      </c>
      <c r="B4" s="2">
        <v>115940</v>
      </c>
      <c r="C4" s="9">
        <f>RepInCongressCongressionalDistrict25General[[#This Row],[Part of Monroe County Vote Results]]</f>
        <v>115940</v>
      </c>
      <c r="D4" s="10">
        <f>SUM(RepInCongressCongressionalDistrict25General[[#This Row],[Total Votes by Party]],C5)</f>
        <v>136198</v>
      </c>
    </row>
    <row r="5" spans="1:4" ht="13.8" x14ac:dyDescent="0.3">
      <c r="A5" s="1" t="s">
        <v>212</v>
      </c>
      <c r="B5" s="2">
        <v>20258</v>
      </c>
      <c r="C5" s="9">
        <f>RepInCongressCongressionalDistrict25General[[#This Row],[Part of Monroe County Vote Results]]</f>
        <v>20258</v>
      </c>
      <c r="D5" s="11"/>
    </row>
    <row r="6" spans="1:4" ht="13.8" x14ac:dyDescent="0.3">
      <c r="A6" s="1" t="s">
        <v>213</v>
      </c>
      <c r="B6" s="2">
        <v>14584</v>
      </c>
      <c r="C6" s="9">
        <f>RepInCongressCongressionalDistrict25General[[#This Row],[Part of Monroe County Vote Results]]</f>
        <v>14584</v>
      </c>
      <c r="D6" s="11"/>
    </row>
    <row r="7" spans="1:4" ht="13.8" x14ac:dyDescent="0.3">
      <c r="A7" s="1" t="s">
        <v>214</v>
      </c>
      <c r="B7" s="2">
        <v>5325</v>
      </c>
      <c r="C7" s="9">
        <f>RepInCongressCongressionalDistrict25General[[#This Row],[Part of Monroe County Vote Results]]</f>
        <v>5325</v>
      </c>
      <c r="D7" s="10">
        <f>SUM(RepInCongressCongressionalDistrict25General[[#This Row],[Total Votes by Party]])</f>
        <v>5325</v>
      </c>
    </row>
    <row r="8" spans="1:4" ht="13.8" x14ac:dyDescent="0.3">
      <c r="A8" s="1" t="s">
        <v>215</v>
      </c>
      <c r="B8" s="2">
        <v>4309</v>
      </c>
      <c r="C8" s="9">
        <f>RepInCongressCongressionalDistrict25General[[#This Row],[Part of Monroe County Vote Results]]</f>
        <v>4309</v>
      </c>
      <c r="D8" s="11"/>
    </row>
    <row r="9" spans="1:4" ht="13.8" x14ac:dyDescent="0.3">
      <c r="A9" s="3" t="s">
        <v>0</v>
      </c>
      <c r="B9" s="2">
        <v>19079</v>
      </c>
      <c r="C9" s="9">
        <f>RepInCongressCongressionalDistrict25General[[#This Row],[Part of Monroe County Vote Results]]</f>
        <v>19079</v>
      </c>
      <c r="D9" s="11"/>
    </row>
    <row r="10" spans="1:4" ht="13.8" x14ac:dyDescent="0.3">
      <c r="A10" s="3" t="s">
        <v>1</v>
      </c>
      <c r="B10" s="2">
        <v>200</v>
      </c>
      <c r="C10" s="9">
        <f>RepInCongressCongressionalDistrict25General[[#This Row],[Part of Monroe County Vote Results]]</f>
        <v>200</v>
      </c>
      <c r="D10" s="11"/>
    </row>
    <row r="11" spans="1:4" ht="13.8" x14ac:dyDescent="0.3">
      <c r="A11" s="3" t="s">
        <v>6</v>
      </c>
      <c r="B11" s="2">
        <v>179</v>
      </c>
      <c r="C11" s="9">
        <f>RepInCongressCongressionalDistrict25General[[#This Row],[Part of Monroe County Vote Results]]</f>
        <v>179</v>
      </c>
      <c r="D11" s="11"/>
    </row>
    <row r="12" spans="1:4" ht="13.8" x14ac:dyDescent="0.3">
      <c r="A12" s="13" t="s">
        <v>2</v>
      </c>
      <c r="B12" s="2">
        <f>SUM(RepInCongressCongressionalDistrict25General[Part of Monroe County Vote Results])</f>
        <v>367377</v>
      </c>
      <c r="C12" s="9">
        <f>SUM(RepInCongressCongressionalDistrict25General[Total Votes by Party])</f>
        <v>367377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E2D4-38A5-4D2E-A85E-9C82874309D9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5" t="s">
        <v>216</v>
      </c>
    </row>
    <row r="2" spans="1:5" ht="27.6" x14ac:dyDescent="0.25">
      <c r="A2" s="5" t="s">
        <v>5</v>
      </c>
      <c r="B2" s="6" t="s">
        <v>217</v>
      </c>
      <c r="C2" s="6" t="s">
        <v>218</v>
      </c>
      <c r="D2" s="7" t="s">
        <v>3</v>
      </c>
      <c r="E2" s="8" t="s">
        <v>4</v>
      </c>
    </row>
    <row r="3" spans="1:5" ht="13.8" x14ac:dyDescent="0.3">
      <c r="A3" s="1" t="s">
        <v>219</v>
      </c>
      <c r="B3" s="2">
        <v>185101</v>
      </c>
      <c r="C3" s="2">
        <v>17299</v>
      </c>
      <c r="D3" s="9">
        <f>SUM(RepInCongressCongressionalDistrict26General[[#This Row],[Part of Erie County Vote Results]:[Part of Niagara County Vote Results]])</f>
        <v>202400</v>
      </c>
      <c r="E3" s="10">
        <f>SUM(RepInCongressCongressionalDistrict26General[[#This Row],[Total Votes by Party]],D5,D7)</f>
        <v>223366</v>
      </c>
    </row>
    <row r="4" spans="1:5" ht="13.8" x14ac:dyDescent="0.3">
      <c r="A4" s="1" t="s">
        <v>220</v>
      </c>
      <c r="B4" s="2">
        <v>79944</v>
      </c>
      <c r="C4" s="2">
        <v>11762</v>
      </c>
      <c r="D4" s="9">
        <f>SUM(RepInCongressCongressionalDistrict26General[[#This Row],[Part of Erie County Vote Results]:[Part of Niagara County Vote Results]])</f>
        <v>91706</v>
      </c>
      <c r="E4" s="10">
        <f>RepInCongressCongressionalDistrict26General[[#This Row],[Total Votes by Party]]</f>
        <v>91706</v>
      </c>
    </row>
    <row r="5" spans="1:5" ht="13.8" x14ac:dyDescent="0.3">
      <c r="A5" s="1" t="s">
        <v>221</v>
      </c>
      <c r="B5" s="2">
        <v>18490</v>
      </c>
      <c r="C5" s="2">
        <v>1819</v>
      </c>
      <c r="D5" s="9">
        <f>SUM(RepInCongressCongressionalDistrict26General[[#This Row],[Part of Erie County Vote Results]:[Part of Niagara County Vote Results]])</f>
        <v>20309</v>
      </c>
      <c r="E5" s="11"/>
    </row>
    <row r="6" spans="1:5" ht="13.8" x14ac:dyDescent="0.3">
      <c r="A6" s="3" t="s">
        <v>222</v>
      </c>
      <c r="B6" s="2">
        <v>4148</v>
      </c>
      <c r="C6" s="2">
        <v>483</v>
      </c>
      <c r="D6" s="9">
        <f>SUM(RepInCongressCongressionalDistrict26General[[#This Row],[Part of Erie County Vote Results]:[Part of Niagara County Vote Results]])</f>
        <v>4631</v>
      </c>
      <c r="E6" s="10">
        <f>RepInCongressCongressionalDistrict26General[[#This Row],[Total Votes by Party]]</f>
        <v>4631</v>
      </c>
    </row>
    <row r="7" spans="1:5" ht="13.8" x14ac:dyDescent="0.3">
      <c r="A7" s="1" t="s">
        <v>223</v>
      </c>
      <c r="B7" s="2">
        <v>581</v>
      </c>
      <c r="C7" s="2">
        <v>76</v>
      </c>
      <c r="D7" s="9">
        <f>SUM(RepInCongressCongressionalDistrict26General[[#This Row],[Part of Erie County Vote Results]:[Part of Niagara County Vote Results]])</f>
        <v>657</v>
      </c>
      <c r="E7" s="11"/>
    </row>
    <row r="8" spans="1:5" ht="13.8" x14ac:dyDescent="0.3">
      <c r="A8" s="3" t="s">
        <v>0</v>
      </c>
      <c r="B8" s="2">
        <v>14868</v>
      </c>
      <c r="C8" s="2">
        <v>2854</v>
      </c>
      <c r="D8" s="9">
        <f>SUM(RepInCongressCongressionalDistrict26General[[#This Row],[Part of Erie County Vote Results]:[Part of Niagara County Vote Results]])</f>
        <v>17722</v>
      </c>
      <c r="E8" s="11"/>
    </row>
    <row r="9" spans="1:5" ht="13.8" x14ac:dyDescent="0.3">
      <c r="A9" s="3" t="s">
        <v>1</v>
      </c>
      <c r="B9" s="2">
        <v>182</v>
      </c>
      <c r="C9" s="2">
        <v>16</v>
      </c>
      <c r="D9" s="9">
        <f>SUM(RepInCongressCongressionalDistrict26General[[#This Row],[Part of Erie County Vote Results]:[Part of Niagara County Vote Results]])</f>
        <v>198</v>
      </c>
      <c r="E9" s="11"/>
    </row>
    <row r="10" spans="1:5" ht="13.8" x14ac:dyDescent="0.3">
      <c r="A10" s="3" t="s">
        <v>6</v>
      </c>
      <c r="B10" s="2">
        <v>230</v>
      </c>
      <c r="C10" s="2">
        <v>14</v>
      </c>
      <c r="D10" s="9">
        <f>SUM(RepInCongressCongressionalDistrict26General[[#This Row],[Part of Erie County Vote Results]:[Part of Niagara County Vote Results]])</f>
        <v>244</v>
      </c>
      <c r="E10" s="11"/>
    </row>
    <row r="11" spans="1:5" ht="13.8" x14ac:dyDescent="0.3">
      <c r="A11" s="13" t="s">
        <v>2</v>
      </c>
      <c r="B11" s="2">
        <f>SUM(RepInCongressCongressionalDistrict26General[Part of Erie County Vote Results])</f>
        <v>303544</v>
      </c>
      <c r="C11" s="2">
        <f>SUM(RepInCongressCongressionalDistrict26General[Part of Niagara County Vote Results])</f>
        <v>34323</v>
      </c>
      <c r="D11" s="9">
        <f>SUM(RepInCongressCongressionalDistrict26General[Total Votes by Party])</f>
        <v>337867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F6D0-F95A-44B9-9350-CF5353CAAA89}">
  <sheetPr>
    <pageSetUpPr fitToPage="1"/>
  </sheetPr>
  <dimension ref="A1:K12"/>
  <sheetViews>
    <sheetView zoomScale="90" zoomScaleNormal="90" zoomScaleSheetLayoutView="80" workbookViewId="0">
      <selection activeCell="J32" sqref="J32"/>
    </sheetView>
  </sheetViews>
  <sheetFormatPr defaultRowHeight="13.2" x14ac:dyDescent="0.25"/>
  <cols>
    <col min="1" max="1" width="25.5546875" customWidth="1"/>
    <col min="2" max="10" width="17.6640625" customWidth="1"/>
    <col min="11" max="11" width="20.5546875" customWidth="1"/>
    <col min="12" max="13" width="23.5546875" customWidth="1"/>
  </cols>
  <sheetData>
    <row r="1" spans="1:11" ht="24.75" customHeight="1" x14ac:dyDescent="0.25">
      <c r="A1" s="35" t="s">
        <v>224</v>
      </c>
    </row>
    <row r="2" spans="1:11" ht="27.6" x14ac:dyDescent="0.25">
      <c r="A2" s="5" t="s">
        <v>5</v>
      </c>
      <c r="B2" s="6" t="s">
        <v>28</v>
      </c>
      <c r="C2" s="6" t="s">
        <v>20</v>
      </c>
      <c r="D2" s="6" t="s">
        <v>29</v>
      </c>
      <c r="E2" s="6" t="s">
        <v>30</v>
      </c>
      <c r="F2" s="6" t="s">
        <v>217</v>
      </c>
      <c r="G2" s="6" t="s">
        <v>209</v>
      </c>
      <c r="H2" s="6" t="s">
        <v>218</v>
      </c>
      <c r="I2" s="6" t="s">
        <v>195</v>
      </c>
      <c r="J2" s="7" t="s">
        <v>3</v>
      </c>
      <c r="K2" s="8" t="s">
        <v>4</v>
      </c>
    </row>
    <row r="3" spans="1:11" ht="13.8" x14ac:dyDescent="0.3">
      <c r="A3" s="1" t="s">
        <v>225</v>
      </c>
      <c r="B3" s="2">
        <v>7972</v>
      </c>
      <c r="C3" s="2">
        <v>10714</v>
      </c>
      <c r="D3" s="2">
        <v>4722</v>
      </c>
      <c r="E3" s="2">
        <v>4400</v>
      </c>
      <c r="F3" s="2">
        <v>62606</v>
      </c>
      <c r="G3" s="2">
        <v>6065</v>
      </c>
      <c r="H3" s="2">
        <v>24004</v>
      </c>
      <c r="I3" s="19">
        <v>16203</v>
      </c>
      <c r="J3" s="9">
        <f>SUM(RepInCongressCongressionalDistrict27General[[#This Row],[Genesee County Vote Results]:[Part of Ontario County Vote Results]])</f>
        <v>136686</v>
      </c>
      <c r="K3" s="10">
        <f>SUM(RepInCongressCongressionalDistrict27General[[#This Row],[Total Votes by Party]],J6)</f>
        <v>149449</v>
      </c>
    </row>
    <row r="4" spans="1:11" ht="13.8" x14ac:dyDescent="0.3">
      <c r="A4" s="1" t="s">
        <v>226</v>
      </c>
      <c r="B4" s="2">
        <v>16297</v>
      </c>
      <c r="C4" s="2">
        <v>15725</v>
      </c>
      <c r="D4" s="2">
        <v>10265</v>
      </c>
      <c r="E4" s="2">
        <v>12217</v>
      </c>
      <c r="F4" s="2">
        <v>80623</v>
      </c>
      <c r="G4" s="2">
        <v>7140</v>
      </c>
      <c r="H4" s="2">
        <v>33772</v>
      </c>
      <c r="I4" s="19">
        <v>16580</v>
      </c>
      <c r="J4" s="9">
        <f>SUM(RepInCongressCongressionalDistrict27General[[#This Row],[Genesee County Vote Results]:[Part of Ontario County Vote Results]])</f>
        <v>192619</v>
      </c>
      <c r="K4" s="10">
        <f>SUM(RepInCongressCongressionalDistrict27General[[#This Row],[Total Votes by Party]],J5,J8)</f>
        <v>228885</v>
      </c>
    </row>
    <row r="5" spans="1:11" ht="13.8" x14ac:dyDescent="0.3">
      <c r="A5" s="1" t="s">
        <v>227</v>
      </c>
      <c r="B5" s="2">
        <v>2135</v>
      </c>
      <c r="C5" s="2">
        <v>2090</v>
      </c>
      <c r="D5" s="2">
        <v>1249</v>
      </c>
      <c r="E5" s="2">
        <v>1452</v>
      </c>
      <c r="F5" s="2">
        <v>14891</v>
      </c>
      <c r="G5" s="2">
        <v>1230</v>
      </c>
      <c r="H5" s="2">
        <v>5553</v>
      </c>
      <c r="I5" s="19">
        <v>2406</v>
      </c>
      <c r="J5" s="9">
        <f>SUM(RepInCongressCongressionalDistrict27General[[#This Row],[Genesee County Vote Results]:[Part of Ontario County Vote Results]])</f>
        <v>31006</v>
      </c>
      <c r="K5" s="11"/>
    </row>
    <row r="6" spans="1:11" ht="13.8" x14ac:dyDescent="0.3">
      <c r="A6" s="1" t="s">
        <v>228</v>
      </c>
      <c r="B6" s="2">
        <v>808</v>
      </c>
      <c r="C6" s="2">
        <v>1032</v>
      </c>
      <c r="D6" s="2">
        <v>469</v>
      </c>
      <c r="E6" s="2">
        <v>495</v>
      </c>
      <c r="F6" s="2">
        <v>5928</v>
      </c>
      <c r="G6" s="2">
        <v>470</v>
      </c>
      <c r="H6" s="2">
        <v>2384</v>
      </c>
      <c r="I6" s="19">
        <v>1177</v>
      </c>
      <c r="J6" s="9">
        <f>SUM(RepInCongressCongressionalDistrict27General[[#This Row],[Genesee County Vote Results]:[Part of Ontario County Vote Results]])</f>
        <v>12763</v>
      </c>
      <c r="K6" s="11"/>
    </row>
    <row r="7" spans="1:11" ht="13.8" x14ac:dyDescent="0.3">
      <c r="A7" s="1" t="s">
        <v>229</v>
      </c>
      <c r="B7" s="2">
        <v>553</v>
      </c>
      <c r="C7" s="2">
        <v>387</v>
      </c>
      <c r="D7" s="2">
        <v>276</v>
      </c>
      <c r="E7" s="2">
        <v>263</v>
      </c>
      <c r="F7" s="2">
        <v>1928</v>
      </c>
      <c r="G7" s="2">
        <v>207</v>
      </c>
      <c r="H7" s="2">
        <v>840</v>
      </c>
      <c r="I7" s="19">
        <v>423</v>
      </c>
      <c r="J7" s="9">
        <f>SUM(RepInCongressCongressionalDistrict27General[[#This Row],[Genesee County Vote Results]:[Part of Ontario County Vote Results]])</f>
        <v>4877</v>
      </c>
      <c r="K7" s="10">
        <f>SUM(RepInCongressCongressionalDistrict27General[[#This Row],[Total Votes by Party]])</f>
        <v>4877</v>
      </c>
    </row>
    <row r="8" spans="1:11" ht="13.8" x14ac:dyDescent="0.3">
      <c r="A8" s="1" t="s">
        <v>230</v>
      </c>
      <c r="B8" s="2">
        <v>381</v>
      </c>
      <c r="C8" s="2">
        <v>348</v>
      </c>
      <c r="D8" s="2">
        <v>185</v>
      </c>
      <c r="E8" s="2">
        <v>210</v>
      </c>
      <c r="F8" s="2">
        <v>2553</v>
      </c>
      <c r="G8" s="2">
        <v>219</v>
      </c>
      <c r="H8" s="2">
        <v>989</v>
      </c>
      <c r="I8" s="19">
        <v>375</v>
      </c>
      <c r="J8" s="9">
        <f>SUM(RepInCongressCongressionalDistrict27General[[#This Row],[Genesee County Vote Results]:[Part of Ontario County Vote Results]])</f>
        <v>5260</v>
      </c>
      <c r="K8" s="11"/>
    </row>
    <row r="9" spans="1:11" ht="13.8" x14ac:dyDescent="0.3">
      <c r="A9" s="3" t="s">
        <v>0</v>
      </c>
      <c r="B9" s="2">
        <v>1259</v>
      </c>
      <c r="C9" s="2">
        <v>1312</v>
      </c>
      <c r="D9" s="2">
        <v>1135</v>
      </c>
      <c r="E9" s="2">
        <v>379</v>
      </c>
      <c r="F9" s="2">
        <v>4671</v>
      </c>
      <c r="G9" s="2">
        <v>776</v>
      </c>
      <c r="H9" s="2">
        <v>2889</v>
      </c>
      <c r="I9" s="19">
        <v>1831</v>
      </c>
      <c r="J9" s="9">
        <f>SUM(RepInCongressCongressionalDistrict27General[[#This Row],[Genesee County Vote Results]:[Part of Ontario County Vote Results]])</f>
        <v>14252</v>
      </c>
      <c r="K9" s="11"/>
    </row>
    <row r="10" spans="1:11" ht="13.8" x14ac:dyDescent="0.3">
      <c r="A10" s="3" t="s">
        <v>1</v>
      </c>
      <c r="B10" s="2">
        <v>22</v>
      </c>
      <c r="C10" s="2">
        <v>42</v>
      </c>
      <c r="D10" s="2">
        <v>10</v>
      </c>
      <c r="E10" s="2">
        <v>4</v>
      </c>
      <c r="F10" s="2">
        <v>84</v>
      </c>
      <c r="G10" s="2">
        <v>6</v>
      </c>
      <c r="H10" s="2">
        <v>22</v>
      </c>
      <c r="I10" s="19">
        <v>29</v>
      </c>
      <c r="J10" s="9">
        <f>SUM(RepInCongressCongressionalDistrict27General[[#This Row],[Genesee County Vote Results]:[Part of Ontario County Vote Results]])</f>
        <v>219</v>
      </c>
      <c r="K10" s="11"/>
    </row>
    <row r="11" spans="1:11" ht="13.8" x14ac:dyDescent="0.3">
      <c r="A11" s="3" t="s">
        <v>6</v>
      </c>
      <c r="B11" s="2">
        <v>4</v>
      </c>
      <c r="C11" s="2">
        <v>6</v>
      </c>
      <c r="D11" s="2">
        <v>3</v>
      </c>
      <c r="E11" s="2">
        <v>6</v>
      </c>
      <c r="F11" s="2">
        <v>70</v>
      </c>
      <c r="G11" s="2">
        <v>6</v>
      </c>
      <c r="H11" s="2">
        <v>19</v>
      </c>
      <c r="I11" s="19">
        <v>6</v>
      </c>
      <c r="J11" s="9">
        <f>SUM(RepInCongressCongressionalDistrict27General[[#This Row],[Genesee County Vote Results]:[Part of Ontario County Vote Results]])</f>
        <v>120</v>
      </c>
      <c r="K11" s="11"/>
    </row>
    <row r="12" spans="1:11" ht="13.8" x14ac:dyDescent="0.3">
      <c r="A12" s="13" t="s">
        <v>2</v>
      </c>
      <c r="B12" s="2">
        <f>SUM(RepInCongressCongressionalDistrict27General[Genesee County Vote Results])</f>
        <v>29431</v>
      </c>
      <c r="C12" s="2">
        <f>SUM(RepInCongressCongressionalDistrict27General[Livingston County Vote Results])</f>
        <v>31656</v>
      </c>
      <c r="D12" s="2">
        <f>SUM(RepInCongressCongressionalDistrict27General[Orleans County Vote Results])</f>
        <v>18314</v>
      </c>
      <c r="E12" s="2">
        <f>SUM(RepInCongressCongressionalDistrict27General[Wyoming County Vote Results])</f>
        <v>19426</v>
      </c>
      <c r="F12" s="2">
        <f>SUM(RepInCongressCongressionalDistrict27General[Part of Erie County Vote Results])</f>
        <v>173354</v>
      </c>
      <c r="G12" s="2">
        <f>SUM(RepInCongressCongressionalDistrict27General[Part of Monroe County Vote Results])</f>
        <v>16119</v>
      </c>
      <c r="H12" s="2">
        <f>SUM(RepInCongressCongressionalDistrict27General[Part of Niagara County Vote Results])</f>
        <v>70472</v>
      </c>
      <c r="I12" s="19">
        <f>SUBTOTAL(109,I3:I11)</f>
        <v>39030</v>
      </c>
      <c r="J12" s="9">
        <f>SUM(RepInCongressCongressionalDistrict27General[Total Votes by Party])</f>
        <v>397802</v>
      </c>
      <c r="K12" s="11"/>
    </row>
  </sheetData>
  <pageMargins left="0.25" right="0.25" top="0.25" bottom="0.25" header="0.25" footer="0.25"/>
  <pageSetup paperSize="5" scale="8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02"/>
  <sheetViews>
    <sheetView workbookViewId="0">
      <selection sqref="A1:C1"/>
    </sheetView>
  </sheetViews>
  <sheetFormatPr defaultColWidth="9.109375" defaultRowHeight="13.2" x14ac:dyDescent="0.25"/>
  <cols>
    <col min="1" max="1" width="10.33203125" style="37" bestFit="1" customWidth="1"/>
    <col min="2" max="2" width="2.6640625" style="26" customWidth="1"/>
    <col min="3" max="3" width="176.5546875" style="26" customWidth="1"/>
    <col min="4" max="16384" width="9.109375" style="26"/>
  </cols>
  <sheetData>
    <row r="1" spans="1:3" ht="18.75" customHeight="1" x14ac:dyDescent="0.25">
      <c r="A1" s="46" t="s">
        <v>231</v>
      </c>
      <c r="B1" s="46"/>
      <c r="C1" s="46"/>
    </row>
    <row r="3" spans="1:3" ht="13.5" customHeight="1" x14ac:dyDescent="0.25">
      <c r="A3" s="39" t="s">
        <v>232</v>
      </c>
      <c r="C3" s="27" t="s">
        <v>233</v>
      </c>
    </row>
    <row r="4" spans="1:3" ht="13.5" customHeight="1" x14ac:dyDescent="0.25">
      <c r="A4" s="40"/>
      <c r="B4" s="31"/>
      <c r="C4" s="30"/>
    </row>
    <row r="5" spans="1:3" ht="13.5" customHeight="1" x14ac:dyDescent="0.25">
      <c r="A5" s="41">
        <v>44168</v>
      </c>
      <c r="B5" s="32"/>
      <c r="C5" s="31" t="s">
        <v>234</v>
      </c>
    </row>
    <row r="6" spans="1:3" ht="13.5" customHeight="1" x14ac:dyDescent="0.25">
      <c r="A6" s="41"/>
      <c r="B6" s="32"/>
      <c r="C6" s="31"/>
    </row>
    <row r="7" spans="1:3" ht="13.5" customHeight="1" x14ac:dyDescent="0.25">
      <c r="A7" s="41">
        <v>44168</v>
      </c>
      <c r="B7" s="31"/>
      <c r="C7" s="33" t="s">
        <v>299</v>
      </c>
    </row>
    <row r="8" spans="1:3" ht="13.5" customHeight="1" x14ac:dyDescent="0.25">
      <c r="A8" s="41"/>
      <c r="B8" s="31"/>
      <c r="C8" s="33"/>
    </row>
    <row r="9" spans="1:3" ht="13.5" customHeight="1" x14ac:dyDescent="0.25">
      <c r="A9" s="41"/>
      <c r="B9" s="31"/>
      <c r="C9" s="33" t="s">
        <v>300</v>
      </c>
    </row>
    <row r="10" spans="1:3" ht="13.5" customHeight="1" x14ac:dyDescent="0.25">
      <c r="A10" s="41"/>
      <c r="B10" s="31"/>
      <c r="C10" s="33"/>
    </row>
    <row r="11" spans="1:3" ht="13.5" customHeight="1" x14ac:dyDescent="0.25">
      <c r="A11" s="41"/>
      <c r="B11" s="31"/>
      <c r="C11" s="33" t="s">
        <v>301</v>
      </c>
    </row>
    <row r="12" spans="1:3" ht="13.5" customHeight="1" x14ac:dyDescent="0.25">
      <c r="A12" s="41"/>
      <c r="B12" s="31"/>
      <c r="C12" s="33"/>
    </row>
    <row r="13" spans="1:3" ht="13.5" customHeight="1" x14ac:dyDescent="0.25">
      <c r="A13" s="41"/>
      <c r="B13" s="31"/>
      <c r="C13" s="33" t="s">
        <v>302</v>
      </c>
    </row>
    <row r="14" spans="1:3" ht="13.5" customHeight="1" x14ac:dyDescent="0.25">
      <c r="A14" s="41"/>
      <c r="B14" s="31"/>
      <c r="C14" s="33"/>
    </row>
    <row r="15" spans="1:3" ht="13.5" customHeight="1" x14ac:dyDescent="0.25">
      <c r="A15" s="41"/>
      <c r="B15" s="31"/>
      <c r="C15" s="33" t="s">
        <v>303</v>
      </c>
    </row>
    <row r="16" spans="1:3" ht="13.5" customHeight="1" x14ac:dyDescent="0.25">
      <c r="A16" s="41"/>
      <c r="B16" s="31"/>
      <c r="C16" s="33"/>
    </row>
    <row r="17" spans="1:3" ht="13.5" customHeight="1" x14ac:dyDescent="0.25">
      <c r="A17" s="41"/>
      <c r="B17" s="31"/>
      <c r="C17" s="33" t="s">
        <v>304</v>
      </c>
    </row>
    <row r="18" spans="1:3" ht="13.5" customHeight="1" x14ac:dyDescent="0.25">
      <c r="A18" s="41"/>
      <c r="B18" s="31"/>
      <c r="C18" s="33"/>
    </row>
    <row r="19" spans="1:3" ht="13.5" customHeight="1" x14ac:dyDescent="0.25">
      <c r="A19" s="41">
        <v>44168</v>
      </c>
      <c r="B19" s="31"/>
      <c r="C19" s="33" t="s">
        <v>305</v>
      </c>
    </row>
    <row r="20" spans="1:3" ht="13.5" customHeight="1" x14ac:dyDescent="0.25">
      <c r="A20" s="41"/>
      <c r="B20" s="31"/>
      <c r="C20" s="33"/>
    </row>
    <row r="21" spans="1:3" ht="13.5" customHeight="1" x14ac:dyDescent="0.25">
      <c r="A21" s="38"/>
      <c r="B21" s="31"/>
      <c r="C21" s="31" t="s">
        <v>306</v>
      </c>
    </row>
    <row r="22" spans="1:3" ht="13.5" customHeight="1" x14ac:dyDescent="0.25">
      <c r="A22" s="38"/>
      <c r="B22" s="31"/>
      <c r="C22" s="31"/>
    </row>
    <row r="23" spans="1:3" ht="13.5" customHeight="1" x14ac:dyDescent="0.25">
      <c r="A23" s="41">
        <v>44169</v>
      </c>
      <c r="B23" s="31"/>
      <c r="C23" s="31" t="s">
        <v>307</v>
      </c>
    </row>
    <row r="24" spans="1:3" ht="13.5" customHeight="1" x14ac:dyDescent="0.25">
      <c r="A24" s="41"/>
      <c r="B24" s="31"/>
      <c r="C24" s="31"/>
    </row>
    <row r="25" spans="1:3" ht="13.5" customHeight="1" x14ac:dyDescent="0.25">
      <c r="A25" s="41"/>
      <c r="B25" s="31"/>
      <c r="C25" s="31" t="s">
        <v>308</v>
      </c>
    </row>
    <row r="26" spans="1:3" ht="13.5" customHeight="1" x14ac:dyDescent="0.25">
      <c r="A26" s="41"/>
      <c r="B26" s="31"/>
      <c r="C26" s="31"/>
    </row>
    <row r="27" spans="1:3" ht="13.5" customHeight="1" x14ac:dyDescent="0.25">
      <c r="A27" s="41"/>
      <c r="B27" s="31"/>
      <c r="C27" s="31" t="s">
        <v>309</v>
      </c>
    </row>
    <row r="28" spans="1:3" ht="13.5" customHeight="1" x14ac:dyDescent="0.25">
      <c r="A28" s="41"/>
      <c r="B28" s="31"/>
      <c r="C28" s="31"/>
    </row>
    <row r="29" spans="1:3" ht="13.5" customHeight="1" x14ac:dyDescent="0.25">
      <c r="A29" s="41"/>
      <c r="B29" s="31"/>
      <c r="C29" s="31" t="s">
        <v>310</v>
      </c>
    </row>
    <row r="30" spans="1:3" ht="13.5" customHeight="1" x14ac:dyDescent="0.25">
      <c r="A30" s="41"/>
      <c r="B30" s="31"/>
      <c r="C30" s="31"/>
    </row>
    <row r="31" spans="1:3" ht="13.5" customHeight="1" x14ac:dyDescent="0.25">
      <c r="A31" s="41"/>
      <c r="B31" s="31"/>
      <c r="C31" s="31" t="s">
        <v>311</v>
      </c>
    </row>
    <row r="32" spans="1:3" ht="13.5" customHeight="1" x14ac:dyDescent="0.25">
      <c r="A32" s="41"/>
      <c r="B32" s="31"/>
      <c r="C32" s="31"/>
    </row>
    <row r="33" spans="1:3" ht="13.5" customHeight="1" x14ac:dyDescent="0.25">
      <c r="A33" s="41"/>
      <c r="B33" s="31"/>
      <c r="C33" s="31" t="s">
        <v>312</v>
      </c>
    </row>
    <row r="34" spans="1:3" ht="13.5" customHeight="1" x14ac:dyDescent="0.25">
      <c r="A34" s="41"/>
      <c r="B34" s="31"/>
      <c r="C34" s="31"/>
    </row>
    <row r="35" spans="1:3" ht="13.5" customHeight="1" x14ac:dyDescent="0.25">
      <c r="A35" s="41"/>
      <c r="B35" s="31"/>
      <c r="C35" s="31" t="s">
        <v>313</v>
      </c>
    </row>
    <row r="36" spans="1:3" ht="13.5" customHeight="1" x14ac:dyDescent="0.25">
      <c r="A36" s="41"/>
      <c r="B36" s="31"/>
      <c r="C36" s="31"/>
    </row>
    <row r="37" spans="1:3" ht="13.5" customHeight="1" x14ac:dyDescent="0.25">
      <c r="A37" s="41"/>
      <c r="B37" s="31"/>
      <c r="C37" s="31" t="s">
        <v>314</v>
      </c>
    </row>
    <row r="38" spans="1:3" ht="13.5" customHeight="1" x14ac:dyDescent="0.25">
      <c r="A38" s="41"/>
      <c r="B38" s="31"/>
      <c r="C38" s="31"/>
    </row>
    <row r="39" spans="1:3" ht="13.5" customHeight="1" x14ac:dyDescent="0.25">
      <c r="A39" s="41"/>
      <c r="B39" s="31"/>
      <c r="C39" s="31" t="s">
        <v>315</v>
      </c>
    </row>
    <row r="40" spans="1:3" ht="13.5" customHeight="1" x14ac:dyDescent="0.25">
      <c r="A40" s="41"/>
      <c r="B40" s="31"/>
      <c r="C40" s="31"/>
    </row>
    <row r="41" spans="1:3" ht="13.5" customHeight="1" x14ac:dyDescent="0.25">
      <c r="A41" s="41"/>
      <c r="B41" s="31"/>
      <c r="C41" s="31" t="s">
        <v>316</v>
      </c>
    </row>
    <row r="42" spans="1:3" ht="13.5" customHeight="1" x14ac:dyDescent="0.25">
      <c r="A42" s="41"/>
      <c r="B42" s="31"/>
      <c r="C42" s="31"/>
    </row>
    <row r="43" spans="1:3" ht="13.5" customHeight="1" x14ac:dyDescent="0.25">
      <c r="A43" s="41"/>
      <c r="B43" s="31"/>
      <c r="C43" s="31" t="s">
        <v>317</v>
      </c>
    </row>
    <row r="44" spans="1:3" ht="13.5" customHeight="1" x14ac:dyDescent="0.25">
      <c r="A44" s="41"/>
      <c r="B44" s="31"/>
      <c r="C44" s="31"/>
    </row>
    <row r="45" spans="1:3" ht="13.5" customHeight="1" x14ac:dyDescent="0.25">
      <c r="A45" s="41"/>
      <c r="B45" s="31"/>
      <c r="C45" s="31" t="s">
        <v>318</v>
      </c>
    </row>
    <row r="46" spans="1:3" ht="13.5" customHeight="1" x14ac:dyDescent="0.25">
      <c r="A46" s="41"/>
      <c r="B46" s="31"/>
      <c r="C46" s="31"/>
    </row>
    <row r="47" spans="1:3" ht="13.5" customHeight="1" x14ac:dyDescent="0.25">
      <c r="A47" s="41"/>
      <c r="B47" s="31"/>
      <c r="C47" s="31" t="s">
        <v>319</v>
      </c>
    </row>
    <row r="48" spans="1:3" ht="13.5" customHeight="1" x14ac:dyDescent="0.25">
      <c r="A48" s="41"/>
      <c r="B48" s="31"/>
      <c r="C48" s="31"/>
    </row>
    <row r="49" spans="1:3" ht="13.5" customHeight="1" x14ac:dyDescent="0.25">
      <c r="A49" s="41"/>
      <c r="B49" s="31"/>
      <c r="C49" s="31" t="s">
        <v>320</v>
      </c>
    </row>
    <row r="50" spans="1:3" ht="13.5" customHeight="1" x14ac:dyDescent="0.25">
      <c r="A50" s="41"/>
      <c r="B50" s="31"/>
      <c r="C50" s="31"/>
    </row>
    <row r="51" spans="1:3" ht="13.5" customHeight="1" x14ac:dyDescent="0.25">
      <c r="A51" s="41"/>
      <c r="B51" s="31"/>
      <c r="C51" s="31" t="s">
        <v>321</v>
      </c>
    </row>
    <row r="52" spans="1:3" ht="13.5" customHeight="1" x14ac:dyDescent="0.25">
      <c r="A52" s="41"/>
      <c r="B52" s="31"/>
      <c r="C52" s="31"/>
    </row>
    <row r="53" spans="1:3" ht="13.5" customHeight="1" x14ac:dyDescent="0.25">
      <c r="A53" s="41"/>
      <c r="B53" s="31"/>
      <c r="C53" s="31" t="s">
        <v>322</v>
      </c>
    </row>
    <row r="54" spans="1:3" ht="13.5" customHeight="1" x14ac:dyDescent="0.25">
      <c r="A54" s="41"/>
      <c r="B54" s="31"/>
      <c r="C54" s="31"/>
    </row>
    <row r="55" spans="1:3" ht="13.5" customHeight="1" x14ac:dyDescent="0.25">
      <c r="A55" s="41"/>
      <c r="B55" s="31"/>
      <c r="C55" s="31" t="s">
        <v>323</v>
      </c>
    </row>
    <row r="56" spans="1:3" ht="13.5" customHeight="1" x14ac:dyDescent="0.25">
      <c r="A56" s="41"/>
      <c r="B56" s="31"/>
      <c r="C56" s="31"/>
    </row>
    <row r="57" spans="1:3" ht="13.5" customHeight="1" x14ac:dyDescent="0.25">
      <c r="A57" s="41"/>
      <c r="B57" s="31"/>
      <c r="C57" s="31" t="s">
        <v>324</v>
      </c>
    </row>
    <row r="58" spans="1:3" ht="13.5" customHeight="1" x14ac:dyDescent="0.25">
      <c r="A58" s="41"/>
      <c r="B58" s="31"/>
      <c r="C58" s="31"/>
    </row>
    <row r="59" spans="1:3" ht="13.5" customHeight="1" x14ac:dyDescent="0.25">
      <c r="A59" s="41"/>
      <c r="B59" s="31"/>
      <c r="C59" s="31" t="s">
        <v>325</v>
      </c>
    </row>
    <row r="60" spans="1:3" ht="13.5" customHeight="1" x14ac:dyDescent="0.25">
      <c r="A60" s="41"/>
      <c r="B60" s="31"/>
      <c r="C60" s="31"/>
    </row>
    <row r="61" spans="1:3" ht="13.5" customHeight="1" x14ac:dyDescent="0.25">
      <c r="A61" s="41"/>
      <c r="B61" s="31"/>
      <c r="C61" s="31" t="s">
        <v>326</v>
      </c>
    </row>
    <row r="62" spans="1:3" ht="13.5" customHeight="1" x14ac:dyDescent="0.25">
      <c r="A62" s="41"/>
      <c r="B62" s="31"/>
      <c r="C62" s="31"/>
    </row>
    <row r="63" spans="1:3" ht="13.5" customHeight="1" x14ac:dyDescent="0.25">
      <c r="A63" s="41">
        <v>44173</v>
      </c>
      <c r="B63" s="31"/>
      <c r="C63" s="31" t="s">
        <v>327</v>
      </c>
    </row>
    <row r="64" spans="1:3" ht="13.5" customHeight="1" x14ac:dyDescent="0.25">
      <c r="A64" s="41"/>
      <c r="B64" s="31"/>
      <c r="C64" s="31"/>
    </row>
    <row r="65" spans="1:3" ht="13.5" customHeight="1" x14ac:dyDescent="0.25">
      <c r="A65" s="41"/>
      <c r="B65" s="31"/>
      <c r="C65" s="31" t="s">
        <v>328</v>
      </c>
    </row>
    <row r="66" spans="1:3" ht="13.5" customHeight="1" x14ac:dyDescent="0.25">
      <c r="A66" s="41"/>
      <c r="B66" s="31"/>
      <c r="C66" s="31"/>
    </row>
    <row r="67" spans="1:3" ht="13.5" customHeight="1" x14ac:dyDescent="0.25">
      <c r="A67" s="41"/>
      <c r="B67" s="31"/>
      <c r="C67" s="31" t="s">
        <v>329</v>
      </c>
    </row>
    <row r="68" spans="1:3" ht="13.5" customHeight="1" x14ac:dyDescent="0.25">
      <c r="A68" s="41"/>
      <c r="B68" s="31"/>
      <c r="C68" s="31"/>
    </row>
    <row r="69" spans="1:3" ht="13.5" customHeight="1" x14ac:dyDescent="0.25">
      <c r="A69" s="41"/>
      <c r="B69" s="31"/>
      <c r="C69" s="31" t="s">
        <v>330</v>
      </c>
    </row>
    <row r="70" spans="1:3" ht="13.5" customHeight="1" x14ac:dyDescent="0.25">
      <c r="A70" s="41"/>
      <c r="B70" s="31"/>
      <c r="C70" s="31"/>
    </row>
    <row r="71" spans="1:3" ht="13.5" customHeight="1" x14ac:dyDescent="0.25">
      <c r="A71" s="41"/>
      <c r="B71" s="31"/>
      <c r="C71" s="31" t="s">
        <v>331</v>
      </c>
    </row>
    <row r="72" spans="1:3" ht="13.5" customHeight="1" x14ac:dyDescent="0.25">
      <c r="A72" s="41"/>
      <c r="B72" s="31"/>
      <c r="C72" s="31"/>
    </row>
    <row r="73" spans="1:3" ht="13.5" customHeight="1" x14ac:dyDescent="0.25">
      <c r="A73" s="41"/>
      <c r="B73" s="31"/>
      <c r="C73" s="31" t="s">
        <v>332</v>
      </c>
    </row>
    <row r="74" spans="1:3" ht="13.5" customHeight="1" x14ac:dyDescent="0.25">
      <c r="A74" s="41"/>
      <c r="B74" s="31"/>
      <c r="C74" s="31"/>
    </row>
    <row r="75" spans="1:3" ht="13.5" customHeight="1" x14ac:dyDescent="0.25">
      <c r="A75" s="41"/>
      <c r="B75" s="31"/>
      <c r="C75" s="31" t="s">
        <v>333</v>
      </c>
    </row>
    <row r="76" spans="1:3" ht="13.5" customHeight="1" x14ac:dyDescent="0.25">
      <c r="A76" s="41"/>
      <c r="B76" s="31"/>
      <c r="C76" s="31"/>
    </row>
    <row r="77" spans="1:3" ht="13.5" customHeight="1" x14ac:dyDescent="0.25">
      <c r="A77" s="41"/>
      <c r="B77" s="31"/>
      <c r="C77" s="31" t="s">
        <v>334</v>
      </c>
    </row>
    <row r="78" spans="1:3" ht="13.5" customHeight="1" x14ac:dyDescent="0.25">
      <c r="A78" s="41"/>
      <c r="B78" s="31"/>
      <c r="C78" s="31"/>
    </row>
    <row r="79" spans="1:3" ht="13.5" customHeight="1" x14ac:dyDescent="0.25">
      <c r="A79" s="41"/>
      <c r="B79" s="31"/>
      <c r="C79" s="31" t="s">
        <v>335</v>
      </c>
    </row>
    <row r="80" spans="1:3" ht="13.5" customHeight="1" x14ac:dyDescent="0.25">
      <c r="A80" s="41"/>
      <c r="B80" s="31"/>
      <c r="C80" s="31"/>
    </row>
    <row r="81" spans="1:3" ht="13.5" customHeight="1" x14ac:dyDescent="0.25">
      <c r="A81" s="41"/>
      <c r="B81" s="31"/>
      <c r="C81" s="31" t="s">
        <v>336</v>
      </c>
    </row>
    <row r="82" spans="1:3" ht="13.5" customHeight="1" x14ac:dyDescent="0.25">
      <c r="A82" s="41"/>
      <c r="B82" s="31"/>
      <c r="C82" s="31"/>
    </row>
    <row r="83" spans="1:3" ht="13.5" customHeight="1" x14ac:dyDescent="0.25">
      <c r="A83" s="41"/>
      <c r="B83" s="31"/>
      <c r="C83" s="31" t="s">
        <v>337</v>
      </c>
    </row>
    <row r="84" spans="1:3" ht="13.5" customHeight="1" x14ac:dyDescent="0.25">
      <c r="A84" s="41"/>
      <c r="B84" s="31"/>
      <c r="C84" s="31"/>
    </row>
    <row r="85" spans="1:3" ht="13.5" customHeight="1" x14ac:dyDescent="0.25">
      <c r="A85" s="42">
        <v>44175</v>
      </c>
      <c r="C85" s="26" t="s">
        <v>338</v>
      </c>
    </row>
    <row r="86" spans="1:3" ht="13.5" customHeight="1" x14ac:dyDescent="0.25"/>
    <row r="87" spans="1:3" ht="13.5" customHeight="1" x14ac:dyDescent="0.25">
      <c r="C87" s="26" t="s">
        <v>339</v>
      </c>
    </row>
    <row r="88" spans="1:3" ht="13.5" customHeight="1" x14ac:dyDescent="0.25">
      <c r="C88" s="26" t="s">
        <v>340</v>
      </c>
    </row>
    <row r="89" spans="1:3" ht="13.5" customHeight="1" x14ac:dyDescent="0.25"/>
    <row r="90" spans="1:3" ht="13.5" customHeight="1" x14ac:dyDescent="0.25">
      <c r="C90" s="26" t="s">
        <v>341</v>
      </c>
    </row>
    <row r="91" spans="1:3" ht="13.5" customHeight="1" x14ac:dyDescent="0.25">
      <c r="C91" s="26" t="s">
        <v>342</v>
      </c>
    </row>
    <row r="92" spans="1:3" ht="13.5" customHeight="1" x14ac:dyDescent="0.25">
      <c r="C92" s="26" t="s">
        <v>343</v>
      </c>
    </row>
    <row r="93" spans="1:3" ht="13.5" customHeight="1" x14ac:dyDescent="0.25"/>
    <row r="94" spans="1:3" ht="13.5" customHeight="1" x14ac:dyDescent="0.25">
      <c r="C94" s="26" t="s">
        <v>344</v>
      </c>
    </row>
    <row r="95" spans="1:3" ht="13.5" customHeight="1" x14ac:dyDescent="0.25"/>
    <row r="96" spans="1:3" ht="13.5" customHeight="1" x14ac:dyDescent="0.25">
      <c r="C96" s="26" t="s">
        <v>345</v>
      </c>
    </row>
    <row r="97" spans="3:3" ht="13.5" customHeight="1" x14ac:dyDescent="0.25"/>
    <row r="98" spans="3:3" ht="13.5" customHeight="1" x14ac:dyDescent="0.25">
      <c r="C98" s="26" t="s">
        <v>346</v>
      </c>
    </row>
    <row r="99" spans="3:3" ht="13.5" customHeight="1" x14ac:dyDescent="0.25"/>
    <row r="100" spans="3:3" ht="13.5" customHeight="1" x14ac:dyDescent="0.25">
      <c r="C100" s="26" t="s">
        <v>347</v>
      </c>
    </row>
    <row r="101" spans="3:3" ht="13.5" customHeight="1" x14ac:dyDescent="0.25"/>
    <row r="102" spans="3:3" ht="13.5" customHeight="1" x14ac:dyDescent="0.25">
      <c r="C102" s="26" t="s">
        <v>348</v>
      </c>
    </row>
    <row r="103" spans="3:3" ht="13.5" customHeight="1" x14ac:dyDescent="0.25"/>
    <row r="104" spans="3:3" ht="13.5" customHeight="1" x14ac:dyDescent="0.25">
      <c r="C104" s="26" t="s">
        <v>349</v>
      </c>
    </row>
    <row r="105" spans="3:3" ht="13.5" customHeight="1" x14ac:dyDescent="0.25"/>
    <row r="106" spans="3:3" ht="13.5" customHeight="1" x14ac:dyDescent="0.25">
      <c r="C106" s="26" t="s">
        <v>350</v>
      </c>
    </row>
    <row r="107" spans="3:3" ht="13.5" customHeight="1" x14ac:dyDescent="0.25"/>
    <row r="108" spans="3:3" ht="13.5" customHeight="1" x14ac:dyDescent="0.25">
      <c r="C108" s="26" t="s">
        <v>351</v>
      </c>
    </row>
    <row r="109" spans="3:3" ht="13.5" customHeight="1" x14ac:dyDescent="0.25"/>
    <row r="110" spans="3:3" ht="13.5" customHeight="1" x14ac:dyDescent="0.25">
      <c r="C110" s="26" t="s">
        <v>352</v>
      </c>
    </row>
    <row r="111" spans="3:3" ht="13.5" customHeight="1" x14ac:dyDescent="0.25"/>
    <row r="112" spans="3:3" ht="13.5" customHeight="1" x14ac:dyDescent="0.25">
      <c r="C112" s="26" t="s">
        <v>353</v>
      </c>
    </row>
    <row r="113" spans="3:3" ht="13.5" customHeight="1" x14ac:dyDescent="0.25"/>
    <row r="114" spans="3:3" ht="13.5" customHeight="1" x14ac:dyDescent="0.25">
      <c r="C114" s="26" t="s">
        <v>354</v>
      </c>
    </row>
    <row r="115" spans="3:3" ht="13.5" customHeight="1" x14ac:dyDescent="0.25"/>
    <row r="116" spans="3:3" ht="13.5" customHeight="1" x14ac:dyDescent="0.25">
      <c r="C116" s="26" t="s">
        <v>355</v>
      </c>
    </row>
    <row r="117" spans="3:3" ht="13.5" customHeight="1" x14ac:dyDescent="0.25"/>
    <row r="118" spans="3:3" ht="13.5" customHeight="1" x14ac:dyDescent="0.25">
      <c r="C118" s="26" t="s">
        <v>356</v>
      </c>
    </row>
    <row r="119" spans="3:3" ht="13.5" customHeight="1" x14ac:dyDescent="0.25"/>
    <row r="120" spans="3:3" ht="13.5" customHeight="1" x14ac:dyDescent="0.25">
      <c r="C120" s="26" t="s">
        <v>357</v>
      </c>
    </row>
    <row r="121" spans="3:3" ht="13.5" customHeight="1" x14ac:dyDescent="0.25"/>
    <row r="122" spans="3:3" ht="13.5" customHeight="1" x14ac:dyDescent="0.25">
      <c r="C122" s="26" t="s">
        <v>358</v>
      </c>
    </row>
    <row r="123" spans="3:3" ht="13.5" customHeight="1" x14ac:dyDescent="0.25"/>
    <row r="124" spans="3:3" ht="13.5" customHeight="1" x14ac:dyDescent="0.25">
      <c r="C124" s="26" t="s">
        <v>359</v>
      </c>
    </row>
    <row r="125" spans="3:3" ht="13.5" customHeight="1" x14ac:dyDescent="0.25"/>
    <row r="126" spans="3:3" ht="13.5" customHeight="1" x14ac:dyDescent="0.25">
      <c r="C126" s="26" t="s">
        <v>360</v>
      </c>
    </row>
    <row r="127" spans="3:3" ht="13.5" customHeight="1" x14ac:dyDescent="0.25"/>
    <row r="128" spans="3:3" ht="13.5" customHeight="1" x14ac:dyDescent="0.25">
      <c r="C128" s="26" t="s">
        <v>361</v>
      </c>
    </row>
    <row r="129" spans="1:3" ht="13.5" customHeight="1" x14ac:dyDescent="0.25"/>
    <row r="130" spans="1:3" ht="13.5" customHeight="1" x14ac:dyDescent="0.25">
      <c r="C130" s="26" t="s">
        <v>362</v>
      </c>
    </row>
    <row r="131" spans="1:3" ht="13.5" customHeight="1" x14ac:dyDescent="0.25"/>
    <row r="132" spans="1:3" ht="13.5" customHeight="1" x14ac:dyDescent="0.25">
      <c r="C132" s="26" t="s">
        <v>363</v>
      </c>
    </row>
    <row r="133" spans="1:3" ht="13.5" customHeight="1" x14ac:dyDescent="0.25"/>
    <row r="134" spans="1:3" ht="13.5" customHeight="1" x14ac:dyDescent="0.25">
      <c r="C134" s="26" t="s">
        <v>364</v>
      </c>
    </row>
    <row r="135" spans="1:3" ht="13.5" customHeight="1" x14ac:dyDescent="0.25"/>
    <row r="136" spans="1:3" ht="13.5" customHeight="1" x14ac:dyDescent="0.25">
      <c r="A136" s="42">
        <v>44176</v>
      </c>
      <c r="C136" s="34" t="s">
        <v>365</v>
      </c>
    </row>
    <row r="137" spans="1:3" ht="13.5" customHeight="1" x14ac:dyDescent="0.25">
      <c r="A137" s="42"/>
      <c r="C137" s="34"/>
    </row>
    <row r="138" spans="1:3" ht="13.5" customHeight="1" x14ac:dyDescent="0.25">
      <c r="A138" s="42"/>
      <c r="C138" s="34" t="s">
        <v>366</v>
      </c>
    </row>
    <row r="139" spans="1:3" ht="13.5" customHeight="1" x14ac:dyDescent="0.25">
      <c r="A139" s="42"/>
      <c r="C139" s="34" t="s">
        <v>367</v>
      </c>
    </row>
    <row r="140" spans="1:3" ht="13.5" customHeight="1" x14ac:dyDescent="0.25">
      <c r="A140" s="42"/>
      <c r="C140" s="34"/>
    </row>
    <row r="141" spans="1:3" ht="13.5" customHeight="1" x14ac:dyDescent="0.25">
      <c r="A141" s="42"/>
      <c r="C141" s="34" t="s">
        <v>368</v>
      </c>
    </row>
    <row r="142" spans="1:3" ht="13.5" customHeight="1" x14ac:dyDescent="0.25">
      <c r="A142" s="42"/>
      <c r="C142" s="34"/>
    </row>
    <row r="143" spans="1:3" ht="13.5" customHeight="1" x14ac:dyDescent="0.25">
      <c r="A143" s="42"/>
      <c r="C143" s="34" t="s">
        <v>369</v>
      </c>
    </row>
    <row r="144" spans="1:3" ht="13.5" customHeight="1" x14ac:dyDescent="0.25">
      <c r="A144" s="42"/>
      <c r="C144" s="34"/>
    </row>
    <row r="145" spans="1:3" ht="13.5" customHeight="1" x14ac:dyDescent="0.25">
      <c r="A145" s="42"/>
      <c r="C145" s="34" t="s">
        <v>370</v>
      </c>
    </row>
    <row r="146" spans="1:3" ht="13.5" customHeight="1" x14ac:dyDescent="0.25">
      <c r="A146" s="42"/>
      <c r="C146" s="34"/>
    </row>
    <row r="147" spans="1:3" ht="13.5" customHeight="1" x14ac:dyDescent="0.25">
      <c r="A147" s="42"/>
      <c r="C147" s="34" t="s">
        <v>371</v>
      </c>
    </row>
    <row r="148" spans="1:3" ht="13.5" customHeight="1" x14ac:dyDescent="0.25">
      <c r="A148" s="42"/>
      <c r="C148" s="34"/>
    </row>
    <row r="149" spans="1:3" ht="13.5" customHeight="1" x14ac:dyDescent="0.25">
      <c r="A149" s="42"/>
      <c r="C149" s="34" t="s">
        <v>372</v>
      </c>
    </row>
    <row r="150" spans="1:3" ht="13.5" customHeight="1" x14ac:dyDescent="0.25">
      <c r="A150" s="42"/>
      <c r="C150" s="34"/>
    </row>
    <row r="151" spans="1:3" ht="13.5" customHeight="1" x14ac:dyDescent="0.25">
      <c r="A151" s="42"/>
      <c r="C151" s="34" t="s">
        <v>373</v>
      </c>
    </row>
    <row r="152" spans="1:3" ht="13.5" customHeight="1" x14ac:dyDescent="0.25">
      <c r="A152" s="42"/>
      <c r="C152" s="34"/>
    </row>
    <row r="153" spans="1:3" ht="13.5" customHeight="1" x14ac:dyDescent="0.25">
      <c r="A153" s="42"/>
      <c r="C153" s="34" t="s">
        <v>374</v>
      </c>
    </row>
    <row r="154" spans="1:3" ht="13.5" customHeight="1" x14ac:dyDescent="0.25">
      <c r="A154" s="42"/>
      <c r="C154" s="34"/>
    </row>
    <row r="155" spans="1:3" ht="13.5" customHeight="1" x14ac:dyDescent="0.25">
      <c r="A155" s="42"/>
      <c r="C155" s="34" t="s">
        <v>375</v>
      </c>
    </row>
    <row r="156" spans="1:3" ht="13.5" customHeight="1" x14ac:dyDescent="0.25">
      <c r="A156" s="42"/>
      <c r="C156" s="34"/>
    </row>
    <row r="157" spans="1:3" ht="13.5" customHeight="1" x14ac:dyDescent="0.25">
      <c r="A157" s="42"/>
      <c r="C157" s="34" t="s">
        <v>376</v>
      </c>
    </row>
    <row r="158" spans="1:3" ht="13.5" customHeight="1" x14ac:dyDescent="0.25">
      <c r="A158" s="42"/>
      <c r="C158" s="34"/>
    </row>
    <row r="159" spans="1:3" ht="13.5" customHeight="1" x14ac:dyDescent="0.25">
      <c r="A159" s="42">
        <v>44176</v>
      </c>
      <c r="C159" s="34" t="s">
        <v>377</v>
      </c>
    </row>
    <row r="160" spans="1:3" ht="13.5" customHeight="1" x14ac:dyDescent="0.25">
      <c r="A160" s="42"/>
      <c r="C160" s="34"/>
    </row>
    <row r="161" spans="1:3" ht="13.5" customHeight="1" x14ac:dyDescent="0.25">
      <c r="A161" s="42"/>
      <c r="C161" s="34" t="s">
        <v>378</v>
      </c>
    </row>
    <row r="162" spans="1:3" ht="13.5" customHeight="1" x14ac:dyDescent="0.25">
      <c r="A162" s="42"/>
      <c r="C162" s="34"/>
    </row>
    <row r="163" spans="1:3" ht="13.5" customHeight="1" x14ac:dyDescent="0.25">
      <c r="A163" s="42"/>
      <c r="C163" s="34" t="s">
        <v>379</v>
      </c>
    </row>
    <row r="164" spans="1:3" ht="13.5" customHeight="1" x14ac:dyDescent="0.25">
      <c r="A164" s="42"/>
      <c r="C164" s="34" t="s">
        <v>380</v>
      </c>
    </row>
    <row r="165" spans="1:3" ht="13.5" customHeight="1" x14ac:dyDescent="0.25">
      <c r="A165" s="42"/>
      <c r="C165" s="34"/>
    </row>
    <row r="166" spans="1:3" ht="13.5" customHeight="1" x14ac:dyDescent="0.25">
      <c r="A166" s="42"/>
      <c r="C166" s="34" t="s">
        <v>381</v>
      </c>
    </row>
    <row r="167" spans="1:3" ht="13.5" customHeight="1" x14ac:dyDescent="0.25">
      <c r="A167" s="42"/>
      <c r="C167" s="34"/>
    </row>
    <row r="168" spans="1:3" ht="13.5" customHeight="1" x14ac:dyDescent="0.25">
      <c r="A168" s="42"/>
      <c r="C168" s="34" t="s">
        <v>382</v>
      </c>
    </row>
    <row r="169" spans="1:3" ht="13.5" customHeight="1" x14ac:dyDescent="0.25">
      <c r="A169" s="42"/>
      <c r="C169" s="34"/>
    </row>
    <row r="170" spans="1:3" ht="13.5" customHeight="1" x14ac:dyDescent="0.25">
      <c r="A170" s="42"/>
      <c r="C170" s="34" t="s">
        <v>383</v>
      </c>
    </row>
    <row r="171" spans="1:3" ht="13.5" customHeight="1" x14ac:dyDescent="0.25">
      <c r="A171" s="42"/>
      <c r="C171" s="34"/>
    </row>
    <row r="172" spans="1:3" ht="13.5" customHeight="1" x14ac:dyDescent="0.25">
      <c r="A172" s="42"/>
      <c r="C172" s="34" t="s">
        <v>384</v>
      </c>
    </row>
    <row r="173" spans="1:3" ht="13.5" customHeight="1" x14ac:dyDescent="0.25">
      <c r="A173" s="42"/>
      <c r="C173" s="34"/>
    </row>
    <row r="174" spans="1:3" ht="13.5" customHeight="1" x14ac:dyDescent="0.25">
      <c r="A174" s="42"/>
      <c r="C174" s="34" t="s">
        <v>385</v>
      </c>
    </row>
    <row r="175" spans="1:3" ht="13.5" customHeight="1" x14ac:dyDescent="0.25"/>
    <row r="176" spans="1:3" ht="13.5" customHeight="1" x14ac:dyDescent="0.25">
      <c r="A176" s="42">
        <v>44183</v>
      </c>
      <c r="C176" s="34" t="s">
        <v>386</v>
      </c>
    </row>
    <row r="177" spans="1:3" ht="13.5" customHeight="1" x14ac:dyDescent="0.25">
      <c r="A177" s="42"/>
      <c r="C177" s="34"/>
    </row>
    <row r="178" spans="1:3" ht="13.5" customHeight="1" x14ac:dyDescent="0.25">
      <c r="A178" s="42"/>
      <c r="C178" s="34" t="s">
        <v>387</v>
      </c>
    </row>
    <row r="179" spans="1:3" ht="13.5" customHeight="1" x14ac:dyDescent="0.25">
      <c r="A179" s="42"/>
      <c r="C179" s="34"/>
    </row>
    <row r="180" spans="1:3" ht="13.5" customHeight="1" x14ac:dyDescent="0.25">
      <c r="A180" s="42"/>
      <c r="C180" s="34" t="s">
        <v>388</v>
      </c>
    </row>
    <row r="181" spans="1:3" ht="13.5" customHeight="1" x14ac:dyDescent="0.25">
      <c r="A181" s="42"/>
      <c r="C181" s="34"/>
    </row>
    <row r="182" spans="1:3" ht="13.5" customHeight="1" x14ac:dyDescent="0.25">
      <c r="A182" s="42"/>
      <c r="C182" s="34" t="s">
        <v>389</v>
      </c>
    </row>
    <row r="183" spans="1:3" ht="13.5" customHeight="1" x14ac:dyDescent="0.25">
      <c r="A183" s="42"/>
      <c r="C183" s="34"/>
    </row>
    <row r="184" spans="1:3" ht="13.5" customHeight="1" x14ac:dyDescent="0.25">
      <c r="A184" s="42"/>
      <c r="C184" s="34" t="s">
        <v>390</v>
      </c>
    </row>
    <row r="185" spans="1:3" ht="13.5" customHeight="1" x14ac:dyDescent="0.25">
      <c r="A185" s="42"/>
      <c r="C185" s="34"/>
    </row>
    <row r="186" spans="1:3" ht="13.5" customHeight="1" x14ac:dyDescent="0.25">
      <c r="C186" s="26" t="s">
        <v>391</v>
      </c>
    </row>
    <row r="188" spans="1:3" ht="13.5" customHeight="1" x14ac:dyDescent="0.25">
      <c r="A188" s="42">
        <v>44201</v>
      </c>
      <c r="C188" s="37" t="s">
        <v>392</v>
      </c>
    </row>
    <row r="189" spans="1:3" ht="13.5" customHeight="1" x14ac:dyDescent="0.25">
      <c r="A189" s="42"/>
      <c r="C189" s="37"/>
    </row>
    <row r="190" spans="1:3" ht="13.5" customHeight="1" x14ac:dyDescent="0.25">
      <c r="C190" s="37" t="s">
        <v>393</v>
      </c>
    </row>
    <row r="192" spans="1:3" ht="13.5" customHeight="1" x14ac:dyDescent="0.25">
      <c r="A192" s="42">
        <v>44203</v>
      </c>
      <c r="C192" s="37" t="s">
        <v>394</v>
      </c>
    </row>
    <row r="193" spans="3:3" ht="13.5" customHeight="1" x14ac:dyDescent="0.25">
      <c r="C193" s="37"/>
    </row>
    <row r="194" spans="3:3" ht="13.5" customHeight="1" x14ac:dyDescent="0.25">
      <c r="C194" s="37" t="s">
        <v>395</v>
      </c>
    </row>
    <row r="195" spans="3:3" ht="13.5" customHeight="1" x14ac:dyDescent="0.25">
      <c r="C195" s="37" t="s">
        <v>396</v>
      </c>
    </row>
    <row r="196" spans="3:3" ht="13.5" customHeight="1" x14ac:dyDescent="0.25">
      <c r="C196" s="37"/>
    </row>
    <row r="197" spans="3:3" ht="13.5" customHeight="1" x14ac:dyDescent="0.25">
      <c r="C197" s="37" t="s">
        <v>397</v>
      </c>
    </row>
    <row r="198" spans="3:3" ht="13.5" customHeight="1" x14ac:dyDescent="0.25">
      <c r="C198" s="37"/>
    </row>
    <row r="199" spans="3:3" ht="13.5" customHeight="1" x14ac:dyDescent="0.25">
      <c r="C199" s="37" t="s">
        <v>398</v>
      </c>
    </row>
    <row r="200" spans="3:3" ht="13.5" customHeight="1" x14ac:dyDescent="0.25">
      <c r="C200" s="37"/>
    </row>
    <row r="201" spans="3:3" ht="13.5" customHeight="1" x14ac:dyDescent="0.25">
      <c r="C201" s="37" t="s">
        <v>399</v>
      </c>
    </row>
    <row r="202" spans="3:3" ht="13.5" customHeight="1" x14ac:dyDescent="0.25">
      <c r="C202" s="37"/>
    </row>
    <row r="203" spans="3:3" ht="13.5" customHeight="1" x14ac:dyDescent="0.25">
      <c r="C203" s="37" t="s">
        <v>400</v>
      </c>
    </row>
    <row r="204" spans="3:3" ht="13.5" customHeight="1" x14ac:dyDescent="0.25">
      <c r="C204" s="37"/>
    </row>
    <row r="205" spans="3:3" ht="13.5" customHeight="1" x14ac:dyDescent="0.25">
      <c r="C205" s="37" t="s">
        <v>401</v>
      </c>
    </row>
    <row r="206" spans="3:3" ht="13.5" customHeight="1" x14ac:dyDescent="0.25">
      <c r="C206" s="37"/>
    </row>
    <row r="207" spans="3:3" ht="13.5" customHeight="1" x14ac:dyDescent="0.25">
      <c r="C207" s="37" t="s">
        <v>402</v>
      </c>
    </row>
    <row r="208" spans="3:3" ht="13.5" customHeight="1" x14ac:dyDescent="0.25">
      <c r="C208" s="37"/>
    </row>
    <row r="209" spans="3:3" ht="13.5" customHeight="1" x14ac:dyDescent="0.25">
      <c r="C209" s="37" t="s">
        <v>403</v>
      </c>
    </row>
    <row r="210" spans="3:3" ht="13.5" customHeight="1" x14ac:dyDescent="0.25">
      <c r="C210" s="37"/>
    </row>
    <row r="211" spans="3:3" ht="13.5" customHeight="1" x14ac:dyDescent="0.25">
      <c r="C211" s="37" t="s">
        <v>404</v>
      </c>
    </row>
    <row r="212" spans="3:3" ht="13.5" customHeight="1" x14ac:dyDescent="0.25">
      <c r="C212" s="37"/>
    </row>
    <row r="213" spans="3:3" ht="13.5" customHeight="1" x14ac:dyDescent="0.25">
      <c r="C213" s="37" t="s">
        <v>405</v>
      </c>
    </row>
    <row r="214" spans="3:3" ht="13.5" customHeight="1" x14ac:dyDescent="0.25">
      <c r="C214" s="37"/>
    </row>
    <row r="215" spans="3:3" ht="13.5" customHeight="1" x14ac:dyDescent="0.25">
      <c r="C215" s="37" t="s">
        <v>406</v>
      </c>
    </row>
    <row r="216" spans="3:3" ht="13.5" customHeight="1" x14ac:dyDescent="0.25">
      <c r="C216" s="37"/>
    </row>
    <row r="217" spans="3:3" ht="13.5" customHeight="1" x14ac:dyDescent="0.25">
      <c r="C217" s="37" t="s">
        <v>407</v>
      </c>
    </row>
    <row r="218" spans="3:3" ht="13.5" customHeight="1" x14ac:dyDescent="0.25">
      <c r="C218" s="37"/>
    </row>
    <row r="219" spans="3:3" ht="13.5" customHeight="1" x14ac:dyDescent="0.25">
      <c r="C219" s="37" t="s">
        <v>408</v>
      </c>
    </row>
    <row r="220" spans="3:3" ht="13.5" customHeight="1" x14ac:dyDescent="0.25">
      <c r="C220" s="37"/>
    </row>
    <row r="221" spans="3:3" ht="13.5" customHeight="1" x14ac:dyDescent="0.25">
      <c r="C221" s="37" t="s">
        <v>409</v>
      </c>
    </row>
    <row r="222" spans="3:3" ht="13.5" customHeight="1" x14ac:dyDescent="0.25">
      <c r="C222" s="37"/>
    </row>
    <row r="223" spans="3:3" ht="13.5" customHeight="1" x14ac:dyDescent="0.25">
      <c r="C223" s="37" t="s">
        <v>410</v>
      </c>
    </row>
    <row r="224" spans="3:3" ht="13.5" customHeight="1" x14ac:dyDescent="0.25">
      <c r="C224" s="37"/>
    </row>
    <row r="225" spans="1:3" ht="13.5" customHeight="1" x14ac:dyDescent="0.25">
      <c r="C225" s="37" t="s">
        <v>411</v>
      </c>
    </row>
    <row r="226" spans="1:3" ht="13.5" customHeight="1" x14ac:dyDescent="0.25">
      <c r="C226" s="37"/>
    </row>
    <row r="227" spans="1:3" ht="13.5" customHeight="1" x14ac:dyDescent="0.25">
      <c r="A227" s="42">
        <v>44203</v>
      </c>
      <c r="C227" s="37" t="s">
        <v>412</v>
      </c>
    </row>
    <row r="228" spans="1:3" ht="13.5" customHeight="1" x14ac:dyDescent="0.25">
      <c r="C228" s="37"/>
    </row>
    <row r="229" spans="1:3" ht="13.5" customHeight="1" x14ac:dyDescent="0.25">
      <c r="C229" s="43" t="s">
        <v>413</v>
      </c>
    </row>
    <row r="230" spans="1:3" ht="13.5" customHeight="1" x14ac:dyDescent="0.25">
      <c r="C230" s="37"/>
    </row>
    <row r="231" spans="1:3" ht="13.5" customHeight="1" x14ac:dyDescent="0.25">
      <c r="C231" s="44" t="s">
        <v>414</v>
      </c>
    </row>
    <row r="232" spans="1:3" ht="13.5" customHeight="1" x14ac:dyDescent="0.25">
      <c r="C232" s="44" t="s">
        <v>415</v>
      </c>
    </row>
    <row r="233" spans="1:3" ht="13.5" customHeight="1" x14ac:dyDescent="0.25">
      <c r="C233" s="37"/>
    </row>
    <row r="234" spans="1:3" ht="13.5" customHeight="1" x14ac:dyDescent="0.25">
      <c r="C234" s="44" t="s">
        <v>416</v>
      </c>
    </row>
    <row r="235" spans="1:3" ht="13.5" customHeight="1" x14ac:dyDescent="0.25">
      <c r="C235" s="37"/>
    </row>
    <row r="236" spans="1:3" ht="13.5" customHeight="1" x14ac:dyDescent="0.25">
      <c r="C236" s="44" t="s">
        <v>417</v>
      </c>
    </row>
    <row r="237" spans="1:3" ht="13.5" customHeight="1" x14ac:dyDescent="0.25">
      <c r="C237" s="37"/>
    </row>
    <row r="238" spans="1:3" ht="13.5" customHeight="1" x14ac:dyDescent="0.25">
      <c r="C238" s="44" t="s">
        <v>418</v>
      </c>
    </row>
    <row r="239" spans="1:3" ht="13.5" customHeight="1" x14ac:dyDescent="0.25">
      <c r="C239" s="37"/>
    </row>
    <row r="240" spans="1:3" ht="13.5" customHeight="1" x14ac:dyDescent="0.25">
      <c r="C240" s="44" t="s">
        <v>419</v>
      </c>
    </row>
    <row r="241" spans="1:3" ht="13.5" customHeight="1" x14ac:dyDescent="0.25">
      <c r="C241" s="37"/>
    </row>
    <row r="242" spans="1:3" ht="13.5" customHeight="1" x14ac:dyDescent="0.25">
      <c r="C242" s="44" t="s">
        <v>420</v>
      </c>
    </row>
    <row r="243" spans="1:3" ht="13.5" customHeight="1" x14ac:dyDescent="0.25">
      <c r="C243" s="37"/>
    </row>
    <row r="244" spans="1:3" ht="13.5" customHeight="1" x14ac:dyDescent="0.25">
      <c r="A244" s="42">
        <v>44228</v>
      </c>
      <c r="C244" s="37" t="s">
        <v>421</v>
      </c>
    </row>
    <row r="245" spans="1:3" ht="13.5" customHeight="1" x14ac:dyDescent="0.25">
      <c r="A245" s="45">
        <v>0.49305555555555558</v>
      </c>
      <c r="C245" s="37"/>
    </row>
    <row r="246" spans="1:3" ht="13.5" customHeight="1" x14ac:dyDescent="0.25">
      <c r="A246" s="42"/>
      <c r="C246" s="37" t="s">
        <v>237</v>
      </c>
    </row>
    <row r="247" spans="1:3" ht="13.5" customHeight="1" x14ac:dyDescent="0.25">
      <c r="A247" s="42"/>
      <c r="C247" s="37"/>
    </row>
    <row r="248" spans="1:3" ht="13.5" customHeight="1" x14ac:dyDescent="0.25">
      <c r="A248" s="42"/>
      <c r="C248" s="37" t="s">
        <v>238</v>
      </c>
    </row>
    <row r="249" spans="1:3" ht="13.5" customHeight="1" x14ac:dyDescent="0.25">
      <c r="A249" s="42"/>
      <c r="C249" s="37"/>
    </row>
    <row r="250" spans="1:3" ht="13.5" customHeight="1" x14ac:dyDescent="0.25">
      <c r="A250" s="42"/>
      <c r="C250" s="37" t="s">
        <v>246</v>
      </c>
    </row>
    <row r="251" spans="1:3" ht="13.5" customHeight="1" x14ac:dyDescent="0.25">
      <c r="A251" s="42"/>
      <c r="C251" s="37"/>
    </row>
    <row r="252" spans="1:3" ht="13.5" customHeight="1" x14ac:dyDescent="0.25">
      <c r="A252" s="42"/>
      <c r="C252" s="37" t="s">
        <v>239</v>
      </c>
    </row>
    <row r="253" spans="1:3" ht="13.5" customHeight="1" x14ac:dyDescent="0.25">
      <c r="A253" s="42"/>
      <c r="C253" s="37"/>
    </row>
    <row r="254" spans="1:3" ht="13.5" customHeight="1" x14ac:dyDescent="0.25">
      <c r="A254" s="42"/>
      <c r="C254" s="37" t="s">
        <v>240</v>
      </c>
    </row>
    <row r="255" spans="1:3" ht="13.5" customHeight="1" x14ac:dyDescent="0.25">
      <c r="A255" s="42"/>
      <c r="C255" s="37"/>
    </row>
    <row r="256" spans="1:3" ht="13.5" customHeight="1" x14ac:dyDescent="0.25">
      <c r="A256" s="42">
        <v>44228</v>
      </c>
      <c r="C256" s="37" t="s">
        <v>421</v>
      </c>
    </row>
    <row r="257" spans="1:3" ht="13.5" customHeight="1" x14ac:dyDescent="0.25">
      <c r="A257" s="45">
        <v>0.60972222222222217</v>
      </c>
      <c r="C257" s="37"/>
    </row>
    <row r="258" spans="1:3" ht="13.5" customHeight="1" x14ac:dyDescent="0.25">
      <c r="A258" s="42"/>
      <c r="C258" s="37" t="s">
        <v>241</v>
      </c>
    </row>
    <row r="259" spans="1:3" ht="13.5" customHeight="1" x14ac:dyDescent="0.25">
      <c r="A259" s="42"/>
      <c r="C259" s="37"/>
    </row>
    <row r="260" spans="1:3" ht="13.5" customHeight="1" x14ac:dyDescent="0.25">
      <c r="A260" s="42"/>
      <c r="C260" s="37" t="s">
        <v>242</v>
      </c>
    </row>
    <row r="261" spans="1:3" ht="13.5" customHeight="1" x14ac:dyDescent="0.25">
      <c r="A261" s="42"/>
      <c r="C261" s="37"/>
    </row>
    <row r="262" spans="1:3" ht="13.5" customHeight="1" x14ac:dyDescent="0.25">
      <c r="A262" s="42"/>
      <c r="C262" s="37" t="s">
        <v>243</v>
      </c>
    </row>
    <row r="263" spans="1:3" ht="13.5" customHeight="1" x14ac:dyDescent="0.25">
      <c r="A263" s="42"/>
      <c r="C263" s="37"/>
    </row>
    <row r="264" spans="1:3" ht="13.5" customHeight="1" x14ac:dyDescent="0.25">
      <c r="A264" s="42"/>
      <c r="C264" s="37" t="s">
        <v>244</v>
      </c>
    </row>
    <row r="265" spans="1:3" ht="13.5" customHeight="1" x14ac:dyDescent="0.25">
      <c r="A265" s="42"/>
      <c r="C265" s="37"/>
    </row>
    <row r="266" spans="1:3" ht="13.5" customHeight="1" x14ac:dyDescent="0.25">
      <c r="A266" s="42"/>
      <c r="C266" s="37" t="s">
        <v>245</v>
      </c>
    </row>
    <row r="267" spans="1:3" ht="13.5" customHeight="1" x14ac:dyDescent="0.25">
      <c r="A267" s="42"/>
      <c r="C267" s="37"/>
    </row>
    <row r="268" spans="1:3" ht="13.5" customHeight="1" x14ac:dyDescent="0.25">
      <c r="A268" s="42">
        <v>44228</v>
      </c>
      <c r="C268" s="37" t="s">
        <v>422</v>
      </c>
    </row>
    <row r="269" spans="1:3" ht="13.5" customHeight="1" x14ac:dyDescent="0.25">
      <c r="A269" s="42"/>
      <c r="C269" s="37"/>
    </row>
    <row r="270" spans="1:3" ht="13.5" customHeight="1" x14ac:dyDescent="0.25">
      <c r="A270" s="42"/>
      <c r="C270" s="37" t="s">
        <v>247</v>
      </c>
    </row>
    <row r="271" spans="1:3" ht="13.5" customHeight="1" x14ac:dyDescent="0.25">
      <c r="A271" s="42"/>
      <c r="C271" s="37"/>
    </row>
    <row r="272" spans="1:3" ht="13.5" customHeight="1" x14ac:dyDescent="0.25">
      <c r="A272" s="42">
        <v>44228</v>
      </c>
      <c r="C272" s="37" t="s">
        <v>423</v>
      </c>
    </row>
    <row r="273" spans="1:3" ht="13.5" customHeight="1" x14ac:dyDescent="0.25">
      <c r="A273" s="42"/>
      <c r="C273" s="37"/>
    </row>
    <row r="274" spans="1:3" ht="13.5" customHeight="1" x14ac:dyDescent="0.25">
      <c r="A274" s="42"/>
      <c r="C274" s="37" t="s">
        <v>248</v>
      </c>
    </row>
    <row r="275" spans="1:3" ht="13.5" customHeight="1" x14ac:dyDescent="0.25">
      <c r="A275" s="42"/>
      <c r="C275" s="37"/>
    </row>
    <row r="276" spans="1:3" ht="13.5" customHeight="1" x14ac:dyDescent="0.25">
      <c r="A276" s="42"/>
      <c r="C276" s="37" t="s">
        <v>249</v>
      </c>
    </row>
    <row r="277" spans="1:3" ht="13.5" customHeight="1" x14ac:dyDescent="0.25">
      <c r="A277" s="42"/>
      <c r="C277" s="37"/>
    </row>
    <row r="278" spans="1:3" ht="13.5" customHeight="1" x14ac:dyDescent="0.25">
      <c r="A278" s="42"/>
      <c r="C278" s="37" t="s">
        <v>252</v>
      </c>
    </row>
    <row r="279" spans="1:3" ht="13.5" customHeight="1" x14ac:dyDescent="0.25">
      <c r="A279" s="42"/>
      <c r="C279" s="37"/>
    </row>
    <row r="280" spans="1:3" ht="13.5" customHeight="1" x14ac:dyDescent="0.25">
      <c r="A280" s="42"/>
      <c r="C280" s="37" t="s">
        <v>250</v>
      </c>
    </row>
    <row r="281" spans="1:3" ht="13.5" customHeight="1" x14ac:dyDescent="0.25">
      <c r="A281" s="42"/>
      <c r="C281" s="37"/>
    </row>
    <row r="282" spans="1:3" ht="13.5" customHeight="1" x14ac:dyDescent="0.25">
      <c r="A282" s="42"/>
      <c r="C282" s="37" t="s">
        <v>251</v>
      </c>
    </row>
    <row r="283" spans="1:3" ht="13.5" customHeight="1" x14ac:dyDescent="0.25">
      <c r="C283" s="37"/>
    </row>
    <row r="284" spans="1:3" ht="13.5" customHeight="1" x14ac:dyDescent="0.25">
      <c r="A284" s="42">
        <v>44229</v>
      </c>
      <c r="C284" s="26" t="s">
        <v>424</v>
      </c>
    </row>
    <row r="286" spans="1:3" ht="13.5" customHeight="1" x14ac:dyDescent="0.25">
      <c r="C286" s="26" t="s">
        <v>254</v>
      </c>
    </row>
    <row r="288" spans="1:3" ht="13.5" customHeight="1" x14ac:dyDescent="0.25">
      <c r="C288" s="26" t="s">
        <v>255</v>
      </c>
    </row>
    <row r="290" spans="1:3" ht="13.5" customHeight="1" x14ac:dyDescent="0.25">
      <c r="C290" s="26" t="s">
        <v>253</v>
      </c>
    </row>
    <row r="292" spans="1:3" ht="13.5" customHeight="1" x14ac:dyDescent="0.25">
      <c r="C292" s="26" t="s">
        <v>235</v>
      </c>
    </row>
    <row r="294" spans="1:3" ht="13.5" customHeight="1" x14ac:dyDescent="0.25">
      <c r="C294" s="26" t="s">
        <v>256</v>
      </c>
    </row>
    <row r="296" spans="1:3" ht="13.5" customHeight="1" x14ac:dyDescent="0.25">
      <c r="C296" s="26" t="s">
        <v>257</v>
      </c>
    </row>
    <row r="298" spans="1:3" ht="13.5" customHeight="1" x14ac:dyDescent="0.25">
      <c r="C298" s="26" t="s">
        <v>236</v>
      </c>
    </row>
    <row r="300" spans="1:3" ht="13.5" customHeight="1" x14ac:dyDescent="0.25">
      <c r="A300" s="42">
        <v>44229</v>
      </c>
      <c r="C300" s="26" t="s">
        <v>425</v>
      </c>
    </row>
    <row r="302" spans="1:3" ht="13.5" customHeight="1" x14ac:dyDescent="0.25">
      <c r="C302" s="26" t="s">
        <v>258</v>
      </c>
    </row>
    <row r="304" spans="1:3" ht="13.5" customHeight="1" x14ac:dyDescent="0.25">
      <c r="A304" s="42">
        <v>44229</v>
      </c>
      <c r="C304" s="26" t="s">
        <v>426</v>
      </c>
    </row>
    <row r="306" spans="1:3" ht="13.5" customHeight="1" x14ac:dyDescent="0.25">
      <c r="C306" s="26" t="s">
        <v>259</v>
      </c>
    </row>
    <row r="308" spans="1:3" ht="13.5" customHeight="1" x14ac:dyDescent="0.25">
      <c r="A308" s="42">
        <v>44230</v>
      </c>
      <c r="C308" s="26" t="s">
        <v>427</v>
      </c>
    </row>
    <row r="310" spans="1:3" ht="13.5" customHeight="1" x14ac:dyDescent="0.25">
      <c r="C310" s="26" t="s">
        <v>260</v>
      </c>
    </row>
    <row r="312" spans="1:3" ht="13.5" customHeight="1" x14ac:dyDescent="0.25">
      <c r="A312" s="42">
        <v>44232</v>
      </c>
      <c r="C312" s="26" t="s">
        <v>428</v>
      </c>
    </row>
    <row r="314" spans="1:3" ht="13.5" customHeight="1" x14ac:dyDescent="0.25">
      <c r="C314" s="26" t="s">
        <v>261</v>
      </c>
    </row>
    <row r="316" spans="1:3" ht="13.5" customHeight="1" x14ac:dyDescent="0.25">
      <c r="A316" s="42">
        <v>44236</v>
      </c>
      <c r="C316" s="26" t="s">
        <v>426</v>
      </c>
    </row>
    <row r="318" spans="1:3" ht="13.5" customHeight="1" x14ac:dyDescent="0.25">
      <c r="C318" s="26" t="s">
        <v>262</v>
      </c>
    </row>
    <row r="320" spans="1:3" ht="13.5" customHeight="1" x14ac:dyDescent="0.25">
      <c r="C320" s="26" t="s">
        <v>263</v>
      </c>
    </row>
    <row r="322" spans="1:3" ht="13.5" customHeight="1" x14ac:dyDescent="0.25">
      <c r="C322" s="26" t="s">
        <v>264</v>
      </c>
    </row>
    <row r="324" spans="1:3" ht="13.5" customHeight="1" x14ac:dyDescent="0.25">
      <c r="C324" s="26" t="s">
        <v>265</v>
      </c>
    </row>
    <row r="326" spans="1:3" ht="13.5" customHeight="1" x14ac:dyDescent="0.25">
      <c r="A326" s="42">
        <v>44237</v>
      </c>
      <c r="C326" s="26" t="s">
        <v>425</v>
      </c>
    </row>
    <row r="328" spans="1:3" ht="13.5" customHeight="1" x14ac:dyDescent="0.25">
      <c r="C328" s="26" t="s">
        <v>268</v>
      </c>
    </row>
    <row r="330" spans="1:3" ht="13.5" customHeight="1" x14ac:dyDescent="0.25">
      <c r="C330" s="26" t="s">
        <v>266</v>
      </c>
    </row>
    <row r="332" spans="1:3" ht="13.5" customHeight="1" x14ac:dyDescent="0.25">
      <c r="C332" s="26" t="s">
        <v>267</v>
      </c>
    </row>
    <row r="334" spans="1:3" ht="13.5" customHeight="1" x14ac:dyDescent="0.25">
      <c r="C334" s="26" t="s">
        <v>269</v>
      </c>
    </row>
    <row r="336" spans="1:3" ht="13.5" customHeight="1" x14ac:dyDescent="0.25">
      <c r="C336" s="26" t="s">
        <v>270</v>
      </c>
    </row>
    <row r="338" spans="1:3" ht="13.5" customHeight="1" x14ac:dyDescent="0.25">
      <c r="A338" s="42">
        <v>44238</v>
      </c>
      <c r="C338" s="26" t="s">
        <v>422</v>
      </c>
    </row>
    <row r="340" spans="1:3" ht="13.5" customHeight="1" x14ac:dyDescent="0.25">
      <c r="C340" s="26" t="s">
        <v>271</v>
      </c>
    </row>
    <row r="342" spans="1:3" ht="13.5" customHeight="1" x14ac:dyDescent="0.25">
      <c r="C342" s="26" t="s">
        <v>272</v>
      </c>
    </row>
    <row r="344" spans="1:3" ht="13.5" customHeight="1" x14ac:dyDescent="0.25">
      <c r="C344" s="26" t="s">
        <v>273</v>
      </c>
    </row>
    <row r="346" spans="1:3" ht="13.5" customHeight="1" x14ac:dyDescent="0.25">
      <c r="C346" s="26" t="s">
        <v>274</v>
      </c>
    </row>
    <row r="348" spans="1:3" ht="13.5" customHeight="1" x14ac:dyDescent="0.25">
      <c r="C348" s="26" t="s">
        <v>275</v>
      </c>
    </row>
    <row r="350" spans="1:3" ht="13.5" customHeight="1" x14ac:dyDescent="0.25">
      <c r="A350" s="42">
        <v>44251</v>
      </c>
      <c r="C350" s="26" t="s">
        <v>429</v>
      </c>
    </row>
    <row r="352" spans="1:3" ht="13.5" customHeight="1" x14ac:dyDescent="0.25">
      <c r="C352" s="26" t="s">
        <v>276</v>
      </c>
    </row>
    <row r="354" spans="1:3" ht="13.5" customHeight="1" x14ac:dyDescent="0.25">
      <c r="C354" s="26" t="s">
        <v>277</v>
      </c>
    </row>
    <row r="356" spans="1:3" ht="13.5" customHeight="1" x14ac:dyDescent="0.25">
      <c r="C356" s="26" t="s">
        <v>278</v>
      </c>
    </row>
    <row r="358" spans="1:3" ht="13.5" customHeight="1" x14ac:dyDescent="0.25">
      <c r="C358" s="26" t="s">
        <v>279</v>
      </c>
    </row>
    <row r="360" spans="1:3" ht="13.5" customHeight="1" x14ac:dyDescent="0.25">
      <c r="A360" s="42">
        <v>44253</v>
      </c>
      <c r="C360" s="26" t="s">
        <v>428</v>
      </c>
    </row>
    <row r="362" spans="1:3" ht="13.5" customHeight="1" x14ac:dyDescent="0.25">
      <c r="C362" s="26" t="s">
        <v>280</v>
      </c>
    </row>
    <row r="364" spans="1:3" ht="13.5" customHeight="1" x14ac:dyDescent="0.25">
      <c r="C364" s="26" t="s">
        <v>287</v>
      </c>
    </row>
    <row r="366" spans="1:3" ht="13.5" customHeight="1" x14ac:dyDescent="0.25">
      <c r="C366" s="26" t="s">
        <v>281</v>
      </c>
    </row>
    <row r="368" spans="1:3" ht="13.5" customHeight="1" x14ac:dyDescent="0.25">
      <c r="C368" s="26" t="s">
        <v>282</v>
      </c>
    </row>
    <row r="370" spans="1:3" ht="13.5" customHeight="1" x14ac:dyDescent="0.25">
      <c r="C370" s="26" t="s">
        <v>288</v>
      </c>
    </row>
    <row r="372" spans="1:3" ht="13.5" customHeight="1" x14ac:dyDescent="0.25">
      <c r="C372" s="26" t="s">
        <v>283</v>
      </c>
    </row>
    <row r="374" spans="1:3" ht="13.5" customHeight="1" x14ac:dyDescent="0.25">
      <c r="C374" s="26" t="s">
        <v>284</v>
      </c>
    </row>
    <row r="376" spans="1:3" ht="13.5" customHeight="1" x14ac:dyDescent="0.25">
      <c r="C376" s="26" t="s">
        <v>285</v>
      </c>
    </row>
    <row r="378" spans="1:3" ht="13.5" customHeight="1" x14ac:dyDescent="0.25">
      <c r="C378" s="26" t="s">
        <v>286</v>
      </c>
    </row>
    <row r="380" spans="1:3" ht="13.5" customHeight="1" x14ac:dyDescent="0.25">
      <c r="A380" s="42">
        <v>44365</v>
      </c>
      <c r="C380" s="26" t="s">
        <v>327</v>
      </c>
    </row>
    <row r="382" spans="1:3" ht="13.5" customHeight="1" x14ac:dyDescent="0.25">
      <c r="C382" s="26" t="s">
        <v>289</v>
      </c>
    </row>
    <row r="384" spans="1:3" ht="13.5" customHeight="1" x14ac:dyDescent="0.25">
      <c r="C384" s="26" t="s">
        <v>290</v>
      </c>
    </row>
    <row r="386" spans="3:3" ht="13.5" customHeight="1" x14ac:dyDescent="0.25">
      <c r="C386" s="26" t="s">
        <v>291</v>
      </c>
    </row>
    <row r="388" spans="3:3" ht="13.5" customHeight="1" x14ac:dyDescent="0.25">
      <c r="C388" s="26" t="s">
        <v>292</v>
      </c>
    </row>
    <row r="390" spans="3:3" ht="13.5" customHeight="1" x14ac:dyDescent="0.25">
      <c r="C390" s="26" t="s">
        <v>293</v>
      </c>
    </row>
    <row r="392" spans="3:3" ht="13.5" customHeight="1" x14ac:dyDescent="0.25">
      <c r="C392" s="26" t="s">
        <v>297</v>
      </c>
    </row>
    <row r="394" spans="3:3" ht="13.5" customHeight="1" x14ac:dyDescent="0.25">
      <c r="C394" s="26" t="s">
        <v>294</v>
      </c>
    </row>
    <row r="396" spans="3:3" ht="13.5" customHeight="1" x14ac:dyDescent="0.25">
      <c r="C396" s="26" t="s">
        <v>295</v>
      </c>
    </row>
    <row r="398" spans="3:3" ht="13.5" customHeight="1" x14ac:dyDescent="0.25">
      <c r="C398" s="26" t="s">
        <v>296</v>
      </c>
    </row>
    <row r="400" spans="3:3" ht="13.5" customHeight="1" x14ac:dyDescent="0.25">
      <c r="C400" s="26" t="s">
        <v>298</v>
      </c>
    </row>
    <row r="402" spans="1:1" ht="13.5" customHeight="1" x14ac:dyDescent="0.25">
      <c r="A402" s="4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1st CD</vt:lpstr>
      <vt:lpstr>2nd CD</vt:lpstr>
      <vt:lpstr>3rd CD</vt:lpstr>
      <vt:lpstr>4th CD</vt:lpstr>
      <vt:lpstr>5th CD</vt:lpstr>
      <vt:lpstr>6th CD</vt:lpstr>
      <vt:lpstr>7th CD</vt:lpstr>
      <vt:lpstr>8th CD</vt:lpstr>
      <vt:lpstr>9th CD</vt:lpstr>
      <vt:lpstr>10th CD</vt:lpstr>
      <vt:lpstr>11th CD</vt:lpstr>
      <vt:lpstr>12th CD</vt:lpstr>
      <vt:lpstr>13th CD</vt:lpstr>
      <vt:lpstr>14th CD</vt:lpstr>
      <vt:lpstr>15th CD</vt:lpstr>
      <vt:lpstr>16th CD</vt:lpstr>
      <vt:lpstr>17th CD</vt:lpstr>
      <vt:lpstr>18th CD</vt:lpstr>
      <vt:lpstr>19th CD</vt:lpstr>
      <vt:lpstr>20th CD</vt:lpstr>
      <vt:lpstr>21st CD</vt:lpstr>
      <vt:lpstr>22nd CD</vt:lpstr>
      <vt:lpstr>23rd CD</vt:lpstr>
      <vt:lpstr>24th CD</vt:lpstr>
      <vt:lpstr>25th CD</vt:lpstr>
      <vt:lpstr>26th CD</vt:lpstr>
      <vt:lpstr>27th CD</vt:lpstr>
      <vt:lpstr>Revision History</vt:lpstr>
      <vt:lpstr>'1st CD'!Print_Area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2021-07-26T20:16:21Z</cp:lastPrinted>
  <dcterms:created xsi:type="dcterms:W3CDTF">2008-10-28T18:22:21Z</dcterms:created>
  <dcterms:modified xsi:type="dcterms:W3CDTF">2021-08-18T22:58:42Z</dcterms:modified>
  <cp:category/>
  <cp:contentStatus/>
</cp:coreProperties>
</file>