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B82E4B7E-F745-4E2D-959E-75F91AFC070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st JD" sheetId="2" r:id="rId1"/>
    <sheet name="2nd JD" sheetId="258" r:id="rId2"/>
    <sheet name="5th JD" sheetId="260" r:id="rId3"/>
    <sheet name="6th JD" sheetId="261" r:id="rId4"/>
    <sheet name="7th JD" sheetId="262" r:id="rId5"/>
    <sheet name="8th JD" sheetId="263" r:id="rId6"/>
    <sheet name="9th JD" sheetId="264" r:id="rId7"/>
    <sheet name="10th JD" sheetId="265" r:id="rId8"/>
    <sheet name="11th JD" sheetId="266" r:id="rId9"/>
    <sheet name="12th JD" sheetId="267" r:id="rId10"/>
    <sheet name="13th JD" sheetId="268" r:id="rId11"/>
    <sheet name="Revision History" sheetId="508" r:id="rId12"/>
  </sheets>
  <definedNames>
    <definedName name="_xlnm.Print_Area" localSheetId="0">'1st JD'!$A$1:$D$10</definedName>
    <definedName name="_xlnm.Print_Area" localSheetId="1">'2nd JD'!$A$1:$D$22</definedName>
    <definedName name="_xlnm.Print_Area" localSheetId="2">'5th JD'!$A$1:$I$9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262" l="1"/>
  <c r="J4" i="262"/>
  <c r="J5" i="262"/>
  <c r="J6" i="262"/>
  <c r="J7" i="262"/>
  <c r="J8" i="262"/>
  <c r="J9" i="262"/>
  <c r="J10" i="262"/>
  <c r="J11" i="262"/>
  <c r="J12" i="262"/>
  <c r="J13" i="262"/>
  <c r="J14" i="262"/>
  <c r="J15" i="262"/>
  <c r="J16" i="262"/>
  <c r="J17" i="262"/>
  <c r="J18" i="262"/>
  <c r="J19" i="262"/>
  <c r="J20" i="262"/>
  <c r="J21" i="262"/>
  <c r="J22" i="262"/>
  <c r="J23" i="262"/>
  <c r="J24" i="262"/>
  <c r="J25" i="262"/>
  <c r="G3" i="264"/>
  <c r="B16" i="264"/>
  <c r="B26" i="262"/>
  <c r="C9" i="268" l="1"/>
  <c r="C22" i="266"/>
  <c r="C23" i="266"/>
  <c r="C24" i="266"/>
  <c r="C27" i="266"/>
  <c r="C21" i="266"/>
  <c r="C20" i="266"/>
  <c r="D20" i="266" s="1"/>
  <c r="C25" i="266"/>
  <c r="C26" i="266"/>
  <c r="C12" i="266"/>
  <c r="D12" i="266" s="1"/>
  <c r="C13" i="266"/>
  <c r="D13" i="266" s="1"/>
  <c r="C14" i="266"/>
  <c r="C15" i="266"/>
  <c r="C10" i="266"/>
  <c r="C11" i="266"/>
  <c r="C16" i="266"/>
  <c r="D16" i="266" s="1"/>
  <c r="C17" i="266"/>
  <c r="D17" i="266" s="1"/>
  <c r="C18" i="266"/>
  <c r="D18" i="266" s="1"/>
  <c r="C19" i="266"/>
  <c r="D19" i="266" s="1"/>
  <c r="C28" i="266"/>
  <c r="C29" i="266"/>
  <c r="C5" i="2"/>
  <c r="D5" i="2" s="1"/>
  <c r="D14" i="266" l="1"/>
  <c r="D21" i="266"/>
  <c r="D27" i="266"/>
  <c r="D10" i="266"/>
  <c r="D24" i="266"/>
  <c r="D34" i="265" l="1"/>
  <c r="E34" i="265" s="1"/>
  <c r="D33" i="265"/>
  <c r="D32" i="265"/>
  <c r="E32" i="265" s="1"/>
  <c r="D31" i="265"/>
  <c r="D30" i="265"/>
  <c r="E30" i="265" s="1"/>
  <c r="L4" i="261"/>
  <c r="M4" i="261" s="1"/>
  <c r="K4" i="262" l="1"/>
  <c r="K3" i="262"/>
  <c r="K5" i="262"/>
  <c r="K9" i="262"/>
  <c r="K6" i="262" l="1"/>
  <c r="K7" i="262"/>
  <c r="K8" i="262"/>
  <c r="B13" i="268" l="1"/>
  <c r="B10" i="267"/>
  <c r="B33" i="266"/>
  <c r="C38" i="265"/>
  <c r="B38" i="265"/>
  <c r="F18" i="264"/>
  <c r="E18" i="264"/>
  <c r="D18" i="264"/>
  <c r="C18" i="264"/>
  <c r="B18" i="264"/>
  <c r="I11" i="263"/>
  <c r="H11" i="263"/>
  <c r="G11" i="263"/>
  <c r="F11" i="263"/>
  <c r="E11" i="263"/>
  <c r="D11" i="263"/>
  <c r="C11" i="263"/>
  <c r="B11" i="263"/>
  <c r="I26" i="262"/>
  <c r="H26" i="262"/>
  <c r="G26" i="262"/>
  <c r="F26" i="262"/>
  <c r="E26" i="262"/>
  <c r="D26" i="262"/>
  <c r="C26" i="262"/>
  <c r="K9" i="261"/>
  <c r="J9" i="261"/>
  <c r="I9" i="261"/>
  <c r="H9" i="261"/>
  <c r="G9" i="261"/>
  <c r="F9" i="261"/>
  <c r="E9" i="261"/>
  <c r="D9" i="261"/>
  <c r="C9" i="261"/>
  <c r="B9" i="261"/>
  <c r="G9" i="260"/>
  <c r="F9" i="260"/>
  <c r="E9" i="260"/>
  <c r="D9" i="260"/>
  <c r="C9" i="260"/>
  <c r="B9" i="260"/>
  <c r="B22" i="258" l="1"/>
  <c r="B10" i="2"/>
  <c r="L8" i="261" l="1"/>
  <c r="L7" i="261"/>
  <c r="L5" i="261"/>
  <c r="L3" i="261"/>
  <c r="M3" i="261" s="1"/>
  <c r="C3" i="268" l="1"/>
  <c r="C4" i="268"/>
  <c r="C5" i="268"/>
  <c r="C6" i="268"/>
  <c r="C7" i="268"/>
  <c r="C8" i="268"/>
  <c r="C10" i="268"/>
  <c r="C11" i="268"/>
  <c r="C9" i="267"/>
  <c r="C8" i="267"/>
  <c r="C7" i="267"/>
  <c r="C6" i="267"/>
  <c r="D6" i="267" s="1"/>
  <c r="C5" i="267"/>
  <c r="D5" i="267" s="1"/>
  <c r="C4" i="267"/>
  <c r="D4" i="267" s="1"/>
  <c r="C3" i="267"/>
  <c r="D3" i="267" s="1"/>
  <c r="C3" i="266"/>
  <c r="C4" i="266"/>
  <c r="C5" i="266"/>
  <c r="C6" i="266"/>
  <c r="D6" i="266" s="1"/>
  <c r="C7" i="266"/>
  <c r="D7" i="266" s="1"/>
  <c r="C8" i="266"/>
  <c r="D8" i="266" s="1"/>
  <c r="C9" i="266"/>
  <c r="D9" i="266" s="1"/>
  <c r="C30" i="266"/>
  <c r="C31" i="266"/>
  <c r="C32" i="266"/>
  <c r="D37" i="265"/>
  <c r="D36" i="265"/>
  <c r="D35" i="265"/>
  <c r="D29" i="265"/>
  <c r="D28" i="265"/>
  <c r="E28" i="265" s="1"/>
  <c r="D27" i="265"/>
  <c r="D26" i="265"/>
  <c r="D25" i="265"/>
  <c r="D24" i="265"/>
  <c r="D23" i="265"/>
  <c r="D22" i="265"/>
  <c r="D21" i="265"/>
  <c r="D20" i="265"/>
  <c r="D19" i="265"/>
  <c r="D18" i="265"/>
  <c r="D17" i="265"/>
  <c r="D16" i="265"/>
  <c r="D15" i="265"/>
  <c r="D14" i="265"/>
  <c r="D13" i="265"/>
  <c r="D12" i="265"/>
  <c r="D11" i="265"/>
  <c r="D10" i="265"/>
  <c r="E10" i="265" s="1"/>
  <c r="D9" i="265"/>
  <c r="E9" i="265" s="1"/>
  <c r="D8" i="265"/>
  <c r="E8" i="265" s="1"/>
  <c r="D7" i="265"/>
  <c r="E7" i="265" s="1"/>
  <c r="D6" i="265"/>
  <c r="E6" i="265" s="1"/>
  <c r="D5" i="265"/>
  <c r="E5" i="265" s="1"/>
  <c r="D4" i="265"/>
  <c r="E4" i="265" s="1"/>
  <c r="D3" i="265"/>
  <c r="E3" i="265" s="1"/>
  <c r="G17" i="264"/>
  <c r="G16" i="264"/>
  <c r="G15" i="264"/>
  <c r="G14" i="264"/>
  <c r="G13" i="264"/>
  <c r="G12" i="264"/>
  <c r="G11" i="264"/>
  <c r="G10" i="264"/>
  <c r="G9" i="264"/>
  <c r="H9" i="264" s="1"/>
  <c r="G8" i="264"/>
  <c r="H8" i="264" s="1"/>
  <c r="G7" i="264"/>
  <c r="H7" i="264" s="1"/>
  <c r="G6" i="264"/>
  <c r="H6" i="264" s="1"/>
  <c r="G5" i="264"/>
  <c r="H5" i="264" s="1"/>
  <c r="G4" i="264"/>
  <c r="H4" i="264" s="1"/>
  <c r="H3" i="264"/>
  <c r="J3" i="263"/>
  <c r="J4" i="263"/>
  <c r="J5" i="263"/>
  <c r="J6" i="263"/>
  <c r="J7" i="263"/>
  <c r="J8" i="263"/>
  <c r="J9" i="263"/>
  <c r="J10" i="263"/>
  <c r="L6" i="261"/>
  <c r="H8" i="260"/>
  <c r="H7" i="260"/>
  <c r="H6" i="260"/>
  <c r="H5" i="260"/>
  <c r="H4" i="260"/>
  <c r="I4" i="260" s="1"/>
  <c r="H3" i="260"/>
  <c r="C21" i="258"/>
  <c r="C20" i="258"/>
  <c r="C19" i="258"/>
  <c r="C18" i="258"/>
  <c r="C17" i="258"/>
  <c r="C16" i="258"/>
  <c r="C15" i="258"/>
  <c r="C14" i="258"/>
  <c r="C13" i="258"/>
  <c r="C12" i="258"/>
  <c r="D12" i="258" s="1"/>
  <c r="C11" i="258"/>
  <c r="C10" i="258"/>
  <c r="C9" i="258"/>
  <c r="C8" i="258"/>
  <c r="C7" i="258"/>
  <c r="C6" i="258"/>
  <c r="C5" i="258"/>
  <c r="C4" i="258"/>
  <c r="C3" i="258"/>
  <c r="D3" i="258" s="1"/>
  <c r="D4" i="258" l="1"/>
  <c r="D16" i="258"/>
  <c r="D9" i="258"/>
  <c r="D13" i="258"/>
  <c r="D6" i="258"/>
  <c r="D3" i="268"/>
  <c r="C33" i="266"/>
  <c r="D3" i="266"/>
  <c r="D6" i="268"/>
  <c r="C10" i="267"/>
  <c r="I3" i="260"/>
  <c r="K4" i="263"/>
  <c r="C22" i="258"/>
  <c r="K3" i="263"/>
  <c r="L9" i="261"/>
  <c r="D38" i="265"/>
  <c r="J26" i="262"/>
  <c r="J11" i="263"/>
  <c r="H9" i="260"/>
  <c r="G18" i="264"/>
  <c r="C3" i="2"/>
  <c r="C4" i="2"/>
  <c r="D4" i="2" s="1"/>
  <c r="C6" i="2"/>
  <c r="D6" i="2" s="1"/>
  <c r="C7" i="2"/>
  <c r="C8" i="2"/>
  <c r="C9" i="2"/>
  <c r="D3" i="2" l="1"/>
  <c r="C10" i="2"/>
  <c r="C12" i="268" l="1"/>
  <c r="C13" i="268" s="1"/>
</calcChain>
</file>

<file path=xl/sharedStrings.xml><?xml version="1.0" encoding="utf-8"?>
<sst xmlns="http://schemas.openxmlformats.org/spreadsheetml/2006/main" count="470" uniqueCount="394">
  <si>
    <t>Blank</t>
  </si>
  <si>
    <t>Void</t>
  </si>
  <si>
    <t>Total Votes by County</t>
  </si>
  <si>
    <t>Total Votes by Party</t>
  </si>
  <si>
    <t>Total Votes by Candidate</t>
  </si>
  <si>
    <t>Supreme Court Justice 1st Judicial District - General Election - November 3, 2020</t>
  </si>
  <si>
    <t>Candidate Name (Party)</t>
  </si>
  <si>
    <t>New York County Vote Results</t>
  </si>
  <si>
    <t>Carol Sharpe (DEM)</t>
  </si>
  <si>
    <t>Ta-Tanisha James (DEM)</t>
  </si>
  <si>
    <t>David B. Cohen (DEM)</t>
  </si>
  <si>
    <t>Melissa Crane (DEM)</t>
  </si>
  <si>
    <t>Scattering</t>
  </si>
  <si>
    <t>Supreme Court Justice 2nd Judicial District - General Election - November 3, 2020</t>
  </si>
  <si>
    <t>Kings County Vote Results</t>
  </si>
  <si>
    <t>Karen B. Rothenberg (DEM)</t>
  </si>
  <si>
    <t>Beth Parlato (REP)</t>
  </si>
  <si>
    <t>Beth Parlato (CON)</t>
  </si>
  <si>
    <t>Carolyn E. Wade (DEM)</t>
  </si>
  <si>
    <t>Carolyn E. Wade (REP)</t>
  </si>
  <si>
    <t>Carolyn E. Wade (CON)</t>
  </si>
  <si>
    <t>Delores J. Thomas (DEM)</t>
  </si>
  <si>
    <t>Delores J. Thomas (REP)</t>
  </si>
  <si>
    <t>Delores J. Thomas (CON)</t>
  </si>
  <si>
    <t>Lizette Colon (DEM)</t>
  </si>
  <si>
    <t>Theresa M. Ciccotto (DEM)</t>
  </si>
  <si>
    <t>Theresa M. Ciccotto (REP)</t>
  </si>
  <si>
    <t>Theresa M. Ciccotto (CON)</t>
  </si>
  <si>
    <t>William F. Mastro (DEM)</t>
  </si>
  <si>
    <t>William F. Mastro (REP)</t>
  </si>
  <si>
    <t>William F. Mastro (CON)</t>
  </si>
  <si>
    <t>Supreme Court Justice 5th Judicial District - General Election - November 3, 2020</t>
  </si>
  <si>
    <t>Herkimer County Vote Results</t>
  </si>
  <si>
    <t>Jefferson County Vote Results</t>
  </si>
  <si>
    <t>Lewis County Vote Results</t>
  </si>
  <si>
    <t>Oneida County Vote Results</t>
  </si>
  <si>
    <t>Onondaga County Vote Results</t>
  </si>
  <si>
    <t>Oswego County Vote Results</t>
  </si>
  <si>
    <t>Rory A. McMahon (DEM)</t>
  </si>
  <si>
    <t>Michael F. Young (REP)</t>
  </si>
  <si>
    <t>Rory A. McMahon (CON)</t>
  </si>
  <si>
    <t>Supreme Court Justice 6th Judicial District - General Election - November 3, 2020</t>
  </si>
  <si>
    <t>Broome County Vote Results</t>
  </si>
  <si>
    <t>Chemung County Vote Results</t>
  </si>
  <si>
    <t>Chenango County Vote Results</t>
  </si>
  <si>
    <t>Cortland County Vote Results</t>
  </si>
  <si>
    <t>Delaware County Vote Results</t>
  </si>
  <si>
    <t>Madison County Vote Results</t>
  </si>
  <si>
    <t>Otsego County Vote Results</t>
  </si>
  <si>
    <t>Schuyler County Vote Results</t>
  </si>
  <si>
    <t>Tioga County Vote Results</t>
  </si>
  <si>
    <t>Tompkins County Vote Results</t>
  </si>
  <si>
    <t>Elizabeth A. Garry (DEM)</t>
  </si>
  <si>
    <t>Brian D. Burns (REP)</t>
  </si>
  <si>
    <t>Elizabeth A. Garry (IND)</t>
  </si>
  <si>
    <t>Supreme Court Justice 7th Judicial District - General Election - November 3, 2020</t>
  </si>
  <si>
    <t>Cayuga County Vote Results</t>
  </si>
  <si>
    <t>Livingston County Vote Results</t>
  </si>
  <si>
    <t>Monroe County Vote Results</t>
  </si>
  <si>
    <t>Ontario County Vote Results</t>
  </si>
  <si>
    <t>Seneca County Vote Results</t>
  </si>
  <si>
    <t>Steuben County Vote Results</t>
  </si>
  <si>
    <t>Wayne County Vote Results</t>
  </si>
  <si>
    <t>Yates County Vote Results</t>
  </si>
  <si>
    <t>Gino M. Nitti (DEM)</t>
  </si>
  <si>
    <t>William T. Gargan (DEM)</t>
  </si>
  <si>
    <t>Julie A. Cianca (DEM)</t>
  </si>
  <si>
    <t>Stephen K. Lindley (DEM)</t>
  </si>
  <si>
    <t>Dan Doyle (REP)</t>
  </si>
  <si>
    <t>Sam L. Valleriani (REP)</t>
  </si>
  <si>
    <t>Vince Dinolfo (REP)</t>
  </si>
  <si>
    <t>Stephen K. Lindley (REP)</t>
  </si>
  <si>
    <t>Dan Doyle (CON)</t>
  </si>
  <si>
    <t>Sam L. Valleriani (CON)</t>
  </si>
  <si>
    <t>Vince Dinolfo (CON)</t>
  </si>
  <si>
    <t>Stephen K. Lindley (CON)</t>
  </si>
  <si>
    <t>Dan Doyle (WOR)</t>
  </si>
  <si>
    <t>Sam L. Valleriani (WOR)</t>
  </si>
  <si>
    <t>Julie A. Cianca (WOR)</t>
  </si>
  <si>
    <t>Stephen K. Lindley (WOR)</t>
  </si>
  <si>
    <t>Dan Doyle (IND)</t>
  </si>
  <si>
    <t>Sam L. Valleriani (IND)</t>
  </si>
  <si>
    <t>Vince Dinolfo (IND)</t>
  </si>
  <si>
    <t>Stephen K. Lindley (IND)</t>
  </si>
  <si>
    <t>Supreme Court Justice 8th Judicial District - General Election - November 3, 2020</t>
  </si>
  <si>
    <t>Allegany County Vote Results</t>
  </si>
  <si>
    <t>Cattaraugus County Vote Results</t>
  </si>
  <si>
    <t>Chautauqua County Vote Results</t>
  </si>
  <si>
    <t>Erie County Vote Results</t>
  </si>
  <si>
    <t>Genesee County Vote Results</t>
  </si>
  <si>
    <t>Niagara County Vote Results</t>
  </si>
  <si>
    <t>Orleans County Vote Results</t>
  </si>
  <si>
    <t>Wyoming County Vote Results</t>
  </si>
  <si>
    <t>Amy C. Martoche (DEM)</t>
  </si>
  <si>
    <t>Gerald J. Greenan, III (REP)</t>
  </si>
  <si>
    <t>Gerald J. Greenan, III (CON)</t>
  </si>
  <si>
    <t>Amy C. Martoche (WOR)</t>
  </si>
  <si>
    <t>Gerald J. Greenan, III (IND)</t>
  </si>
  <si>
    <t>Supreme Court Justice 9th Judicial District - General Election - November 3, 2020</t>
  </si>
  <si>
    <t>Dutchess County Vote Results</t>
  </si>
  <si>
    <t>Orange County Vote Results</t>
  </si>
  <si>
    <t>Putnam County Vote Results</t>
  </si>
  <si>
    <t>Rockland County Vote Results</t>
  </si>
  <si>
    <t>Westchester County Vote Results</t>
  </si>
  <si>
    <t>E. Loren Williams (DEM)</t>
  </si>
  <si>
    <t>Alexandra D. Murphy (DEM)</t>
  </si>
  <si>
    <t>Robert S. Ondrovic (DEM)</t>
  </si>
  <si>
    <t>Sam D. Walker (DEM)</t>
  </si>
  <si>
    <t>Richard J. Guertin (REP)</t>
  </si>
  <si>
    <t>Mark T. Starkman (REP)</t>
  </si>
  <si>
    <t>David V. Hasin (REP)</t>
  </si>
  <si>
    <t>Sam D. Walker (REP)</t>
  </si>
  <si>
    <t>Richard J. Guertin (CON)</t>
  </si>
  <si>
    <t>Alexandra D. Murphy (CON)</t>
  </si>
  <si>
    <t>Robert S. Ondrovic (CON)</t>
  </si>
  <si>
    <t>Sam D. Walker (CON)</t>
  </si>
  <si>
    <t>Supreme Court Justice 10th Judicial District - General Election - 3, 2020</t>
  </si>
  <si>
    <t>Nassau County Vote Results</t>
  </si>
  <si>
    <t>Suffolk County Vote Results</t>
  </si>
  <si>
    <t>Valerie M. Cartright (DEM)</t>
  </si>
  <si>
    <t>Randy Sue Marber (DEM)</t>
  </si>
  <si>
    <t>Derrick J. Robinson (DEM)</t>
  </si>
  <si>
    <t>Erica L. Prager (DEM)</t>
  </si>
  <si>
    <t>Kathy G. Bergmann (DEM)</t>
  </si>
  <si>
    <t>Joseph R. Conway (DEM)</t>
  </si>
  <si>
    <t>Timothy P. Mazzei (DEM)</t>
  </si>
  <si>
    <t>Gary F. Knobel (DEM)</t>
  </si>
  <si>
    <t>Valerie M. Cartright (REP)</t>
  </si>
  <si>
    <t>Randy Sue Marber (REP)</t>
  </si>
  <si>
    <t>Derrick J. Robinson (REP)</t>
  </si>
  <si>
    <t>Erica L. Prager (REP)</t>
  </si>
  <si>
    <t>Kathy G. Bergmann (REP)</t>
  </si>
  <si>
    <t>Joseph R. Conway (REP)</t>
  </si>
  <si>
    <t>Timothy P. Mazzei (REP)</t>
  </si>
  <si>
    <t>Gary F. Knobel (REP)</t>
  </si>
  <si>
    <t>Valerie M. Cartright (CON)</t>
  </si>
  <si>
    <t>Randy Sue Marber (CON)</t>
  </si>
  <si>
    <t>Derrick J. Robinson (CON)</t>
  </si>
  <si>
    <t>Erica L. Prager (CON)</t>
  </si>
  <si>
    <t>Kathy G. Bergmann (CON)</t>
  </si>
  <si>
    <t>Joseph R. Conway (CON)</t>
  </si>
  <si>
    <t>Timothy P. Mazzei (CON)</t>
  </si>
  <si>
    <t>Gary F. Knobel (CON)</t>
  </si>
  <si>
    <t>Valerie M. Cartright (IND)</t>
  </si>
  <si>
    <t>Bryan L. Browns (IND)</t>
  </si>
  <si>
    <t>Derrick J. Robinson (IND)</t>
  </si>
  <si>
    <t>Patricia M. Blake (IND)</t>
  </si>
  <si>
    <t>Kathy G. Bergmann (IND)</t>
  </si>
  <si>
    <t>Randy  Berler (IND)</t>
  </si>
  <si>
    <t>Timothy P. Mazzei (IND)</t>
  </si>
  <si>
    <t>Evan Tanenbaum (IND)</t>
  </si>
  <si>
    <t>Supreme Court Justice 11th Judicial District - General Election - 3, 2020</t>
  </si>
  <si>
    <t>Queens County Vote Results</t>
  </si>
  <si>
    <t>Tracy A. Catapano-Fox (DEM)</t>
  </si>
  <si>
    <t>Tracy A. Catapano-Fox (REP)</t>
  </si>
  <si>
    <t>Tracy A. Catapano-Fox (CON)</t>
  </si>
  <si>
    <t>Joshua E. Goldfein (WOR)</t>
  </si>
  <si>
    <t>Mojgan Cohanim Lancman (DEM)</t>
  </si>
  <si>
    <t>Bob Cohen (WOR)</t>
  </si>
  <si>
    <t>Lance P. Evans (DEM)</t>
  </si>
  <si>
    <t>Joseph F. Kasper (REP)</t>
  </si>
  <si>
    <t>Joseph F. Kasper (CON)</t>
  </si>
  <si>
    <t>Judith Goldiner (WOR)</t>
  </si>
  <si>
    <t>Karina E. Alomar (DEM)</t>
  </si>
  <si>
    <t>John C. Spataro (REP)</t>
  </si>
  <si>
    <t>John C. Spataro (CON)</t>
  </si>
  <si>
    <t>Kenneth Schaeffer (WOR)</t>
  </si>
  <si>
    <t>Michelle A. Johnson (DEM)</t>
  </si>
  <si>
    <t>Afua Atta-Mensah (WOR)</t>
  </si>
  <si>
    <t>Darrell L. Gavrin (DEM)</t>
  </si>
  <si>
    <t>Justin Sweet (WOR)</t>
  </si>
  <si>
    <t>Evelyn L. Braun (DEM)</t>
  </si>
  <si>
    <t>Evelyn L. Braun (REP)</t>
  </si>
  <si>
    <t>Evelyn L. Braun (CON)</t>
  </si>
  <si>
    <t>Kevin J. Kerrigan (DEM)</t>
  </si>
  <si>
    <t>Kevin J. Kerrigan (REP)</t>
  </si>
  <si>
    <t>Kevin J. Kerrigan (CON)</t>
  </si>
  <si>
    <t>Leonard Livote (DEM)</t>
  </si>
  <si>
    <t>Leonard Livote (REP)</t>
  </si>
  <si>
    <t>Leonard Livote (CON)</t>
  </si>
  <si>
    <t>Supreme Court Justice 12th Judicial District - General Election - November 3, 2020</t>
  </si>
  <si>
    <t>Bronx County Vote Results</t>
  </si>
  <si>
    <t>Kim Adair Wilson (DEM)</t>
  </si>
  <si>
    <t>Orlando Molina (REP)</t>
  </si>
  <si>
    <t>Andrew J. Cohen (DEM)</t>
  </si>
  <si>
    <t>Bianka Perez (DEM)</t>
  </si>
  <si>
    <t>Supreme Court Justice 13th Judicial District - General Election - November 3, 2020</t>
  </si>
  <si>
    <t>Richmond County Vote Results</t>
  </si>
  <si>
    <t>Mario F. Mattei (DEM)</t>
  </si>
  <si>
    <t>Mario F. Mattei (REP)</t>
  </si>
  <si>
    <t>Mario F. Mattei (SAM)</t>
  </si>
  <si>
    <t>Lisa Grey (DEM)</t>
  </si>
  <si>
    <t>Lisa Grey (REP)</t>
  </si>
  <si>
    <t>Lisa Grey (CON)</t>
  </si>
  <si>
    <t>Lisa Grey (SAM)</t>
  </si>
  <si>
    <t>Revision History</t>
  </si>
  <si>
    <t>Date</t>
  </si>
  <si>
    <t>Description of changes</t>
  </si>
  <si>
    <t>Original Version</t>
  </si>
  <si>
    <t>AD 122 (Shaw +7, Angelino (Rep) +11, Angelino (IND) +2 , Blank +2)</t>
  </si>
  <si>
    <t>SD 51 (Barber +4, Oberacker +2 (REP), Oberacker (CON) +1 , Blank +1)</t>
  </si>
  <si>
    <t>President (Trump R + 4, Jorgensen +1)</t>
  </si>
  <si>
    <t>JD 5 (Young R +4, Blanks +1)</t>
  </si>
  <si>
    <t>SD 48 (Ritchie R +3, Ritchie C +1, Blanks +1)</t>
  </si>
  <si>
    <t>AD 120 (Barclay R +4, Blanks +1)</t>
  </si>
  <si>
    <t>President (Biden D +2, Voids -1)</t>
  </si>
  <si>
    <t>JD 5 (McMahon D +2, Voids -1)</t>
  </si>
  <si>
    <t>CD 22 (Brindisi D +2, Voids -1)</t>
  </si>
  <si>
    <t>SD 48 (Blanks +1)</t>
  </si>
  <si>
    <t>AD 120 (Tosh D +1)</t>
  </si>
  <si>
    <t>CD 22 (Previously Uncertified - Brindisi D +6,509, Tenney R +12,372, Tenney C +1,229, Brindisi WF +651, Price +414, Brindisi I +271, Blanks +569, Voids +16, Write-In +11)</t>
  </si>
  <si>
    <t>CD 22 (Previously Uncertified - Brindisi D + 9,071, Brindisi WF +731, Brindisi I +331, Tenney R +12,611, Tenney C +1,076, Price +360, Blank +528, Void +23, Write-in +5)</t>
  </si>
  <si>
    <t>President (Biden D +1)</t>
  </si>
  <si>
    <t>JD 6 (Garry D +1, Blank -1)</t>
  </si>
  <si>
    <t>SD 51 (Barber D +1)</t>
  </si>
  <si>
    <t>AD 126 (Carabajal D +1)</t>
  </si>
  <si>
    <t>CD 22 (Previously Uncertified - Brindisi D +9,903, Tenney R +8,811, Tenney C +741, Price Jr. +613, Brindisi I +441, Scattering +6, Void +5, Blank +635)</t>
  </si>
  <si>
    <t>CD 22 (Previously Uncertified - Brindisi D +8,310, Tenney R +11,140, Tenney C +782, Brindisi WF +594, Price +654, Brindisi I +415, Blank +576, Vid +12, Scattering +8)</t>
  </si>
  <si>
    <t>President (Biden D +10, Trump R +14, Blank +4)</t>
  </si>
  <si>
    <t>JD 6(Garry D +12, Burns +10, Blanks +33, Write in +1 )</t>
  </si>
  <si>
    <t>AD 126 (Carabajal D +2, Lemonides R +2, Lemonides C +1, Blank +1)</t>
  </si>
  <si>
    <t xml:space="preserve">SD 52 (Akshar R +8, Quiter +3 , Akshar I +2 , Blank +7) </t>
  </si>
  <si>
    <t>CD 22 (Previously Uncertified - Brindisi D +45,187, Tenney R +33,920, Tenney C +2,670, Brindisi WF +3,701, Price Jr. LBT +2,461, Brindisi I +1,817, Blank +2,468, Void +85, Scattering +60)</t>
  </si>
  <si>
    <t>CD 22 (Previously Uncertified - Brindisi D +14,036, Tenney R +15,509, Brindisi WF + 980, Brindisi I + 653, Price LBT +694, Blank +839, Void +1, Scattering +12)</t>
  </si>
  <si>
    <t>CD 22 (Previously Uncertified - Brindisi D +2,387, Tenney R +2,848, Tenney C +208, Brindisi WF +167, Price Jr. LBT +194, Brindisi I +135, Blank +122, Void +4, Scattering +2)</t>
  </si>
  <si>
    <t>CD 22 (Previously Uncertified - Brindisi D +43,493, Tenney R +46,080, Tenney C +4,565, Brindisi WF +3,626, Price Jr. LBT +1,390, Brindisi I +1,840, Blank +1,677, Void 0, Scattering +38)</t>
  </si>
  <si>
    <t>President (Biden D -2, Trump R +1. Jordensen -2, Blank -1)</t>
  </si>
  <si>
    <t>JD 6 (Garry D -2, Blank -6)</t>
  </si>
  <si>
    <t>SD 53 (May D -2, Rodgers R -1, Rodgers C +1, Penner -1, Blank -1)</t>
  </si>
  <si>
    <t>AD 121 (Buttermann -2, Salka R -1, Salka C +1, Cornell LBT -1, Blank -1)</t>
  </si>
  <si>
    <t>JD 6 (Garry D -10 , Burns R -7, Garry IND -3, Blank -14 )</t>
  </si>
  <si>
    <t>SD 52 (Akshar R -5, Akshar C -1, Quiter LBT -4, Akshar I -4, Blank -1 Scattering -2)</t>
  </si>
  <si>
    <t>President (Biden D -8, Trump R -9, Jorgensen LBT, -1, Pierce IND -1, Blank +1, Void +241 )</t>
  </si>
  <si>
    <t>AD 122 (Shaw D -1, Angelino R +4, Angelino IND -2)</t>
  </si>
  <si>
    <t>AD 123 (Lupardo D -7, Lupardo WF -4 , Blank + 146, Void -152, Write In -1)</t>
  </si>
  <si>
    <t>President (Biden D +2, Trump C +1, Blank +2)</t>
  </si>
  <si>
    <t>JD 5 (McMahon D +1, McMahon C +1, Blank +3)</t>
  </si>
  <si>
    <t>SD 51 (Barber D+1, Blank +4)</t>
  </si>
  <si>
    <t>AD 101 (Miller R+1, Blank +1, Void +1)</t>
  </si>
  <si>
    <t>AD 119 (Buttenschon D +1, Blank +1)</t>
  </si>
  <si>
    <t>President (Biden D +3, Trump R +5, Trump C +1)</t>
  </si>
  <si>
    <t>CD 21 (Cobb D +3, Stefanik R +5, Stefanik C +1)</t>
  </si>
  <si>
    <t>SD 45 (Davis D +3, Stec R +5, Stec I +1)</t>
  </si>
  <si>
    <t>AD 114 (Braymer D +3, Simpson R +5, Simpson C +1)</t>
  </si>
  <si>
    <t>President (Biden D+386, Trump R+630, Trump C+50, Biden WF+20, Hawkins G+8,Jorgensen L+13, Pierce I+5, Blank +10, Void-231)</t>
  </si>
  <si>
    <t>SD 47 ( Griffo R+661, Griffo C+76, Griffo I+80, Blank +271)</t>
  </si>
  <si>
    <t>SD 53 (May D+12, Rodgers R+13, Rodgers C+1, May WF+2, Penner L+1, Blank +4)</t>
  </si>
  <si>
    <t>AD 117 (Blankenbush R+121, Blankenbush C+7 , Blankenbush I+11, Blank+46)</t>
  </si>
  <si>
    <t>AD 118 ( Smullen R+89, Smullen C+5, Smullen I+5, Blank +20)</t>
  </si>
  <si>
    <t>AD 119 (Buttenschon D+259, Zielinski R+225, Buttenschon I+28, Gentile S+5, Blank+85)</t>
  </si>
  <si>
    <t>AD 121 (Buttermann D+9, Salka R+63, Salka C+10, Mosher WF+3, Cornell L+5, Salka I+4, Blank+8)</t>
  </si>
  <si>
    <t>JD 5 (McMahon D+336, Young R+545, McMahon C+67, Blank +177)</t>
  </si>
  <si>
    <t>AD 101 (McEvoy D+28, Miller R+57, Miller C+7, McEvoy WF+5, Kidney G+3, Miller I+1, Blank +14)</t>
  </si>
  <si>
    <t>President (Blank +676, Void -201)</t>
  </si>
  <si>
    <t>JD 9 (Blank +24,877, Void -134)</t>
  </si>
  <si>
    <t>CD 18 (Blank +2,032, Void -9)</t>
  </si>
  <si>
    <t>SD 39 (Blank +1,140, Void -10)</t>
  </si>
  <si>
    <t>SD 42 (Blank +1,035, Void -12)</t>
  </si>
  <si>
    <t>AD 99 (Blank +1,069, Void +8)</t>
  </si>
  <si>
    <t>AD 100 (Blank +1,264, Void +19)</t>
  </si>
  <si>
    <t>AD 101 (Blank +213)</t>
  </si>
  <si>
    <t>AD 98 (Blank +3,901, Void +46)</t>
  </si>
  <si>
    <t>AD 104 (Blank +377)</t>
  </si>
  <si>
    <t>Putnam:</t>
  </si>
  <si>
    <t>President (Biden +2)</t>
  </si>
  <si>
    <t xml:space="preserve">JD 9 (Williams D+2, Murphy D+1, Ondrovic D+1, Walker D+2, Blank +2)   </t>
  </si>
  <si>
    <t>CD 18 (Maloney D+1, Smith L+1)</t>
  </si>
  <si>
    <t>SD 40 (Harckham D+2)</t>
  </si>
  <si>
    <t>AD 94 (Keegan D+1, Blank + 1)</t>
  </si>
  <si>
    <t xml:space="preserve">Tompkins:
</t>
  </si>
  <si>
    <t>President (Carroll -1, Simmons +1)</t>
  </si>
  <si>
    <t>Westchester:</t>
  </si>
  <si>
    <t xml:space="preserve">President (Biden D+64, Trump R+17, Trump C+1, Biden W+2, Carroll+2, La Riva+3, West+9, Blanks +6409) </t>
  </si>
  <si>
    <t>JD 9 (Williams D+40, Murphy D+42, Ondrovic D+32, Walker D+35, Guertin R+14, Starkman R+13, Hasin R+13, Walker R+17, Guertin C+2, Murphy C+4, Ondrovic C+1,Scattering +111, Blanks 305,904)</t>
  </si>
  <si>
    <t>CD 16 (Bowman +43, McManus +9, Scattering +68, Blanks +48,976)</t>
  </si>
  <si>
    <t>CD 17 (Jones D+1, McArdle-Schulman R+2, Scattering+17, Blanks+15,297)</t>
  </si>
  <si>
    <t>CD 18 (Patrick Maloney D+1, Scattering+1, Blanks+2023)</t>
  </si>
  <si>
    <t>SD 34 (Biaggi D+1, Scattering +3, Blanks+598)</t>
  </si>
  <si>
    <t>SD 35 (Stewart Cousins D+26, Stewart Cousin W+2, Scattering+69, Blanks+33,024)</t>
  </si>
  <si>
    <t>SD 36 (Bailey D+2, Blanks+3559)</t>
  </si>
  <si>
    <t>SD 37 (Mayer D+22, Saimovici D+10, Scattering +4, Blanks+13,697)</t>
  </si>
  <si>
    <t>SD 38 (Blanks+1513)</t>
  </si>
  <si>
    <t>SD 40 (Scattering +2, Blanks+4852)</t>
  </si>
  <si>
    <t>AD 88 (Paulin D+5, Scattering +17, Blanks+22685)</t>
  </si>
  <si>
    <t>AD 89 (Pretlow+8, Scattering +24, Blanks+13191)</t>
  </si>
  <si>
    <t>AD 90 (Sayegh D+30, Sayegh I+3, Scattering +28, Blanks+20971)</t>
  </si>
  <si>
    <t>AD 91 (Otis D+1, Scattering +19, Blanks+17730)</t>
  </si>
  <si>
    <t>AD 92 (Scattering +68, Blanks+22742)</t>
  </si>
  <si>
    <t>AD 93 (Burdick D+2, Scattering +4, Blanks+5550)</t>
  </si>
  <si>
    <t>AD 94 (Blanks+2459)</t>
  </si>
  <si>
    <t>AD 95 (Blanks+3812)</t>
  </si>
  <si>
    <t>Orange:</t>
  </si>
  <si>
    <t>President (Biden D+260, Trump R+59, Trump C+13, Biden W+11, Hawkins G+3, Jorgensen L+1, Carroll +2, Simmons +1, West -7, Blanks -234, Voids -46)</t>
  </si>
  <si>
    <t>JD 9 (Williams D+47, Murphy D+51, Ondrovic D+35, Walker D+50, Guertin R+15, Starkman R+11, Hason R+24, Walker R+13, Guertin C+3, Murphy C+4, Ondrovic C+3, Walker C+2, Blanks -23066, Voids +364, Scattering +5)</t>
  </si>
  <si>
    <t>CD 18 (Maloney D+260, Farley R+43, Farley C+4, Maloney W+10, Maloney I+3, Smith S+1, Blanks -1887, Voids +80, Scattering +1)</t>
  </si>
  <si>
    <t>SD 39 (Skoufis D+36, Brescia R+6, Skoufis W+2, Blanks -907, Voids +33, Scattering +1)</t>
  </si>
  <si>
    <t>SD 42 (Metzger D+18, Martucci R+11, Martucci C+2, Martucci I+1, Blanks -842, Voids +24)</t>
  </si>
  <si>
    <t>AD 98 (Bradenec R+22, Bradenec C+3, Blanks -3889, Void +2, Scattering +1)</t>
  </si>
  <si>
    <t>AD 99 (Bhandarkar D+13, Schmitt R+7, Bhandarkar W+1, Blanks -805, Voids +5)</t>
  </si>
  <si>
    <t>AD 100 (Gunther D+6, Blanks -1219)</t>
  </si>
  <si>
    <t>AD 101 (McEvoy D+3, McEvoy W+1, Blanks-217, Voids +2)</t>
  </si>
  <si>
    <t>AD 104 (Jacobson D+4, Gauzza R+2, Blanks -304, Voids +3)</t>
  </si>
  <si>
    <t>Suffolk:</t>
  </si>
  <si>
    <t xml:space="preserve">President (Biden D+12,448, Biden W+573, Trump R+4,810, Trump C+622, Hawkins G+69,Jorgensen L+135, Pierce I+63, Carroll +34, Hunter+1, Blankenship +5, La Riva +20,Simmons +9, Kishore+1, </t>
  </si>
  <si>
    <t>West +131, Charles +5, De La Fuente+3, Howard +1, Blanks+125, Voids-117)</t>
  </si>
  <si>
    <t xml:space="preserve">JD 10 (Cartright D+10,587, Marber D+9,761, Robinson D+9,880, Prager D+9,910, Bergmann D+9,934, Conway D+9,553, Mazzei D+9,585, Knobel D+9,214, Cartright R+4,081, Marber R+3,968, Mazzei+619, </t>
  </si>
  <si>
    <t xml:space="preserve">Robinson R+3,939, Prager R+3,948, Bergmann R+3,975, Conway R+3,950, Mazzei R+4,043, Knobel R+3,867, Cartright C+618, Marber C+644, Robinson C+649, Prager C+640, Bergmann C+634, Conway C+661, </t>
  </si>
  <si>
    <t>Knobel C+629, Cartright +359, Robinson I+343, Bergmann I+356, Mazzei I+355, Browns I+506, Blake I+557, Berler I+569, Tanenbaum+565, Blanks +30,169, Voids +224, Scattering +68)</t>
  </si>
  <si>
    <t>CD 1 (Goroff D+11,254, Goroff W+556, Zeldin R+5,080, Zeldin C+686, Zeldin I+186, Blanks +780, Voids +23, Scattering +8)</t>
  </si>
  <si>
    <t>CD 2 (Gordon D+112, Gordon W+10, Gordon I+1,Garbarino R+21, Garbarino C+4, Garbarino L+1, Burger G+2, Blanks +22, Void +5)</t>
  </si>
  <si>
    <t>CD 3 (Suozzi D+129, Suozzi W+10, Suozzi I+4, Santos R+24, Rabin L+2, Blanks+15, Void+2)</t>
  </si>
  <si>
    <t>SD 1 (Ahearn D+1,612, Ahearn PTT+23, Palumbo R+517, Palumbo C+71, Blanks +146, Voids +5, Scattering +2)</t>
  </si>
  <si>
    <t>SD 2 (Siderakis D+4,258, Mattera R+1,866, Mattera C+282, Mattera I +72, Mattera SN+20, Blanks +545, Voids +13, Scattering +2)</t>
  </si>
  <si>
    <t>SD 3 (Martinez D+1, Weik R+1, Blanks +1)</t>
  </si>
  <si>
    <t>SD 4 (Pellegrino D+46, Pellegrino W+3, Boyle R+11, Blanks +12, Voids +4)</t>
  </si>
  <si>
    <t>SD 5 (Gaughran D+104, Gaughran S+2, Smyth R+22, Smyth L+1, Smyth I+1, Wagner G+3, Blanks +18, Voids +2)</t>
  </si>
  <si>
    <t>SD 8 (Brooks D+50, Brooks W+8, Brooks I+1, Blanks +15)</t>
  </si>
  <si>
    <t>AD 1 (Thiele Jr. D+1,965, Thiele Jr. I+76, Collins R+612, Collins C+86, Blanks+186, Voids +4, Scattering +3)</t>
  </si>
  <si>
    <t>AD 2 (Jens-Smith D+169, Jens-Smith W+6, Giglio R+37, Giglio C+10, Giglio I+5, Van Helmond L+1, Blanks+17, Voids +1)</t>
  </si>
  <si>
    <t>AD 3 (Polgar D+4,046, De Stefano R+1,923, De Stefano C+294, De Stefano I+98, Martin L+47, Blanks +546, Voids +5, Scattering +1)</t>
  </si>
  <si>
    <t>AD 4 (Englebright D+148, Englebright W+6, Englebright I+2, Ross R+26, Ross C+2, Fischer-Gledhill +3, Blank +25)</t>
  </si>
  <si>
    <t>AD 5 (Ianacci D+4,039, Smith R+1,983, Smith C+315, Smith I+97, Blanks +609, Voids +3)</t>
  </si>
  <si>
    <t>AD 6 (Ramos D+5, Ramos W+2, Ramos I+1, Skelly R+1, Skelly C+1, Blanks +4)</t>
  </si>
  <si>
    <t>AD 7 (Genco D+276, Gandolfo R+165, Gandolfo C+21, Gandolfo I+11, Blanks +41, Voids +1)</t>
  </si>
  <si>
    <t>AD 8 (Rice D+328, Fitzpatrick R+53, Fitzpatrick C+9, Fitzpatrick I+3, Fitzpatrick SN+2, Blanks +34)</t>
  </si>
  <si>
    <t>AD 9 (Brancato D+18, Brancato W+1, Durso R+7, Blanks +3)</t>
  </si>
  <si>
    <t>AD 10 (Stern D+69, Stern W+8, Stern I+1, Silvestri R+9, Silvestri C+2, Blanks +9, Voids +1)</t>
  </si>
  <si>
    <t>AD 11 (Jean-Pierre D+76, Jean-Pierre I+3, Murray R+11, Murray C+1, Blanks +13, Voids +1)</t>
  </si>
  <si>
    <t>AD 12 (Marcantonio D+48, Marcantonio W+3, Brown R+16, Brown C+1,Brown I+1, Blanks +14)</t>
  </si>
  <si>
    <t>Onondaga:</t>
  </si>
  <si>
    <t xml:space="preserve">President (Biden D+93, Trump R+1090, Trump C+6, Biden W+4, Jorgensen +2, Pierce +3, Carroll +52, La Riva +13, Simmons +5, De La Fuente +1, West +57, Blankenship +1, Charles +6, </t>
  </si>
  <si>
    <t>Blanks -82, Voids +799)</t>
  </si>
  <si>
    <t>JD 5 (McMahon D+89, Young R+70, McMahon C+23, Blanks -79, Voids +743, Scattering -10)</t>
  </si>
  <si>
    <t>CD 24 (Balter D+83, Katko R +85, Katko C+13, Williams W+6, Katko I+3, Blanks -127, Voids +150, Scattering -10)</t>
  </si>
  <si>
    <t>SD 50 (Mannion D+45, Renna R+32, Renna C+6, Mannion W+2, Renna I+3, Blanks -26, Voids +397, Scattering -4)</t>
  </si>
  <si>
    <t>SD 53 (May D+42, Rodgers R+44, Rodgers C+4, May W+2, Rodgers I+2, Blanks - 39, Voids +329, Scattering -3)</t>
  </si>
  <si>
    <t>AD 120 (Tosh D +3, Barclay R+3, Voids +30, Scattering -1)</t>
  </si>
  <si>
    <t>AD 126 (Carabajal D+2, Lemondes R+4, Blanks -2, Voids +69, Scattering +1)</t>
  </si>
  <si>
    <t>AD 127 (Stirpe D+34, Venesky R+47, Venesky C+11, Stirpe W+2, Venesky I+2, Blanks -17, Voids +190, Scattering -2)</t>
  </si>
  <si>
    <t>AD 128 (Hunter D+16, Jackson R+11, Jackson C+1, Hunter W+3, Blanks -9, Voids +211, Scattering -4)</t>
  </si>
  <si>
    <t>AD 129 (Magnarelli D+31, Weber R+7, Weber C+1, Magnarelli I+1, Blanks -13, Void +210, Scattering -6)</t>
  </si>
  <si>
    <t>Cayuga:</t>
  </si>
  <si>
    <t>President (Biden D+202, Biden W+8, Trump R+112, Trump C+8, Jorgensen +2, Pierce +1, Blanks +4, Voids +4)</t>
  </si>
  <si>
    <t>JD 7 (Nitti D+158, Doyle R+105, Doyle C+14, Doyle W+9, Doyle I+3, Gargan D+158, Valleriani R+103, Valleriani C+13, Valleriani W+7, Valleriani I+3, Cianca D+156, Cianca W+14, Dinolfo R+97,</t>
  </si>
  <si>
    <t>Dinolfo C+15, Dinolfo I+2, Lindley D+146, Lindley R+96, Lindley C+13, Lindley W+11, Lindley I+5, Blanks +228, Voids +8)</t>
  </si>
  <si>
    <t>CD 24 (Balter D+156, Katko R+126, Katko C+11, Katko I+4, Williams W+26, Blanks +15, Voids +3)</t>
  </si>
  <si>
    <t>SD 50 (Mannion D+165, Mannion W+15, Renna R+109, Renna C+15, Renna I+5, Blanks +25, Voids +2)</t>
  </si>
  <si>
    <t>SD 54 (O'Toole D+1, Helming R+2, Helming I+1, Blanks +1)</t>
  </si>
  <si>
    <t>AD 126 (Carabajal D+123, Carabajal W+14, Lemondes R+61, Lemondes C+8, Lemondes I+6, Blanks +23, Voids +1)</t>
  </si>
  <si>
    <t>AD 130 (Comegys D+39, Maktelow R+51, Manktelow C+7, Blanks +8)</t>
  </si>
  <si>
    <t xml:space="preserve">Chautauqua:
</t>
  </si>
  <si>
    <t>President (Biden D+1)</t>
  </si>
  <si>
    <t>JD 8 (Martoche D+1)</t>
  </si>
  <si>
    <t>CD 23 (Mitrano D+1)</t>
  </si>
  <si>
    <t>SD 57 (Puglisi D+1)</t>
  </si>
  <si>
    <t>AD 150 (Cardinale D+1)</t>
  </si>
  <si>
    <t>Lewis:</t>
  </si>
  <si>
    <t>President (Trump R-4, Biden W-1, Blanks+5)</t>
  </si>
  <si>
    <t>Erie:</t>
  </si>
  <si>
    <t xml:space="preserve">President (Biden D+91, Trump R+21, Trump C+4, Biden W+5, Hawkins G+1, Jorgensen L+1, Carroll+104, La Riva+24, Collins+1, Simmons+9, De La Fuente+1, Kishore+1, West+126, Blankenship+6, </t>
  </si>
  <si>
    <t>Charles+2, Blanks+1, Voids-272)</t>
  </si>
  <si>
    <t>JD 8 (Martoche D+85, Greenan R+21, Greenan C+3, Martoche W+7, Greenan I+1, Blanks+9)</t>
  </si>
  <si>
    <t>CD 26 (Higgins D+85, Donovan R+19,Higgins W+5, Raleigh G+3, Blanks+8, Voids+2)</t>
  </si>
  <si>
    <t>CD 27 (Jacobs R+2, Jacobs C+1, Blanks+1)</t>
  </si>
  <si>
    <t>SD 59 (Gallivan R+1)</t>
  </si>
  <si>
    <t>SD 60 (Ryan D+18, Mertzluff R+5, Mertzluff C+, Ryan W+3, Ryan I+1, Blanks+3)</t>
  </si>
  <si>
    <t>SD 61 (Berger D+6, Rath R+2, Rath C+1, Blanks+3)</t>
  </si>
  <si>
    <t>SD 63 (Kennedy D+60, Kennedy W+6, Kennedy I+1, Blanks+15)</t>
  </si>
  <si>
    <t>AD 140 (Conrad D+3, Pecoraro R+1, Conrad W+1)</t>
  </si>
  <si>
    <t>AD 141 (Peoples D+41, Miles R+1, Blanks+6)</t>
  </si>
  <si>
    <t>AD 142 (Burke D+5, Szalkowski R+1, Szalkowski C+1, Burke I+1)</t>
  </si>
  <si>
    <t>AD 143 (Wallace D+8, Blanks+1)</t>
  </si>
  <si>
    <t>AD 144 (Blanks+1)</t>
  </si>
  <si>
    <t>AD 146 (McMahon D+6, Wolfgang R+2, Wolfgang C+2, Blanks+2)</t>
  </si>
  <si>
    <t>AD 147 (DiPietro R+1)</t>
  </si>
  <si>
    <t>AD 149 (Rivera D+23, Totaro R+11, Rivera W+2, Rivera I+1, Blanks+5)</t>
  </si>
  <si>
    <t>Ontario:</t>
  </si>
  <si>
    <t>President (Biden D-257, Trump R-229, Trump C-28, Biden W-19, Hawkins G-2, Jorgensen L-3, Pierce I-2, Carrol+1, La Riva+1, West+6, Blank-91, Voids+80)</t>
  </si>
  <si>
    <t xml:space="preserve">JD 7 (Nitti D-211, Gargan D-195, Cianca D-200, Cianca W-33, Lindley D-196, Lindley R-191, Lindley C-29, Lindley W-24, Lindley I-9, Doyle R-216, Doyle C-34, Doyle W-16, Doyle I-4, </t>
  </si>
  <si>
    <t>Valleriani R-213, Valleriani C-35, Valleriani W-16, Valleriani I-6, Dinolfo R-215, Dinolfo C-34, Dinolfo I-4, Blanks-42)</t>
  </si>
  <si>
    <t>CD 23 (Mitrano D-38, Reed R-30, Reed C-7, Mitrano W-1, Reed I-2, Blanks-73)</t>
  </si>
  <si>
    <t>CD 27 (McMurray D-97, McMurray W-13, Jacobs R-139, Jacobs C-22, Jacobs I-1, Whitmer L-7, Blanks-94, Voids-19, Scattering-1)</t>
  </si>
  <si>
    <t>SD 54 (O'Toole D-174, Helming R-235, Helming C-30, Helming I-14, Helming S+1, Blanks-6)</t>
  </si>
  <si>
    <t>SD 55 (Brouk D-19, Brouk W-6, Missick R-31, Missick C-7, Missick S-1, Blanks+3, Voids-24)</t>
  </si>
  <si>
    <t>AD 131 (Miller D-232, Gallahan R-229, Gallahan C-34, Wade S-10, Blanks-11, Voids-27)</t>
  </si>
  <si>
    <t>Oswego:</t>
  </si>
  <si>
    <t>Herkimer:</t>
  </si>
  <si>
    <t>Cortland:</t>
  </si>
  <si>
    <t>Chenango:</t>
  </si>
  <si>
    <t>Broome:</t>
  </si>
  <si>
    <t>Madison:</t>
  </si>
  <si>
    <t>Tioga:</t>
  </si>
  <si>
    <t>Oneida:</t>
  </si>
  <si>
    <t>Essex: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</si>
</sst>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3" borderId="4" xfId="0" applyFont="1" applyFill="1" applyBorder="1"/>
    <xf numFmtId="3" fontId="3" fillId="0" borderId="1" xfId="0" applyNumberFormat="1" applyFont="1" applyBorder="1"/>
    <xf numFmtId="0" fontId="4" fillId="3" borderId="5" xfId="0" applyFont="1" applyFill="1" applyBorder="1"/>
    <xf numFmtId="3" fontId="3" fillId="0" borderId="3" xfId="0" applyNumberFormat="1" applyFont="1" applyBorder="1"/>
    <xf numFmtId="0" fontId="4" fillId="2" borderId="6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3" fontId="3" fillId="4" borderId="1" xfId="0" applyNumberFormat="1" applyFont="1" applyFill="1" applyBorder="1"/>
    <xf numFmtId="3" fontId="3" fillId="7" borderId="1" xfId="0" applyNumberFormat="1" applyFont="1" applyFill="1" applyBorder="1"/>
    <xf numFmtId="3" fontId="3" fillId="5" borderId="1" xfId="0" applyNumberFormat="1" applyFont="1" applyFill="1" applyBorder="1"/>
    <xf numFmtId="0" fontId="4" fillId="3" borderId="1" xfId="0" applyFont="1" applyFill="1" applyBorder="1"/>
    <xf numFmtId="3" fontId="4" fillId="5" borderId="1" xfId="0" applyNumberFormat="1" applyFont="1" applyFill="1" applyBorder="1"/>
    <xf numFmtId="0" fontId="4" fillId="6" borderId="8" xfId="0" applyFont="1" applyFill="1" applyBorder="1" applyAlignment="1">
      <alignment horizontal="right" vertical="center"/>
    </xf>
    <xf numFmtId="3" fontId="3" fillId="7" borderId="9" xfId="0" applyNumberFormat="1" applyFont="1" applyFill="1" applyBorder="1"/>
    <xf numFmtId="3" fontId="3" fillId="5" borderId="9" xfId="0" applyNumberFormat="1" applyFont="1" applyFill="1" applyBorder="1"/>
    <xf numFmtId="3" fontId="3" fillId="5" borderId="7" xfId="0" applyNumberFormat="1" applyFont="1" applyFill="1" applyBorder="1"/>
    <xf numFmtId="3" fontId="3" fillId="8" borderId="1" xfId="0" applyNumberFormat="1" applyFont="1" applyFill="1" applyBorder="1"/>
    <xf numFmtId="3" fontId="3" fillId="0" borderId="1" xfId="0" applyNumberFormat="1" applyFont="1" applyFill="1" applyBorder="1"/>
    <xf numFmtId="3" fontId="3" fillId="0" borderId="3" xfId="0" applyNumberFormat="1" applyFont="1" applyFill="1" applyBorder="1"/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0" fontId="0" fillId="0" borderId="0" xfId="0" applyFill="1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0" fillId="0" borderId="0" xfId="0" applyAlignment="1"/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18" fontId="0" fillId="0" borderId="0" xfId="0" applyNumberFormat="1" applyAlignment="1">
      <alignment horizontal="left" vertical="top"/>
    </xf>
  </cellXfs>
  <cellStyles count="1">
    <cellStyle name="Normal" xfId="0" builtinId="0"/>
  </cellStyles>
  <dxfs count="2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6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2CC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rgb="FFFFF2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5" xr:uid="{0A7B38AE-FF4D-4435-A6E2-61E90CC0D0E5}" name="SupremeCourtJusticeJudicialDistrict1General" displayName="SupremeCourtJusticeJudicialDistrict1General" ref="A2:D10" totalsRowCount="1" headerRowDxfId="217" dataDxfId="215" totalsRowDxfId="213" headerRowBorderDxfId="216" tableBorderDxfId="214" totalsRowBorderDxfId="212">
  <autoFilter ref="A2:D9" xr:uid="{F26933FE-E204-4D58-9B2B-965FFD5AE4AE}">
    <filterColumn colId="0" hiddenButton="1"/>
    <filterColumn colId="1" hiddenButton="1"/>
    <filterColumn colId="2" hiddenButton="1"/>
    <filterColumn colId="3" hiddenButton="1"/>
  </autoFilter>
  <tableColumns count="4">
    <tableColumn id="1" xr3:uid="{02B664EC-A2D9-4911-A779-5E3633F1771A}" name="Candidate Name (Party)" totalsRowLabel="Total Votes by County" dataDxfId="211" totalsRowDxfId="210"/>
    <tableColumn id="4" xr3:uid="{E0790EB0-1B93-473B-8857-28DAD38870F7}" name="New York County Vote Results" totalsRowFunction="custom" dataDxfId="209" totalsRowDxfId="208">
      <totalsRowFormula>SUM(SupremeCourtJusticeJudicialDistrict1General[New York County Vote Results])</totalsRowFormula>
    </tableColumn>
    <tableColumn id="3" xr3:uid="{549DA673-964E-4BB1-B256-99462C0CC975}" name="Total Votes by Party" totalsRowFunction="custom" dataDxfId="207" totalsRowDxfId="206">
      <calculatedColumnFormula>SupremeCourtJusticeJudicialDistrict1General[[#This Row],[New York County Vote Results]]</calculatedColumnFormula>
      <totalsRowFormula>SUM(SupremeCourtJusticeJudicialDistrict1General[Total Votes by Party])</totalsRowFormula>
    </tableColumn>
    <tableColumn id="2" xr3:uid="{F0241C67-C740-475C-ACA2-5DDB5306D28E}" name="Total Votes by Candidate" dataDxfId="205" totalsRowDxfId="204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5" xr:uid="{2E0414B6-1216-48EF-AD24-73B23D6959E6}" name="SupremeCourtJusticeJudicialDistrict12General" displayName="SupremeCourtJusticeJudicialDistrict12General" ref="A2:D10" totalsRowCount="1" headerRowDxfId="27" dataDxfId="25" totalsRowDxfId="23" headerRowBorderDxfId="26" tableBorderDxfId="24" totalsRowBorderDxfId="22">
  <autoFilter ref="A2:D9" xr:uid="{DE86D88A-CC4D-43A8-8848-4070F07B9FEB}">
    <filterColumn colId="0" hiddenButton="1"/>
    <filterColumn colId="1" hiddenButton="1"/>
    <filterColumn colId="2" hiddenButton="1"/>
    <filterColumn colId="3" hiddenButton="1"/>
  </autoFilter>
  <tableColumns count="4">
    <tableColumn id="1" xr3:uid="{F28D853C-686B-4D36-918C-D424D7374A5F}" name="Candidate Name (Party)" totalsRowLabel="Total Votes by County" dataDxfId="21" totalsRowDxfId="20"/>
    <tableColumn id="4" xr3:uid="{42D736CD-4197-428E-BEDA-21112E807D64}" name="Bronx County Vote Results" totalsRowFunction="custom" dataDxfId="19" totalsRowDxfId="18">
      <totalsRowFormula>SUM(SupremeCourtJusticeJudicialDistrict12General[Bronx County Vote Results])</totalsRowFormula>
    </tableColumn>
    <tableColumn id="3" xr3:uid="{08BAAAE0-4337-45B1-95CE-74C7187E1EF9}" name="Total Votes by Party" totalsRowFunction="custom" dataDxfId="17" totalsRowDxfId="16">
      <totalsRowFormula>SUM(SupremeCourtJusticeJudicialDistrict12General[Total Votes by Party])</totalsRowFormula>
    </tableColumn>
    <tableColumn id="2" xr3:uid="{B247FED8-EC23-4AE9-9F2A-F7B2C3C9B52F}" name="Total Votes by Candidate" dataDxfId="15" totalsRowDxfId="14"/>
  </tableColumns>
  <tableStyleInfo name="TableStyleMedium2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6" xr:uid="{F273FE15-4F7D-424C-B7ED-3225282F7E44}" name="SupremeCourtJusticeJudicialDistrict13General" displayName="SupremeCourtJusticeJudicialDistrict13General" ref="A2:D13" totalsRowCount="1" headerRowDxfId="13" dataDxfId="11" totalsRowDxfId="9" headerRowBorderDxfId="12" tableBorderDxfId="10" totalsRowBorderDxfId="8">
  <autoFilter ref="A2:D12" xr:uid="{FAF317E4-F5CA-4F99-B3D9-D288CA1CBD25}">
    <filterColumn colId="0" hiddenButton="1"/>
    <filterColumn colId="1" hiddenButton="1"/>
    <filterColumn colId="2" hiddenButton="1"/>
    <filterColumn colId="3" hiddenButton="1"/>
  </autoFilter>
  <tableColumns count="4">
    <tableColumn id="1" xr3:uid="{4B9611D4-B3DE-4CA4-8342-9512B17BA0E1}" name="Candidate Name (Party)" totalsRowLabel="Total Votes by County" dataDxfId="7" totalsRowDxfId="6"/>
    <tableColumn id="4" xr3:uid="{20400E1C-8684-4202-946F-FEB1A28801C5}" name="Richmond County Vote Results" totalsRowFunction="custom" dataDxfId="5" totalsRowDxfId="4">
      <totalsRowFormula>SUM(SupremeCourtJusticeJudicialDistrict13General[Richmond County Vote Results])</totalsRowFormula>
    </tableColumn>
    <tableColumn id="3" xr3:uid="{E44C63B5-D140-4F76-82E5-ABD4A2DFA793}" name="Total Votes by Party" totalsRowFunction="custom" dataDxfId="3" totalsRowDxfId="2">
      <calculatedColumnFormula>SupremeCourtJusticeJudicialDistrict13General[[#This Row],[Richmond County Vote Results]]</calculatedColumnFormula>
      <totalsRowFormula>SUM(SupremeCourtJusticeJudicialDistrict13General[Total Votes by Party])</totalsRowFormula>
    </tableColumn>
    <tableColumn id="2" xr3:uid="{8A1E5DE4-B1DC-4667-9CC7-EF5A78AECA5A}" name="Total Votes by Candidate" dataDxfId="1" totalsRowDxfId="0">
      <calculatedColumnFormula>SupremeCourtJusticeJudicialDistrict12General[[#This Row],[Total Votes by Party]]</calculatedColumnFormula>
    </tableColumn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6" xr:uid="{F31D2B36-2978-4096-B4E5-FED96DA8A3E9}" name="SupremeCourtJusticeJudicialDistrict2General" displayName="SupremeCourtJusticeJudicialDistrict2General" ref="A2:D22" totalsRowCount="1" headerRowDxfId="203" dataDxfId="201" totalsRowDxfId="199" headerRowBorderDxfId="202" tableBorderDxfId="200" totalsRowBorderDxfId="198">
  <autoFilter ref="A2:D21" xr:uid="{965A4E54-0880-494E-8116-F869F655CCCC}">
    <filterColumn colId="0" hiddenButton="1"/>
    <filterColumn colId="1" hiddenButton="1"/>
    <filterColumn colId="2" hiddenButton="1"/>
    <filterColumn colId="3" hiddenButton="1"/>
  </autoFilter>
  <tableColumns count="4">
    <tableColumn id="1" xr3:uid="{71576041-40D6-4B55-B7E1-5677D4FD27E4}" name="Candidate Name (Party)" totalsRowLabel="Total Votes by County" dataDxfId="197" totalsRowDxfId="196"/>
    <tableColumn id="4" xr3:uid="{2469E7F9-902B-4926-8A25-2463946F1E6B}" name="Kings County Vote Results" totalsRowFunction="custom" totalsRowDxfId="195">
      <totalsRowFormula>SUM(SupremeCourtJusticeJudicialDistrict2General[Kings County Vote Results])</totalsRowFormula>
    </tableColumn>
    <tableColumn id="3" xr3:uid="{ADD329A3-25EB-4EBD-9C07-AA84349E8DF4}" name="Total Votes by Party" totalsRowFunction="custom" dataDxfId="194" totalsRowDxfId="193">
      <totalsRowFormula>SUM(SupremeCourtJusticeJudicialDistrict2General[Total Votes by Party])</totalsRowFormula>
    </tableColumn>
    <tableColumn id="2" xr3:uid="{ACFE8CF7-1C6C-4DDB-BE70-F63EC29BBE97}" name="Total Votes by Candidate" dataDxfId="192" totalsRowDxfId="191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8" xr:uid="{EB3587F5-DB8E-4F37-B4C8-E7477D2187E8}" name="SupremeCourtJusticeJudicialDistrict5General" displayName="SupremeCourtJusticeJudicialDistrict5General" ref="A2:I9" totalsRowCount="1" headerRowDxfId="190" dataDxfId="188" totalsRowDxfId="186" headerRowBorderDxfId="189" tableBorderDxfId="187" totalsRowBorderDxfId="185">
  <autoFilter ref="A2:I8" xr:uid="{A40D9807-6526-4980-B4FE-57B09E4932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8DFFD150-E4E3-4F5A-9939-5DBC8A0F9A9F}" name="Candidate Name (Party)" totalsRowLabel="Total Votes by County" dataDxfId="184" totalsRowDxfId="183"/>
    <tableColumn id="2" xr3:uid="{83C147E2-9BBB-4CD2-848D-93D73D0F954A}" name="Herkimer County Vote Results" totalsRowFunction="custom" dataDxfId="182" totalsRowDxfId="181">
      <totalsRowFormula>SUM(SupremeCourtJusticeJudicialDistrict5General[Herkimer County Vote Results])</totalsRowFormula>
    </tableColumn>
    <tableColumn id="9" xr3:uid="{18FDF415-2EDB-4C56-838A-FC9309E6328A}" name="Jefferson County Vote Results" totalsRowFunction="custom" dataDxfId="180" totalsRowDxfId="179">
      <totalsRowFormula>SUM(SupremeCourtJusticeJudicialDistrict5General[Jefferson County Vote Results])</totalsRowFormula>
    </tableColumn>
    <tableColumn id="8" xr3:uid="{754D0C4D-7709-4282-AC55-C64E38FD08C3}" name="Lewis County Vote Results" totalsRowFunction="custom" dataDxfId="178" totalsRowDxfId="177">
      <totalsRowFormula>SUM(SupremeCourtJusticeJudicialDistrict5General[Lewis County Vote Results])</totalsRowFormula>
    </tableColumn>
    <tableColumn id="7" xr3:uid="{3655E802-6482-4528-8D3F-F5A69CDF10D2}" name="Oneida County Vote Results" totalsRowFunction="custom" dataDxfId="176" totalsRowDxfId="175">
      <totalsRowFormula>SUM(SupremeCourtJusticeJudicialDistrict5General[Oneida County Vote Results])</totalsRowFormula>
    </tableColumn>
    <tableColumn id="3" xr3:uid="{AFBA5A3D-5B13-44AF-B013-A061AA8DB9E8}" name="Onondaga County Vote Results" totalsRowFunction="custom" dataDxfId="174" totalsRowDxfId="173">
      <totalsRowFormula>SUM(SupremeCourtJusticeJudicialDistrict5General[Onondaga County Vote Results])</totalsRowFormula>
    </tableColumn>
    <tableColumn id="4" xr3:uid="{A30E96EA-6221-4EBF-94CF-383518D6BA85}" name="Oswego County Vote Results" totalsRowFunction="custom" dataDxfId="172" totalsRowDxfId="171">
      <totalsRowFormula>SUM(SupremeCourtJusticeJudicialDistrict5General[Oswego County Vote Results])</totalsRowFormula>
    </tableColumn>
    <tableColumn id="6" xr3:uid="{43B2D2CB-1F74-4647-93D4-7C29229343D6}" name="Total Votes by Party" totalsRowFunction="custom" dataDxfId="170" totalsRowDxfId="169">
      <totalsRowFormula>SUM(SupremeCourtJusticeJudicialDistrict5General[Total Votes by Party])</totalsRowFormula>
    </tableColumn>
    <tableColumn id="5" xr3:uid="{0B4E0C15-205A-453C-B8C8-D10E15F78D08}" name="Total Votes by Candidate" dataDxfId="168" totalsRowDxfId="167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9" xr:uid="{18830A0F-F41D-4057-9C1D-9810688DD3DB}" name="SupremeCourtJusticeJudicialDistrict6General" displayName="SupremeCourtJusticeJudicialDistrict6General" ref="A2:M9" totalsRowCount="1" headerRowDxfId="166" dataDxfId="164" totalsRowDxfId="162" headerRowBorderDxfId="165" tableBorderDxfId="163" totalsRowBorderDxfId="161">
  <autoFilter ref="A2:M8" xr:uid="{255643C0-3E9F-4065-BC76-EA9F240040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62619BFA-F64C-4ADF-B3AC-FD56178E60C0}" name="Candidate Name (Party)" totalsRowLabel="Total Votes by County" dataDxfId="160" totalsRowDxfId="159"/>
    <tableColumn id="2" xr3:uid="{2BC5F9F7-33EB-4716-915D-C06FB658EFF6}" name="Broome County Vote Results" totalsRowFunction="custom" dataDxfId="158" totalsRowDxfId="157">
      <totalsRowFormula>SUM(SupremeCourtJusticeJudicialDistrict6General[Broome County Vote Results])</totalsRowFormula>
    </tableColumn>
    <tableColumn id="9" xr3:uid="{E845202B-635B-45E1-89C4-07C4CA3CF5B4}" name="Chemung County Vote Results" totalsRowFunction="custom" dataDxfId="156" totalsRowDxfId="155">
      <totalsRowFormula>SUM(SupremeCourtJusticeJudicialDistrict6General[Chemung County Vote Results])</totalsRowFormula>
    </tableColumn>
    <tableColumn id="8" xr3:uid="{480701BA-BA0F-4CAD-8732-0C06790BC76F}" name="Chenango County Vote Results" totalsRowFunction="custom" dataDxfId="154" totalsRowDxfId="153">
      <totalsRowFormula>SUM(SupremeCourtJusticeJudicialDistrict6General[Chenango County Vote Results])</totalsRowFormula>
    </tableColumn>
    <tableColumn id="12" xr3:uid="{F970D2DC-D208-46AE-8BD8-1E79A3466908}" name="Cortland County Vote Results" totalsRowFunction="custom" dataDxfId="152" totalsRowDxfId="151">
      <totalsRowFormula>SUM(SupremeCourtJusticeJudicialDistrict6General[Cortland County Vote Results])</totalsRowFormula>
    </tableColumn>
    <tableColumn id="11" xr3:uid="{66DB5F99-6536-419C-B0FB-5CE1B398A106}" name="Delaware County Vote Results" totalsRowFunction="custom" dataDxfId="150" totalsRowDxfId="149">
      <totalsRowFormula>SUM(SupremeCourtJusticeJudicialDistrict6General[Delaware County Vote Results])</totalsRowFormula>
    </tableColumn>
    <tableColumn id="10" xr3:uid="{2F458E70-9D62-4EBD-81B4-F1D9436C07CA}" name="Madison County Vote Results" totalsRowFunction="custom" dataDxfId="148" totalsRowDxfId="147">
      <totalsRowFormula>SUM(SupremeCourtJusticeJudicialDistrict6General[Madison County Vote Results])</totalsRowFormula>
    </tableColumn>
    <tableColumn id="7" xr3:uid="{9F0D58A9-0DD7-4531-88E8-7F0459CE8655}" name="Otsego County Vote Results" totalsRowFunction="custom" dataDxfId="146" totalsRowDxfId="145">
      <totalsRowFormula>SUM(SupremeCourtJusticeJudicialDistrict6General[Otsego County Vote Results])</totalsRowFormula>
    </tableColumn>
    <tableColumn id="6" xr3:uid="{5C8FCD82-95EB-47C4-8CE3-29FA859584C7}" name="Schuyler County Vote Results" totalsRowFunction="custom" dataDxfId="144" totalsRowDxfId="143">
      <totalsRowFormula>SUM(SupremeCourtJusticeJudicialDistrict6General[Schuyler County Vote Results])</totalsRowFormula>
    </tableColumn>
    <tableColumn id="3" xr3:uid="{AF9AFB12-746E-4F72-82D6-992E5F90B1E4}" name="Tioga County Vote Results" totalsRowFunction="custom" dataDxfId="142" totalsRowDxfId="141">
      <totalsRowFormula>SUM(SupremeCourtJusticeJudicialDistrict6General[Tioga County Vote Results])</totalsRowFormula>
    </tableColumn>
    <tableColumn id="4" xr3:uid="{DAF5E336-3C5C-43DD-B07D-4BFE1FC8083D}" name="Tompkins County Vote Results" totalsRowFunction="custom" dataDxfId="140" totalsRowDxfId="139">
      <totalsRowFormula>SUM(SupremeCourtJusticeJudicialDistrict6General[Tompkins County Vote Results])</totalsRowFormula>
    </tableColumn>
    <tableColumn id="13" xr3:uid="{7CB839B2-17FE-486E-8FFA-898BBB15D555}" name="Total Votes by Party" totalsRowFunction="custom" dataDxfId="138" totalsRowDxfId="137">
      <calculatedColumnFormula>SUM(SupremeCourtJusticeJudicialDistrict6General[[#This Row],[Broome County Vote Results]:[Tompkins County Vote Results]])</calculatedColumnFormula>
      <totalsRowFormula>SUM(SupremeCourtJusticeJudicialDistrict6General[Total Votes by Party])</totalsRowFormula>
    </tableColumn>
    <tableColumn id="5" xr3:uid="{B3A67BE9-3481-41BB-A5EA-CE10006BFDB9}" name="Total Votes by Candidate" dataDxfId="136" totalsRowDxfId="135">
      <calculatedColumnFormula>SUM(SupremeCourtJusticeJudicialDistrict6General[[#This Row],[Total Votes by Party]],L5)</calculatedColumnFormula>
    </tableColumn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0" xr:uid="{3D6462AC-67A4-44B5-B36E-AB7A30102C12}" name="SupremeCourtJusticeJudicialDistrict7General" displayName="SupremeCourtJusticeJudicialDistrict7General" ref="A2:K26" totalsRowCount="1" headerRowDxfId="134" dataDxfId="132" totalsRowDxfId="130" headerRowBorderDxfId="133" tableBorderDxfId="131" totalsRowBorderDxfId="129">
  <autoFilter ref="A2:K25" xr:uid="{4A698953-4787-42EF-B5E8-7683CF8B903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4BEFBEF-97E2-496B-B7BE-A4467402BC27}" name="Candidate Name (Party)" totalsRowLabel="Total Votes by County" dataDxfId="128" totalsRowDxfId="127"/>
    <tableColumn id="2" xr3:uid="{CC38592D-FD73-4D7D-9BB2-504E75CD8B6F}" name="Cayuga County Vote Results" totalsRowFunction="custom" dataDxfId="126" totalsRowDxfId="125">
      <totalsRowFormula>SUM(SupremeCourtJusticeJudicialDistrict7General[Cayuga County Vote Results])</totalsRowFormula>
    </tableColumn>
    <tableColumn id="9" xr3:uid="{67362306-932F-4D34-A106-CE4B107F5041}" name="Livingston County Vote Results" totalsRowFunction="custom" dataDxfId="124" totalsRowDxfId="123">
      <totalsRowFormula>SUM(SupremeCourtJusticeJudicialDistrict7General[Livingston County Vote Results])</totalsRowFormula>
    </tableColumn>
    <tableColumn id="8" xr3:uid="{B28C0287-F7B8-4125-9741-ECA01FEC85B7}" name="Monroe County Vote Results" totalsRowFunction="custom" dataDxfId="122" totalsRowDxfId="121">
      <totalsRowFormula>SUM(SupremeCourtJusticeJudicialDistrict7General[Monroe County Vote Results])</totalsRowFormula>
    </tableColumn>
    <tableColumn id="11" xr3:uid="{B8214F10-D87C-4A43-899C-17933F328F7C}" name="Ontario County Vote Results" totalsRowFunction="custom" dataDxfId="120" totalsRowDxfId="119">
      <totalsRowFormula>SUM(SupremeCourtJusticeJudicialDistrict7General[Ontario County Vote Results])</totalsRowFormula>
    </tableColumn>
    <tableColumn id="10" xr3:uid="{D4F04DEC-E619-4939-9992-BAB7BFC985A2}" name="Seneca County Vote Results" totalsRowFunction="custom" dataDxfId="118" totalsRowDxfId="117">
      <totalsRowFormula>SUM(SupremeCourtJusticeJudicialDistrict7General[Seneca County Vote Results])</totalsRowFormula>
    </tableColumn>
    <tableColumn id="7" xr3:uid="{DFE6BF67-4B96-48F4-BE6D-7827A3CE9E85}" name="Steuben County Vote Results" totalsRowFunction="custom" dataDxfId="116" totalsRowDxfId="115">
      <totalsRowFormula>SUM(SupremeCourtJusticeJudicialDistrict7General[Steuben County Vote Results])</totalsRowFormula>
    </tableColumn>
    <tableColumn id="3" xr3:uid="{4A9F3B25-4DCE-491D-9AB7-1211462FC706}" name="Wayne County Vote Results" totalsRowFunction="custom" dataDxfId="114" totalsRowDxfId="113">
      <totalsRowFormula>SUM(SupremeCourtJusticeJudicialDistrict7General[Wayne County Vote Results])</totalsRowFormula>
    </tableColumn>
    <tableColumn id="4" xr3:uid="{50C00CC7-118C-45E8-8164-E9DB9A91E6B3}" name="Yates County Vote Results" totalsRowFunction="custom" dataDxfId="112" totalsRowDxfId="111">
      <totalsRowFormula>SUM(SupremeCourtJusticeJudicialDistrict7General[Yates County Vote Results])</totalsRowFormula>
    </tableColumn>
    <tableColumn id="6" xr3:uid="{F6374326-092D-49D5-A0B4-6C1A169EE8EF}" name="Total Votes by Party" totalsRowFunction="custom" dataDxfId="110" totalsRowDxfId="109">
      <calculatedColumnFormula>SUM(B3:I3)</calculatedColumnFormula>
      <totalsRowFormula>SUM(SupremeCourtJusticeJudicialDistrict7General[Total Votes by Party])</totalsRowFormula>
    </tableColumn>
    <tableColumn id="5" xr3:uid="{9672B4BB-01A8-40E4-818D-685CC958D739}" name="Total Votes by Candidate" dataDxfId="108" totalsRowDxfId="107">
      <calculatedColumnFormula>SUM(SupremeCourtJusticeJudicialDistrict7General[[#This Row],[Total Votes by Party]],J15)</calculatedColumnFormula>
    </tableColumn>
  </tableColumns>
  <tableStyleInfo name="TableStyleMedium2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1" xr:uid="{706F2144-A5E3-475B-A27C-A16ED434F5AA}" name="SupremeCourtJusticeJudicialDistrict8General" displayName="SupremeCourtJusticeJudicialDistrict8General" ref="A2:K11" totalsRowCount="1" headerRowDxfId="106" dataDxfId="104" totalsRowDxfId="102" headerRowBorderDxfId="105" tableBorderDxfId="103" totalsRowBorderDxfId="101">
  <autoFilter ref="A2:K10" xr:uid="{BA26D69A-8223-4C72-ACE7-80CECD81303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01431C6-72DF-4D69-A4E2-7BC01831D242}" name="Candidate Name (Party)" totalsRowLabel="Total Votes by County" dataDxfId="100" totalsRowDxfId="99"/>
    <tableColumn id="2" xr3:uid="{A8612375-1AFD-4EA9-8007-1646FDF863E1}" name="Allegany County Vote Results" totalsRowFunction="custom" dataDxfId="98" totalsRowDxfId="97">
      <totalsRowFormula>SUM(SupremeCourtJusticeJudicialDistrict8General[Allegany County Vote Results])</totalsRowFormula>
    </tableColumn>
    <tableColumn id="9" xr3:uid="{525D5304-6EFA-4839-AF28-7100F82A7874}" name="Cattaraugus County Vote Results" totalsRowFunction="custom" dataDxfId="96" totalsRowDxfId="95">
      <totalsRowFormula>SUM(SupremeCourtJusticeJudicialDistrict8General[Cattaraugus County Vote Results])</totalsRowFormula>
    </tableColumn>
    <tableColumn id="8" xr3:uid="{AAFC365B-E398-40A2-AAE9-F43158F073A6}" name="Chautauqua County Vote Results" totalsRowFunction="custom" dataDxfId="94" totalsRowDxfId="93">
      <totalsRowFormula>SUM(SupremeCourtJusticeJudicialDistrict8General[Chautauqua County Vote Results])</totalsRowFormula>
    </tableColumn>
    <tableColumn id="11" xr3:uid="{928C9A69-A0C8-4E57-AF8F-6E0939E0D1E3}" name="Erie County Vote Results" totalsRowFunction="custom" dataDxfId="92" totalsRowDxfId="91">
      <totalsRowFormula>SUM(SupremeCourtJusticeJudicialDistrict8General[Erie County Vote Results])</totalsRowFormula>
    </tableColumn>
    <tableColumn id="10" xr3:uid="{D4B54242-76BB-42E0-AA97-DA9111B2B04C}" name="Genesee County Vote Results" totalsRowFunction="custom" dataDxfId="90" totalsRowDxfId="89">
      <totalsRowFormula>SUM(SupremeCourtJusticeJudicialDistrict8General[Genesee County Vote Results])</totalsRowFormula>
    </tableColumn>
    <tableColumn id="7" xr3:uid="{31C1FA06-5AAF-47AE-9947-D1C26C4BB6B5}" name="Niagara County Vote Results" totalsRowFunction="custom" dataDxfId="88" totalsRowDxfId="87">
      <totalsRowFormula>SUM(SupremeCourtJusticeJudicialDistrict8General[Niagara County Vote Results])</totalsRowFormula>
    </tableColumn>
    <tableColumn id="3" xr3:uid="{FBD7B710-780E-49B4-93B9-D659A147602A}" name="Orleans County Vote Results" totalsRowFunction="custom" dataDxfId="86" totalsRowDxfId="85">
      <totalsRowFormula>SUM(SupremeCourtJusticeJudicialDistrict8General[Orleans County Vote Results])</totalsRowFormula>
    </tableColumn>
    <tableColumn id="4" xr3:uid="{99A560E5-4B88-4C7D-B0A5-4186BF9CFFE1}" name="Wyoming County Vote Results" totalsRowFunction="custom" dataDxfId="84" totalsRowDxfId="83">
      <totalsRowFormula>SUM(SupremeCourtJusticeJudicialDistrict8General[Wyoming County Vote Results])</totalsRowFormula>
    </tableColumn>
    <tableColumn id="6" xr3:uid="{DD91AA70-7738-47B5-B91F-097632FA7B33}" name="Total Votes by Party" totalsRowFunction="custom" dataDxfId="82" totalsRowDxfId="81">
      <calculatedColumnFormula>SUM(SupremeCourtJusticeJudicialDistrict8General[[#This Row],[Allegany County Vote Results]:[Wyoming County Vote Results]])</calculatedColumnFormula>
      <totalsRowFormula>SUM(SupremeCourtJusticeJudicialDistrict8General[Total Votes by Party])</totalsRowFormula>
    </tableColumn>
    <tableColumn id="5" xr3:uid="{7771E77A-7534-4E8B-B1F5-4DEE9A6EA389}" name="Total Votes by Candidate" dataDxfId="80" totalsRowDxfId="79"/>
  </tableColumns>
  <tableStyleInfo name="TableStyleMedium2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2" xr:uid="{AA9B1A9A-9144-40F0-8E20-5E9AA604477B}" name="SupremeCourtJusticeJudicialDistrict9General" displayName="SupremeCourtJusticeJudicialDistrict9General" ref="A2:H18" totalsRowCount="1" headerRowDxfId="78" dataDxfId="76" totalsRowDxfId="74" headerRowBorderDxfId="77" tableBorderDxfId="75" totalsRowBorderDxfId="73">
  <autoFilter ref="A2:H17" xr:uid="{56A2BF69-4EF5-460D-AADA-D5565A5D5E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D0C5AB30-EB0D-4976-805A-775921F85975}" name="Candidate Name (Party)" totalsRowLabel="Total Votes by County" dataDxfId="72" totalsRowDxfId="71"/>
    <tableColumn id="2" xr3:uid="{182EC548-1E95-4E2C-846E-88246439B360}" name="Dutchess County Vote Results" totalsRowFunction="custom" dataDxfId="70" totalsRowDxfId="69">
      <totalsRowFormula>SUM(SupremeCourtJusticeJudicialDistrict9General[Dutchess County Vote Results])</totalsRowFormula>
    </tableColumn>
    <tableColumn id="9" xr3:uid="{808B4ED7-853A-4A59-885E-943C33C9E561}" name="Orange County Vote Results" totalsRowFunction="custom" dataDxfId="68" totalsRowDxfId="67">
      <totalsRowFormula>SUM(SupremeCourtJusticeJudicialDistrict9General[Orange County Vote Results])</totalsRowFormula>
    </tableColumn>
    <tableColumn id="8" xr3:uid="{C5B77640-8962-4CA3-9A9F-F4768E6F9D7B}" name="Putnam County Vote Results" totalsRowFunction="custom" dataDxfId="66" totalsRowDxfId="65">
      <totalsRowFormula>SUM(SupremeCourtJusticeJudicialDistrict9General[Putnam County Vote Results])</totalsRowFormula>
    </tableColumn>
    <tableColumn id="3" xr3:uid="{A97C5F10-B19C-4011-AABE-E2573F573617}" name="Rockland County Vote Results" totalsRowFunction="custom" dataDxfId="64" totalsRowDxfId="63">
      <totalsRowFormula>SUM(SupremeCourtJusticeJudicialDistrict9General[Rockland County Vote Results])</totalsRowFormula>
    </tableColumn>
    <tableColumn id="4" xr3:uid="{87239EA8-7A82-4BD2-99E7-8D939580A2BC}" name="Westchester County Vote Results" totalsRowFunction="custom" dataDxfId="62" totalsRowDxfId="61">
      <totalsRowFormula>SUM(SupremeCourtJusticeJudicialDistrict9General[Westchester County Vote Results])</totalsRowFormula>
    </tableColumn>
    <tableColumn id="6" xr3:uid="{2FA7AFCC-1868-42DB-8D50-42D33A861A46}" name="Total Votes by Party" totalsRowFunction="custom" dataDxfId="60" totalsRowDxfId="59">
      <totalsRowFormula>SUM(SupremeCourtJusticeJudicialDistrict9General[Total Votes by Party])</totalsRowFormula>
    </tableColumn>
    <tableColumn id="5" xr3:uid="{56D72240-249B-42A1-9977-C51DEE57448D}" name="Total Votes by Candidate" dataDxfId="58" totalsRowDxfId="57"/>
  </tableColumns>
  <tableStyleInfo name="TableStyleMedium2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3" xr:uid="{069CAE8A-E3C8-4A46-8A71-98C06410B59B}" name="SupremeCourtJusticeJudicialDistrict10General" displayName="SupremeCourtJusticeJudicialDistrict10General" ref="A2:E38" totalsRowCount="1" headerRowDxfId="56" dataDxfId="54" totalsRowDxfId="52" headerRowBorderDxfId="55" tableBorderDxfId="53" totalsRowBorderDxfId="51">
  <autoFilter ref="A2:E37" xr:uid="{0CCB8D5A-0187-4C70-B3B0-6D4D41A5811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81CEED6-123A-42D4-8372-DBFD67972E98}" name="Candidate Name (Party)" totalsRowLabel="Total Votes by County" dataDxfId="50" totalsRowDxfId="49"/>
    <tableColumn id="2" xr3:uid="{ED8EB700-655C-4361-AE5D-EBE873D09719}" name="Nassau County Vote Results" totalsRowFunction="custom" dataDxfId="48" totalsRowDxfId="47">
      <totalsRowFormula>SUM(SupremeCourtJusticeJudicialDistrict10General[Nassau County Vote Results])</totalsRowFormula>
    </tableColumn>
    <tableColumn id="4" xr3:uid="{F6F0FC48-CC52-4FC4-A1F5-E35332A44B05}" name="Suffolk County Vote Results" totalsRowFunction="custom" dataDxfId="46" totalsRowDxfId="45">
      <totalsRowFormula>SUM(SupremeCourtJusticeJudicialDistrict10General[Suffolk County Vote Results])</totalsRowFormula>
    </tableColumn>
    <tableColumn id="3" xr3:uid="{92272E05-286D-47D9-907F-B11BF9AC5EF9}" name="Total Votes by Party" totalsRowFunction="custom" dataDxfId="44" totalsRowDxfId="43">
      <totalsRowFormula>SUM(SupremeCourtJusticeJudicialDistrict10General[Total Votes by Party])</totalsRowFormula>
    </tableColumn>
    <tableColumn id="5" xr3:uid="{DB511FF3-768C-4CD3-8E1A-FB4977E8656D}" name="Total Votes by Candidate" dataDxfId="42" totalsRowDxfId="41"/>
  </tableColumns>
  <tableStyleInfo name="TableStyleMedium2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4" xr:uid="{F4572C7E-89DD-4F59-9CCC-906C650C0E8B}" name="SupremeCourtJusticeJudicialDistrict11General" displayName="SupremeCourtJusticeJudicialDistrict11General" ref="A2:D33" totalsRowCount="1" headerRowDxfId="40" dataDxfId="38" totalsRowDxfId="36" headerRowBorderDxfId="39" tableBorderDxfId="37" totalsRowBorderDxfId="35">
  <autoFilter ref="A2:D32" xr:uid="{27561C06-4F76-4A75-B826-0719318E401D}">
    <filterColumn colId="0" hiddenButton="1"/>
    <filterColumn colId="1" hiddenButton="1"/>
    <filterColumn colId="2" hiddenButton="1"/>
    <filterColumn colId="3" hiddenButton="1"/>
  </autoFilter>
  <tableColumns count="4">
    <tableColumn id="1" xr3:uid="{6B30202B-DA34-486A-8AF1-88538228C864}" name="Candidate Name (Party)" totalsRowLabel="Total Votes by County" dataDxfId="34" totalsRowDxfId="33"/>
    <tableColumn id="3" xr3:uid="{559570A8-C28F-4588-AADB-69741AF3EA19}" name="Queens County Vote Results" totalsRowFunction="custom" totalsRowDxfId="32">
      <totalsRowFormula>SUM(SupremeCourtJusticeJudicialDistrict11General[Queens County Vote Results])</totalsRowFormula>
    </tableColumn>
    <tableColumn id="4" xr3:uid="{70CDC9B4-79CD-4175-87FE-539927664EED}" name="Total Votes by Party" totalsRowFunction="custom" dataDxfId="31" totalsRowDxfId="30">
      <calculatedColumnFormula>SupremeCourtJusticeJudicialDistrict11General[[#This Row],[Queens County Vote Results]]</calculatedColumnFormula>
      <totalsRowFormula>SUM(SupremeCourtJusticeJudicialDistrict11General[Total Votes by Party])</totalsRowFormula>
    </tableColumn>
    <tableColumn id="2" xr3:uid="{6A09CD8B-CB1E-449A-9323-EA792F4B06B3}" name="Total Votes by Candidate" dataDxfId="29" totalsRowDxfId="28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0"/>
  <sheetViews>
    <sheetView tabSelected="1" zoomScaleNormal="100" zoomScaleSheetLayoutView="120" workbookViewId="0">
      <selection activeCell="E17" sqref="E17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5</v>
      </c>
    </row>
    <row r="2" spans="1:4" ht="24.9" customHeight="1" x14ac:dyDescent="0.25">
      <c r="A2" s="5" t="s">
        <v>6</v>
      </c>
      <c r="B2" s="6" t="s">
        <v>7</v>
      </c>
      <c r="C2" s="7" t="s">
        <v>3</v>
      </c>
      <c r="D2" s="14" t="s">
        <v>4</v>
      </c>
    </row>
    <row r="3" spans="1:4" ht="13.8" x14ac:dyDescent="0.3">
      <c r="A3" s="1" t="s">
        <v>8</v>
      </c>
      <c r="B3" s="2">
        <v>453355</v>
      </c>
      <c r="C3" s="9">
        <f>SupremeCourtJusticeJudicialDistrict1General[[#This Row],[New York County Vote Results]]</f>
        <v>453355</v>
      </c>
      <c r="D3" s="15">
        <f>SupremeCourtJusticeJudicialDistrict1General[[#This Row],[Total Votes by Party]]</f>
        <v>453355</v>
      </c>
    </row>
    <row r="4" spans="1:4" ht="13.8" x14ac:dyDescent="0.3">
      <c r="A4" s="1" t="s">
        <v>9</v>
      </c>
      <c r="B4" s="2">
        <v>454738</v>
      </c>
      <c r="C4" s="9">
        <f>SupremeCourtJusticeJudicialDistrict1General[[#This Row],[New York County Vote Results]]</f>
        <v>454738</v>
      </c>
      <c r="D4" s="15">
        <f>SupremeCourtJusticeJudicialDistrict1General[[#This Row],[Total Votes by Party]]</f>
        <v>454738</v>
      </c>
    </row>
    <row r="5" spans="1:4" ht="13.8" x14ac:dyDescent="0.3">
      <c r="A5" s="1" t="s">
        <v>10</v>
      </c>
      <c r="B5" s="2">
        <v>421902</v>
      </c>
      <c r="C5" s="9">
        <f>SupremeCourtJusticeJudicialDistrict1General[[#This Row],[New York County Vote Results]]</f>
        <v>421902</v>
      </c>
      <c r="D5" s="15">
        <f>SupremeCourtJusticeJudicialDistrict1General[[#This Row],[Total Votes by Party]]</f>
        <v>421902</v>
      </c>
    </row>
    <row r="6" spans="1:4" ht="13.8" x14ac:dyDescent="0.3">
      <c r="A6" s="1" t="s">
        <v>11</v>
      </c>
      <c r="B6" s="2">
        <v>417546</v>
      </c>
      <c r="C6" s="9">
        <f>SupremeCourtJusticeJudicialDistrict1General[[#This Row],[New York County Vote Results]]</f>
        <v>417546</v>
      </c>
      <c r="D6" s="15">
        <f>SupremeCourtJusticeJudicialDistrict1General[[#This Row],[Total Votes by Party]]</f>
        <v>417546</v>
      </c>
    </row>
    <row r="7" spans="1:4" ht="13.8" x14ac:dyDescent="0.3">
      <c r="A7" s="1" t="s">
        <v>0</v>
      </c>
      <c r="B7" s="2">
        <v>989765</v>
      </c>
      <c r="C7" s="9">
        <f>SupremeCourtJusticeJudicialDistrict1General[[#This Row],[New York County Vote Results]]</f>
        <v>989765</v>
      </c>
      <c r="D7" s="16"/>
    </row>
    <row r="8" spans="1:4" ht="13.8" x14ac:dyDescent="0.3">
      <c r="A8" s="1" t="s">
        <v>1</v>
      </c>
      <c r="B8" s="2">
        <v>218</v>
      </c>
      <c r="C8" s="9">
        <f>SupremeCourtJusticeJudicialDistrict1General[[#This Row],[New York County Vote Results]]</f>
        <v>218</v>
      </c>
      <c r="D8" s="16"/>
    </row>
    <row r="9" spans="1:4" ht="13.8" x14ac:dyDescent="0.3">
      <c r="A9" s="1" t="s">
        <v>12</v>
      </c>
      <c r="B9" s="2">
        <v>13244</v>
      </c>
      <c r="C9" s="9">
        <f>SupremeCourtJusticeJudicialDistrict1General[[#This Row],[New York County Vote Results]]</f>
        <v>13244</v>
      </c>
      <c r="D9" s="16"/>
    </row>
    <row r="10" spans="1:4" ht="13.8" x14ac:dyDescent="0.3">
      <c r="A10" s="3" t="s">
        <v>2</v>
      </c>
      <c r="B10" s="4">
        <f>SUM(SupremeCourtJusticeJudicialDistrict1General[New York County Vote Results])</f>
        <v>2750768</v>
      </c>
      <c r="C10" s="9">
        <f>SUM(SupremeCourtJusticeJudicialDistrict1General[Total Votes by Party])</f>
        <v>2750768</v>
      </c>
      <c r="D10" s="17"/>
    </row>
  </sheetData>
  <phoneticPr fontId="1" type="noConversion"/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rowBreaks count="4" manualBreakCount="4">
    <brk id="39" max="16383" man="1"/>
    <brk id="73" max="16383" man="1"/>
    <brk id="120" max="16383" man="1"/>
    <brk id="152" max="16383" man="1"/>
  </rowBreak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CACF-91DA-44D1-B090-354AAE1C1B17}">
  <sheetPr>
    <pageSetUpPr fitToPage="1"/>
  </sheetPr>
  <dimension ref="A1:D10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180</v>
      </c>
    </row>
    <row r="2" spans="1:4" ht="24.9" customHeight="1" x14ac:dyDescent="0.25">
      <c r="A2" s="5" t="s">
        <v>6</v>
      </c>
      <c r="B2" s="6" t="s">
        <v>181</v>
      </c>
      <c r="C2" s="7" t="s">
        <v>3</v>
      </c>
      <c r="D2" s="8" t="s">
        <v>4</v>
      </c>
    </row>
    <row r="3" spans="1:4" ht="13.8" x14ac:dyDescent="0.3">
      <c r="A3" s="1" t="s">
        <v>182</v>
      </c>
      <c r="B3" s="2">
        <v>281645</v>
      </c>
      <c r="C3" s="9">
        <f>SupremeCourtJusticeJudicialDistrict12General[[#This Row],[Bronx County Vote Results]]</f>
        <v>281645</v>
      </c>
      <c r="D3" s="10">
        <f>SUM(SupremeCourtJusticeJudicialDistrict12General[[#This Row],[Total Votes by Party]])</f>
        <v>281645</v>
      </c>
    </row>
    <row r="4" spans="1:4" ht="13.8" x14ac:dyDescent="0.3">
      <c r="A4" s="1" t="s">
        <v>183</v>
      </c>
      <c r="B4" s="2">
        <v>63480</v>
      </c>
      <c r="C4" s="9">
        <f>SupremeCourtJusticeJudicialDistrict12General[[#This Row],[Bronx County Vote Results]]</f>
        <v>63480</v>
      </c>
      <c r="D4" s="10">
        <f>SUM(SupremeCourtJusticeJudicialDistrict12General[[#This Row],[Total Votes by Party]])</f>
        <v>63480</v>
      </c>
    </row>
    <row r="5" spans="1:4" ht="13.8" x14ac:dyDescent="0.3">
      <c r="A5" s="1" t="s">
        <v>184</v>
      </c>
      <c r="B5" s="2">
        <v>256162</v>
      </c>
      <c r="C5" s="9">
        <f>SupremeCourtJusticeJudicialDistrict12General[[#This Row],[Bronx County Vote Results]]</f>
        <v>256162</v>
      </c>
      <c r="D5" s="10">
        <f>SUM(SupremeCourtJusticeJudicialDistrict12General[[#This Row],[Total Votes by Party]])</f>
        <v>256162</v>
      </c>
    </row>
    <row r="6" spans="1:4" ht="13.8" x14ac:dyDescent="0.3">
      <c r="A6" s="1" t="s">
        <v>185</v>
      </c>
      <c r="B6" s="2">
        <v>259913</v>
      </c>
      <c r="C6" s="9">
        <f>SupremeCourtJusticeJudicialDistrict12General[[#This Row],[Bronx County Vote Results]]</f>
        <v>259913</v>
      </c>
      <c r="D6" s="10">
        <f>SUM(SupremeCourtJusticeJudicialDistrict12General[[#This Row],[Total Votes by Party]])</f>
        <v>259913</v>
      </c>
    </row>
    <row r="7" spans="1:4" ht="13.8" x14ac:dyDescent="0.3">
      <c r="A7" s="3" t="s">
        <v>0</v>
      </c>
      <c r="B7" s="2">
        <v>431414</v>
      </c>
      <c r="C7" s="9">
        <f>SupremeCourtJusticeJudicialDistrict12General[[#This Row],[Bronx County Vote Results]]</f>
        <v>431414</v>
      </c>
      <c r="D7" s="11"/>
    </row>
    <row r="8" spans="1:4" ht="13.8" x14ac:dyDescent="0.3">
      <c r="A8" s="3" t="s">
        <v>1</v>
      </c>
      <c r="B8" s="2">
        <v>0</v>
      </c>
      <c r="C8" s="9">
        <f>SupremeCourtJusticeJudicialDistrict12General[[#This Row],[Bronx County Vote Results]]</f>
        <v>0</v>
      </c>
      <c r="D8" s="11"/>
    </row>
    <row r="9" spans="1:4" ht="13.8" x14ac:dyDescent="0.3">
      <c r="A9" s="3" t="s">
        <v>12</v>
      </c>
      <c r="B9" s="2">
        <v>1448</v>
      </c>
      <c r="C9" s="9">
        <f>SupremeCourtJusticeJudicialDistrict12General[[#This Row],[Bronx County Vote Results]]</f>
        <v>1448</v>
      </c>
      <c r="D9" s="11"/>
    </row>
    <row r="10" spans="1:4" ht="13.8" x14ac:dyDescent="0.3">
      <c r="A10" s="12" t="s">
        <v>2</v>
      </c>
      <c r="B10" s="2">
        <f>SUM(SupremeCourtJusticeJudicialDistrict12General[Bronx County Vote Results])</f>
        <v>1294062</v>
      </c>
      <c r="C10" s="9">
        <f>SUM(SupremeCourtJusticeJudicialDistrict12General[Total Votes by Party])</f>
        <v>1294062</v>
      </c>
      <c r="D10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65CE-704F-450E-85D0-6C33023045D6}">
  <sheetPr>
    <pageSetUpPr fitToPage="1"/>
  </sheetPr>
  <dimension ref="A1:D13"/>
  <sheetViews>
    <sheetView workbookViewId="0">
      <selection activeCell="A32" sqref="A32:XFD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186</v>
      </c>
    </row>
    <row r="2" spans="1:4" ht="24.9" customHeight="1" x14ac:dyDescent="0.25">
      <c r="A2" s="5" t="s">
        <v>6</v>
      </c>
      <c r="B2" s="6" t="s">
        <v>187</v>
      </c>
      <c r="C2" s="7" t="s">
        <v>3</v>
      </c>
      <c r="D2" s="8" t="s">
        <v>4</v>
      </c>
    </row>
    <row r="3" spans="1:4" ht="13.8" x14ac:dyDescent="0.3">
      <c r="A3" s="1" t="s">
        <v>188</v>
      </c>
      <c r="B3" s="2">
        <v>76005</v>
      </c>
      <c r="C3" s="9">
        <f>SupremeCourtJusticeJudicialDistrict13General[[#This Row],[Richmond County Vote Results]]</f>
        <v>76005</v>
      </c>
      <c r="D3" s="10">
        <f>SUM(SupremeCourtJusticeJudicialDistrict13General[[#This Row],[Total Votes by Party]],C4,C5)</f>
        <v>183707</v>
      </c>
    </row>
    <row r="4" spans="1:4" ht="13.8" x14ac:dyDescent="0.3">
      <c r="A4" s="1" t="s">
        <v>189</v>
      </c>
      <c r="B4" s="2">
        <v>106557</v>
      </c>
      <c r="C4" s="9">
        <f>SupremeCourtJusticeJudicialDistrict13General[[#This Row],[Richmond County Vote Results]]</f>
        <v>106557</v>
      </c>
      <c r="D4" s="11"/>
    </row>
    <row r="5" spans="1:4" ht="13.8" x14ac:dyDescent="0.3">
      <c r="A5" s="1" t="s">
        <v>190</v>
      </c>
      <c r="B5" s="2">
        <v>1145</v>
      </c>
      <c r="C5" s="9">
        <f>SupremeCourtJusticeJudicialDistrict13General[[#This Row],[Richmond County Vote Results]]</f>
        <v>1145</v>
      </c>
      <c r="D5" s="11"/>
    </row>
    <row r="6" spans="1:4" ht="13.8" x14ac:dyDescent="0.3">
      <c r="A6" s="1" t="s">
        <v>191</v>
      </c>
      <c r="B6" s="2">
        <v>64775</v>
      </c>
      <c r="C6" s="9">
        <f>SupremeCourtJusticeJudicialDistrict13General[[#This Row],[Richmond County Vote Results]]</f>
        <v>64775</v>
      </c>
      <c r="D6" s="10">
        <f>SUM(SupremeCourtJusticeJudicialDistrict13General[[#This Row],[Total Votes by Party]],C7,C8,C9)</f>
        <v>156393</v>
      </c>
    </row>
    <row r="7" spans="1:4" ht="13.8" x14ac:dyDescent="0.3">
      <c r="A7" s="1" t="s">
        <v>192</v>
      </c>
      <c r="B7" s="2">
        <v>82758</v>
      </c>
      <c r="C7" s="9">
        <f>SupremeCourtJusticeJudicialDistrict13General[[#This Row],[Richmond County Vote Results]]</f>
        <v>82758</v>
      </c>
      <c r="D7" s="11"/>
    </row>
    <row r="8" spans="1:4" ht="13.8" x14ac:dyDescent="0.3">
      <c r="A8" s="1" t="s">
        <v>193</v>
      </c>
      <c r="B8" s="2">
        <v>7844</v>
      </c>
      <c r="C8" s="9">
        <f>SupremeCourtJusticeJudicialDistrict13General[[#This Row],[Richmond County Vote Results]]</f>
        <v>7844</v>
      </c>
      <c r="D8" s="11"/>
    </row>
    <row r="9" spans="1:4" ht="13.8" x14ac:dyDescent="0.3">
      <c r="A9" s="1" t="s">
        <v>194</v>
      </c>
      <c r="B9" s="2">
        <v>1016</v>
      </c>
      <c r="C9" s="9">
        <f>SupremeCourtJusticeJudicialDistrict13General[[#This Row],[Richmond County Vote Results]]</f>
        <v>1016</v>
      </c>
      <c r="D9" s="11"/>
    </row>
    <row r="10" spans="1:4" ht="13.8" x14ac:dyDescent="0.3">
      <c r="A10" s="3" t="s">
        <v>0</v>
      </c>
      <c r="B10" s="2">
        <v>94844</v>
      </c>
      <c r="C10" s="9">
        <f>SupremeCourtJusticeJudicialDistrict13General[[#This Row],[Richmond County Vote Results]]</f>
        <v>94844</v>
      </c>
      <c r="D10" s="11"/>
    </row>
    <row r="11" spans="1:4" ht="13.8" x14ac:dyDescent="0.3">
      <c r="A11" s="3" t="s">
        <v>1</v>
      </c>
      <c r="B11" s="2">
        <v>60</v>
      </c>
      <c r="C11" s="9">
        <f>SupremeCourtJusticeJudicialDistrict13General[[#This Row],[Richmond County Vote Results]]</f>
        <v>60</v>
      </c>
      <c r="D11" s="11"/>
    </row>
    <row r="12" spans="1:4" ht="13.8" x14ac:dyDescent="0.3">
      <c r="A12" s="3" t="s">
        <v>12</v>
      </c>
      <c r="B12" s="2">
        <v>788</v>
      </c>
      <c r="C12" s="9">
        <f>SupremeCourtJusticeJudicialDistrict13General[[#This Row],[Richmond County Vote Results]]</f>
        <v>788</v>
      </c>
      <c r="D12" s="11"/>
    </row>
    <row r="13" spans="1:4" ht="13.8" x14ac:dyDescent="0.3">
      <c r="A13" s="12" t="s">
        <v>2</v>
      </c>
      <c r="B13" s="2">
        <f>SUM(SupremeCourtJusticeJudicialDistrict13General[Richmond County Vote Results])</f>
        <v>435792</v>
      </c>
      <c r="C13" s="9">
        <f>SUM(SupremeCourtJusticeJudicialDistrict13General[Total Votes by Party])</f>
        <v>435792</v>
      </c>
      <c r="D13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F407-E347-441A-8D86-00F59011A6EA}">
  <sheetPr>
    <pageSetUpPr fitToPage="1"/>
  </sheetPr>
  <dimension ref="A1:C402"/>
  <sheetViews>
    <sheetView workbookViewId="0">
      <selection activeCell="C15" sqref="C15"/>
    </sheetView>
  </sheetViews>
  <sheetFormatPr defaultColWidth="9.109375" defaultRowHeight="13.2" x14ac:dyDescent="0.25"/>
  <cols>
    <col min="1" max="1" width="10.33203125" style="36" bestFit="1" customWidth="1"/>
    <col min="2" max="2" width="2.6640625" style="27" customWidth="1"/>
    <col min="3" max="3" width="176.5546875" style="27" customWidth="1"/>
    <col min="4" max="16384" width="9.109375" style="27"/>
  </cols>
  <sheetData>
    <row r="1" spans="1:3" ht="18.75" customHeight="1" x14ac:dyDescent="0.25">
      <c r="A1" s="37" t="s">
        <v>195</v>
      </c>
      <c r="B1" s="37"/>
      <c r="C1" s="37"/>
    </row>
    <row r="3" spans="1:3" ht="13.5" customHeight="1" x14ac:dyDescent="0.25">
      <c r="A3" s="39" t="s">
        <v>196</v>
      </c>
      <c r="C3" s="28" t="s">
        <v>197</v>
      </c>
    </row>
    <row r="4" spans="1:3" ht="13.5" customHeight="1" x14ac:dyDescent="0.25">
      <c r="A4" s="40"/>
      <c r="B4" s="31"/>
      <c r="C4" s="30"/>
    </row>
    <row r="5" spans="1:3" ht="13.5" customHeight="1" x14ac:dyDescent="0.25">
      <c r="A5" s="41">
        <v>44168</v>
      </c>
      <c r="B5" s="32"/>
      <c r="C5" s="31" t="s">
        <v>198</v>
      </c>
    </row>
    <row r="6" spans="1:3" ht="13.5" customHeight="1" x14ac:dyDescent="0.25">
      <c r="A6" s="41"/>
      <c r="B6" s="32"/>
      <c r="C6" s="31"/>
    </row>
    <row r="7" spans="1:3" ht="13.5" customHeight="1" x14ac:dyDescent="0.25">
      <c r="A7" s="41">
        <v>44168</v>
      </c>
      <c r="B7" s="31"/>
      <c r="C7" s="33" t="s">
        <v>263</v>
      </c>
    </row>
    <row r="8" spans="1:3" ht="13.5" customHeight="1" x14ac:dyDescent="0.25">
      <c r="A8" s="41"/>
      <c r="B8" s="31"/>
      <c r="C8" s="33"/>
    </row>
    <row r="9" spans="1:3" ht="13.5" customHeight="1" x14ac:dyDescent="0.25">
      <c r="A9" s="41"/>
      <c r="B9" s="31"/>
      <c r="C9" s="33" t="s">
        <v>264</v>
      </c>
    </row>
    <row r="10" spans="1:3" ht="13.5" customHeight="1" x14ac:dyDescent="0.25">
      <c r="A10" s="41"/>
      <c r="B10" s="31"/>
      <c r="C10" s="33"/>
    </row>
    <row r="11" spans="1:3" ht="13.5" customHeight="1" x14ac:dyDescent="0.25">
      <c r="A11" s="41"/>
      <c r="B11" s="31"/>
      <c r="C11" s="33" t="s">
        <v>265</v>
      </c>
    </row>
    <row r="12" spans="1:3" ht="13.5" customHeight="1" x14ac:dyDescent="0.25">
      <c r="A12" s="41"/>
      <c r="B12" s="31"/>
      <c r="C12" s="33"/>
    </row>
    <row r="13" spans="1:3" ht="13.5" customHeight="1" x14ac:dyDescent="0.25">
      <c r="A13" s="41"/>
      <c r="B13" s="31"/>
      <c r="C13" s="33" t="s">
        <v>266</v>
      </c>
    </row>
    <row r="14" spans="1:3" ht="13.5" customHeight="1" x14ac:dyDescent="0.25">
      <c r="A14" s="41"/>
      <c r="B14" s="31"/>
      <c r="C14" s="33"/>
    </row>
    <row r="15" spans="1:3" ht="13.5" customHeight="1" x14ac:dyDescent="0.25">
      <c r="A15" s="41"/>
      <c r="B15" s="31"/>
      <c r="C15" s="33" t="s">
        <v>267</v>
      </c>
    </row>
    <row r="16" spans="1:3" ht="13.5" customHeight="1" x14ac:dyDescent="0.25">
      <c r="A16" s="41"/>
      <c r="B16" s="31"/>
      <c r="C16" s="33"/>
    </row>
    <row r="17" spans="1:3" ht="13.5" customHeight="1" x14ac:dyDescent="0.25">
      <c r="A17" s="41"/>
      <c r="B17" s="31"/>
      <c r="C17" s="33" t="s">
        <v>268</v>
      </c>
    </row>
    <row r="18" spans="1:3" ht="13.5" customHeight="1" x14ac:dyDescent="0.25">
      <c r="A18" s="41"/>
      <c r="B18" s="31"/>
      <c r="C18" s="33"/>
    </row>
    <row r="19" spans="1:3" ht="13.5" customHeight="1" x14ac:dyDescent="0.25">
      <c r="A19" s="41">
        <v>44168</v>
      </c>
      <c r="B19" s="31"/>
      <c r="C19" s="33" t="s">
        <v>269</v>
      </c>
    </row>
    <row r="20" spans="1:3" ht="13.5" customHeight="1" x14ac:dyDescent="0.25">
      <c r="A20" s="41"/>
      <c r="B20" s="31"/>
      <c r="C20" s="33"/>
    </row>
    <row r="21" spans="1:3" ht="13.5" customHeight="1" x14ac:dyDescent="0.25">
      <c r="A21" s="38"/>
      <c r="B21" s="31"/>
      <c r="C21" s="31" t="s">
        <v>270</v>
      </c>
    </row>
    <row r="22" spans="1:3" ht="13.5" customHeight="1" x14ac:dyDescent="0.25">
      <c r="A22" s="38"/>
      <c r="B22" s="31"/>
      <c r="C22" s="31"/>
    </row>
    <row r="23" spans="1:3" ht="13.5" customHeight="1" x14ac:dyDescent="0.25">
      <c r="A23" s="41">
        <v>44169</v>
      </c>
      <c r="B23" s="31"/>
      <c r="C23" s="31" t="s">
        <v>271</v>
      </c>
    </row>
    <row r="24" spans="1:3" ht="13.5" customHeight="1" x14ac:dyDescent="0.25">
      <c r="A24" s="41"/>
      <c r="B24" s="31"/>
      <c r="C24" s="31"/>
    </row>
    <row r="25" spans="1:3" ht="13.5" customHeight="1" x14ac:dyDescent="0.25">
      <c r="A25" s="41"/>
      <c r="B25" s="31"/>
      <c r="C25" s="31" t="s">
        <v>272</v>
      </c>
    </row>
    <row r="26" spans="1:3" ht="13.5" customHeight="1" x14ac:dyDescent="0.25">
      <c r="A26" s="41"/>
      <c r="B26" s="31"/>
      <c r="C26" s="31"/>
    </row>
    <row r="27" spans="1:3" ht="13.5" customHeight="1" x14ac:dyDescent="0.25">
      <c r="A27" s="41"/>
      <c r="B27" s="31"/>
      <c r="C27" s="31" t="s">
        <v>273</v>
      </c>
    </row>
    <row r="28" spans="1:3" ht="13.5" customHeight="1" x14ac:dyDescent="0.25">
      <c r="A28" s="41"/>
      <c r="B28" s="31"/>
      <c r="C28" s="31"/>
    </row>
    <row r="29" spans="1:3" ht="13.5" customHeight="1" x14ac:dyDescent="0.25">
      <c r="A29" s="41"/>
      <c r="B29" s="31"/>
      <c r="C29" s="31" t="s">
        <v>274</v>
      </c>
    </row>
    <row r="30" spans="1:3" ht="13.5" customHeight="1" x14ac:dyDescent="0.25">
      <c r="A30" s="41"/>
      <c r="B30" s="31"/>
      <c r="C30" s="31"/>
    </row>
    <row r="31" spans="1:3" ht="13.5" customHeight="1" x14ac:dyDescent="0.25">
      <c r="A31" s="41"/>
      <c r="B31" s="31"/>
      <c r="C31" s="31" t="s">
        <v>275</v>
      </c>
    </row>
    <row r="32" spans="1:3" ht="13.5" customHeight="1" x14ac:dyDescent="0.25">
      <c r="A32" s="41"/>
      <c r="B32" s="31"/>
      <c r="C32" s="31"/>
    </row>
    <row r="33" spans="1:3" ht="13.5" customHeight="1" x14ac:dyDescent="0.25">
      <c r="A33" s="41"/>
      <c r="B33" s="31"/>
      <c r="C33" s="31" t="s">
        <v>276</v>
      </c>
    </row>
    <row r="34" spans="1:3" ht="13.5" customHeight="1" x14ac:dyDescent="0.25">
      <c r="A34" s="41"/>
      <c r="B34" s="31"/>
      <c r="C34" s="31"/>
    </row>
    <row r="35" spans="1:3" ht="13.5" customHeight="1" x14ac:dyDescent="0.25">
      <c r="A35" s="41"/>
      <c r="B35" s="31"/>
      <c r="C35" s="31" t="s">
        <v>277</v>
      </c>
    </row>
    <row r="36" spans="1:3" ht="13.5" customHeight="1" x14ac:dyDescent="0.25">
      <c r="A36" s="41"/>
      <c r="B36" s="31"/>
      <c r="C36" s="31"/>
    </row>
    <row r="37" spans="1:3" ht="13.5" customHeight="1" x14ac:dyDescent="0.25">
      <c r="A37" s="41"/>
      <c r="B37" s="31"/>
      <c r="C37" s="31" t="s">
        <v>278</v>
      </c>
    </row>
    <row r="38" spans="1:3" ht="13.5" customHeight="1" x14ac:dyDescent="0.25">
      <c r="A38" s="41"/>
      <c r="B38" s="31"/>
      <c r="C38" s="31"/>
    </row>
    <row r="39" spans="1:3" ht="13.5" customHeight="1" x14ac:dyDescent="0.25">
      <c r="A39" s="41"/>
      <c r="B39" s="31"/>
      <c r="C39" s="31" t="s">
        <v>279</v>
      </c>
    </row>
    <row r="40" spans="1:3" ht="13.5" customHeight="1" x14ac:dyDescent="0.25">
      <c r="A40" s="41"/>
      <c r="B40" s="31"/>
      <c r="C40" s="31"/>
    </row>
    <row r="41" spans="1:3" ht="13.5" customHeight="1" x14ac:dyDescent="0.25">
      <c r="A41" s="41"/>
      <c r="B41" s="31"/>
      <c r="C41" s="31" t="s">
        <v>280</v>
      </c>
    </row>
    <row r="42" spans="1:3" ht="13.5" customHeight="1" x14ac:dyDescent="0.25">
      <c r="A42" s="41"/>
      <c r="B42" s="31"/>
      <c r="C42" s="31"/>
    </row>
    <row r="43" spans="1:3" ht="13.5" customHeight="1" x14ac:dyDescent="0.25">
      <c r="A43" s="41"/>
      <c r="B43" s="31"/>
      <c r="C43" s="31" t="s">
        <v>281</v>
      </c>
    </row>
    <row r="44" spans="1:3" ht="13.5" customHeight="1" x14ac:dyDescent="0.25">
      <c r="A44" s="41"/>
      <c r="B44" s="31"/>
      <c r="C44" s="31"/>
    </row>
    <row r="45" spans="1:3" ht="13.5" customHeight="1" x14ac:dyDescent="0.25">
      <c r="A45" s="41"/>
      <c r="B45" s="31"/>
      <c r="C45" s="31" t="s">
        <v>282</v>
      </c>
    </row>
    <row r="46" spans="1:3" ht="13.5" customHeight="1" x14ac:dyDescent="0.25">
      <c r="A46" s="41"/>
      <c r="B46" s="31"/>
      <c r="C46" s="31"/>
    </row>
    <row r="47" spans="1:3" ht="13.5" customHeight="1" x14ac:dyDescent="0.25">
      <c r="A47" s="41"/>
      <c r="B47" s="31"/>
      <c r="C47" s="31" t="s">
        <v>283</v>
      </c>
    </row>
    <row r="48" spans="1:3" ht="13.5" customHeight="1" x14ac:dyDescent="0.25">
      <c r="A48" s="41"/>
      <c r="B48" s="31"/>
      <c r="C48" s="31"/>
    </row>
    <row r="49" spans="1:3" ht="13.5" customHeight="1" x14ac:dyDescent="0.25">
      <c r="A49" s="41"/>
      <c r="B49" s="31"/>
      <c r="C49" s="31" t="s">
        <v>284</v>
      </c>
    </row>
    <row r="50" spans="1:3" ht="13.5" customHeight="1" x14ac:dyDescent="0.25">
      <c r="A50" s="41"/>
      <c r="B50" s="31"/>
      <c r="C50" s="31"/>
    </row>
    <row r="51" spans="1:3" ht="13.5" customHeight="1" x14ac:dyDescent="0.25">
      <c r="A51" s="41"/>
      <c r="B51" s="31"/>
      <c r="C51" s="31" t="s">
        <v>285</v>
      </c>
    </row>
    <row r="52" spans="1:3" ht="13.5" customHeight="1" x14ac:dyDescent="0.25">
      <c r="A52" s="41"/>
      <c r="B52" s="31"/>
      <c r="C52" s="31"/>
    </row>
    <row r="53" spans="1:3" ht="13.5" customHeight="1" x14ac:dyDescent="0.25">
      <c r="A53" s="41"/>
      <c r="B53" s="31"/>
      <c r="C53" s="31" t="s">
        <v>286</v>
      </c>
    </row>
    <row r="54" spans="1:3" ht="13.5" customHeight="1" x14ac:dyDescent="0.25">
      <c r="A54" s="41"/>
      <c r="B54" s="31"/>
      <c r="C54" s="31"/>
    </row>
    <row r="55" spans="1:3" ht="13.5" customHeight="1" x14ac:dyDescent="0.25">
      <c r="A55" s="41"/>
      <c r="B55" s="31"/>
      <c r="C55" s="31" t="s">
        <v>287</v>
      </c>
    </row>
    <row r="56" spans="1:3" ht="13.5" customHeight="1" x14ac:dyDescent="0.25">
      <c r="A56" s="41"/>
      <c r="B56" s="31"/>
      <c r="C56" s="31"/>
    </row>
    <row r="57" spans="1:3" ht="13.5" customHeight="1" x14ac:dyDescent="0.25">
      <c r="A57" s="41"/>
      <c r="B57" s="31"/>
      <c r="C57" s="31" t="s">
        <v>288</v>
      </c>
    </row>
    <row r="58" spans="1:3" ht="13.5" customHeight="1" x14ac:dyDescent="0.25">
      <c r="A58" s="41"/>
      <c r="B58" s="31"/>
      <c r="C58" s="31"/>
    </row>
    <row r="59" spans="1:3" ht="13.5" customHeight="1" x14ac:dyDescent="0.25">
      <c r="A59" s="41"/>
      <c r="B59" s="31"/>
      <c r="C59" s="31" t="s">
        <v>289</v>
      </c>
    </row>
    <row r="60" spans="1:3" ht="13.5" customHeight="1" x14ac:dyDescent="0.25">
      <c r="A60" s="41"/>
      <c r="B60" s="31"/>
      <c r="C60" s="31"/>
    </row>
    <row r="61" spans="1:3" ht="13.5" customHeight="1" x14ac:dyDescent="0.25">
      <c r="A61" s="41"/>
      <c r="B61" s="31"/>
      <c r="C61" s="31" t="s">
        <v>290</v>
      </c>
    </row>
    <row r="62" spans="1:3" ht="13.5" customHeight="1" x14ac:dyDescent="0.25">
      <c r="A62" s="41"/>
      <c r="B62" s="31"/>
      <c r="C62" s="31"/>
    </row>
    <row r="63" spans="1:3" ht="13.5" customHeight="1" x14ac:dyDescent="0.25">
      <c r="A63" s="41">
        <v>44173</v>
      </c>
      <c r="B63" s="31"/>
      <c r="C63" s="31" t="s">
        <v>291</v>
      </c>
    </row>
    <row r="64" spans="1:3" ht="13.5" customHeight="1" x14ac:dyDescent="0.25">
      <c r="A64" s="41"/>
      <c r="B64" s="31"/>
      <c r="C64" s="31"/>
    </row>
    <row r="65" spans="1:3" ht="13.5" customHeight="1" x14ac:dyDescent="0.25">
      <c r="A65" s="41"/>
      <c r="B65" s="31"/>
      <c r="C65" s="31" t="s">
        <v>292</v>
      </c>
    </row>
    <row r="66" spans="1:3" ht="13.5" customHeight="1" x14ac:dyDescent="0.25">
      <c r="A66" s="41"/>
      <c r="B66" s="31"/>
      <c r="C66" s="31"/>
    </row>
    <row r="67" spans="1:3" ht="13.5" customHeight="1" x14ac:dyDescent="0.25">
      <c r="A67" s="41"/>
      <c r="B67" s="31"/>
      <c r="C67" s="31" t="s">
        <v>293</v>
      </c>
    </row>
    <row r="68" spans="1:3" ht="13.5" customHeight="1" x14ac:dyDescent="0.25">
      <c r="A68" s="41"/>
      <c r="B68" s="31"/>
      <c r="C68" s="31"/>
    </row>
    <row r="69" spans="1:3" ht="13.5" customHeight="1" x14ac:dyDescent="0.25">
      <c r="A69" s="41"/>
      <c r="B69" s="31"/>
      <c r="C69" s="31" t="s">
        <v>294</v>
      </c>
    </row>
    <row r="70" spans="1:3" ht="13.5" customHeight="1" x14ac:dyDescent="0.25">
      <c r="A70" s="41"/>
      <c r="B70" s="31"/>
      <c r="C70" s="31"/>
    </row>
    <row r="71" spans="1:3" ht="13.5" customHeight="1" x14ac:dyDescent="0.25">
      <c r="A71" s="41"/>
      <c r="B71" s="31"/>
      <c r="C71" s="31" t="s">
        <v>295</v>
      </c>
    </row>
    <row r="72" spans="1:3" ht="13.5" customHeight="1" x14ac:dyDescent="0.25">
      <c r="A72" s="41"/>
      <c r="B72" s="31"/>
      <c r="C72" s="31"/>
    </row>
    <row r="73" spans="1:3" ht="13.5" customHeight="1" x14ac:dyDescent="0.25">
      <c r="A73" s="41"/>
      <c r="B73" s="31"/>
      <c r="C73" s="31" t="s">
        <v>296</v>
      </c>
    </row>
    <row r="74" spans="1:3" ht="13.5" customHeight="1" x14ac:dyDescent="0.25">
      <c r="A74" s="41"/>
      <c r="B74" s="31"/>
      <c r="C74" s="31"/>
    </row>
    <row r="75" spans="1:3" ht="13.5" customHeight="1" x14ac:dyDescent="0.25">
      <c r="A75" s="41"/>
      <c r="B75" s="31"/>
      <c r="C75" s="31" t="s">
        <v>297</v>
      </c>
    </row>
    <row r="76" spans="1:3" ht="13.5" customHeight="1" x14ac:dyDescent="0.25">
      <c r="A76" s="41"/>
      <c r="B76" s="31"/>
      <c r="C76" s="31"/>
    </row>
    <row r="77" spans="1:3" ht="13.5" customHeight="1" x14ac:dyDescent="0.25">
      <c r="A77" s="41"/>
      <c r="B77" s="31"/>
      <c r="C77" s="31" t="s">
        <v>298</v>
      </c>
    </row>
    <row r="78" spans="1:3" ht="13.5" customHeight="1" x14ac:dyDescent="0.25">
      <c r="A78" s="41"/>
      <c r="B78" s="31"/>
      <c r="C78" s="31"/>
    </row>
    <row r="79" spans="1:3" ht="13.5" customHeight="1" x14ac:dyDescent="0.25">
      <c r="A79" s="41"/>
      <c r="B79" s="31"/>
      <c r="C79" s="31" t="s">
        <v>299</v>
      </c>
    </row>
    <row r="80" spans="1:3" ht="13.5" customHeight="1" x14ac:dyDescent="0.25">
      <c r="A80" s="41"/>
      <c r="B80" s="31"/>
      <c r="C80" s="31"/>
    </row>
    <row r="81" spans="1:3" ht="13.5" customHeight="1" x14ac:dyDescent="0.25">
      <c r="A81" s="41"/>
      <c r="B81" s="31"/>
      <c r="C81" s="31" t="s">
        <v>300</v>
      </c>
    </row>
    <row r="82" spans="1:3" ht="13.5" customHeight="1" x14ac:dyDescent="0.25">
      <c r="A82" s="41"/>
      <c r="B82" s="31"/>
      <c r="C82" s="31"/>
    </row>
    <row r="83" spans="1:3" ht="13.5" customHeight="1" x14ac:dyDescent="0.25">
      <c r="A83" s="41"/>
      <c r="B83" s="31"/>
      <c r="C83" s="31" t="s">
        <v>301</v>
      </c>
    </row>
    <row r="84" spans="1:3" ht="13.5" customHeight="1" x14ac:dyDescent="0.25">
      <c r="A84" s="41"/>
      <c r="B84" s="31"/>
      <c r="C84" s="31"/>
    </row>
    <row r="85" spans="1:3" ht="13.5" customHeight="1" x14ac:dyDescent="0.25">
      <c r="A85" s="42">
        <v>44175</v>
      </c>
      <c r="C85" s="27" t="s">
        <v>302</v>
      </c>
    </row>
    <row r="86" spans="1:3" ht="13.5" customHeight="1" x14ac:dyDescent="0.25"/>
    <row r="87" spans="1:3" ht="13.5" customHeight="1" x14ac:dyDescent="0.25">
      <c r="C87" s="27" t="s">
        <v>303</v>
      </c>
    </row>
    <row r="88" spans="1:3" ht="13.5" customHeight="1" x14ac:dyDescent="0.25">
      <c r="C88" s="27" t="s">
        <v>304</v>
      </c>
    </row>
    <row r="89" spans="1:3" ht="13.5" customHeight="1" x14ac:dyDescent="0.25"/>
    <row r="90" spans="1:3" ht="13.5" customHeight="1" x14ac:dyDescent="0.25">
      <c r="C90" s="27" t="s">
        <v>305</v>
      </c>
    </row>
    <row r="91" spans="1:3" ht="13.5" customHeight="1" x14ac:dyDescent="0.25">
      <c r="C91" s="27" t="s">
        <v>306</v>
      </c>
    </row>
    <row r="92" spans="1:3" ht="13.5" customHeight="1" x14ac:dyDescent="0.25">
      <c r="C92" s="27" t="s">
        <v>307</v>
      </c>
    </row>
    <row r="93" spans="1:3" ht="13.5" customHeight="1" x14ac:dyDescent="0.25"/>
    <row r="94" spans="1:3" ht="13.5" customHeight="1" x14ac:dyDescent="0.25">
      <c r="C94" s="27" t="s">
        <v>308</v>
      </c>
    </row>
    <row r="95" spans="1:3" ht="13.5" customHeight="1" x14ac:dyDescent="0.25"/>
    <row r="96" spans="1:3" ht="13.5" customHeight="1" x14ac:dyDescent="0.25">
      <c r="C96" s="27" t="s">
        <v>309</v>
      </c>
    </row>
    <row r="97" spans="3:3" ht="13.5" customHeight="1" x14ac:dyDescent="0.25"/>
    <row r="98" spans="3:3" ht="13.5" customHeight="1" x14ac:dyDescent="0.25">
      <c r="C98" s="27" t="s">
        <v>310</v>
      </c>
    </row>
    <row r="99" spans="3:3" ht="13.5" customHeight="1" x14ac:dyDescent="0.25"/>
    <row r="100" spans="3:3" ht="13.5" customHeight="1" x14ac:dyDescent="0.25">
      <c r="C100" s="27" t="s">
        <v>311</v>
      </c>
    </row>
    <row r="101" spans="3:3" ht="13.5" customHeight="1" x14ac:dyDescent="0.25"/>
    <row r="102" spans="3:3" ht="13.5" customHeight="1" x14ac:dyDescent="0.25">
      <c r="C102" s="27" t="s">
        <v>312</v>
      </c>
    </row>
    <row r="103" spans="3:3" ht="13.5" customHeight="1" x14ac:dyDescent="0.25"/>
    <row r="104" spans="3:3" ht="13.5" customHeight="1" x14ac:dyDescent="0.25">
      <c r="C104" s="27" t="s">
        <v>313</v>
      </c>
    </row>
    <row r="105" spans="3:3" ht="13.5" customHeight="1" x14ac:dyDescent="0.25"/>
    <row r="106" spans="3:3" ht="13.5" customHeight="1" x14ac:dyDescent="0.25">
      <c r="C106" s="27" t="s">
        <v>314</v>
      </c>
    </row>
    <row r="107" spans="3:3" ht="13.5" customHeight="1" x14ac:dyDescent="0.25"/>
    <row r="108" spans="3:3" ht="13.5" customHeight="1" x14ac:dyDescent="0.25">
      <c r="C108" s="27" t="s">
        <v>315</v>
      </c>
    </row>
    <row r="109" spans="3:3" ht="13.5" customHeight="1" x14ac:dyDescent="0.25"/>
    <row r="110" spans="3:3" ht="13.5" customHeight="1" x14ac:dyDescent="0.25">
      <c r="C110" s="27" t="s">
        <v>316</v>
      </c>
    </row>
    <row r="111" spans="3:3" ht="13.5" customHeight="1" x14ac:dyDescent="0.25"/>
    <row r="112" spans="3:3" ht="13.5" customHeight="1" x14ac:dyDescent="0.25">
      <c r="C112" s="27" t="s">
        <v>317</v>
      </c>
    </row>
    <row r="113" spans="3:3" ht="13.5" customHeight="1" x14ac:dyDescent="0.25"/>
    <row r="114" spans="3:3" ht="13.5" customHeight="1" x14ac:dyDescent="0.25">
      <c r="C114" s="27" t="s">
        <v>318</v>
      </c>
    </row>
    <row r="115" spans="3:3" ht="13.5" customHeight="1" x14ac:dyDescent="0.25"/>
    <row r="116" spans="3:3" ht="13.5" customHeight="1" x14ac:dyDescent="0.25">
      <c r="C116" s="27" t="s">
        <v>319</v>
      </c>
    </row>
    <row r="117" spans="3:3" ht="13.5" customHeight="1" x14ac:dyDescent="0.25"/>
    <row r="118" spans="3:3" ht="13.5" customHeight="1" x14ac:dyDescent="0.25">
      <c r="C118" s="27" t="s">
        <v>320</v>
      </c>
    </row>
    <row r="119" spans="3:3" ht="13.5" customHeight="1" x14ac:dyDescent="0.25"/>
    <row r="120" spans="3:3" ht="13.5" customHeight="1" x14ac:dyDescent="0.25">
      <c r="C120" s="27" t="s">
        <v>321</v>
      </c>
    </row>
    <row r="121" spans="3:3" ht="13.5" customHeight="1" x14ac:dyDescent="0.25"/>
    <row r="122" spans="3:3" ht="13.5" customHeight="1" x14ac:dyDescent="0.25">
      <c r="C122" s="27" t="s">
        <v>322</v>
      </c>
    </row>
    <row r="123" spans="3:3" ht="13.5" customHeight="1" x14ac:dyDescent="0.25"/>
    <row r="124" spans="3:3" ht="13.5" customHeight="1" x14ac:dyDescent="0.25">
      <c r="C124" s="27" t="s">
        <v>323</v>
      </c>
    </row>
    <row r="125" spans="3:3" ht="13.5" customHeight="1" x14ac:dyDescent="0.25"/>
    <row r="126" spans="3:3" ht="13.5" customHeight="1" x14ac:dyDescent="0.25">
      <c r="C126" s="27" t="s">
        <v>324</v>
      </c>
    </row>
    <row r="127" spans="3:3" ht="13.5" customHeight="1" x14ac:dyDescent="0.25"/>
    <row r="128" spans="3:3" ht="13.5" customHeight="1" x14ac:dyDescent="0.25">
      <c r="C128" s="27" t="s">
        <v>325</v>
      </c>
    </row>
    <row r="129" spans="1:3" ht="13.5" customHeight="1" x14ac:dyDescent="0.25"/>
    <row r="130" spans="1:3" ht="13.5" customHeight="1" x14ac:dyDescent="0.25">
      <c r="C130" s="27" t="s">
        <v>326</v>
      </c>
    </row>
    <row r="131" spans="1:3" ht="13.5" customHeight="1" x14ac:dyDescent="0.25"/>
    <row r="132" spans="1:3" ht="13.5" customHeight="1" x14ac:dyDescent="0.25">
      <c r="C132" s="27" t="s">
        <v>327</v>
      </c>
    </row>
    <row r="133" spans="1:3" ht="13.5" customHeight="1" x14ac:dyDescent="0.25"/>
    <row r="134" spans="1:3" ht="13.5" customHeight="1" x14ac:dyDescent="0.25">
      <c r="C134" s="27" t="s">
        <v>328</v>
      </c>
    </row>
    <row r="135" spans="1:3" ht="13.5" customHeight="1" x14ac:dyDescent="0.25"/>
    <row r="136" spans="1:3" ht="13.5" customHeight="1" x14ac:dyDescent="0.25">
      <c r="A136" s="42">
        <v>44176</v>
      </c>
      <c r="C136" s="34" t="s">
        <v>329</v>
      </c>
    </row>
    <row r="137" spans="1:3" ht="13.5" customHeight="1" x14ac:dyDescent="0.25">
      <c r="A137" s="42"/>
      <c r="C137" s="34"/>
    </row>
    <row r="138" spans="1:3" ht="13.5" customHeight="1" x14ac:dyDescent="0.25">
      <c r="A138" s="42"/>
      <c r="C138" s="34" t="s">
        <v>330</v>
      </c>
    </row>
    <row r="139" spans="1:3" ht="13.5" customHeight="1" x14ac:dyDescent="0.25">
      <c r="A139" s="42"/>
      <c r="C139" s="34" t="s">
        <v>331</v>
      </c>
    </row>
    <row r="140" spans="1:3" ht="13.5" customHeight="1" x14ac:dyDescent="0.25">
      <c r="A140" s="42"/>
      <c r="C140" s="34"/>
    </row>
    <row r="141" spans="1:3" ht="13.5" customHeight="1" x14ac:dyDescent="0.25">
      <c r="A141" s="42"/>
      <c r="C141" s="34" t="s">
        <v>332</v>
      </c>
    </row>
    <row r="142" spans="1:3" ht="13.5" customHeight="1" x14ac:dyDescent="0.25">
      <c r="A142" s="42"/>
      <c r="C142" s="34"/>
    </row>
    <row r="143" spans="1:3" ht="13.5" customHeight="1" x14ac:dyDescent="0.25">
      <c r="A143" s="42"/>
      <c r="C143" s="34" t="s">
        <v>333</v>
      </c>
    </row>
    <row r="144" spans="1:3" ht="13.5" customHeight="1" x14ac:dyDescent="0.25">
      <c r="A144" s="42"/>
      <c r="C144" s="34"/>
    </row>
    <row r="145" spans="1:3" ht="13.5" customHeight="1" x14ac:dyDescent="0.25">
      <c r="A145" s="42"/>
      <c r="C145" s="34" t="s">
        <v>334</v>
      </c>
    </row>
    <row r="146" spans="1:3" ht="13.5" customHeight="1" x14ac:dyDescent="0.25">
      <c r="A146" s="42"/>
      <c r="C146" s="34"/>
    </row>
    <row r="147" spans="1:3" ht="13.5" customHeight="1" x14ac:dyDescent="0.25">
      <c r="A147" s="42"/>
      <c r="C147" s="34" t="s">
        <v>335</v>
      </c>
    </row>
    <row r="148" spans="1:3" ht="13.5" customHeight="1" x14ac:dyDescent="0.25">
      <c r="A148" s="42"/>
      <c r="C148" s="34"/>
    </row>
    <row r="149" spans="1:3" ht="13.5" customHeight="1" x14ac:dyDescent="0.25">
      <c r="A149" s="42"/>
      <c r="C149" s="34" t="s">
        <v>336</v>
      </c>
    </row>
    <row r="150" spans="1:3" ht="13.5" customHeight="1" x14ac:dyDescent="0.25">
      <c r="A150" s="42"/>
      <c r="C150" s="34"/>
    </row>
    <row r="151" spans="1:3" ht="13.5" customHeight="1" x14ac:dyDescent="0.25">
      <c r="A151" s="42"/>
      <c r="C151" s="34" t="s">
        <v>337</v>
      </c>
    </row>
    <row r="152" spans="1:3" ht="13.5" customHeight="1" x14ac:dyDescent="0.25">
      <c r="A152" s="42"/>
      <c r="C152" s="34"/>
    </row>
    <row r="153" spans="1:3" ht="13.5" customHeight="1" x14ac:dyDescent="0.25">
      <c r="A153" s="42"/>
      <c r="C153" s="34" t="s">
        <v>338</v>
      </c>
    </row>
    <row r="154" spans="1:3" ht="13.5" customHeight="1" x14ac:dyDescent="0.25">
      <c r="A154" s="42"/>
      <c r="C154" s="34"/>
    </row>
    <row r="155" spans="1:3" ht="13.5" customHeight="1" x14ac:dyDescent="0.25">
      <c r="A155" s="42"/>
      <c r="C155" s="34" t="s">
        <v>339</v>
      </c>
    </row>
    <row r="156" spans="1:3" ht="13.5" customHeight="1" x14ac:dyDescent="0.25">
      <c r="A156" s="42"/>
      <c r="C156" s="34"/>
    </row>
    <row r="157" spans="1:3" ht="13.5" customHeight="1" x14ac:dyDescent="0.25">
      <c r="A157" s="42"/>
      <c r="C157" s="34" t="s">
        <v>340</v>
      </c>
    </row>
    <row r="158" spans="1:3" ht="13.5" customHeight="1" x14ac:dyDescent="0.25">
      <c r="A158" s="42"/>
      <c r="C158" s="34"/>
    </row>
    <row r="159" spans="1:3" ht="13.5" customHeight="1" x14ac:dyDescent="0.25">
      <c r="A159" s="42">
        <v>44176</v>
      </c>
      <c r="C159" s="34" t="s">
        <v>341</v>
      </c>
    </row>
    <row r="160" spans="1:3" ht="13.5" customHeight="1" x14ac:dyDescent="0.25">
      <c r="A160" s="42"/>
      <c r="C160" s="34"/>
    </row>
    <row r="161" spans="1:3" ht="13.5" customHeight="1" x14ac:dyDescent="0.25">
      <c r="A161" s="42"/>
      <c r="C161" s="34" t="s">
        <v>342</v>
      </c>
    </row>
    <row r="162" spans="1:3" ht="13.5" customHeight="1" x14ac:dyDescent="0.25">
      <c r="A162" s="42"/>
      <c r="C162" s="34"/>
    </row>
    <row r="163" spans="1:3" ht="13.5" customHeight="1" x14ac:dyDescent="0.25">
      <c r="A163" s="42"/>
      <c r="C163" s="34" t="s">
        <v>343</v>
      </c>
    </row>
    <row r="164" spans="1:3" ht="13.5" customHeight="1" x14ac:dyDescent="0.25">
      <c r="A164" s="42"/>
      <c r="C164" s="34" t="s">
        <v>344</v>
      </c>
    </row>
    <row r="165" spans="1:3" ht="13.5" customHeight="1" x14ac:dyDescent="0.25">
      <c r="A165" s="42"/>
      <c r="C165" s="34"/>
    </row>
    <row r="166" spans="1:3" ht="13.5" customHeight="1" x14ac:dyDescent="0.25">
      <c r="A166" s="42"/>
      <c r="C166" s="34" t="s">
        <v>345</v>
      </c>
    </row>
    <row r="167" spans="1:3" ht="13.5" customHeight="1" x14ac:dyDescent="0.25">
      <c r="A167" s="42"/>
      <c r="C167" s="34"/>
    </row>
    <row r="168" spans="1:3" ht="13.5" customHeight="1" x14ac:dyDescent="0.25">
      <c r="A168" s="42"/>
      <c r="C168" s="34" t="s">
        <v>346</v>
      </c>
    </row>
    <row r="169" spans="1:3" ht="13.5" customHeight="1" x14ac:dyDescent="0.25">
      <c r="A169" s="42"/>
      <c r="C169" s="34"/>
    </row>
    <row r="170" spans="1:3" ht="13.5" customHeight="1" x14ac:dyDescent="0.25">
      <c r="A170" s="42"/>
      <c r="C170" s="34" t="s">
        <v>347</v>
      </c>
    </row>
    <row r="171" spans="1:3" ht="13.5" customHeight="1" x14ac:dyDescent="0.25">
      <c r="A171" s="42"/>
      <c r="C171" s="34"/>
    </row>
    <row r="172" spans="1:3" ht="13.5" customHeight="1" x14ac:dyDescent="0.25">
      <c r="A172" s="42"/>
      <c r="C172" s="34" t="s">
        <v>348</v>
      </c>
    </row>
    <row r="173" spans="1:3" ht="13.5" customHeight="1" x14ac:dyDescent="0.25">
      <c r="A173" s="42"/>
      <c r="C173" s="34"/>
    </row>
    <row r="174" spans="1:3" ht="13.5" customHeight="1" x14ac:dyDescent="0.25">
      <c r="A174" s="42"/>
      <c r="C174" s="34" t="s">
        <v>349</v>
      </c>
    </row>
    <row r="175" spans="1:3" ht="13.5" customHeight="1" x14ac:dyDescent="0.25"/>
    <row r="176" spans="1:3" ht="13.5" customHeight="1" x14ac:dyDescent="0.25">
      <c r="A176" s="42">
        <v>44183</v>
      </c>
      <c r="C176" s="34" t="s">
        <v>350</v>
      </c>
    </row>
    <row r="177" spans="1:3" ht="13.5" customHeight="1" x14ac:dyDescent="0.25">
      <c r="A177" s="42"/>
      <c r="C177" s="34"/>
    </row>
    <row r="178" spans="1:3" ht="13.5" customHeight="1" x14ac:dyDescent="0.25">
      <c r="A178" s="42"/>
      <c r="C178" s="34" t="s">
        <v>351</v>
      </c>
    </row>
    <row r="179" spans="1:3" ht="13.5" customHeight="1" x14ac:dyDescent="0.25">
      <c r="A179" s="42"/>
      <c r="C179" s="34"/>
    </row>
    <row r="180" spans="1:3" ht="13.5" customHeight="1" x14ac:dyDescent="0.25">
      <c r="A180" s="42"/>
      <c r="C180" s="34" t="s">
        <v>352</v>
      </c>
    </row>
    <row r="181" spans="1:3" ht="13.5" customHeight="1" x14ac:dyDescent="0.25">
      <c r="A181" s="42"/>
      <c r="C181" s="34"/>
    </row>
    <row r="182" spans="1:3" ht="13.5" customHeight="1" x14ac:dyDescent="0.25">
      <c r="A182" s="42"/>
      <c r="C182" s="34" t="s">
        <v>353</v>
      </c>
    </row>
    <row r="183" spans="1:3" ht="13.5" customHeight="1" x14ac:dyDescent="0.25">
      <c r="A183" s="42"/>
      <c r="C183" s="34"/>
    </row>
    <row r="184" spans="1:3" ht="13.5" customHeight="1" x14ac:dyDescent="0.25">
      <c r="A184" s="42"/>
      <c r="C184" s="34" t="s">
        <v>354</v>
      </c>
    </row>
    <row r="185" spans="1:3" ht="13.5" customHeight="1" x14ac:dyDescent="0.25">
      <c r="A185" s="42"/>
      <c r="C185" s="34"/>
    </row>
    <row r="186" spans="1:3" ht="13.5" customHeight="1" x14ac:dyDescent="0.25">
      <c r="C186" s="27" t="s">
        <v>355</v>
      </c>
    </row>
    <row r="188" spans="1:3" ht="13.5" customHeight="1" x14ac:dyDescent="0.25">
      <c r="A188" s="42">
        <v>44201</v>
      </c>
      <c r="C188" s="36" t="s">
        <v>356</v>
      </c>
    </row>
    <row r="189" spans="1:3" ht="13.5" customHeight="1" x14ac:dyDescent="0.25">
      <c r="A189" s="42"/>
      <c r="C189" s="36"/>
    </row>
    <row r="190" spans="1:3" ht="13.5" customHeight="1" x14ac:dyDescent="0.25">
      <c r="C190" s="36" t="s">
        <v>357</v>
      </c>
    </row>
    <row r="192" spans="1:3" ht="13.5" customHeight="1" x14ac:dyDescent="0.25">
      <c r="A192" s="42">
        <v>44203</v>
      </c>
      <c r="C192" s="36" t="s">
        <v>358</v>
      </c>
    </row>
    <row r="193" spans="3:3" ht="13.5" customHeight="1" x14ac:dyDescent="0.25">
      <c r="C193" s="36"/>
    </row>
    <row r="194" spans="3:3" ht="13.5" customHeight="1" x14ac:dyDescent="0.25">
      <c r="C194" s="36" t="s">
        <v>359</v>
      </c>
    </row>
    <row r="195" spans="3:3" ht="13.5" customHeight="1" x14ac:dyDescent="0.25">
      <c r="C195" s="36" t="s">
        <v>360</v>
      </c>
    </row>
    <row r="196" spans="3:3" ht="13.5" customHeight="1" x14ac:dyDescent="0.25">
      <c r="C196" s="36"/>
    </row>
    <row r="197" spans="3:3" ht="13.5" customHeight="1" x14ac:dyDescent="0.25">
      <c r="C197" s="36" t="s">
        <v>361</v>
      </c>
    </row>
    <row r="198" spans="3:3" ht="13.5" customHeight="1" x14ac:dyDescent="0.25">
      <c r="C198" s="36"/>
    </row>
    <row r="199" spans="3:3" ht="13.5" customHeight="1" x14ac:dyDescent="0.25">
      <c r="C199" s="36" t="s">
        <v>362</v>
      </c>
    </row>
    <row r="200" spans="3:3" ht="13.5" customHeight="1" x14ac:dyDescent="0.25">
      <c r="C200" s="36"/>
    </row>
    <row r="201" spans="3:3" ht="13.5" customHeight="1" x14ac:dyDescent="0.25">
      <c r="C201" s="36" t="s">
        <v>363</v>
      </c>
    </row>
    <row r="202" spans="3:3" ht="13.5" customHeight="1" x14ac:dyDescent="0.25">
      <c r="C202" s="36"/>
    </row>
    <row r="203" spans="3:3" ht="13.5" customHeight="1" x14ac:dyDescent="0.25">
      <c r="C203" s="36" t="s">
        <v>364</v>
      </c>
    </row>
    <row r="204" spans="3:3" ht="13.5" customHeight="1" x14ac:dyDescent="0.25">
      <c r="C204" s="36"/>
    </row>
    <row r="205" spans="3:3" ht="13.5" customHeight="1" x14ac:dyDescent="0.25">
      <c r="C205" s="36" t="s">
        <v>365</v>
      </c>
    </row>
    <row r="206" spans="3:3" ht="13.5" customHeight="1" x14ac:dyDescent="0.25">
      <c r="C206" s="36"/>
    </row>
    <row r="207" spans="3:3" ht="13.5" customHeight="1" x14ac:dyDescent="0.25">
      <c r="C207" s="36" t="s">
        <v>366</v>
      </c>
    </row>
    <row r="208" spans="3:3" ht="13.5" customHeight="1" x14ac:dyDescent="0.25">
      <c r="C208" s="36"/>
    </row>
    <row r="209" spans="3:3" ht="13.5" customHeight="1" x14ac:dyDescent="0.25">
      <c r="C209" s="36" t="s">
        <v>367</v>
      </c>
    </row>
    <row r="210" spans="3:3" ht="13.5" customHeight="1" x14ac:dyDescent="0.25">
      <c r="C210" s="36"/>
    </row>
    <row r="211" spans="3:3" ht="13.5" customHeight="1" x14ac:dyDescent="0.25">
      <c r="C211" s="36" t="s">
        <v>368</v>
      </c>
    </row>
    <row r="212" spans="3:3" ht="13.5" customHeight="1" x14ac:dyDescent="0.25">
      <c r="C212" s="36"/>
    </row>
    <row r="213" spans="3:3" ht="13.5" customHeight="1" x14ac:dyDescent="0.25">
      <c r="C213" s="36" t="s">
        <v>369</v>
      </c>
    </row>
    <row r="214" spans="3:3" ht="13.5" customHeight="1" x14ac:dyDescent="0.25">
      <c r="C214" s="36"/>
    </row>
    <row r="215" spans="3:3" ht="13.5" customHeight="1" x14ac:dyDescent="0.25">
      <c r="C215" s="36" t="s">
        <v>370</v>
      </c>
    </row>
    <row r="216" spans="3:3" ht="13.5" customHeight="1" x14ac:dyDescent="0.25">
      <c r="C216" s="36"/>
    </row>
    <row r="217" spans="3:3" ht="13.5" customHeight="1" x14ac:dyDescent="0.25">
      <c r="C217" s="36" t="s">
        <v>371</v>
      </c>
    </row>
    <row r="218" spans="3:3" ht="13.5" customHeight="1" x14ac:dyDescent="0.25">
      <c r="C218" s="36"/>
    </row>
    <row r="219" spans="3:3" ht="13.5" customHeight="1" x14ac:dyDescent="0.25">
      <c r="C219" s="36" t="s">
        <v>372</v>
      </c>
    </row>
    <row r="220" spans="3:3" ht="13.5" customHeight="1" x14ac:dyDescent="0.25">
      <c r="C220" s="36"/>
    </row>
    <row r="221" spans="3:3" ht="13.5" customHeight="1" x14ac:dyDescent="0.25">
      <c r="C221" s="36" t="s">
        <v>373</v>
      </c>
    </row>
    <row r="222" spans="3:3" ht="13.5" customHeight="1" x14ac:dyDescent="0.25">
      <c r="C222" s="36"/>
    </row>
    <row r="223" spans="3:3" ht="13.5" customHeight="1" x14ac:dyDescent="0.25">
      <c r="C223" s="36" t="s">
        <v>374</v>
      </c>
    </row>
    <row r="224" spans="3:3" ht="13.5" customHeight="1" x14ac:dyDescent="0.25">
      <c r="C224" s="36"/>
    </row>
    <row r="225" spans="1:3" ht="13.5" customHeight="1" x14ac:dyDescent="0.25">
      <c r="C225" s="36" t="s">
        <v>375</v>
      </c>
    </row>
    <row r="226" spans="1:3" ht="13.5" customHeight="1" x14ac:dyDescent="0.25">
      <c r="C226" s="36"/>
    </row>
    <row r="227" spans="1:3" ht="13.5" customHeight="1" x14ac:dyDescent="0.25">
      <c r="A227" s="42">
        <v>44203</v>
      </c>
      <c r="C227" s="36" t="s">
        <v>376</v>
      </c>
    </row>
    <row r="228" spans="1:3" ht="13.5" customHeight="1" x14ac:dyDescent="0.25">
      <c r="C228" s="36"/>
    </row>
    <row r="229" spans="1:3" ht="13.5" customHeight="1" x14ac:dyDescent="0.25">
      <c r="C229" s="43" t="s">
        <v>377</v>
      </c>
    </row>
    <row r="230" spans="1:3" ht="13.5" customHeight="1" x14ac:dyDescent="0.25">
      <c r="C230" s="36"/>
    </row>
    <row r="231" spans="1:3" ht="13.5" customHeight="1" x14ac:dyDescent="0.25">
      <c r="C231" s="44" t="s">
        <v>378</v>
      </c>
    </row>
    <row r="232" spans="1:3" ht="13.5" customHeight="1" x14ac:dyDescent="0.25">
      <c r="C232" s="44" t="s">
        <v>379</v>
      </c>
    </row>
    <row r="233" spans="1:3" ht="13.5" customHeight="1" x14ac:dyDescent="0.25">
      <c r="C233" s="36"/>
    </row>
    <row r="234" spans="1:3" ht="13.5" customHeight="1" x14ac:dyDescent="0.25">
      <c r="C234" s="44" t="s">
        <v>380</v>
      </c>
    </row>
    <row r="235" spans="1:3" ht="13.5" customHeight="1" x14ac:dyDescent="0.25">
      <c r="C235" s="36"/>
    </row>
    <row r="236" spans="1:3" ht="13.5" customHeight="1" x14ac:dyDescent="0.25">
      <c r="C236" s="44" t="s">
        <v>381</v>
      </c>
    </row>
    <row r="237" spans="1:3" ht="13.5" customHeight="1" x14ac:dyDescent="0.25">
      <c r="C237" s="36"/>
    </row>
    <row r="238" spans="1:3" ht="13.5" customHeight="1" x14ac:dyDescent="0.25">
      <c r="C238" s="44" t="s">
        <v>382</v>
      </c>
    </row>
    <row r="239" spans="1:3" ht="13.5" customHeight="1" x14ac:dyDescent="0.25">
      <c r="C239" s="36"/>
    </row>
    <row r="240" spans="1:3" ht="13.5" customHeight="1" x14ac:dyDescent="0.25">
      <c r="C240" s="44" t="s">
        <v>383</v>
      </c>
    </row>
    <row r="241" spans="1:3" ht="13.5" customHeight="1" x14ac:dyDescent="0.25">
      <c r="C241" s="36"/>
    </row>
    <row r="242" spans="1:3" ht="13.5" customHeight="1" x14ac:dyDescent="0.25">
      <c r="C242" s="44" t="s">
        <v>384</v>
      </c>
    </row>
    <row r="243" spans="1:3" ht="13.5" customHeight="1" x14ac:dyDescent="0.25">
      <c r="C243" s="36"/>
    </row>
    <row r="244" spans="1:3" ht="13.5" customHeight="1" x14ac:dyDescent="0.25">
      <c r="A244" s="42">
        <v>44228</v>
      </c>
      <c r="C244" s="36" t="s">
        <v>385</v>
      </c>
    </row>
    <row r="245" spans="1:3" ht="13.5" customHeight="1" x14ac:dyDescent="0.25">
      <c r="A245" s="45">
        <v>0.49305555555555558</v>
      </c>
      <c r="C245" s="36"/>
    </row>
    <row r="246" spans="1:3" ht="13.5" customHeight="1" x14ac:dyDescent="0.25">
      <c r="A246" s="42"/>
      <c r="C246" s="36" t="s">
        <v>201</v>
      </c>
    </row>
    <row r="247" spans="1:3" ht="13.5" customHeight="1" x14ac:dyDescent="0.25">
      <c r="A247" s="42"/>
      <c r="C247" s="36"/>
    </row>
    <row r="248" spans="1:3" ht="13.5" customHeight="1" x14ac:dyDescent="0.25">
      <c r="A248" s="42"/>
      <c r="C248" s="36" t="s">
        <v>202</v>
      </c>
    </row>
    <row r="249" spans="1:3" ht="13.5" customHeight="1" x14ac:dyDescent="0.25">
      <c r="A249" s="42"/>
      <c r="C249" s="36"/>
    </row>
    <row r="250" spans="1:3" ht="13.5" customHeight="1" x14ac:dyDescent="0.25">
      <c r="A250" s="42"/>
      <c r="C250" s="36" t="s">
        <v>210</v>
      </c>
    </row>
    <row r="251" spans="1:3" ht="13.5" customHeight="1" x14ac:dyDescent="0.25">
      <c r="A251" s="42"/>
      <c r="C251" s="36"/>
    </row>
    <row r="252" spans="1:3" ht="13.5" customHeight="1" x14ac:dyDescent="0.25">
      <c r="A252" s="42"/>
      <c r="C252" s="36" t="s">
        <v>203</v>
      </c>
    </row>
    <row r="253" spans="1:3" ht="13.5" customHeight="1" x14ac:dyDescent="0.25">
      <c r="A253" s="42"/>
      <c r="C253" s="36"/>
    </row>
    <row r="254" spans="1:3" ht="13.5" customHeight="1" x14ac:dyDescent="0.25">
      <c r="A254" s="42"/>
      <c r="C254" s="36" t="s">
        <v>204</v>
      </c>
    </row>
    <row r="255" spans="1:3" ht="13.5" customHeight="1" x14ac:dyDescent="0.25">
      <c r="A255" s="42"/>
      <c r="C255" s="36"/>
    </row>
    <row r="256" spans="1:3" ht="13.5" customHeight="1" x14ac:dyDescent="0.25">
      <c r="A256" s="42">
        <v>44228</v>
      </c>
      <c r="C256" s="36" t="s">
        <v>385</v>
      </c>
    </row>
    <row r="257" spans="1:3" ht="13.5" customHeight="1" x14ac:dyDescent="0.25">
      <c r="A257" s="45">
        <v>0.60972222222222217</v>
      </c>
      <c r="C257" s="36"/>
    </row>
    <row r="258" spans="1:3" ht="13.5" customHeight="1" x14ac:dyDescent="0.25">
      <c r="A258" s="42"/>
      <c r="C258" s="36" t="s">
        <v>205</v>
      </c>
    </row>
    <row r="259" spans="1:3" ht="13.5" customHeight="1" x14ac:dyDescent="0.25">
      <c r="A259" s="42"/>
      <c r="C259" s="36"/>
    </row>
    <row r="260" spans="1:3" ht="13.5" customHeight="1" x14ac:dyDescent="0.25">
      <c r="A260" s="42"/>
      <c r="C260" s="36" t="s">
        <v>206</v>
      </c>
    </row>
    <row r="261" spans="1:3" ht="13.5" customHeight="1" x14ac:dyDescent="0.25">
      <c r="A261" s="42"/>
      <c r="C261" s="36"/>
    </row>
    <row r="262" spans="1:3" ht="13.5" customHeight="1" x14ac:dyDescent="0.25">
      <c r="A262" s="42"/>
      <c r="C262" s="36" t="s">
        <v>207</v>
      </c>
    </row>
    <row r="263" spans="1:3" ht="13.5" customHeight="1" x14ac:dyDescent="0.25">
      <c r="A263" s="42"/>
      <c r="C263" s="36"/>
    </row>
    <row r="264" spans="1:3" ht="13.5" customHeight="1" x14ac:dyDescent="0.25">
      <c r="A264" s="42"/>
      <c r="C264" s="36" t="s">
        <v>208</v>
      </c>
    </row>
    <row r="265" spans="1:3" ht="13.5" customHeight="1" x14ac:dyDescent="0.25">
      <c r="A265" s="42"/>
      <c r="C265" s="36"/>
    </row>
    <row r="266" spans="1:3" ht="13.5" customHeight="1" x14ac:dyDescent="0.25">
      <c r="A266" s="42"/>
      <c r="C266" s="36" t="s">
        <v>209</v>
      </c>
    </row>
    <row r="267" spans="1:3" ht="13.5" customHeight="1" x14ac:dyDescent="0.25">
      <c r="A267" s="42"/>
      <c r="C267" s="36"/>
    </row>
    <row r="268" spans="1:3" ht="13.5" customHeight="1" x14ac:dyDescent="0.25">
      <c r="A268" s="42">
        <v>44228</v>
      </c>
      <c r="C268" s="36" t="s">
        <v>386</v>
      </c>
    </row>
    <row r="269" spans="1:3" ht="13.5" customHeight="1" x14ac:dyDescent="0.25">
      <c r="A269" s="42"/>
      <c r="C269" s="36"/>
    </row>
    <row r="270" spans="1:3" ht="13.5" customHeight="1" x14ac:dyDescent="0.25">
      <c r="A270" s="42"/>
      <c r="C270" s="36" t="s">
        <v>211</v>
      </c>
    </row>
    <row r="271" spans="1:3" ht="13.5" customHeight="1" x14ac:dyDescent="0.25">
      <c r="A271" s="42"/>
      <c r="C271" s="36"/>
    </row>
    <row r="272" spans="1:3" ht="13.5" customHeight="1" x14ac:dyDescent="0.25">
      <c r="A272" s="42">
        <v>44228</v>
      </c>
      <c r="C272" s="36" t="s">
        <v>387</v>
      </c>
    </row>
    <row r="273" spans="1:3" ht="13.5" customHeight="1" x14ac:dyDescent="0.25">
      <c r="A273" s="42"/>
      <c r="C273" s="36"/>
    </row>
    <row r="274" spans="1:3" ht="13.5" customHeight="1" x14ac:dyDescent="0.25">
      <c r="A274" s="42"/>
      <c r="C274" s="36" t="s">
        <v>212</v>
      </c>
    </row>
    <row r="275" spans="1:3" ht="13.5" customHeight="1" x14ac:dyDescent="0.25">
      <c r="A275" s="42"/>
      <c r="C275" s="36"/>
    </row>
    <row r="276" spans="1:3" ht="13.5" customHeight="1" x14ac:dyDescent="0.25">
      <c r="A276" s="42"/>
      <c r="C276" s="36" t="s">
        <v>213</v>
      </c>
    </row>
    <row r="277" spans="1:3" ht="13.5" customHeight="1" x14ac:dyDescent="0.25">
      <c r="A277" s="42"/>
      <c r="C277" s="36"/>
    </row>
    <row r="278" spans="1:3" ht="13.5" customHeight="1" x14ac:dyDescent="0.25">
      <c r="A278" s="42"/>
      <c r="C278" s="36" t="s">
        <v>216</v>
      </c>
    </row>
    <row r="279" spans="1:3" ht="13.5" customHeight="1" x14ac:dyDescent="0.25">
      <c r="A279" s="42"/>
      <c r="C279" s="36"/>
    </row>
    <row r="280" spans="1:3" ht="13.5" customHeight="1" x14ac:dyDescent="0.25">
      <c r="A280" s="42"/>
      <c r="C280" s="36" t="s">
        <v>214</v>
      </c>
    </row>
    <row r="281" spans="1:3" ht="13.5" customHeight="1" x14ac:dyDescent="0.25">
      <c r="A281" s="42"/>
      <c r="C281" s="36"/>
    </row>
    <row r="282" spans="1:3" ht="13.5" customHeight="1" x14ac:dyDescent="0.25">
      <c r="A282" s="42"/>
      <c r="C282" s="36" t="s">
        <v>215</v>
      </c>
    </row>
    <row r="283" spans="1:3" ht="13.5" customHeight="1" x14ac:dyDescent="0.25">
      <c r="C283" s="36"/>
    </row>
    <row r="284" spans="1:3" ht="13.5" customHeight="1" x14ac:dyDescent="0.25">
      <c r="A284" s="42">
        <v>44229</v>
      </c>
      <c r="C284" s="27" t="s">
        <v>388</v>
      </c>
    </row>
    <row r="286" spans="1:3" ht="13.5" customHeight="1" x14ac:dyDescent="0.25">
      <c r="C286" s="27" t="s">
        <v>218</v>
      </c>
    </row>
    <row r="288" spans="1:3" ht="13.5" customHeight="1" x14ac:dyDescent="0.25">
      <c r="C288" s="27" t="s">
        <v>219</v>
      </c>
    </row>
    <row r="290" spans="1:3" ht="13.5" customHeight="1" x14ac:dyDescent="0.25">
      <c r="C290" s="27" t="s">
        <v>217</v>
      </c>
    </row>
    <row r="292" spans="1:3" ht="13.5" customHeight="1" x14ac:dyDescent="0.25">
      <c r="C292" s="27" t="s">
        <v>199</v>
      </c>
    </row>
    <row r="294" spans="1:3" ht="13.5" customHeight="1" x14ac:dyDescent="0.25">
      <c r="C294" s="27" t="s">
        <v>220</v>
      </c>
    </row>
    <row r="296" spans="1:3" ht="13.5" customHeight="1" x14ac:dyDescent="0.25">
      <c r="C296" s="27" t="s">
        <v>221</v>
      </c>
    </row>
    <row r="298" spans="1:3" ht="13.5" customHeight="1" x14ac:dyDescent="0.25">
      <c r="C298" s="27" t="s">
        <v>200</v>
      </c>
    </row>
    <row r="300" spans="1:3" ht="13.5" customHeight="1" x14ac:dyDescent="0.25">
      <c r="A300" s="42">
        <v>44229</v>
      </c>
      <c r="C300" s="27" t="s">
        <v>389</v>
      </c>
    </row>
    <row r="302" spans="1:3" ht="13.5" customHeight="1" x14ac:dyDescent="0.25">
      <c r="C302" s="27" t="s">
        <v>222</v>
      </c>
    </row>
    <row r="304" spans="1:3" ht="13.5" customHeight="1" x14ac:dyDescent="0.25">
      <c r="A304" s="42">
        <v>44229</v>
      </c>
      <c r="C304" s="27" t="s">
        <v>390</v>
      </c>
    </row>
    <row r="306" spans="1:3" ht="13.5" customHeight="1" x14ac:dyDescent="0.25">
      <c r="C306" s="27" t="s">
        <v>223</v>
      </c>
    </row>
    <row r="308" spans="1:3" ht="13.5" customHeight="1" x14ac:dyDescent="0.25">
      <c r="A308" s="42">
        <v>44230</v>
      </c>
      <c r="C308" s="27" t="s">
        <v>391</v>
      </c>
    </row>
    <row r="310" spans="1:3" ht="13.5" customHeight="1" x14ac:dyDescent="0.25">
      <c r="C310" s="27" t="s">
        <v>224</v>
      </c>
    </row>
    <row r="312" spans="1:3" ht="13.5" customHeight="1" x14ac:dyDescent="0.25">
      <c r="A312" s="42">
        <v>44232</v>
      </c>
      <c r="C312" s="27" t="s">
        <v>392</v>
      </c>
    </row>
    <row r="314" spans="1:3" ht="13.5" customHeight="1" x14ac:dyDescent="0.25">
      <c r="C314" s="27" t="s">
        <v>225</v>
      </c>
    </row>
    <row r="316" spans="1:3" ht="13.5" customHeight="1" x14ac:dyDescent="0.25">
      <c r="A316" s="42">
        <v>44236</v>
      </c>
      <c r="C316" s="27" t="s">
        <v>390</v>
      </c>
    </row>
    <row r="318" spans="1:3" ht="13.5" customHeight="1" x14ac:dyDescent="0.25">
      <c r="C318" s="27" t="s">
        <v>226</v>
      </c>
    </row>
    <row r="320" spans="1:3" ht="13.5" customHeight="1" x14ac:dyDescent="0.25">
      <c r="C320" s="27" t="s">
        <v>227</v>
      </c>
    </row>
    <row r="322" spans="1:3" ht="13.5" customHeight="1" x14ac:dyDescent="0.25">
      <c r="C322" s="27" t="s">
        <v>228</v>
      </c>
    </row>
    <row r="324" spans="1:3" ht="13.5" customHeight="1" x14ac:dyDescent="0.25">
      <c r="C324" s="27" t="s">
        <v>229</v>
      </c>
    </row>
    <row r="326" spans="1:3" ht="13.5" customHeight="1" x14ac:dyDescent="0.25">
      <c r="A326" s="42">
        <v>44237</v>
      </c>
      <c r="C326" s="27" t="s">
        <v>389</v>
      </c>
    </row>
    <row r="328" spans="1:3" ht="13.5" customHeight="1" x14ac:dyDescent="0.25">
      <c r="C328" s="27" t="s">
        <v>232</v>
      </c>
    </row>
    <row r="330" spans="1:3" ht="13.5" customHeight="1" x14ac:dyDescent="0.25">
      <c r="C330" s="27" t="s">
        <v>230</v>
      </c>
    </row>
    <row r="332" spans="1:3" ht="13.5" customHeight="1" x14ac:dyDescent="0.25">
      <c r="C332" s="27" t="s">
        <v>231</v>
      </c>
    </row>
    <row r="334" spans="1:3" ht="13.5" customHeight="1" x14ac:dyDescent="0.25">
      <c r="C334" s="27" t="s">
        <v>233</v>
      </c>
    </row>
    <row r="336" spans="1:3" ht="13.5" customHeight="1" x14ac:dyDescent="0.25">
      <c r="C336" s="27" t="s">
        <v>234</v>
      </c>
    </row>
    <row r="338" spans="1:3" ht="13.5" customHeight="1" x14ac:dyDescent="0.25">
      <c r="A338" s="42">
        <v>44238</v>
      </c>
      <c r="C338" s="27" t="s">
        <v>386</v>
      </c>
    </row>
    <row r="340" spans="1:3" ht="13.5" customHeight="1" x14ac:dyDescent="0.25">
      <c r="C340" s="27" t="s">
        <v>235</v>
      </c>
    </row>
    <row r="342" spans="1:3" ht="13.5" customHeight="1" x14ac:dyDescent="0.25">
      <c r="C342" s="27" t="s">
        <v>236</v>
      </c>
    </row>
    <row r="344" spans="1:3" ht="13.5" customHeight="1" x14ac:dyDescent="0.25">
      <c r="C344" s="27" t="s">
        <v>237</v>
      </c>
    </row>
    <row r="346" spans="1:3" ht="13.5" customHeight="1" x14ac:dyDescent="0.25">
      <c r="C346" s="27" t="s">
        <v>238</v>
      </c>
    </row>
    <row r="348" spans="1:3" ht="13.5" customHeight="1" x14ac:dyDescent="0.25">
      <c r="C348" s="27" t="s">
        <v>239</v>
      </c>
    </row>
    <row r="350" spans="1:3" ht="13.5" customHeight="1" x14ac:dyDescent="0.25">
      <c r="A350" s="42">
        <v>44251</v>
      </c>
      <c r="C350" s="27" t="s">
        <v>393</v>
      </c>
    </row>
    <row r="352" spans="1:3" ht="13.5" customHeight="1" x14ac:dyDescent="0.25">
      <c r="C352" s="27" t="s">
        <v>240</v>
      </c>
    </row>
    <row r="354" spans="1:3" ht="13.5" customHeight="1" x14ac:dyDescent="0.25">
      <c r="C354" s="27" t="s">
        <v>241</v>
      </c>
    </row>
    <row r="356" spans="1:3" ht="13.5" customHeight="1" x14ac:dyDescent="0.25">
      <c r="C356" s="27" t="s">
        <v>242</v>
      </c>
    </row>
    <row r="358" spans="1:3" ht="13.5" customHeight="1" x14ac:dyDescent="0.25">
      <c r="C358" s="27" t="s">
        <v>243</v>
      </c>
    </row>
    <row r="360" spans="1:3" ht="13.5" customHeight="1" x14ac:dyDescent="0.25">
      <c r="A360" s="42">
        <v>44253</v>
      </c>
      <c r="C360" s="27" t="s">
        <v>392</v>
      </c>
    </row>
    <row r="362" spans="1:3" ht="13.5" customHeight="1" x14ac:dyDescent="0.25">
      <c r="C362" s="27" t="s">
        <v>244</v>
      </c>
    </row>
    <row r="364" spans="1:3" ht="13.5" customHeight="1" x14ac:dyDescent="0.25">
      <c r="C364" s="27" t="s">
        <v>251</v>
      </c>
    </row>
    <row r="366" spans="1:3" ht="13.5" customHeight="1" x14ac:dyDescent="0.25">
      <c r="C366" s="27" t="s">
        <v>245</v>
      </c>
    </row>
    <row r="368" spans="1:3" ht="13.5" customHeight="1" x14ac:dyDescent="0.25">
      <c r="C368" s="27" t="s">
        <v>246</v>
      </c>
    </row>
    <row r="370" spans="1:3" ht="13.5" customHeight="1" x14ac:dyDescent="0.25">
      <c r="C370" s="27" t="s">
        <v>252</v>
      </c>
    </row>
    <row r="372" spans="1:3" ht="13.5" customHeight="1" x14ac:dyDescent="0.25">
      <c r="C372" s="27" t="s">
        <v>247</v>
      </c>
    </row>
    <row r="374" spans="1:3" ht="13.5" customHeight="1" x14ac:dyDescent="0.25">
      <c r="C374" s="27" t="s">
        <v>248</v>
      </c>
    </row>
    <row r="376" spans="1:3" ht="13.5" customHeight="1" x14ac:dyDescent="0.25">
      <c r="C376" s="27" t="s">
        <v>249</v>
      </c>
    </row>
    <row r="378" spans="1:3" ht="13.5" customHeight="1" x14ac:dyDescent="0.25">
      <c r="C378" s="27" t="s">
        <v>250</v>
      </c>
    </row>
    <row r="380" spans="1:3" ht="13.5" customHeight="1" x14ac:dyDescent="0.25">
      <c r="A380" s="42">
        <v>44365</v>
      </c>
      <c r="C380" s="27" t="s">
        <v>291</v>
      </c>
    </row>
    <row r="382" spans="1:3" ht="13.5" customHeight="1" x14ac:dyDescent="0.25">
      <c r="C382" s="27" t="s">
        <v>253</v>
      </c>
    </row>
    <row r="384" spans="1:3" ht="13.5" customHeight="1" x14ac:dyDescent="0.25">
      <c r="C384" s="27" t="s">
        <v>254</v>
      </c>
    </row>
    <row r="386" spans="3:3" ht="13.5" customHeight="1" x14ac:dyDescent="0.25">
      <c r="C386" s="27" t="s">
        <v>255</v>
      </c>
    </row>
    <row r="388" spans="3:3" ht="13.5" customHeight="1" x14ac:dyDescent="0.25">
      <c r="C388" s="27" t="s">
        <v>256</v>
      </c>
    </row>
    <row r="390" spans="3:3" ht="13.5" customHeight="1" x14ac:dyDescent="0.25">
      <c r="C390" s="27" t="s">
        <v>257</v>
      </c>
    </row>
    <row r="392" spans="3:3" ht="13.5" customHeight="1" x14ac:dyDescent="0.25">
      <c r="C392" s="27" t="s">
        <v>261</v>
      </c>
    </row>
    <row r="394" spans="3:3" ht="13.5" customHeight="1" x14ac:dyDescent="0.25">
      <c r="C394" s="27" t="s">
        <v>258</v>
      </c>
    </row>
    <row r="396" spans="3:3" ht="13.5" customHeight="1" x14ac:dyDescent="0.25">
      <c r="C396" s="27" t="s">
        <v>259</v>
      </c>
    </row>
    <row r="398" spans="3:3" ht="13.5" customHeight="1" x14ac:dyDescent="0.25">
      <c r="C398" s="27" t="s">
        <v>260</v>
      </c>
    </row>
    <row r="400" spans="3:3" ht="13.5" customHeight="1" x14ac:dyDescent="0.25">
      <c r="C400" s="27" t="s">
        <v>262</v>
      </c>
    </row>
    <row r="402" spans="1:1" ht="13.5" customHeight="1" x14ac:dyDescent="0.25">
      <c r="A402" s="42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5EF6-9245-4919-A45B-A413F1263EDA}">
  <sheetPr>
    <pageSetUpPr fitToPage="1"/>
  </sheetPr>
  <dimension ref="A1:D22"/>
  <sheetViews>
    <sheetView zoomScaleNormal="100" zoomScaleSheetLayoutView="100" workbookViewId="0">
      <selection activeCell="B32" sqref="B32"/>
    </sheetView>
  </sheetViews>
  <sheetFormatPr defaultRowHeight="13.2" x14ac:dyDescent="0.25"/>
  <cols>
    <col min="1" max="1" width="25.554687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13</v>
      </c>
    </row>
    <row r="2" spans="1:4" ht="24.9" customHeight="1" x14ac:dyDescent="0.25">
      <c r="A2" s="5" t="s">
        <v>6</v>
      </c>
      <c r="B2" s="6" t="s">
        <v>14</v>
      </c>
      <c r="C2" s="7" t="s">
        <v>3</v>
      </c>
      <c r="D2" s="14" t="s">
        <v>4</v>
      </c>
    </row>
    <row r="3" spans="1:4" ht="13.8" x14ac:dyDescent="0.3">
      <c r="A3" s="1" t="s">
        <v>15</v>
      </c>
      <c r="B3" s="22">
        <v>628897</v>
      </c>
      <c r="C3" s="9">
        <f>SupremeCourtJusticeJudicialDistrict2General[[#This Row],[Kings County Vote Results]]</f>
        <v>628897</v>
      </c>
      <c r="D3" s="15">
        <f>SUM(SupremeCourtJusticeJudicialDistrict2General[[#This Row],[Total Votes by Party]])</f>
        <v>628897</v>
      </c>
    </row>
    <row r="4" spans="1:4" ht="13.8" x14ac:dyDescent="0.3">
      <c r="A4" s="1" t="s">
        <v>16</v>
      </c>
      <c r="B4" s="22">
        <v>146370</v>
      </c>
      <c r="C4" s="9">
        <f>SupremeCourtJusticeJudicialDistrict2General[[#This Row],[Kings County Vote Results]]</f>
        <v>146370</v>
      </c>
      <c r="D4" s="15">
        <f>SUM(SupremeCourtJusticeJudicialDistrict2General[[#This Row],[Total Votes by Party]],C5)</f>
        <v>164820</v>
      </c>
    </row>
    <row r="5" spans="1:4" ht="13.8" x14ac:dyDescent="0.3">
      <c r="A5" s="1" t="s">
        <v>17</v>
      </c>
      <c r="B5" s="22">
        <v>18450</v>
      </c>
      <c r="C5" s="9">
        <f>SupremeCourtJusticeJudicialDistrict2General[[#This Row],[Kings County Vote Results]]</f>
        <v>18450</v>
      </c>
      <c r="D5" s="16"/>
    </row>
    <row r="6" spans="1:4" ht="13.8" x14ac:dyDescent="0.3">
      <c r="A6" s="1" t="s">
        <v>18</v>
      </c>
      <c r="B6" s="22">
        <v>589139</v>
      </c>
      <c r="C6" s="9">
        <f>SupremeCourtJusticeJudicialDistrict2General[[#This Row],[Kings County Vote Results]]</f>
        <v>589139</v>
      </c>
      <c r="D6" s="15">
        <f>SUM(SupremeCourtJusticeJudicialDistrict2General[[#This Row],[Total Votes by Party]],C7,C8)</f>
        <v>738222</v>
      </c>
    </row>
    <row r="7" spans="1:4" ht="13.8" x14ac:dyDescent="0.3">
      <c r="A7" s="1" t="s">
        <v>19</v>
      </c>
      <c r="B7" s="22">
        <v>132123</v>
      </c>
      <c r="C7" s="9">
        <f>SupremeCourtJusticeJudicialDistrict2General[[#This Row],[Kings County Vote Results]]</f>
        <v>132123</v>
      </c>
      <c r="D7" s="16"/>
    </row>
    <row r="8" spans="1:4" ht="13.8" x14ac:dyDescent="0.3">
      <c r="A8" s="1" t="s">
        <v>20</v>
      </c>
      <c r="B8" s="22">
        <v>16960</v>
      </c>
      <c r="C8" s="9">
        <f>SupremeCourtJusticeJudicialDistrict2General[[#This Row],[Kings County Vote Results]]</f>
        <v>16960</v>
      </c>
      <c r="D8" s="16"/>
    </row>
    <row r="9" spans="1:4" ht="13.8" x14ac:dyDescent="0.3">
      <c r="A9" s="1" t="s">
        <v>21</v>
      </c>
      <c r="B9" s="22">
        <v>588501</v>
      </c>
      <c r="C9" s="9">
        <f>SupremeCourtJusticeJudicialDistrict2General[[#This Row],[Kings County Vote Results]]</f>
        <v>588501</v>
      </c>
      <c r="D9" s="15">
        <f>SUM(SupremeCourtJusticeJudicialDistrict2General[[#This Row],[Total Votes by Party]],C10,C11)</f>
        <v>735107</v>
      </c>
    </row>
    <row r="10" spans="1:4" ht="13.8" x14ac:dyDescent="0.3">
      <c r="A10" s="1" t="s">
        <v>22</v>
      </c>
      <c r="B10" s="22">
        <v>129598</v>
      </c>
      <c r="C10" s="9">
        <f>SupremeCourtJusticeJudicialDistrict2General[[#This Row],[Kings County Vote Results]]</f>
        <v>129598</v>
      </c>
      <c r="D10" s="16"/>
    </row>
    <row r="11" spans="1:4" ht="13.8" x14ac:dyDescent="0.3">
      <c r="A11" s="1" t="s">
        <v>23</v>
      </c>
      <c r="B11" s="22">
        <v>17008</v>
      </c>
      <c r="C11" s="9">
        <f>SupremeCourtJusticeJudicialDistrict2General[[#This Row],[Kings County Vote Results]]</f>
        <v>17008</v>
      </c>
      <c r="D11" s="16"/>
    </row>
    <row r="12" spans="1:4" ht="13.8" x14ac:dyDescent="0.3">
      <c r="A12" s="1" t="s">
        <v>24</v>
      </c>
      <c r="B12" s="22">
        <v>631672</v>
      </c>
      <c r="C12" s="9">
        <f>SupremeCourtJusticeJudicialDistrict2General[[#This Row],[Kings County Vote Results]]</f>
        <v>631672</v>
      </c>
      <c r="D12" s="15">
        <f>SUM(SupremeCourtJusticeJudicialDistrict2General[[#This Row],[Total Votes by Party]])</f>
        <v>631672</v>
      </c>
    </row>
    <row r="13" spans="1:4" ht="13.8" x14ac:dyDescent="0.3">
      <c r="A13" s="1" t="s">
        <v>25</v>
      </c>
      <c r="B13" s="22">
        <v>573405</v>
      </c>
      <c r="C13" s="9">
        <f>SupremeCourtJusticeJudicialDistrict2General[[#This Row],[Kings County Vote Results]]</f>
        <v>573405</v>
      </c>
      <c r="D13" s="15">
        <f>SUM(SupremeCourtJusticeJudicialDistrict2General[[#This Row],[Total Votes by Party]],C14,C15)</f>
        <v>719149</v>
      </c>
    </row>
    <row r="14" spans="1:4" ht="13.8" x14ac:dyDescent="0.3">
      <c r="A14" s="1" t="s">
        <v>26</v>
      </c>
      <c r="B14" s="22">
        <v>129240</v>
      </c>
      <c r="C14" s="9">
        <f>SupremeCourtJusticeJudicialDistrict2General[[#This Row],[Kings County Vote Results]]</f>
        <v>129240</v>
      </c>
      <c r="D14" s="16"/>
    </row>
    <row r="15" spans="1:4" ht="13.8" x14ac:dyDescent="0.3">
      <c r="A15" s="1" t="s">
        <v>27</v>
      </c>
      <c r="B15" s="22">
        <v>16504</v>
      </c>
      <c r="C15" s="9">
        <f>SupremeCourtJusticeJudicialDistrict2General[[#This Row],[Kings County Vote Results]]</f>
        <v>16504</v>
      </c>
      <c r="D15" s="16"/>
    </row>
    <row r="16" spans="1:4" ht="13.8" x14ac:dyDescent="0.3">
      <c r="A16" s="1" t="s">
        <v>28</v>
      </c>
      <c r="B16" s="22">
        <v>567170</v>
      </c>
      <c r="C16" s="9">
        <f>SupremeCourtJusticeJudicialDistrict2General[[#This Row],[Kings County Vote Results]]</f>
        <v>567170</v>
      </c>
      <c r="D16" s="15">
        <f>SUM(SupremeCourtJusticeJudicialDistrict2General[[#This Row],[Total Votes by Party]],C17,C18)</f>
        <v>710512</v>
      </c>
    </row>
    <row r="17" spans="1:4" ht="13.8" x14ac:dyDescent="0.3">
      <c r="A17" s="1" t="s">
        <v>29</v>
      </c>
      <c r="B17" s="22">
        <v>126715</v>
      </c>
      <c r="C17" s="9">
        <f>SupremeCourtJusticeJudicialDistrict2General[[#This Row],[Kings County Vote Results]]</f>
        <v>126715</v>
      </c>
      <c r="D17" s="16"/>
    </row>
    <row r="18" spans="1:4" ht="13.8" x14ac:dyDescent="0.3">
      <c r="A18" s="1" t="s">
        <v>30</v>
      </c>
      <c r="B18" s="22">
        <v>16627</v>
      </c>
      <c r="C18" s="9">
        <f>SupremeCourtJusticeJudicialDistrict2General[[#This Row],[Kings County Vote Results]]</f>
        <v>16627</v>
      </c>
      <c r="D18" s="16"/>
    </row>
    <row r="19" spans="1:4" ht="13.8" x14ac:dyDescent="0.3">
      <c r="A19" s="1" t="s">
        <v>0</v>
      </c>
      <c r="B19" s="22">
        <v>1148993</v>
      </c>
      <c r="C19" s="9">
        <f>SupremeCourtJusticeJudicialDistrict2General[[#This Row],[Kings County Vote Results]]</f>
        <v>1148993</v>
      </c>
      <c r="D19" s="16"/>
    </row>
    <row r="20" spans="1:4" ht="13.8" x14ac:dyDescent="0.3">
      <c r="A20" s="1" t="s">
        <v>1</v>
      </c>
      <c r="B20" s="21">
        <v>221</v>
      </c>
      <c r="C20" s="9">
        <f>SupremeCourtJusticeJudicialDistrict2General[[#This Row],[Kings County Vote Results]]</f>
        <v>221</v>
      </c>
      <c r="D20" s="16"/>
    </row>
    <row r="21" spans="1:4" ht="13.8" x14ac:dyDescent="0.3">
      <c r="A21" s="1" t="s">
        <v>12</v>
      </c>
      <c r="B21" s="22">
        <v>11339</v>
      </c>
      <c r="C21" s="9">
        <f>SupremeCourtJusticeJudicialDistrict2General[[#This Row],[Kings County Vote Results]]</f>
        <v>11339</v>
      </c>
      <c r="D21" s="16"/>
    </row>
    <row r="22" spans="1:4" ht="13.8" x14ac:dyDescent="0.3">
      <c r="A22" s="3" t="s">
        <v>2</v>
      </c>
      <c r="B22" s="4">
        <f>SUM(SupremeCourtJusticeJudicialDistrict2General[Kings County Vote Results])</f>
        <v>5488932</v>
      </c>
      <c r="C22" s="9">
        <f>SUM(SupremeCourtJusticeJudicialDistrict2General[Total Votes by Party])</f>
        <v>5488932</v>
      </c>
      <c r="D22" s="17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4F75-F081-4EA4-A334-01D130911137}">
  <sheetPr>
    <pageSetUpPr fitToPage="1"/>
  </sheetPr>
  <dimension ref="A1:I9"/>
  <sheetViews>
    <sheetView zoomScaleNormal="100" zoomScaleSheetLayoutView="100" workbookViewId="0">
      <selection activeCell="B30" sqref="B30"/>
    </sheetView>
  </sheetViews>
  <sheetFormatPr defaultRowHeight="13.2" x14ac:dyDescent="0.25"/>
  <cols>
    <col min="1" max="1" width="25.5546875" customWidth="1"/>
    <col min="2" max="9" width="20.5546875" customWidth="1"/>
    <col min="10" max="11" width="23.5546875" customWidth="1"/>
  </cols>
  <sheetData>
    <row r="1" spans="1:9" ht="24.9" customHeight="1" x14ac:dyDescent="0.25">
      <c r="A1" s="35" t="s">
        <v>31</v>
      </c>
    </row>
    <row r="2" spans="1:9" ht="27.6" x14ac:dyDescent="0.25">
      <c r="A2" s="5" t="s">
        <v>6</v>
      </c>
      <c r="B2" s="6" t="s">
        <v>32</v>
      </c>
      <c r="C2" s="6" t="s">
        <v>33</v>
      </c>
      <c r="D2" s="6" t="s">
        <v>34</v>
      </c>
      <c r="E2" s="6" t="s">
        <v>35</v>
      </c>
      <c r="F2" s="6" t="s">
        <v>36</v>
      </c>
      <c r="G2" s="6" t="s">
        <v>37</v>
      </c>
      <c r="H2" s="7" t="s">
        <v>3</v>
      </c>
      <c r="I2" s="8" t="s">
        <v>4</v>
      </c>
    </row>
    <row r="3" spans="1:9" ht="13.8" x14ac:dyDescent="0.3">
      <c r="A3" s="1" t="s">
        <v>38</v>
      </c>
      <c r="B3" s="2">
        <v>8283</v>
      </c>
      <c r="C3" s="2">
        <v>14062</v>
      </c>
      <c r="D3" s="2">
        <v>2604</v>
      </c>
      <c r="E3" s="2">
        <v>36844</v>
      </c>
      <c r="F3" s="19">
        <v>128126</v>
      </c>
      <c r="G3" s="2">
        <v>18189</v>
      </c>
      <c r="H3" s="9">
        <f>SUM(SupremeCourtJusticeJudicialDistrict5General[[#This Row],[Herkimer County Vote Results]:[Oswego County Vote Results]])</f>
        <v>208108</v>
      </c>
      <c r="I3" s="10">
        <f>SUM(SupremeCourtJusticeJudicialDistrict5General[[#This Row],[Total Votes by Party]],H5)</f>
        <v>241997</v>
      </c>
    </row>
    <row r="4" spans="1:9" ht="13.8" x14ac:dyDescent="0.3">
      <c r="A4" s="1" t="s">
        <v>39</v>
      </c>
      <c r="B4" s="2">
        <v>15984</v>
      </c>
      <c r="C4" s="2">
        <v>24666</v>
      </c>
      <c r="D4" s="2">
        <v>8551</v>
      </c>
      <c r="E4" s="2">
        <v>49185</v>
      </c>
      <c r="F4" s="19">
        <v>78321</v>
      </c>
      <c r="G4" s="2">
        <v>27986</v>
      </c>
      <c r="H4" s="9">
        <f>SUM(SupremeCourtJusticeJudicialDistrict5General[[#This Row],[Herkimer County Vote Results]:[Oswego County Vote Results]])</f>
        <v>204693</v>
      </c>
      <c r="I4" s="10">
        <f>SupremeCourtJusticeJudicialDistrict5General[[#This Row],[Total Votes by Party]]</f>
        <v>204693</v>
      </c>
    </row>
    <row r="5" spans="1:9" ht="13.8" x14ac:dyDescent="0.3">
      <c r="A5" s="1" t="s">
        <v>40</v>
      </c>
      <c r="B5" s="2">
        <v>1640</v>
      </c>
      <c r="C5" s="2">
        <v>2121</v>
      </c>
      <c r="D5" s="2">
        <v>989</v>
      </c>
      <c r="E5" s="2">
        <v>6394</v>
      </c>
      <c r="F5" s="19">
        <v>18745</v>
      </c>
      <c r="G5" s="2">
        <v>4000</v>
      </c>
      <c r="H5" s="9">
        <f>SUM(SupremeCourtJusticeJudicialDistrict5General[[#This Row],[Herkimer County Vote Results]:[Oswego County Vote Results]])</f>
        <v>33889</v>
      </c>
      <c r="I5" s="11"/>
    </row>
    <row r="6" spans="1:9" ht="13.8" x14ac:dyDescent="0.3">
      <c r="A6" s="3" t="s">
        <v>0</v>
      </c>
      <c r="B6" s="2">
        <v>3622</v>
      </c>
      <c r="C6" s="2">
        <v>3150</v>
      </c>
      <c r="D6" s="2">
        <v>877</v>
      </c>
      <c r="E6" s="2">
        <v>10232</v>
      </c>
      <c r="F6" s="19">
        <v>11630</v>
      </c>
      <c r="G6" s="2">
        <v>4522</v>
      </c>
      <c r="H6" s="9">
        <f>SUM(SupremeCourtJusticeJudicialDistrict5General[[#This Row],[Herkimer County Vote Results]:[Oswego County Vote Results]])</f>
        <v>34033</v>
      </c>
      <c r="I6" s="11"/>
    </row>
    <row r="7" spans="1:9" ht="13.8" x14ac:dyDescent="0.3">
      <c r="A7" s="3" t="s">
        <v>1</v>
      </c>
      <c r="B7" s="2">
        <v>30</v>
      </c>
      <c r="C7" s="2">
        <v>31</v>
      </c>
      <c r="D7" s="2">
        <v>9</v>
      </c>
      <c r="E7" s="2">
        <v>9</v>
      </c>
      <c r="F7" s="19">
        <v>776</v>
      </c>
      <c r="G7" s="2">
        <v>29</v>
      </c>
      <c r="H7" s="9">
        <f>SUM(SupremeCourtJusticeJudicialDistrict5General[[#This Row],[Herkimer County Vote Results]:[Oswego County Vote Results]])</f>
        <v>884</v>
      </c>
      <c r="I7" s="11"/>
    </row>
    <row r="8" spans="1:9" ht="13.8" x14ac:dyDescent="0.3">
      <c r="A8" s="3" t="s">
        <v>12</v>
      </c>
      <c r="B8" s="2">
        <v>6</v>
      </c>
      <c r="C8" s="2">
        <v>22</v>
      </c>
      <c r="D8" s="2">
        <v>6</v>
      </c>
      <c r="E8" s="2">
        <v>66</v>
      </c>
      <c r="F8" s="19">
        <v>138</v>
      </c>
      <c r="G8" s="2">
        <v>35</v>
      </c>
      <c r="H8" s="9">
        <f>SUM(SupremeCourtJusticeJudicialDistrict5General[[#This Row],[Herkimer County Vote Results]:[Oswego County Vote Results]])</f>
        <v>273</v>
      </c>
      <c r="I8" s="11"/>
    </row>
    <row r="9" spans="1:9" ht="13.8" x14ac:dyDescent="0.3">
      <c r="A9" s="12" t="s">
        <v>2</v>
      </c>
      <c r="B9" s="2">
        <f>SUM(SupremeCourtJusticeJudicialDistrict5General[Herkimer County Vote Results])</f>
        <v>29565</v>
      </c>
      <c r="C9" s="2">
        <f>SUM(SupremeCourtJusticeJudicialDistrict5General[Jefferson County Vote Results])</f>
        <v>44052</v>
      </c>
      <c r="D9" s="2">
        <f>SUM(SupremeCourtJusticeJudicialDistrict5General[Lewis County Vote Results])</f>
        <v>13036</v>
      </c>
      <c r="E9" s="2">
        <f>SUM(SupremeCourtJusticeJudicialDistrict5General[Oneida County Vote Results])</f>
        <v>102730</v>
      </c>
      <c r="F9" s="19">
        <f>SUM(SupremeCourtJusticeJudicialDistrict5General[Onondaga County Vote Results])</f>
        <v>237736</v>
      </c>
      <c r="G9" s="2">
        <f>SUM(SupremeCourtJusticeJudicialDistrict5General[Oswego County Vote Results])</f>
        <v>54761</v>
      </c>
      <c r="H9" s="9">
        <f>SUM(SupremeCourtJusticeJudicialDistrict5General[Total Votes by Party])</f>
        <v>481880</v>
      </c>
      <c r="I9" s="11"/>
    </row>
  </sheetData>
  <pageMargins left="0.25" right="0.25" top="0.25" bottom="0.25" header="0.25" footer="0.25"/>
  <pageSetup paperSize="5" scale="9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E381-9019-4D90-80FC-805EBBEC0565}">
  <sheetPr>
    <pageSetUpPr fitToPage="1"/>
  </sheetPr>
  <dimension ref="A1:M9"/>
  <sheetViews>
    <sheetView zoomScaleNormal="100" zoomScaleSheetLayoutView="100" workbookViewId="0">
      <selection activeCell="I23" sqref="I23:I24"/>
    </sheetView>
  </sheetViews>
  <sheetFormatPr defaultRowHeight="13.2" x14ac:dyDescent="0.25"/>
  <cols>
    <col min="1" max="1" width="25.5546875" customWidth="1"/>
    <col min="2" max="13" width="15.6640625" customWidth="1"/>
    <col min="14" max="15" width="23.5546875" customWidth="1"/>
  </cols>
  <sheetData>
    <row r="1" spans="1:13" ht="24.9" customHeight="1" x14ac:dyDescent="0.25">
      <c r="A1" s="35" t="s">
        <v>41</v>
      </c>
    </row>
    <row r="2" spans="1:13" ht="27.6" x14ac:dyDescent="0.25">
      <c r="A2" s="5" t="s">
        <v>6</v>
      </c>
      <c r="B2" s="6" t="s">
        <v>42</v>
      </c>
      <c r="C2" s="6" t="s">
        <v>43</v>
      </c>
      <c r="D2" s="6" t="s">
        <v>44</v>
      </c>
      <c r="E2" s="6" t="s">
        <v>45</v>
      </c>
      <c r="F2" s="6" t="s">
        <v>46</v>
      </c>
      <c r="G2" s="6" t="s">
        <v>47</v>
      </c>
      <c r="H2" s="6" t="s">
        <v>48</v>
      </c>
      <c r="I2" s="6" t="s">
        <v>49</v>
      </c>
      <c r="J2" s="6" t="s">
        <v>50</v>
      </c>
      <c r="K2" s="6" t="s">
        <v>51</v>
      </c>
      <c r="L2" s="7" t="s">
        <v>3</v>
      </c>
      <c r="M2" s="8" t="s">
        <v>4</v>
      </c>
    </row>
    <row r="3" spans="1:13" ht="13.8" x14ac:dyDescent="0.3">
      <c r="A3" s="1" t="s">
        <v>52</v>
      </c>
      <c r="B3" s="2">
        <v>43746</v>
      </c>
      <c r="C3" s="2">
        <v>15500</v>
      </c>
      <c r="D3" s="18">
        <v>8425</v>
      </c>
      <c r="E3" s="2">
        <v>9893</v>
      </c>
      <c r="F3" s="2">
        <v>8611</v>
      </c>
      <c r="G3" s="2">
        <v>14195</v>
      </c>
      <c r="H3" s="2">
        <v>10952</v>
      </c>
      <c r="I3" s="2">
        <v>3737</v>
      </c>
      <c r="J3" s="19">
        <v>9542</v>
      </c>
      <c r="K3" s="19">
        <v>30346</v>
      </c>
      <c r="L3" s="9">
        <f>SUM(SupremeCourtJusticeJudicialDistrict6General[[#This Row],[Broome County Vote Results]:[Tompkins County Vote Results]])</f>
        <v>154947</v>
      </c>
      <c r="M3" s="10">
        <f>SUM(SupremeCourtJusticeJudicialDistrict6General[[#This Row],[Total Votes by Party]],L5)</f>
        <v>171257</v>
      </c>
    </row>
    <row r="4" spans="1:13" ht="13.8" x14ac:dyDescent="0.3">
      <c r="A4" s="3" t="s">
        <v>53</v>
      </c>
      <c r="B4" s="2">
        <v>43712</v>
      </c>
      <c r="C4" s="2">
        <v>21506</v>
      </c>
      <c r="D4" s="18">
        <v>12798</v>
      </c>
      <c r="E4" s="2">
        <v>11118</v>
      </c>
      <c r="F4" s="2">
        <v>13166</v>
      </c>
      <c r="G4" s="2">
        <v>18718</v>
      </c>
      <c r="H4" s="2">
        <v>15889</v>
      </c>
      <c r="I4" s="2">
        <v>5456</v>
      </c>
      <c r="J4" s="19">
        <v>15254</v>
      </c>
      <c r="K4" s="19">
        <v>12634</v>
      </c>
      <c r="L4" s="9">
        <f>SUM(SupremeCourtJusticeJudicialDistrict6General[[#This Row],[Broome County Vote Results]:[Tompkins County Vote Results]])</f>
        <v>170251</v>
      </c>
      <c r="M4" s="10">
        <f>SUM(SupremeCourtJusticeJudicialDistrict6General[[#This Row],[Total Votes by Party]])</f>
        <v>170251</v>
      </c>
    </row>
    <row r="5" spans="1:13" ht="13.8" x14ac:dyDescent="0.3">
      <c r="A5" s="1" t="s">
        <v>54</v>
      </c>
      <c r="B5" s="2">
        <v>4249</v>
      </c>
      <c r="C5" s="2">
        <v>1989</v>
      </c>
      <c r="D5" s="18">
        <v>1258</v>
      </c>
      <c r="E5" s="2">
        <v>1106</v>
      </c>
      <c r="F5" s="2">
        <v>772</v>
      </c>
      <c r="G5" s="2">
        <v>2183</v>
      </c>
      <c r="H5" s="2">
        <v>898</v>
      </c>
      <c r="I5" s="2">
        <v>473</v>
      </c>
      <c r="J5" s="19">
        <v>1584</v>
      </c>
      <c r="K5" s="19">
        <v>1798</v>
      </c>
      <c r="L5" s="9">
        <f>SUM(SupremeCourtJusticeJudicialDistrict6General[[#This Row],[Broome County Vote Results]:[Tompkins County Vote Results]])</f>
        <v>16310</v>
      </c>
      <c r="M5" s="13"/>
    </row>
    <row r="6" spans="1:13" ht="13.8" x14ac:dyDescent="0.3">
      <c r="A6" s="3" t="s">
        <v>0</v>
      </c>
      <c r="B6" s="2">
        <v>95012</v>
      </c>
      <c r="C6" s="2">
        <v>40199</v>
      </c>
      <c r="D6" s="18">
        <v>22270</v>
      </c>
      <c r="E6" s="2">
        <v>21629</v>
      </c>
      <c r="F6" s="2">
        <v>23572</v>
      </c>
      <c r="G6" s="2">
        <v>33115</v>
      </c>
      <c r="H6" s="2">
        <v>28496</v>
      </c>
      <c r="I6" s="2">
        <v>9923</v>
      </c>
      <c r="J6" s="19">
        <v>23838</v>
      </c>
      <c r="K6" s="19">
        <v>45781</v>
      </c>
      <c r="L6" s="9">
        <f>SUM(SupremeCourtJusticeJudicialDistrict6General[[#This Row],[Broome County Vote Results]:[Tompkins County Vote Results]])</f>
        <v>343835</v>
      </c>
      <c r="M6" s="11"/>
    </row>
    <row r="7" spans="1:13" ht="13.8" x14ac:dyDescent="0.3">
      <c r="A7" s="3" t="s">
        <v>1</v>
      </c>
      <c r="B7" s="2">
        <v>48</v>
      </c>
      <c r="C7" s="2">
        <v>0</v>
      </c>
      <c r="D7" s="18">
        <v>0</v>
      </c>
      <c r="E7" s="2">
        <v>20</v>
      </c>
      <c r="F7" s="2">
        <v>0</v>
      </c>
      <c r="G7" s="2">
        <v>1</v>
      </c>
      <c r="H7" s="2">
        <v>4</v>
      </c>
      <c r="I7" s="2">
        <v>2</v>
      </c>
      <c r="J7" s="19">
        <v>11</v>
      </c>
      <c r="K7" s="19">
        <v>12</v>
      </c>
      <c r="L7" s="9">
        <f>SUM(SupremeCourtJusticeJudicialDistrict6General[[#This Row],[Broome County Vote Results]:[Tompkins County Vote Results]])</f>
        <v>98</v>
      </c>
      <c r="M7" s="11"/>
    </row>
    <row r="8" spans="1:13" ht="13.8" x14ac:dyDescent="0.3">
      <c r="A8" s="3" t="s">
        <v>12</v>
      </c>
      <c r="B8" s="2">
        <v>115</v>
      </c>
      <c r="C8" s="2">
        <v>0</v>
      </c>
      <c r="D8" s="18">
        <v>32</v>
      </c>
      <c r="E8" s="2">
        <v>20</v>
      </c>
      <c r="F8" s="2">
        <v>27</v>
      </c>
      <c r="G8" s="2">
        <v>68</v>
      </c>
      <c r="H8" s="2">
        <v>33</v>
      </c>
      <c r="I8" s="2">
        <v>7</v>
      </c>
      <c r="J8" s="19">
        <v>37</v>
      </c>
      <c r="K8" s="19">
        <v>105</v>
      </c>
      <c r="L8" s="9">
        <f>SUM(SupremeCourtJusticeJudicialDistrict6General[[#This Row],[Broome County Vote Results]:[Tompkins County Vote Results]])</f>
        <v>444</v>
      </c>
      <c r="M8" s="11"/>
    </row>
    <row r="9" spans="1:13" ht="13.8" x14ac:dyDescent="0.3">
      <c r="A9" s="12" t="s">
        <v>2</v>
      </c>
      <c r="B9" s="2">
        <f>SUM(SupremeCourtJusticeJudicialDistrict6General[Broome County Vote Results])</f>
        <v>186882</v>
      </c>
      <c r="C9" s="2">
        <f>SUM(SupremeCourtJusticeJudicialDistrict6General[Chemung County Vote Results])</f>
        <v>79194</v>
      </c>
      <c r="D9" s="2">
        <f>SUM(SupremeCourtJusticeJudicialDistrict6General[Chenango County Vote Results])</f>
        <v>44783</v>
      </c>
      <c r="E9" s="2">
        <f>SUM(SupremeCourtJusticeJudicialDistrict6General[Cortland County Vote Results])</f>
        <v>43786</v>
      </c>
      <c r="F9" s="2">
        <f>SUM(SupremeCourtJusticeJudicialDistrict6General[Delaware County Vote Results])</f>
        <v>46148</v>
      </c>
      <c r="G9" s="2">
        <f>SUM(SupremeCourtJusticeJudicialDistrict6General[Madison County Vote Results])</f>
        <v>68280</v>
      </c>
      <c r="H9" s="2">
        <f>SUM(SupremeCourtJusticeJudicialDistrict6General[Otsego County Vote Results])</f>
        <v>56272</v>
      </c>
      <c r="I9" s="2">
        <f>SUM(SupremeCourtJusticeJudicialDistrict6General[Schuyler County Vote Results])</f>
        <v>19598</v>
      </c>
      <c r="J9" s="2">
        <f>SUM(SupremeCourtJusticeJudicialDistrict6General[Tioga County Vote Results])</f>
        <v>50266</v>
      </c>
      <c r="K9" s="2">
        <f>SUM(SupremeCourtJusticeJudicialDistrict6General[Tompkins County Vote Results])</f>
        <v>90676</v>
      </c>
      <c r="L9" s="9">
        <f>SUM(SupremeCourtJusticeJudicialDistrict6General[Total Votes by Party])</f>
        <v>685885</v>
      </c>
      <c r="M9" s="11"/>
    </row>
  </sheetData>
  <pageMargins left="0.25" right="0.25" top="0.25" bottom="0.25" header="0.25" footer="0.25"/>
  <pageSetup paperSize="5" scale="82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983BF-0515-4B25-BDCD-56BA7A50050D}">
  <sheetPr>
    <pageSetUpPr fitToPage="1"/>
  </sheetPr>
  <dimension ref="A1:K26"/>
  <sheetViews>
    <sheetView zoomScaleNormal="100" zoomScaleSheetLayoutView="100" workbookViewId="0">
      <selection sqref="A1:XFD1048576"/>
    </sheetView>
  </sheetViews>
  <sheetFormatPr defaultRowHeight="13.2" x14ac:dyDescent="0.25"/>
  <cols>
    <col min="1" max="1" width="25.5546875" customWidth="1"/>
    <col min="2" max="11" width="17.6640625" customWidth="1"/>
    <col min="12" max="13" width="23.5546875" customWidth="1"/>
  </cols>
  <sheetData>
    <row r="1" spans="1:11" ht="24.9" customHeight="1" x14ac:dyDescent="0.25">
      <c r="A1" s="35" t="s">
        <v>55</v>
      </c>
    </row>
    <row r="2" spans="1:11" ht="27.6" x14ac:dyDescent="0.25">
      <c r="A2" s="5" t="s">
        <v>6</v>
      </c>
      <c r="B2" s="6" t="s">
        <v>56</v>
      </c>
      <c r="C2" s="6" t="s">
        <v>57</v>
      </c>
      <c r="D2" s="6" t="s">
        <v>58</v>
      </c>
      <c r="E2" s="6" t="s">
        <v>59</v>
      </c>
      <c r="F2" s="6" t="s">
        <v>60</v>
      </c>
      <c r="G2" s="6" t="s">
        <v>61</v>
      </c>
      <c r="H2" s="6" t="s">
        <v>62</v>
      </c>
      <c r="I2" s="6" t="s">
        <v>63</v>
      </c>
      <c r="J2" s="7" t="s">
        <v>3</v>
      </c>
      <c r="K2" s="8" t="s">
        <v>4</v>
      </c>
    </row>
    <row r="3" spans="1:11" ht="13.8" x14ac:dyDescent="0.3">
      <c r="A3" s="1" t="s">
        <v>64</v>
      </c>
      <c r="B3" s="19">
        <v>12383</v>
      </c>
      <c r="C3" s="2">
        <v>8935</v>
      </c>
      <c r="D3" s="2">
        <v>165866</v>
      </c>
      <c r="E3" s="19">
        <v>20726</v>
      </c>
      <c r="F3" s="2">
        <v>5115</v>
      </c>
      <c r="G3" s="2">
        <v>11593</v>
      </c>
      <c r="H3" s="2">
        <v>12198</v>
      </c>
      <c r="I3" s="2">
        <v>2874</v>
      </c>
      <c r="J3" s="9">
        <f>SUM(B3:I3)</f>
        <v>239690</v>
      </c>
      <c r="K3" s="10">
        <f>SUM(SupremeCourtJusticeJudicialDistrict7General[[#This Row],[Total Votes by Party]])</f>
        <v>239690</v>
      </c>
    </row>
    <row r="4" spans="1:11" ht="13.8" x14ac:dyDescent="0.3">
      <c r="A4" s="1" t="s">
        <v>65</v>
      </c>
      <c r="B4" s="19">
        <v>11848</v>
      </c>
      <c r="C4" s="2">
        <v>8668</v>
      </c>
      <c r="D4" s="2">
        <v>154426</v>
      </c>
      <c r="E4" s="19">
        <v>20758</v>
      </c>
      <c r="F4" s="2">
        <v>4923</v>
      </c>
      <c r="G4" s="2">
        <v>11315</v>
      </c>
      <c r="H4" s="2">
        <v>11627</v>
      </c>
      <c r="I4" s="2">
        <v>2751</v>
      </c>
      <c r="J4" s="9">
        <f t="shared" ref="J4:J25" si="0">SUM(B4:I4)</f>
        <v>226316</v>
      </c>
      <c r="K4" s="10">
        <f>SUM(SupremeCourtJusticeJudicialDistrict7General[[#This Row],[Total Votes by Party]])</f>
        <v>226316</v>
      </c>
    </row>
    <row r="5" spans="1:11" ht="13.8" x14ac:dyDescent="0.3">
      <c r="A5" s="1" t="s">
        <v>66</v>
      </c>
      <c r="B5" s="19">
        <v>12520</v>
      </c>
      <c r="C5" s="2">
        <v>9249</v>
      </c>
      <c r="D5" s="2">
        <v>170557</v>
      </c>
      <c r="E5" s="19">
        <v>22100</v>
      </c>
      <c r="F5" s="2">
        <v>5247</v>
      </c>
      <c r="G5" s="2">
        <v>12094</v>
      </c>
      <c r="H5" s="2">
        <v>12745</v>
      </c>
      <c r="I5" s="2">
        <v>3014</v>
      </c>
      <c r="J5" s="9">
        <f t="shared" si="0"/>
        <v>247526</v>
      </c>
      <c r="K5" s="10">
        <f>SUM(SupremeCourtJusticeJudicialDistrict7General[[#This Row],[Total Votes by Party]],J17)</f>
        <v>271139</v>
      </c>
    </row>
    <row r="6" spans="1:11" ht="13.8" x14ac:dyDescent="0.3">
      <c r="A6" s="1" t="s">
        <v>67</v>
      </c>
      <c r="B6" s="19">
        <v>11604</v>
      </c>
      <c r="C6" s="2">
        <v>8493</v>
      </c>
      <c r="D6" s="2">
        <v>154564</v>
      </c>
      <c r="E6" s="19">
        <v>20581</v>
      </c>
      <c r="F6" s="2">
        <v>4863</v>
      </c>
      <c r="G6" s="2">
        <v>11071</v>
      </c>
      <c r="H6" s="2">
        <v>11768</v>
      </c>
      <c r="I6" s="2">
        <v>2761</v>
      </c>
      <c r="J6" s="9">
        <f t="shared" si="0"/>
        <v>225705</v>
      </c>
      <c r="K6" s="10">
        <f>SUM(SupremeCourtJusticeJudicialDistrict7General[[#This Row],[Total Votes by Party]],J10,J14,J18,J22)</f>
        <v>496278</v>
      </c>
    </row>
    <row r="7" spans="1:11" ht="13.8" x14ac:dyDescent="0.3">
      <c r="A7" s="1" t="s">
        <v>68</v>
      </c>
      <c r="B7" s="19">
        <v>16813</v>
      </c>
      <c r="C7" s="2">
        <v>15911</v>
      </c>
      <c r="D7" s="2">
        <v>127066</v>
      </c>
      <c r="E7" s="19">
        <v>26327</v>
      </c>
      <c r="F7" s="2">
        <v>7562</v>
      </c>
      <c r="G7" s="2">
        <v>25476</v>
      </c>
      <c r="H7" s="2">
        <v>22637</v>
      </c>
      <c r="I7" s="2">
        <v>5627</v>
      </c>
      <c r="J7" s="9">
        <f t="shared" si="0"/>
        <v>247419</v>
      </c>
      <c r="K7" s="10">
        <f>SUM(SupremeCourtJusticeJudicialDistrict7General[[#This Row],[Total Votes by Party]],J11,J15,J19)</f>
        <v>309662</v>
      </c>
    </row>
    <row r="8" spans="1:11" ht="13.8" x14ac:dyDescent="0.3">
      <c r="A8" s="1" t="s">
        <v>69</v>
      </c>
      <c r="B8" s="19">
        <v>15543</v>
      </c>
      <c r="C8" s="2">
        <v>14361</v>
      </c>
      <c r="D8" s="2">
        <v>122878</v>
      </c>
      <c r="E8" s="19">
        <v>24560</v>
      </c>
      <c r="F8" s="2">
        <v>6785</v>
      </c>
      <c r="G8" s="2">
        <v>23264</v>
      </c>
      <c r="H8" s="2">
        <v>20933</v>
      </c>
      <c r="I8" s="2">
        <v>4820</v>
      </c>
      <c r="J8" s="9">
        <f t="shared" si="0"/>
        <v>233144</v>
      </c>
      <c r="K8" s="10">
        <f>SUM(SupremeCourtJusticeJudicialDistrict7General[[#This Row],[Total Votes by Party]],J12,J16,J20)</f>
        <v>294254</v>
      </c>
    </row>
    <row r="9" spans="1:11" ht="13.8" x14ac:dyDescent="0.3">
      <c r="A9" s="1" t="s">
        <v>70</v>
      </c>
      <c r="B9" s="19">
        <v>14939</v>
      </c>
      <c r="C9" s="2">
        <v>15191</v>
      </c>
      <c r="D9" s="2">
        <v>131714</v>
      </c>
      <c r="E9" s="19">
        <v>25836</v>
      </c>
      <c r="F9" s="2">
        <v>6717</v>
      </c>
      <c r="G9" s="2">
        <v>22607</v>
      </c>
      <c r="H9" s="2">
        <v>21864</v>
      </c>
      <c r="I9" s="2">
        <v>4895</v>
      </c>
      <c r="J9" s="9">
        <f t="shared" si="0"/>
        <v>243763</v>
      </c>
      <c r="K9" s="10">
        <f>SUM(SupremeCourtJusticeJudicialDistrict7General[[#This Row],[Total Votes by Party]],J13,J21)</f>
        <v>291397</v>
      </c>
    </row>
    <row r="10" spans="1:11" ht="13.8" x14ac:dyDescent="0.3">
      <c r="A10" s="1" t="s">
        <v>71</v>
      </c>
      <c r="B10" s="19">
        <v>14914</v>
      </c>
      <c r="C10" s="2">
        <v>13220</v>
      </c>
      <c r="D10" s="2">
        <v>106565</v>
      </c>
      <c r="E10" s="19">
        <v>23176</v>
      </c>
      <c r="F10" s="2">
        <v>6453</v>
      </c>
      <c r="G10" s="2">
        <v>22521</v>
      </c>
      <c r="H10" s="2">
        <v>19785</v>
      </c>
      <c r="I10" s="2">
        <v>4497</v>
      </c>
      <c r="J10" s="9">
        <f t="shared" si="0"/>
        <v>211131</v>
      </c>
      <c r="K10" s="11"/>
    </row>
    <row r="11" spans="1:11" ht="13.8" x14ac:dyDescent="0.3">
      <c r="A11" s="1" t="s">
        <v>72</v>
      </c>
      <c r="B11" s="19">
        <v>2087</v>
      </c>
      <c r="C11" s="2">
        <v>2201</v>
      </c>
      <c r="D11" s="2">
        <v>21510</v>
      </c>
      <c r="E11" s="19">
        <v>3699</v>
      </c>
      <c r="F11" s="2">
        <v>771</v>
      </c>
      <c r="G11" s="2">
        <v>2162</v>
      </c>
      <c r="H11" s="2">
        <v>3592</v>
      </c>
      <c r="I11" s="2">
        <v>640</v>
      </c>
      <c r="J11" s="9">
        <f t="shared" si="0"/>
        <v>36662</v>
      </c>
      <c r="K11" s="11"/>
    </row>
    <row r="12" spans="1:11" ht="13.8" x14ac:dyDescent="0.3">
      <c r="A12" s="1" t="s">
        <v>73</v>
      </c>
      <c r="B12" s="19">
        <v>2043</v>
      </c>
      <c r="C12" s="2">
        <v>2096</v>
      </c>
      <c r="D12" s="2">
        <v>21847</v>
      </c>
      <c r="E12" s="19">
        <v>3680</v>
      </c>
      <c r="F12" s="2">
        <v>748</v>
      </c>
      <c r="G12" s="2">
        <v>2144</v>
      </c>
      <c r="H12" s="2">
        <v>3488</v>
      </c>
      <c r="I12" s="2">
        <v>575</v>
      </c>
      <c r="J12" s="9">
        <f t="shared" si="0"/>
        <v>36621</v>
      </c>
      <c r="K12" s="11"/>
    </row>
    <row r="13" spans="1:11" ht="13.8" x14ac:dyDescent="0.3">
      <c r="A13" s="3" t="s">
        <v>74</v>
      </c>
      <c r="B13" s="19">
        <v>2057</v>
      </c>
      <c r="C13" s="2">
        <v>2229</v>
      </c>
      <c r="D13" s="2">
        <v>23864</v>
      </c>
      <c r="E13" s="19">
        <v>3892</v>
      </c>
      <c r="F13" s="2">
        <v>789</v>
      </c>
      <c r="G13" s="2">
        <v>2107</v>
      </c>
      <c r="H13" s="2">
        <v>3737</v>
      </c>
      <c r="I13" s="2">
        <v>606</v>
      </c>
      <c r="J13" s="9">
        <f t="shared" si="0"/>
        <v>39281</v>
      </c>
      <c r="K13" s="11"/>
    </row>
    <row r="14" spans="1:11" ht="13.8" x14ac:dyDescent="0.3">
      <c r="A14" s="3" t="s">
        <v>75</v>
      </c>
      <c r="B14" s="19">
        <v>1980</v>
      </c>
      <c r="C14" s="2">
        <v>1919</v>
      </c>
      <c r="D14" s="2">
        <v>19440</v>
      </c>
      <c r="E14" s="19">
        <v>3429</v>
      </c>
      <c r="F14" s="2">
        <v>691</v>
      </c>
      <c r="G14" s="2">
        <v>2027</v>
      </c>
      <c r="H14" s="2">
        <v>3285</v>
      </c>
      <c r="I14" s="2">
        <v>540</v>
      </c>
      <c r="J14" s="9">
        <f t="shared" si="0"/>
        <v>33311</v>
      </c>
      <c r="K14" s="11"/>
    </row>
    <row r="15" spans="1:11" ht="13.8" x14ac:dyDescent="0.3">
      <c r="A15" s="3" t="s">
        <v>76</v>
      </c>
      <c r="B15" s="19">
        <v>825</v>
      </c>
      <c r="C15" s="2">
        <v>693</v>
      </c>
      <c r="D15" s="2">
        <v>11350</v>
      </c>
      <c r="E15" s="19">
        <v>1560</v>
      </c>
      <c r="F15" s="2">
        <v>392</v>
      </c>
      <c r="G15" s="2">
        <v>829</v>
      </c>
      <c r="H15" s="2">
        <v>1112</v>
      </c>
      <c r="I15" s="2">
        <v>278</v>
      </c>
      <c r="J15" s="9">
        <f t="shared" si="0"/>
        <v>17039</v>
      </c>
      <c r="K15" s="11"/>
    </row>
    <row r="16" spans="1:11" ht="13.8" x14ac:dyDescent="0.3">
      <c r="A16" s="3" t="s">
        <v>77</v>
      </c>
      <c r="B16" s="19">
        <v>743</v>
      </c>
      <c r="C16" s="2">
        <v>643</v>
      </c>
      <c r="D16" s="2">
        <v>11222</v>
      </c>
      <c r="E16" s="19">
        <v>1440</v>
      </c>
      <c r="F16" s="2">
        <v>370</v>
      </c>
      <c r="G16" s="2">
        <v>771</v>
      </c>
      <c r="H16" s="2">
        <v>1039</v>
      </c>
      <c r="I16" s="2">
        <v>213</v>
      </c>
      <c r="J16" s="9">
        <f t="shared" si="0"/>
        <v>16441</v>
      </c>
      <c r="K16" s="11"/>
    </row>
    <row r="17" spans="1:11" ht="13.8" x14ac:dyDescent="0.3">
      <c r="A17" s="3" t="s">
        <v>78</v>
      </c>
      <c r="B17" s="19">
        <v>1160</v>
      </c>
      <c r="C17" s="2">
        <v>1060</v>
      </c>
      <c r="D17" s="2">
        <v>15744</v>
      </c>
      <c r="E17" s="19">
        <v>2135</v>
      </c>
      <c r="F17" s="2">
        <v>575</v>
      </c>
      <c r="G17" s="2">
        <v>1246</v>
      </c>
      <c r="H17" s="2">
        <v>1358</v>
      </c>
      <c r="I17" s="2">
        <v>335</v>
      </c>
      <c r="J17" s="9">
        <f t="shared" si="0"/>
        <v>23613</v>
      </c>
      <c r="K17" s="11"/>
    </row>
    <row r="18" spans="1:11" ht="13.8" x14ac:dyDescent="0.3">
      <c r="A18" s="3" t="s">
        <v>79</v>
      </c>
      <c r="B18" s="19">
        <v>844</v>
      </c>
      <c r="C18" s="2">
        <v>751</v>
      </c>
      <c r="D18" s="2">
        <v>12177</v>
      </c>
      <c r="E18" s="19">
        <v>1506</v>
      </c>
      <c r="F18" s="2">
        <v>429</v>
      </c>
      <c r="G18" s="2">
        <v>908</v>
      </c>
      <c r="H18" s="2">
        <v>1058</v>
      </c>
      <c r="I18" s="2">
        <v>222</v>
      </c>
      <c r="J18" s="9">
        <f t="shared" si="0"/>
        <v>17895</v>
      </c>
      <c r="K18" s="11"/>
    </row>
    <row r="19" spans="1:11" ht="13.8" x14ac:dyDescent="0.3">
      <c r="A19" s="3" t="s">
        <v>80</v>
      </c>
      <c r="B19" s="19">
        <v>459</v>
      </c>
      <c r="C19" s="2">
        <v>457</v>
      </c>
      <c r="D19" s="2">
        <v>5357</v>
      </c>
      <c r="E19" s="19">
        <v>887</v>
      </c>
      <c r="F19" s="2">
        <v>245</v>
      </c>
      <c r="G19" s="2">
        <v>452</v>
      </c>
      <c r="H19" s="2">
        <v>563</v>
      </c>
      <c r="I19" s="2">
        <v>122</v>
      </c>
      <c r="J19" s="9">
        <f t="shared" si="0"/>
        <v>8542</v>
      </c>
      <c r="K19" s="11"/>
    </row>
    <row r="20" spans="1:11" ht="13.8" x14ac:dyDescent="0.3">
      <c r="A20" s="3" t="s">
        <v>81</v>
      </c>
      <c r="B20" s="19">
        <v>401</v>
      </c>
      <c r="C20" s="2">
        <v>404</v>
      </c>
      <c r="D20" s="2">
        <v>5168</v>
      </c>
      <c r="E20" s="19">
        <v>813</v>
      </c>
      <c r="F20" s="2">
        <v>207</v>
      </c>
      <c r="G20" s="2">
        <v>423</v>
      </c>
      <c r="H20" s="2">
        <v>531</v>
      </c>
      <c r="I20" s="2">
        <v>101</v>
      </c>
      <c r="J20" s="9">
        <f t="shared" si="0"/>
        <v>8048</v>
      </c>
      <c r="K20" s="11"/>
    </row>
    <row r="21" spans="1:11" ht="13.8" x14ac:dyDescent="0.3">
      <c r="A21" s="3" t="s">
        <v>82</v>
      </c>
      <c r="B21" s="19">
        <v>372</v>
      </c>
      <c r="C21" s="2">
        <v>449</v>
      </c>
      <c r="D21" s="2">
        <v>5426</v>
      </c>
      <c r="E21" s="19">
        <v>876</v>
      </c>
      <c r="F21" s="2">
        <v>212</v>
      </c>
      <c r="G21" s="2">
        <v>384</v>
      </c>
      <c r="H21" s="2">
        <v>533</v>
      </c>
      <c r="I21" s="2">
        <v>101</v>
      </c>
      <c r="J21" s="9">
        <f t="shared" si="0"/>
        <v>8353</v>
      </c>
      <c r="K21" s="11"/>
    </row>
    <row r="22" spans="1:11" ht="13.8" x14ac:dyDescent="0.3">
      <c r="A22" s="3" t="s">
        <v>83</v>
      </c>
      <c r="B22" s="19">
        <v>436</v>
      </c>
      <c r="C22" s="2">
        <v>403</v>
      </c>
      <c r="D22" s="2">
        <v>5196</v>
      </c>
      <c r="E22" s="19">
        <v>869</v>
      </c>
      <c r="F22" s="2">
        <v>230</v>
      </c>
      <c r="G22" s="2">
        <v>470</v>
      </c>
      <c r="H22" s="2">
        <v>526</v>
      </c>
      <c r="I22" s="2">
        <v>106</v>
      </c>
      <c r="J22" s="9">
        <f t="shared" si="0"/>
        <v>8236</v>
      </c>
      <c r="K22" s="11"/>
    </row>
    <row r="23" spans="1:11" ht="13.8" x14ac:dyDescent="0.3">
      <c r="A23" s="3" t="s">
        <v>0</v>
      </c>
      <c r="B23" s="19">
        <v>24204</v>
      </c>
      <c r="C23" s="2">
        <v>18966</v>
      </c>
      <c r="D23" s="2">
        <v>234708</v>
      </c>
      <c r="E23" s="19">
        <v>29135</v>
      </c>
      <c r="F23" s="2">
        <v>9500</v>
      </c>
      <c r="G23" s="2">
        <v>31634</v>
      </c>
      <c r="H23" s="2">
        <v>25603</v>
      </c>
      <c r="I23" s="2">
        <v>7870</v>
      </c>
      <c r="J23" s="9">
        <f t="shared" si="0"/>
        <v>381620</v>
      </c>
      <c r="K23" s="11"/>
    </row>
    <row r="24" spans="1:11" ht="13.8" x14ac:dyDescent="0.3">
      <c r="A24" s="3" t="s">
        <v>1</v>
      </c>
      <c r="B24" s="19">
        <v>180</v>
      </c>
      <c r="C24" s="2">
        <v>60</v>
      </c>
      <c r="D24" s="2">
        <v>2096</v>
      </c>
      <c r="E24" s="19">
        <v>136</v>
      </c>
      <c r="F24" s="2">
        <v>28</v>
      </c>
      <c r="G24" s="2">
        <v>145</v>
      </c>
      <c r="H24" s="2">
        <v>128</v>
      </c>
      <c r="I24" s="2">
        <v>52</v>
      </c>
      <c r="J24" s="9">
        <f t="shared" si="0"/>
        <v>2825</v>
      </c>
      <c r="K24" s="11"/>
    </row>
    <row r="25" spans="1:11" ht="13.8" x14ac:dyDescent="0.3">
      <c r="A25" s="3" t="s">
        <v>12</v>
      </c>
      <c r="B25" s="20">
        <v>49</v>
      </c>
      <c r="C25" s="4">
        <v>17</v>
      </c>
      <c r="D25" s="2">
        <v>395</v>
      </c>
      <c r="E25" s="19">
        <v>47</v>
      </c>
      <c r="F25" s="2">
        <v>20</v>
      </c>
      <c r="G25" s="2">
        <v>41</v>
      </c>
      <c r="H25" s="2">
        <v>14</v>
      </c>
      <c r="I25" s="2">
        <v>8</v>
      </c>
      <c r="J25" s="9">
        <f t="shared" si="0"/>
        <v>591</v>
      </c>
      <c r="K25" s="11"/>
    </row>
    <row r="26" spans="1:11" ht="13.8" x14ac:dyDescent="0.3">
      <c r="A26" s="12" t="s">
        <v>2</v>
      </c>
      <c r="B26" s="2">
        <f>SUM(SupremeCourtJusticeJudicialDistrict7General[Cayuga County Vote Results])</f>
        <v>148404</v>
      </c>
      <c r="C26" s="2">
        <f>SUM(SupremeCourtJusticeJudicialDistrict7General[Livingston County Vote Results])</f>
        <v>126376</v>
      </c>
      <c r="D26" s="2">
        <f>SUM(SupremeCourtJusticeJudicialDistrict7General[Monroe County Vote Results])</f>
        <v>1529136</v>
      </c>
      <c r="E26" s="19">
        <f>SUM(SupremeCourtJusticeJudicialDistrict7General[Ontario County Vote Results])</f>
        <v>238168</v>
      </c>
      <c r="F26" s="2">
        <f>SUM(SupremeCourtJusticeJudicialDistrict7General[Seneca County Vote Results])</f>
        <v>62872</v>
      </c>
      <c r="G26" s="2">
        <f>SUM(SupremeCourtJusticeJudicialDistrict7General[Steuben County Vote Results])</f>
        <v>185684</v>
      </c>
      <c r="H26" s="2">
        <f>SUM(SupremeCourtJusticeJudicialDistrict7General[Wayne County Vote Results])</f>
        <v>180124</v>
      </c>
      <c r="I26" s="2">
        <f>SUM(SupremeCourtJusticeJudicialDistrict7General[Yates County Vote Results])</f>
        <v>43008</v>
      </c>
      <c r="J26" s="9">
        <f>SUM(SupremeCourtJusticeJudicialDistrict7General[Total Votes by Party])</f>
        <v>2513772</v>
      </c>
      <c r="K26" s="11"/>
    </row>
  </sheetData>
  <pageMargins left="0.25" right="0.25" top="0.25" bottom="0.25" header="0.25" footer="0.25"/>
  <pageSetup paperSize="5" scale="86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F4D4F-8F8C-40EE-96A4-816A95CE2593}">
  <sheetPr>
    <pageSetUpPr fitToPage="1"/>
  </sheetPr>
  <dimension ref="A1:K11"/>
  <sheetViews>
    <sheetView zoomScaleNormal="100" zoomScaleSheetLayoutView="90" workbookViewId="0">
      <selection sqref="A1:XFD1048576"/>
    </sheetView>
  </sheetViews>
  <sheetFormatPr defaultRowHeight="13.2" x14ac:dyDescent="0.25"/>
  <cols>
    <col min="1" max="1" width="25.5546875" customWidth="1"/>
    <col min="2" max="11" width="17.6640625" customWidth="1"/>
    <col min="12" max="13" width="23.5546875" customWidth="1"/>
  </cols>
  <sheetData>
    <row r="1" spans="1:11" ht="24.9" customHeight="1" x14ac:dyDescent="0.25">
      <c r="A1" s="35" t="s">
        <v>84</v>
      </c>
      <c r="B1" s="29"/>
      <c r="C1" s="29"/>
      <c r="D1" s="29"/>
    </row>
    <row r="2" spans="1:11" ht="27.6" x14ac:dyDescent="0.25">
      <c r="A2" s="5" t="s">
        <v>6</v>
      </c>
      <c r="B2" s="6" t="s">
        <v>85</v>
      </c>
      <c r="C2" s="6" t="s">
        <v>86</v>
      </c>
      <c r="D2" s="6" t="s">
        <v>87</v>
      </c>
      <c r="E2" s="6" t="s">
        <v>88</v>
      </c>
      <c r="F2" s="6" t="s">
        <v>89</v>
      </c>
      <c r="G2" s="6" t="s">
        <v>90</v>
      </c>
      <c r="H2" s="6" t="s">
        <v>91</v>
      </c>
      <c r="I2" s="6" t="s">
        <v>92</v>
      </c>
      <c r="J2" s="7" t="s">
        <v>3</v>
      </c>
      <c r="K2" s="8" t="s">
        <v>4</v>
      </c>
    </row>
    <row r="3" spans="1:11" ht="13.8" x14ac:dyDescent="0.3">
      <c r="A3" s="1" t="s">
        <v>93</v>
      </c>
      <c r="B3" s="2">
        <v>5457</v>
      </c>
      <c r="C3" s="2">
        <v>11167</v>
      </c>
      <c r="D3" s="2">
        <v>21934</v>
      </c>
      <c r="E3" s="2">
        <v>243423</v>
      </c>
      <c r="F3" s="2">
        <v>8482</v>
      </c>
      <c r="G3" s="2">
        <v>42158</v>
      </c>
      <c r="H3" s="2">
        <v>4786</v>
      </c>
      <c r="I3" s="2">
        <v>4808</v>
      </c>
      <c r="J3" s="9">
        <f>SUM(SupremeCourtJusticeJudicialDistrict8General[[#This Row],[Allegany County Vote Results]:[Wyoming County Vote Results]])</f>
        <v>342215</v>
      </c>
      <c r="K3" s="10">
        <f>SUM(SupremeCourtJusticeJudicialDistrict8General[[#This Row],[Total Votes by Party]],J6)</f>
        <v>381965</v>
      </c>
    </row>
    <row r="4" spans="1:11" ht="13.8" x14ac:dyDescent="0.3">
      <c r="A4" s="1" t="s">
        <v>94</v>
      </c>
      <c r="B4" s="2">
        <v>12344</v>
      </c>
      <c r="C4" s="2">
        <v>17939</v>
      </c>
      <c r="D4" s="2">
        <v>27192</v>
      </c>
      <c r="E4" s="2">
        <v>146986</v>
      </c>
      <c r="F4" s="2">
        <v>15243</v>
      </c>
      <c r="G4" s="2">
        <v>41574</v>
      </c>
      <c r="H4" s="2">
        <v>9641</v>
      </c>
      <c r="I4" s="2">
        <v>11425</v>
      </c>
      <c r="J4" s="9">
        <f>SUM(SupremeCourtJusticeJudicialDistrict8General[[#This Row],[Allegany County Vote Results]:[Wyoming County Vote Results]])</f>
        <v>282344</v>
      </c>
      <c r="K4" s="10">
        <f>SUM(SupremeCourtJusticeJudicialDistrict8General[[#This Row],[Total Votes by Party]],J5,J7)</f>
        <v>337856</v>
      </c>
    </row>
    <row r="5" spans="1:11" ht="13.8" x14ac:dyDescent="0.3">
      <c r="A5" s="1" t="s">
        <v>95</v>
      </c>
      <c r="B5" s="2">
        <v>1090</v>
      </c>
      <c r="C5" s="2">
        <v>1907</v>
      </c>
      <c r="D5" s="2">
        <v>3590</v>
      </c>
      <c r="E5" s="2">
        <v>27836</v>
      </c>
      <c r="F5" s="2">
        <v>2062</v>
      </c>
      <c r="G5" s="2">
        <v>7002</v>
      </c>
      <c r="H5" s="2">
        <v>1242</v>
      </c>
      <c r="I5" s="2">
        <v>1417</v>
      </c>
      <c r="J5" s="9">
        <f>SUM(SupremeCourtJusticeJudicialDistrict8General[[#This Row],[Allegany County Vote Results]:[Wyoming County Vote Results]])</f>
        <v>46146</v>
      </c>
      <c r="K5" s="11"/>
    </row>
    <row r="6" spans="1:11" ht="13.8" x14ac:dyDescent="0.3">
      <c r="A6" s="1" t="s">
        <v>96</v>
      </c>
      <c r="B6" s="2">
        <v>693</v>
      </c>
      <c r="C6" s="2">
        <v>1409</v>
      </c>
      <c r="D6" s="2">
        <v>2833</v>
      </c>
      <c r="E6" s="2">
        <v>27229</v>
      </c>
      <c r="F6" s="2">
        <v>1120</v>
      </c>
      <c r="G6" s="2">
        <v>5059</v>
      </c>
      <c r="H6" s="2">
        <v>630</v>
      </c>
      <c r="I6" s="2">
        <v>777</v>
      </c>
      <c r="J6" s="9">
        <f>SUM(SupremeCourtJusticeJudicialDistrict8General[[#This Row],[Allegany County Vote Results]:[Wyoming County Vote Results]])</f>
        <v>39750</v>
      </c>
      <c r="K6" s="11"/>
    </row>
    <row r="7" spans="1:11" ht="13.8" x14ac:dyDescent="0.3">
      <c r="A7" s="1" t="s">
        <v>97</v>
      </c>
      <c r="B7" s="2">
        <v>218</v>
      </c>
      <c r="C7" s="2">
        <v>402</v>
      </c>
      <c r="D7" s="2">
        <v>725</v>
      </c>
      <c r="E7" s="2">
        <v>5735</v>
      </c>
      <c r="F7" s="2">
        <v>400</v>
      </c>
      <c r="G7" s="2">
        <v>1462</v>
      </c>
      <c r="H7" s="2">
        <v>211</v>
      </c>
      <c r="I7" s="2">
        <v>213</v>
      </c>
      <c r="J7" s="9">
        <f>SUM(SupremeCourtJusticeJudicialDistrict8General[[#This Row],[Allegany County Vote Results]:[Wyoming County Vote Results]])</f>
        <v>9366</v>
      </c>
      <c r="K7" s="11"/>
    </row>
    <row r="8" spans="1:11" ht="13.8" x14ac:dyDescent="0.3">
      <c r="A8" s="3" t="s">
        <v>0</v>
      </c>
      <c r="B8" s="2">
        <v>1085</v>
      </c>
      <c r="C8" s="2">
        <v>2083</v>
      </c>
      <c r="D8" s="2">
        <v>3314</v>
      </c>
      <c r="E8" s="2">
        <v>23378</v>
      </c>
      <c r="F8" s="2">
        <v>2092</v>
      </c>
      <c r="G8" s="2">
        <v>7114</v>
      </c>
      <c r="H8" s="2">
        <v>1792</v>
      </c>
      <c r="I8" s="2">
        <v>778</v>
      </c>
      <c r="J8" s="9">
        <f>SUM(SupremeCourtJusticeJudicialDistrict8General[[#This Row],[Allegany County Vote Results]:[Wyoming County Vote Results]])</f>
        <v>41636</v>
      </c>
      <c r="K8" s="11"/>
    </row>
    <row r="9" spans="1:11" ht="13.8" x14ac:dyDescent="0.3">
      <c r="A9" s="3" t="s">
        <v>1</v>
      </c>
      <c r="B9" s="2">
        <v>4</v>
      </c>
      <c r="C9" s="2">
        <v>29</v>
      </c>
      <c r="D9" s="2">
        <v>31</v>
      </c>
      <c r="E9" s="2">
        <v>154</v>
      </c>
      <c r="F9" s="2">
        <v>22</v>
      </c>
      <c r="G9" s="2">
        <v>24</v>
      </c>
      <c r="H9" s="2">
        <v>9</v>
      </c>
      <c r="I9" s="2">
        <v>0</v>
      </c>
      <c r="J9" s="9">
        <f>SUM(SupremeCourtJusticeJudicialDistrict8General[[#This Row],[Allegany County Vote Results]:[Wyoming County Vote Results]])</f>
        <v>273</v>
      </c>
      <c r="K9" s="11"/>
    </row>
    <row r="10" spans="1:11" ht="13.8" x14ac:dyDescent="0.3">
      <c r="A10" s="3" t="s">
        <v>12</v>
      </c>
      <c r="B10" s="2">
        <v>4</v>
      </c>
      <c r="C10" s="2">
        <v>2</v>
      </c>
      <c r="D10" s="2">
        <v>31</v>
      </c>
      <c r="E10" s="2">
        <v>359</v>
      </c>
      <c r="F10" s="2">
        <v>10</v>
      </c>
      <c r="G10" s="2">
        <v>30</v>
      </c>
      <c r="H10" s="2">
        <v>3</v>
      </c>
      <c r="I10" s="2">
        <v>3</v>
      </c>
      <c r="J10" s="9">
        <f>SUM(SupremeCourtJusticeJudicialDistrict8General[[#This Row],[Allegany County Vote Results]:[Wyoming County Vote Results]])</f>
        <v>442</v>
      </c>
      <c r="K10" s="11"/>
    </row>
    <row r="11" spans="1:11" ht="13.8" x14ac:dyDescent="0.3">
      <c r="A11" s="12" t="s">
        <v>2</v>
      </c>
      <c r="B11" s="2">
        <f>SUM(SupremeCourtJusticeJudicialDistrict8General[Allegany County Vote Results])</f>
        <v>20895</v>
      </c>
      <c r="C11" s="2">
        <f>SUM(SupremeCourtJusticeJudicialDistrict8General[Cattaraugus County Vote Results])</f>
        <v>34938</v>
      </c>
      <c r="D11" s="2">
        <f>SUM(SupremeCourtJusticeJudicialDistrict8General[Chautauqua County Vote Results])</f>
        <v>59650</v>
      </c>
      <c r="E11" s="2">
        <f>SUM(SupremeCourtJusticeJudicialDistrict8General[Erie County Vote Results])</f>
        <v>475100</v>
      </c>
      <c r="F11" s="2">
        <f>SUM(SupremeCourtJusticeJudicialDistrict8General[Genesee County Vote Results])</f>
        <v>29431</v>
      </c>
      <c r="G11" s="2">
        <f>SUM(SupremeCourtJusticeJudicialDistrict8General[Niagara County Vote Results])</f>
        <v>104423</v>
      </c>
      <c r="H11" s="2">
        <f>SUM(SupremeCourtJusticeJudicialDistrict8General[Orleans County Vote Results])</f>
        <v>18314</v>
      </c>
      <c r="I11" s="2">
        <f>SUM(SupremeCourtJusticeJudicialDistrict8General[Wyoming County Vote Results])</f>
        <v>19421</v>
      </c>
      <c r="J11" s="9">
        <f>SUM(SupremeCourtJusticeJudicialDistrict8General[Total Votes by Party])</f>
        <v>762172</v>
      </c>
      <c r="K11" s="11"/>
    </row>
  </sheetData>
  <pageMargins left="0.25" right="0.25" top="0.25" bottom="0.25" header="0.25" footer="0.25"/>
  <pageSetup paperSize="5" scale="86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CADC0-968C-457A-9196-665DB14A9828}">
  <sheetPr>
    <pageSetUpPr fitToPage="1"/>
  </sheetPr>
  <dimension ref="A1:H18"/>
  <sheetViews>
    <sheetView zoomScaleNormal="100" zoomScaleSheetLayoutView="90" workbookViewId="0">
      <selection activeCell="B25" sqref="B25"/>
    </sheetView>
  </sheetViews>
  <sheetFormatPr defaultRowHeight="13.2" x14ac:dyDescent="0.25"/>
  <cols>
    <col min="1" max="1" width="25.5546875" customWidth="1"/>
    <col min="2" max="8" width="20.5546875" customWidth="1"/>
    <col min="9" max="10" width="23.5546875" customWidth="1"/>
  </cols>
  <sheetData>
    <row r="1" spans="1:8" ht="24.9" customHeight="1" x14ac:dyDescent="0.25">
      <c r="A1" s="35" t="s">
        <v>98</v>
      </c>
    </row>
    <row r="2" spans="1:8" ht="27.6" x14ac:dyDescent="0.25">
      <c r="A2" s="5" t="s">
        <v>6</v>
      </c>
      <c r="B2" s="6" t="s">
        <v>99</v>
      </c>
      <c r="C2" s="6" t="s">
        <v>100</v>
      </c>
      <c r="D2" s="6" t="s">
        <v>101</v>
      </c>
      <c r="E2" s="6" t="s">
        <v>102</v>
      </c>
      <c r="F2" s="6" t="s">
        <v>103</v>
      </c>
      <c r="G2" s="7" t="s">
        <v>3</v>
      </c>
      <c r="H2" s="8" t="s">
        <v>4</v>
      </c>
    </row>
    <row r="3" spans="1:8" ht="13.8" x14ac:dyDescent="0.3">
      <c r="A3" s="1" t="s">
        <v>104</v>
      </c>
      <c r="B3" s="19">
        <v>68079</v>
      </c>
      <c r="C3" s="2">
        <v>74507</v>
      </c>
      <c r="D3" s="2">
        <v>21432</v>
      </c>
      <c r="E3" s="19">
        <v>68669</v>
      </c>
      <c r="F3" s="19">
        <v>257503</v>
      </c>
      <c r="G3" s="9">
        <f>SUM(SupremeCourtJusticeJudicialDistrict9General[[#This Row],[Dutchess County Vote Results]:[Westchester County Vote Results]])</f>
        <v>490190</v>
      </c>
      <c r="H3" s="10">
        <f>SUM(SupremeCourtJusticeJudicialDistrict9General[[#This Row],[Total Votes by Party]])</f>
        <v>490190</v>
      </c>
    </row>
    <row r="4" spans="1:8" ht="13.8" x14ac:dyDescent="0.3">
      <c r="A4" s="1" t="s">
        <v>105</v>
      </c>
      <c r="B4" s="19">
        <v>68660</v>
      </c>
      <c r="C4" s="2">
        <v>75854</v>
      </c>
      <c r="D4" s="2">
        <v>22162</v>
      </c>
      <c r="E4" s="19">
        <v>68971</v>
      </c>
      <c r="F4" s="19">
        <v>270033</v>
      </c>
      <c r="G4" s="9">
        <f>SUM(SupremeCourtJusticeJudicialDistrict9General[[#This Row],[Dutchess County Vote Results]:[Westchester County Vote Results]])</f>
        <v>505680</v>
      </c>
      <c r="H4" s="10">
        <f>SUM(SupremeCourtJusticeJudicialDistrict9General[[#This Row],[Total Votes by Party]],G12)</f>
        <v>557929</v>
      </c>
    </row>
    <row r="5" spans="1:8" ht="13.8" x14ac:dyDescent="0.3">
      <c r="A5" s="1" t="s">
        <v>106</v>
      </c>
      <c r="B5" s="19">
        <v>62263</v>
      </c>
      <c r="C5" s="2">
        <v>63382</v>
      </c>
      <c r="D5" s="2">
        <v>20465</v>
      </c>
      <c r="E5" s="19">
        <v>63908</v>
      </c>
      <c r="F5" s="19">
        <v>247184</v>
      </c>
      <c r="G5" s="9">
        <f>SUM(SupremeCourtJusticeJudicialDistrict9General[[#This Row],[Dutchess County Vote Results]:[Westchester County Vote Results]])</f>
        <v>457202</v>
      </c>
      <c r="H5" s="10">
        <f>SUM(SupremeCourtJusticeJudicialDistrict9General[[#This Row],[Total Votes by Party]],G13)</f>
        <v>500667</v>
      </c>
    </row>
    <row r="6" spans="1:8" ht="13.8" x14ac:dyDescent="0.3">
      <c r="A6" s="1" t="s">
        <v>107</v>
      </c>
      <c r="B6" s="19">
        <v>62906</v>
      </c>
      <c r="C6" s="2">
        <v>68376</v>
      </c>
      <c r="D6" s="2">
        <v>20526</v>
      </c>
      <c r="E6" s="19">
        <v>64737</v>
      </c>
      <c r="F6" s="19">
        <v>251238</v>
      </c>
      <c r="G6" s="9">
        <f>SUM(SupremeCourtJusticeJudicialDistrict9General[[#This Row],[Dutchess County Vote Results]:[Westchester County Vote Results]])</f>
        <v>467783</v>
      </c>
      <c r="H6" s="10">
        <f>SUM(SupremeCourtJusticeJudicialDistrict9General[[#This Row],[Total Votes by Party]],G10,G14)</f>
        <v>810298</v>
      </c>
    </row>
    <row r="7" spans="1:8" ht="13.8" x14ac:dyDescent="0.3">
      <c r="A7" s="1" t="s">
        <v>108</v>
      </c>
      <c r="B7" s="19">
        <v>54659</v>
      </c>
      <c r="C7" s="2">
        <v>67144</v>
      </c>
      <c r="D7" s="2">
        <v>24019</v>
      </c>
      <c r="E7" s="19">
        <v>54190</v>
      </c>
      <c r="F7" s="19">
        <v>122466</v>
      </c>
      <c r="G7" s="9">
        <f>SUM(SupremeCourtJusticeJudicialDistrict9General[[#This Row],[Dutchess County Vote Results]:[Westchester County Vote Results]])</f>
        <v>322478</v>
      </c>
      <c r="H7" s="10">
        <f>SUM(SupremeCourtJusticeJudicialDistrict9General[[#This Row],[Total Votes by Party]],G11)</f>
        <v>366528</v>
      </c>
    </row>
    <row r="8" spans="1:8" ht="13.8" x14ac:dyDescent="0.3">
      <c r="A8" s="1" t="s">
        <v>109</v>
      </c>
      <c r="B8" s="19">
        <v>51722</v>
      </c>
      <c r="C8" s="2">
        <v>59611</v>
      </c>
      <c r="D8" s="2">
        <v>22828</v>
      </c>
      <c r="E8" s="19">
        <v>51815</v>
      </c>
      <c r="F8" s="19">
        <v>117352</v>
      </c>
      <c r="G8" s="9">
        <f>SUM(SupremeCourtJusticeJudicialDistrict9General[[#This Row],[Dutchess County Vote Results]:[Westchester County Vote Results]])</f>
        <v>303328</v>
      </c>
      <c r="H8" s="10">
        <f>SUM(SupremeCourtJusticeJudicialDistrict9General[[#This Row],[Total Votes by Party]])</f>
        <v>303328</v>
      </c>
    </row>
    <row r="9" spans="1:8" ht="13.8" x14ac:dyDescent="0.3">
      <c r="A9" s="1" t="s">
        <v>110</v>
      </c>
      <c r="B9" s="19">
        <v>51726</v>
      </c>
      <c r="C9" s="2">
        <v>64607</v>
      </c>
      <c r="D9" s="2">
        <v>23114</v>
      </c>
      <c r="E9" s="19">
        <v>52006</v>
      </c>
      <c r="F9" s="19">
        <v>118200</v>
      </c>
      <c r="G9" s="9">
        <f>SUM(SupremeCourtJusticeJudicialDistrict9General[[#This Row],[Dutchess County Vote Results]:[Westchester County Vote Results]])</f>
        <v>309653</v>
      </c>
      <c r="H9" s="10">
        <f>SUM(SupremeCourtJusticeJudicialDistrict9General[[#This Row],[Total Votes by Party]])</f>
        <v>309653</v>
      </c>
    </row>
    <row r="10" spans="1:8" ht="13.8" x14ac:dyDescent="0.3">
      <c r="A10" s="1" t="s">
        <v>111</v>
      </c>
      <c r="B10" s="19">
        <v>50661</v>
      </c>
      <c r="C10" s="2">
        <v>57922</v>
      </c>
      <c r="D10" s="2">
        <v>22775</v>
      </c>
      <c r="E10" s="19">
        <v>51356</v>
      </c>
      <c r="F10" s="19">
        <v>116288</v>
      </c>
      <c r="G10" s="9">
        <f>SUM(SupremeCourtJusticeJudicialDistrict9General[[#This Row],[Dutchess County Vote Results]:[Westchester County Vote Results]])</f>
        <v>299002</v>
      </c>
      <c r="H10" s="11"/>
    </row>
    <row r="11" spans="1:8" ht="13.8" x14ac:dyDescent="0.3">
      <c r="A11" s="1" t="s">
        <v>112</v>
      </c>
      <c r="B11" s="19">
        <v>8340</v>
      </c>
      <c r="C11" s="2">
        <v>9277</v>
      </c>
      <c r="D11" s="2">
        <v>3390</v>
      </c>
      <c r="E11" s="19">
        <v>6933</v>
      </c>
      <c r="F11" s="19">
        <v>16110</v>
      </c>
      <c r="G11" s="9">
        <f>SUM(SupremeCourtJusticeJudicialDistrict9General[[#This Row],[Dutchess County Vote Results]:[Westchester County Vote Results]])</f>
        <v>44050</v>
      </c>
      <c r="H11" s="11"/>
    </row>
    <row r="12" spans="1:8" ht="13.8" x14ac:dyDescent="0.3">
      <c r="A12" s="1" t="s">
        <v>113</v>
      </c>
      <c r="B12" s="19">
        <v>9285</v>
      </c>
      <c r="C12" s="2">
        <v>10057</v>
      </c>
      <c r="D12" s="2">
        <v>3953</v>
      </c>
      <c r="E12" s="19">
        <v>9034</v>
      </c>
      <c r="F12" s="19">
        <v>19920</v>
      </c>
      <c r="G12" s="9">
        <f>SUM(SupremeCourtJusticeJudicialDistrict9General[[#This Row],[Dutchess County Vote Results]:[Westchester County Vote Results]])</f>
        <v>52249</v>
      </c>
      <c r="H12" s="11"/>
    </row>
    <row r="13" spans="1:8" ht="13.8" x14ac:dyDescent="0.3">
      <c r="A13" s="1" t="s">
        <v>114</v>
      </c>
      <c r="B13" s="19">
        <v>7636</v>
      </c>
      <c r="C13" s="2">
        <v>7991</v>
      </c>
      <c r="D13" s="2">
        <v>3439</v>
      </c>
      <c r="E13" s="19">
        <v>7834</v>
      </c>
      <c r="F13" s="19">
        <v>16565</v>
      </c>
      <c r="G13" s="9">
        <f>SUM(SupremeCourtJusticeJudicialDistrict9General[[#This Row],[Dutchess County Vote Results]:[Westchester County Vote Results]])</f>
        <v>43465</v>
      </c>
      <c r="H13" s="11"/>
    </row>
    <row r="14" spans="1:8" ht="13.8" x14ac:dyDescent="0.3">
      <c r="A14" s="1" t="s">
        <v>115</v>
      </c>
      <c r="B14" s="19">
        <v>8013</v>
      </c>
      <c r="C14" s="2">
        <v>8338</v>
      </c>
      <c r="D14" s="2">
        <v>3365</v>
      </c>
      <c r="E14" s="19">
        <v>8015</v>
      </c>
      <c r="F14" s="19">
        <v>15782</v>
      </c>
      <c r="G14" s="9">
        <f>SUM(SupremeCourtJusticeJudicialDistrict9General[[#This Row],[Dutchess County Vote Results]:[Westchester County Vote Results]])</f>
        <v>43513</v>
      </c>
      <c r="H14" s="11"/>
    </row>
    <row r="15" spans="1:8" ht="13.8" x14ac:dyDescent="0.3">
      <c r="A15" s="3" t="s">
        <v>0</v>
      </c>
      <c r="B15" s="19">
        <v>100705</v>
      </c>
      <c r="C15" s="2">
        <v>127813</v>
      </c>
      <c r="D15" s="2">
        <v>29716</v>
      </c>
      <c r="E15" s="19">
        <v>97192</v>
      </c>
      <c r="F15" s="19">
        <v>305904</v>
      </c>
      <c r="G15" s="9">
        <f>SUM(SupremeCourtJusticeJudicialDistrict9General[[#This Row],[Dutchess County Vote Results]:[Westchester County Vote Results]])</f>
        <v>661330</v>
      </c>
      <c r="H15" s="11"/>
    </row>
    <row r="16" spans="1:8" ht="13.8" x14ac:dyDescent="0.3">
      <c r="A16" s="3" t="s">
        <v>1</v>
      </c>
      <c r="B16" s="19">
        <f>576+128</f>
        <v>704</v>
      </c>
      <c r="C16" s="2">
        <v>230</v>
      </c>
      <c r="D16" s="2">
        <v>0</v>
      </c>
      <c r="E16" s="19">
        <v>508</v>
      </c>
      <c r="F16" s="19"/>
      <c r="G16" s="9">
        <f>SUM(SupremeCourtJusticeJudicialDistrict9General[[#This Row],[Dutchess County Vote Results]:[Westchester County Vote Results]])</f>
        <v>1442</v>
      </c>
      <c r="H16" s="11"/>
    </row>
    <row r="17" spans="1:8" ht="13.8" x14ac:dyDescent="0.3">
      <c r="A17" s="3" t="s">
        <v>12</v>
      </c>
      <c r="B17" s="19">
        <v>101</v>
      </c>
      <c r="C17" s="2">
        <v>263</v>
      </c>
      <c r="D17" s="2">
        <v>96</v>
      </c>
      <c r="E17" s="19">
        <v>356</v>
      </c>
      <c r="F17" s="19">
        <v>547</v>
      </c>
      <c r="G17" s="9">
        <f>SUM(SupremeCourtJusticeJudicialDistrict9General[[#This Row],[Dutchess County Vote Results]:[Westchester County Vote Results]])</f>
        <v>1363</v>
      </c>
      <c r="H17" s="11"/>
    </row>
    <row r="18" spans="1:8" ht="13.8" x14ac:dyDescent="0.3">
      <c r="A18" s="12" t="s">
        <v>2</v>
      </c>
      <c r="B18" s="19">
        <f>SUM(SupremeCourtJusticeJudicialDistrict9General[Dutchess County Vote Results])</f>
        <v>605460</v>
      </c>
      <c r="C18" s="2">
        <f>SUM(SupremeCourtJusticeJudicialDistrict9General[Orange County Vote Results])</f>
        <v>695372</v>
      </c>
      <c r="D18" s="2">
        <f>SUM(SupremeCourtJusticeJudicialDistrict9General[Putnam County Vote Results])</f>
        <v>221280</v>
      </c>
      <c r="E18" s="19">
        <f>SUM(SupremeCourtJusticeJudicialDistrict9General[Rockland County Vote Results])</f>
        <v>605524</v>
      </c>
      <c r="F18" s="2">
        <f>SUM(SupremeCourtJusticeJudicialDistrict9General[Westchester County Vote Results])</f>
        <v>1875092</v>
      </c>
      <c r="G18" s="9">
        <f>SUM(SupremeCourtJusticeJudicialDistrict9General[Total Votes by Party])</f>
        <v>4002728</v>
      </c>
      <c r="H18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DE47-0CF6-4DB4-B51C-96037B053BC1}">
  <sheetPr>
    <pageSetUpPr fitToPage="1"/>
  </sheetPr>
  <dimension ref="A1:E42"/>
  <sheetViews>
    <sheetView zoomScaleNormal="100" zoomScaleSheetLayoutView="90" workbookViewId="0">
      <selection activeCell="H24" sqref="H24"/>
    </sheetView>
  </sheetViews>
  <sheetFormatPr defaultRowHeight="13.2" x14ac:dyDescent="0.25"/>
  <cols>
    <col min="1" max="1" width="25.5546875" customWidth="1"/>
    <col min="2" max="5" width="20.5546875" customWidth="1"/>
    <col min="6" max="7" width="23.5546875" customWidth="1"/>
  </cols>
  <sheetData>
    <row r="1" spans="1:5" ht="24.9" customHeight="1" x14ac:dyDescent="0.25">
      <c r="A1" s="35" t="s">
        <v>116</v>
      </c>
    </row>
    <row r="2" spans="1:5" ht="27.6" x14ac:dyDescent="0.25">
      <c r="A2" s="5" t="s">
        <v>6</v>
      </c>
      <c r="B2" s="6" t="s">
        <v>117</v>
      </c>
      <c r="C2" s="6" t="s">
        <v>118</v>
      </c>
      <c r="D2" s="7" t="s">
        <v>3</v>
      </c>
      <c r="E2" s="8" t="s">
        <v>4</v>
      </c>
    </row>
    <row r="3" spans="1:5" ht="13.8" x14ac:dyDescent="0.3">
      <c r="A3" s="1" t="s">
        <v>119</v>
      </c>
      <c r="B3" s="19">
        <v>330379</v>
      </c>
      <c r="C3" s="19">
        <v>312761</v>
      </c>
      <c r="D3" s="9">
        <f>SUM(SupremeCourtJusticeJudicialDistrict10General[[#This Row],[Nassau County Vote Results]:[Suffolk County Vote Results]])</f>
        <v>643140</v>
      </c>
      <c r="E3" s="10">
        <f>SUM(SupremeCourtJusticeJudicialDistrict10General[[#This Row],[Total Votes by Party]],D11,D19,D27)</f>
        <v>1288699</v>
      </c>
    </row>
    <row r="4" spans="1:5" ht="13.8" x14ac:dyDescent="0.3">
      <c r="A4" s="1" t="s">
        <v>120</v>
      </c>
      <c r="B4" s="19">
        <v>309828</v>
      </c>
      <c r="C4" s="19">
        <v>286258</v>
      </c>
      <c r="D4" s="9">
        <f>SUM(SupremeCourtJusticeJudicialDistrict10General[[#This Row],[Nassau County Vote Results]:[Suffolk County Vote Results]])</f>
        <v>596086</v>
      </c>
      <c r="E4" s="10">
        <f>SUM(SupremeCourtJusticeJudicialDistrict10General[[#This Row],[Total Votes by Party]],D12,D20)</f>
        <v>1207791</v>
      </c>
    </row>
    <row r="5" spans="1:5" ht="13.8" x14ac:dyDescent="0.3">
      <c r="A5" s="1" t="s">
        <v>121</v>
      </c>
      <c r="B5" s="19">
        <v>311914</v>
      </c>
      <c r="C5" s="19">
        <v>288480</v>
      </c>
      <c r="D5" s="9">
        <f>SUM(SupremeCourtJusticeJudicialDistrict10General[[#This Row],[Nassau County Vote Results]:[Suffolk County Vote Results]])</f>
        <v>600394</v>
      </c>
      <c r="E5" s="10">
        <f>SUM(SupremeCourtJusticeJudicialDistrict10General[[#This Row],[Total Votes by Party]],D13,D21,D29)</f>
        <v>1227118</v>
      </c>
    </row>
    <row r="6" spans="1:5" ht="13.8" x14ac:dyDescent="0.3">
      <c r="A6" s="1" t="s">
        <v>122</v>
      </c>
      <c r="B6" s="19">
        <v>315968</v>
      </c>
      <c r="C6" s="19">
        <v>290574</v>
      </c>
      <c r="D6" s="9">
        <f>SUM(SupremeCourtJusticeJudicialDistrict10General[[#This Row],[Nassau County Vote Results]:[Suffolk County Vote Results]])</f>
        <v>606542</v>
      </c>
      <c r="E6" s="10">
        <f>SUM(SupremeCourtJusticeJudicialDistrict10General[[#This Row],[Total Votes by Party]],D14,D22,)</f>
        <v>1216626</v>
      </c>
    </row>
    <row r="7" spans="1:5" ht="13.8" x14ac:dyDescent="0.3">
      <c r="A7" s="1" t="s">
        <v>123</v>
      </c>
      <c r="B7" s="19">
        <v>315579</v>
      </c>
      <c r="C7" s="19">
        <v>292098</v>
      </c>
      <c r="D7" s="9">
        <f>SUM(SupremeCourtJusticeJudicialDistrict10General[[#This Row],[Nassau County Vote Results]:[Suffolk County Vote Results]])</f>
        <v>607677</v>
      </c>
      <c r="E7" s="10">
        <f>SUM(SupremeCourtJusticeJudicialDistrict10General[[#This Row],[Total Votes by Party]],D15,D23,D31)</f>
        <v>1236228</v>
      </c>
    </row>
    <row r="8" spans="1:5" ht="13.8" x14ac:dyDescent="0.3">
      <c r="A8" s="1" t="s">
        <v>124</v>
      </c>
      <c r="B8" s="19">
        <v>304667</v>
      </c>
      <c r="C8" s="19">
        <v>281641</v>
      </c>
      <c r="D8" s="9">
        <f>SUM(SupremeCourtJusticeJudicialDistrict10General[[#This Row],[Nassau County Vote Results]:[Suffolk County Vote Results]])</f>
        <v>586308</v>
      </c>
      <c r="E8" s="10">
        <f>SUM(SupremeCourtJusticeJudicialDistrict10General[[#This Row],[Total Votes by Party]],D16,D24)</f>
        <v>1197999</v>
      </c>
    </row>
    <row r="9" spans="1:5" ht="13.8" x14ac:dyDescent="0.3">
      <c r="A9" s="1" t="s">
        <v>125</v>
      </c>
      <c r="B9" s="19">
        <v>300124</v>
      </c>
      <c r="C9" s="19">
        <v>280731</v>
      </c>
      <c r="D9" s="9">
        <f>SUM(SupremeCourtJusticeJudicialDistrict10General[[#This Row],[Nassau County Vote Results]:[Suffolk County Vote Results]])</f>
        <v>580855</v>
      </c>
      <c r="E9" s="10">
        <f>SUM(SupremeCourtJusticeJudicialDistrict10General[[#This Row],[Total Votes by Party]],D17,D25,D33)</f>
        <v>1204828</v>
      </c>
    </row>
    <row r="10" spans="1:5" ht="13.8" x14ac:dyDescent="0.3">
      <c r="A10" s="1" t="s">
        <v>126</v>
      </c>
      <c r="B10" s="19">
        <v>287111</v>
      </c>
      <c r="C10" s="19">
        <v>268251</v>
      </c>
      <c r="D10" s="9">
        <f>SUM(SupremeCourtJusticeJudicialDistrict10General[[#This Row],[Nassau County Vote Results]:[Suffolk County Vote Results]])</f>
        <v>555362</v>
      </c>
      <c r="E10" s="10">
        <f>SUM(SupremeCourtJusticeJudicialDistrict10General[[#This Row],[Total Votes by Party]],D18,D26)</f>
        <v>1141247</v>
      </c>
    </row>
    <row r="11" spans="1:5" ht="13.8" x14ac:dyDescent="0.3">
      <c r="A11" s="1" t="s">
        <v>127</v>
      </c>
      <c r="B11" s="19">
        <v>269706</v>
      </c>
      <c r="C11" s="19">
        <v>294716</v>
      </c>
      <c r="D11" s="9">
        <f>SUM(SupremeCourtJusticeJudicialDistrict10General[[#This Row],[Nassau County Vote Results]:[Suffolk County Vote Results]])</f>
        <v>564422</v>
      </c>
      <c r="E11" s="11"/>
    </row>
    <row r="12" spans="1:5" ht="13.8" x14ac:dyDescent="0.3">
      <c r="A12" s="1" t="s">
        <v>128</v>
      </c>
      <c r="B12" s="19">
        <v>264204</v>
      </c>
      <c r="C12" s="19">
        <v>282467</v>
      </c>
      <c r="D12" s="9">
        <f>SUM(SupremeCourtJusticeJudicialDistrict10General[[#This Row],[Nassau County Vote Results]:[Suffolk County Vote Results]])</f>
        <v>546671</v>
      </c>
      <c r="E12" s="11"/>
    </row>
    <row r="13" spans="1:5" ht="13.8" x14ac:dyDescent="0.3">
      <c r="A13" s="1" t="s">
        <v>129</v>
      </c>
      <c r="B13" s="19">
        <v>262798</v>
      </c>
      <c r="C13" s="19">
        <v>281103</v>
      </c>
      <c r="D13" s="9">
        <f>SUM(SupremeCourtJusticeJudicialDistrict10General[[#This Row],[Nassau County Vote Results]:[Suffolk County Vote Results]])</f>
        <v>543901</v>
      </c>
      <c r="E13" s="11"/>
    </row>
    <row r="14" spans="1:5" ht="13.8" x14ac:dyDescent="0.3">
      <c r="A14" s="1" t="s">
        <v>130</v>
      </c>
      <c r="B14" s="19">
        <v>263901</v>
      </c>
      <c r="C14" s="19">
        <v>280909</v>
      </c>
      <c r="D14" s="9">
        <f>SUM(SupremeCourtJusticeJudicialDistrict10General[[#This Row],[Nassau County Vote Results]:[Suffolk County Vote Results]])</f>
        <v>544810</v>
      </c>
      <c r="E14" s="11"/>
    </row>
    <row r="15" spans="1:5" ht="13.8" x14ac:dyDescent="0.3">
      <c r="A15" s="1" t="s">
        <v>131</v>
      </c>
      <c r="B15" s="19">
        <v>263696</v>
      </c>
      <c r="C15" s="19">
        <v>281894</v>
      </c>
      <c r="D15" s="9">
        <f>SUM(SupremeCourtJusticeJudicialDistrict10General[[#This Row],[Nassau County Vote Results]:[Suffolk County Vote Results]])</f>
        <v>545590</v>
      </c>
      <c r="E15" s="11"/>
    </row>
    <row r="16" spans="1:5" ht="13.8" x14ac:dyDescent="0.3">
      <c r="A16" s="1" t="s">
        <v>132</v>
      </c>
      <c r="B16" s="19">
        <v>263910</v>
      </c>
      <c r="C16" s="19">
        <v>281753</v>
      </c>
      <c r="D16" s="9">
        <f>SUM(SupremeCourtJusticeJudicialDistrict10General[[#This Row],[Nassau County Vote Results]:[Suffolk County Vote Results]])</f>
        <v>545663</v>
      </c>
      <c r="E16" s="11"/>
    </row>
    <row r="17" spans="1:5" ht="13.8" x14ac:dyDescent="0.3">
      <c r="A17" s="1" t="s">
        <v>133</v>
      </c>
      <c r="B17" s="19">
        <v>261814</v>
      </c>
      <c r="C17" s="19">
        <v>281801</v>
      </c>
      <c r="D17" s="9">
        <f>SUM(SupremeCourtJusticeJudicialDistrict10General[[#This Row],[Nassau County Vote Results]:[Suffolk County Vote Results]])</f>
        <v>543615</v>
      </c>
      <c r="E17" s="11"/>
    </row>
    <row r="18" spans="1:5" ht="13.8" x14ac:dyDescent="0.3">
      <c r="A18" s="1" t="s">
        <v>134</v>
      </c>
      <c r="B18" s="19">
        <v>252215</v>
      </c>
      <c r="C18" s="19">
        <v>270297</v>
      </c>
      <c r="D18" s="9">
        <f>SUM(SupremeCourtJusticeJudicialDistrict10General[[#This Row],[Nassau County Vote Results]:[Suffolk County Vote Results]])</f>
        <v>522512</v>
      </c>
      <c r="E18" s="11"/>
    </row>
    <row r="19" spans="1:5" ht="13.8" x14ac:dyDescent="0.3">
      <c r="A19" s="1" t="s">
        <v>135</v>
      </c>
      <c r="B19" s="19">
        <v>25205</v>
      </c>
      <c r="C19" s="19">
        <v>38407</v>
      </c>
      <c r="D19" s="9">
        <f>SUM(SupremeCourtJusticeJudicialDistrict10General[[#This Row],[Nassau County Vote Results]:[Suffolk County Vote Results]])</f>
        <v>63612</v>
      </c>
      <c r="E19" s="11"/>
    </row>
    <row r="20" spans="1:5" ht="13.8" x14ac:dyDescent="0.3">
      <c r="A20" s="1" t="s">
        <v>136</v>
      </c>
      <c r="B20" s="19">
        <v>24981</v>
      </c>
      <c r="C20" s="19">
        <v>40053</v>
      </c>
      <c r="D20" s="9">
        <f>SUM(SupremeCourtJusticeJudicialDistrict10General[[#This Row],[Nassau County Vote Results]:[Suffolk County Vote Results]])</f>
        <v>65034</v>
      </c>
      <c r="E20" s="11"/>
    </row>
    <row r="21" spans="1:5" ht="13.8" x14ac:dyDescent="0.3">
      <c r="A21" s="1" t="s">
        <v>137</v>
      </c>
      <c r="B21" s="19">
        <v>25346</v>
      </c>
      <c r="C21" s="19">
        <v>40308</v>
      </c>
      <c r="D21" s="9">
        <f>SUM(SupremeCourtJusticeJudicialDistrict10General[[#This Row],[Nassau County Vote Results]:[Suffolk County Vote Results]])</f>
        <v>65654</v>
      </c>
      <c r="E21" s="11"/>
    </row>
    <row r="22" spans="1:5" ht="13.8" x14ac:dyDescent="0.3">
      <c r="A22" s="1" t="s">
        <v>138</v>
      </c>
      <c r="B22" s="19">
        <v>25256</v>
      </c>
      <c r="C22" s="19">
        <v>40018</v>
      </c>
      <c r="D22" s="9">
        <f>SUM(SupremeCourtJusticeJudicialDistrict10General[[#This Row],[Nassau County Vote Results]:[Suffolk County Vote Results]])</f>
        <v>65274</v>
      </c>
      <c r="E22" s="11"/>
    </row>
    <row r="23" spans="1:5" ht="13.8" x14ac:dyDescent="0.3">
      <c r="A23" s="1" t="s">
        <v>139</v>
      </c>
      <c r="B23" s="19">
        <v>25163</v>
      </c>
      <c r="C23" s="19">
        <v>40056</v>
      </c>
      <c r="D23" s="9">
        <f>SUM(SupremeCourtJusticeJudicialDistrict10General[[#This Row],[Nassau County Vote Results]:[Suffolk County Vote Results]])</f>
        <v>65219</v>
      </c>
      <c r="E23" s="11"/>
    </row>
    <row r="24" spans="1:5" ht="13.8" x14ac:dyDescent="0.3">
      <c r="A24" s="1" t="s">
        <v>140</v>
      </c>
      <c r="B24" s="19">
        <v>25576</v>
      </c>
      <c r="C24" s="19">
        <v>40452</v>
      </c>
      <c r="D24" s="9">
        <f>SUM(SupremeCourtJusticeJudicialDistrict10General[[#This Row],[Nassau County Vote Results]:[Suffolk County Vote Results]])</f>
        <v>66028</v>
      </c>
      <c r="E24" s="11"/>
    </row>
    <row r="25" spans="1:5" ht="13.8" x14ac:dyDescent="0.3">
      <c r="A25" s="1" t="s">
        <v>141</v>
      </c>
      <c r="B25" s="19">
        <v>25177</v>
      </c>
      <c r="C25" s="19">
        <v>37887</v>
      </c>
      <c r="D25" s="9">
        <f>SUM(SupremeCourtJusticeJudicialDistrict10General[[#This Row],[Nassau County Vote Results]:[Suffolk County Vote Results]])</f>
        <v>63064</v>
      </c>
      <c r="E25" s="11"/>
    </row>
    <row r="26" spans="1:5" ht="13.8" x14ac:dyDescent="0.3">
      <c r="A26" s="1" t="s">
        <v>142</v>
      </c>
      <c r="B26" s="19">
        <v>24389</v>
      </c>
      <c r="C26" s="19">
        <v>38984</v>
      </c>
      <c r="D26" s="9">
        <f>SUM(SupremeCourtJusticeJudicialDistrict10General[[#This Row],[Nassau County Vote Results]:[Suffolk County Vote Results]])</f>
        <v>63373</v>
      </c>
      <c r="E26" s="11"/>
    </row>
    <row r="27" spans="1:5" ht="13.8" x14ac:dyDescent="0.3">
      <c r="A27" s="1" t="s">
        <v>143</v>
      </c>
      <c r="B27" s="19">
        <v>6651</v>
      </c>
      <c r="C27" s="19">
        <v>10874</v>
      </c>
      <c r="D27" s="9">
        <f>SUM(SupremeCourtJusticeJudicialDistrict10General[[#This Row],[Nassau County Vote Results]:[Suffolk County Vote Results]])</f>
        <v>17525</v>
      </c>
      <c r="E27" s="11"/>
    </row>
    <row r="28" spans="1:5" ht="13.8" x14ac:dyDescent="0.3">
      <c r="A28" s="1" t="s">
        <v>144</v>
      </c>
      <c r="B28" s="19">
        <v>9249</v>
      </c>
      <c r="C28" s="19">
        <v>14765</v>
      </c>
      <c r="D28" s="9">
        <f>SUM(SupremeCourtJusticeJudicialDistrict10General[[#This Row],[Nassau County Vote Results]:[Suffolk County Vote Results]])</f>
        <v>24014</v>
      </c>
      <c r="E28" s="10">
        <f>SUM(SupremeCourtJusticeJudicialDistrict10General[[#This Row],[Total Votes by Party]])</f>
        <v>24014</v>
      </c>
    </row>
    <row r="29" spans="1:5" ht="13.8" x14ac:dyDescent="0.3">
      <c r="A29" s="1" t="s">
        <v>145</v>
      </c>
      <c r="B29" s="19">
        <v>6556</v>
      </c>
      <c r="C29" s="19">
        <v>10613</v>
      </c>
      <c r="D29" s="9">
        <f>SUM(SupremeCourtJusticeJudicialDistrict10General[[#This Row],[Nassau County Vote Results]:[Suffolk County Vote Results]])</f>
        <v>17169</v>
      </c>
      <c r="E29" s="11"/>
    </row>
    <row r="30" spans="1:5" ht="13.8" x14ac:dyDescent="0.3">
      <c r="A30" s="3" t="s">
        <v>146</v>
      </c>
      <c r="B30" s="19">
        <v>10363</v>
      </c>
      <c r="C30" s="19">
        <v>16455</v>
      </c>
      <c r="D30" s="9">
        <f>SUM(SupremeCourtJusticeJudicialDistrict10General[[#This Row],[Nassau County Vote Results]:[Suffolk County Vote Results]])</f>
        <v>26818</v>
      </c>
      <c r="E30" s="10">
        <f>SUM(SupremeCourtJusticeJudicialDistrict10General[[#This Row],[Total Votes by Party]])</f>
        <v>26818</v>
      </c>
    </row>
    <row r="31" spans="1:5" ht="13.8" x14ac:dyDescent="0.3">
      <c r="A31" s="3" t="s">
        <v>147</v>
      </c>
      <c r="B31" s="19">
        <v>6762</v>
      </c>
      <c r="C31" s="19">
        <v>10980</v>
      </c>
      <c r="D31" s="9">
        <f>SUM(SupremeCourtJusticeJudicialDistrict10General[[#This Row],[Nassau County Vote Results]:[Suffolk County Vote Results]])</f>
        <v>17742</v>
      </c>
      <c r="E31" s="11"/>
    </row>
    <row r="32" spans="1:5" ht="13.8" x14ac:dyDescent="0.3">
      <c r="A32" s="3" t="s">
        <v>148</v>
      </c>
      <c r="B32" s="19">
        <v>9598</v>
      </c>
      <c r="C32" s="19">
        <v>15697</v>
      </c>
      <c r="D32" s="9">
        <f>SUM(SupremeCourtJusticeJudicialDistrict10General[[#This Row],[Nassau County Vote Results]:[Suffolk County Vote Results]])</f>
        <v>25295</v>
      </c>
      <c r="E32" s="10">
        <f>SUM(SupremeCourtJusticeJudicialDistrict10General[[#This Row],[Total Votes by Party]])</f>
        <v>25295</v>
      </c>
    </row>
    <row r="33" spans="1:5" ht="13.8" x14ac:dyDescent="0.3">
      <c r="A33" s="3" t="s">
        <v>149</v>
      </c>
      <c r="B33" s="19">
        <v>6493</v>
      </c>
      <c r="C33" s="19">
        <v>10801</v>
      </c>
      <c r="D33" s="9">
        <f>SUM(SupremeCourtJusticeJudicialDistrict10General[[#This Row],[Nassau County Vote Results]:[Suffolk County Vote Results]])</f>
        <v>17294</v>
      </c>
      <c r="E33" s="11"/>
    </row>
    <row r="34" spans="1:5" ht="13.8" x14ac:dyDescent="0.3">
      <c r="A34" s="3" t="s">
        <v>150</v>
      </c>
      <c r="B34" s="19">
        <v>10050</v>
      </c>
      <c r="C34" s="19">
        <v>16081</v>
      </c>
      <c r="D34" s="9">
        <f>SUM(SupremeCourtJusticeJudicialDistrict10General[[#This Row],[Nassau County Vote Results]:[Suffolk County Vote Results]])</f>
        <v>26131</v>
      </c>
      <c r="E34" s="10">
        <f>SUM(SupremeCourtJusticeJudicialDistrict10General[[#This Row],[Total Votes by Party]])</f>
        <v>26131</v>
      </c>
    </row>
    <row r="35" spans="1:5" ht="13.8" x14ac:dyDescent="0.3">
      <c r="A35" s="3" t="s">
        <v>0</v>
      </c>
      <c r="B35" s="19">
        <v>1039186</v>
      </c>
      <c r="C35" s="19">
        <v>1217558</v>
      </c>
      <c r="D35" s="9">
        <f>SUM(SupremeCourtJusticeJudicialDistrict10General[[#This Row],[Nassau County Vote Results]:[Suffolk County Vote Results]])</f>
        <v>2256744</v>
      </c>
      <c r="E35" s="11"/>
    </row>
    <row r="36" spans="1:5" ht="13.8" x14ac:dyDescent="0.3">
      <c r="A36" s="3" t="s">
        <v>1</v>
      </c>
      <c r="B36" s="19">
        <v>1240</v>
      </c>
      <c r="C36" s="19">
        <v>3016</v>
      </c>
      <c r="D36" s="9">
        <f>SUM(SupremeCourtJusticeJudicialDistrict10General[[#This Row],[Nassau County Vote Results]:[Suffolk County Vote Results]])</f>
        <v>4256</v>
      </c>
      <c r="E36" s="11"/>
    </row>
    <row r="37" spans="1:5" ht="13.8" x14ac:dyDescent="0.3">
      <c r="A37" s="3" t="s">
        <v>12</v>
      </c>
      <c r="B37" s="19">
        <v>2193</v>
      </c>
      <c r="C37" s="19">
        <v>1829</v>
      </c>
      <c r="D37" s="9">
        <f>SUM(SupremeCourtJusticeJudicialDistrict10General[[#This Row],[Nassau County Vote Results]:[Suffolk County Vote Results]])</f>
        <v>4022</v>
      </c>
      <c r="E37" s="11"/>
    </row>
    <row r="38" spans="1:5" ht="13.8" x14ac:dyDescent="0.3">
      <c r="A38" s="12" t="s">
        <v>2</v>
      </c>
      <c r="B38" s="19">
        <f>SUM(SupremeCourtJusticeJudicialDistrict10General[Nassau County Vote Results])</f>
        <v>5887248</v>
      </c>
      <c r="C38" s="19">
        <f>SUM(SupremeCourtJusticeJudicialDistrict10General[Suffolk County Vote Results])</f>
        <v>6200568</v>
      </c>
      <c r="D38" s="9">
        <f>SUM(SupremeCourtJusticeJudicialDistrict10General[Total Votes by Party])</f>
        <v>12087816</v>
      </c>
      <c r="E38" s="11"/>
    </row>
    <row r="39" spans="1:5" x14ac:dyDescent="0.25">
      <c r="B39" s="26"/>
    </row>
    <row r="40" spans="1:5" x14ac:dyDescent="0.25">
      <c r="B40" s="26"/>
    </row>
    <row r="41" spans="1:5" x14ac:dyDescent="0.25">
      <c r="B41" s="26"/>
    </row>
    <row r="42" spans="1:5" x14ac:dyDescent="0.25">
      <c r="B42" s="26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ignoredErrors>
    <ignoredError sqref="E4 E6" formula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5F02-30A4-453C-A03C-FED3C27DDFDC}">
  <sheetPr>
    <pageSetUpPr fitToPage="1"/>
  </sheetPr>
  <dimension ref="A1:D33"/>
  <sheetViews>
    <sheetView zoomScaleNormal="100" zoomScaleSheetLayoutView="110" workbookViewId="0">
      <selection activeCell="A32" sqref="A32:XFD32"/>
    </sheetView>
  </sheetViews>
  <sheetFormatPr defaultRowHeight="13.2" x14ac:dyDescent="0.25"/>
  <cols>
    <col min="1" max="1" width="26.33203125" customWidth="1"/>
    <col min="2" max="4" width="20.5546875" customWidth="1"/>
    <col min="5" max="6" width="23.5546875" customWidth="1"/>
  </cols>
  <sheetData>
    <row r="1" spans="1:4" ht="24.9" customHeight="1" x14ac:dyDescent="0.25">
      <c r="A1" s="35" t="s">
        <v>151</v>
      </c>
    </row>
    <row r="2" spans="1:4" ht="24.9" customHeight="1" x14ac:dyDescent="0.25">
      <c r="A2" s="5" t="s">
        <v>6</v>
      </c>
      <c r="B2" s="6" t="s">
        <v>152</v>
      </c>
      <c r="C2" s="7" t="s">
        <v>3</v>
      </c>
      <c r="D2" s="8" t="s">
        <v>4</v>
      </c>
    </row>
    <row r="3" spans="1:4" ht="13.8" x14ac:dyDescent="0.3">
      <c r="A3" s="1" t="s">
        <v>153</v>
      </c>
      <c r="B3" s="23">
        <v>421359</v>
      </c>
      <c r="C3" s="9">
        <f>SupremeCourtJusticeJudicialDistrict11General[[#This Row],[Queens County Vote Results]]</f>
        <v>421359</v>
      </c>
      <c r="D3" s="10">
        <f>SUM(SupremeCourtJusticeJudicialDistrict11General[[#This Row],[Total Votes by Party]],C4,C5)</f>
        <v>582484</v>
      </c>
    </row>
    <row r="4" spans="1:4" ht="13.8" x14ac:dyDescent="0.3">
      <c r="A4" s="1" t="s">
        <v>154</v>
      </c>
      <c r="B4" s="23">
        <v>145779</v>
      </c>
      <c r="C4" s="9">
        <f>SupremeCourtJusticeJudicialDistrict11General[[#This Row],[Queens County Vote Results]]</f>
        <v>145779</v>
      </c>
      <c r="D4" s="11"/>
    </row>
    <row r="5" spans="1:4" ht="13.8" x14ac:dyDescent="0.3">
      <c r="A5" s="1" t="s">
        <v>155</v>
      </c>
      <c r="B5" s="23">
        <v>15346</v>
      </c>
      <c r="C5" s="9">
        <f>SupremeCourtJusticeJudicialDistrict11General[[#This Row],[Queens County Vote Results]]</f>
        <v>15346</v>
      </c>
      <c r="D5" s="11"/>
    </row>
    <row r="6" spans="1:4" ht="13.8" x14ac:dyDescent="0.3">
      <c r="A6" s="1" t="s">
        <v>156</v>
      </c>
      <c r="B6" s="23">
        <v>65031</v>
      </c>
      <c r="C6" s="9">
        <f>SupremeCourtJusticeJudicialDistrict11General[[#This Row],[Queens County Vote Results]]</f>
        <v>65031</v>
      </c>
      <c r="D6" s="10">
        <f>SupremeCourtJusticeJudicialDistrict11General[[#This Row],[Total Votes by Party]]</f>
        <v>65031</v>
      </c>
    </row>
    <row r="7" spans="1:4" ht="13.8" x14ac:dyDescent="0.3">
      <c r="A7" s="1" t="s">
        <v>157</v>
      </c>
      <c r="B7" s="23">
        <v>392623</v>
      </c>
      <c r="C7" s="9">
        <f>SupremeCourtJusticeJudicialDistrict11General[[#This Row],[Queens County Vote Results]]</f>
        <v>392623</v>
      </c>
      <c r="D7" s="10">
        <f>SupremeCourtJusticeJudicialDistrict11General[[#This Row],[Total Votes by Party]]</f>
        <v>392623</v>
      </c>
    </row>
    <row r="8" spans="1:4" ht="13.8" x14ac:dyDescent="0.3">
      <c r="A8" s="1" t="s">
        <v>158</v>
      </c>
      <c r="B8" s="23">
        <v>81521</v>
      </c>
      <c r="C8" s="9">
        <f>SupremeCourtJusticeJudicialDistrict11General[[#This Row],[Queens County Vote Results]]</f>
        <v>81521</v>
      </c>
      <c r="D8" s="10">
        <f>SupremeCourtJusticeJudicialDistrict11General[[#This Row],[Total Votes by Party]]</f>
        <v>81521</v>
      </c>
    </row>
    <row r="9" spans="1:4" ht="13.8" x14ac:dyDescent="0.3">
      <c r="A9" s="1" t="s">
        <v>159</v>
      </c>
      <c r="B9" s="23">
        <v>378314</v>
      </c>
      <c r="C9" s="9">
        <f>SupremeCourtJusticeJudicialDistrict11General[[#This Row],[Queens County Vote Results]]</f>
        <v>378314</v>
      </c>
      <c r="D9" s="10">
        <f>SupremeCourtJusticeJudicialDistrict11General[[#This Row],[Total Votes by Party]]</f>
        <v>378314</v>
      </c>
    </row>
    <row r="10" spans="1:4" ht="13.8" x14ac:dyDescent="0.3">
      <c r="A10" s="1" t="s">
        <v>160</v>
      </c>
      <c r="B10" s="23">
        <v>142699</v>
      </c>
      <c r="C10" s="9">
        <f>SupremeCourtJusticeJudicialDistrict11General[[#This Row],[Queens County Vote Results]]</f>
        <v>142699</v>
      </c>
      <c r="D10" s="10">
        <f>SUM(SupremeCourtJusticeJudicialDistrict11General[[#This Row],[Total Votes by Party]],C11)</f>
        <v>158806</v>
      </c>
    </row>
    <row r="11" spans="1:4" ht="13.8" x14ac:dyDescent="0.3">
      <c r="A11" s="1" t="s">
        <v>161</v>
      </c>
      <c r="B11" s="23">
        <v>16107</v>
      </c>
      <c r="C11" s="9">
        <f>SupremeCourtJusticeJudicialDistrict11General[[#This Row],[Queens County Vote Results]]</f>
        <v>16107</v>
      </c>
      <c r="D11" s="11"/>
    </row>
    <row r="12" spans="1:4" ht="13.8" x14ac:dyDescent="0.3">
      <c r="A12" s="1" t="s">
        <v>162</v>
      </c>
      <c r="B12" s="23">
        <v>65833</v>
      </c>
      <c r="C12" s="9">
        <f>SupremeCourtJusticeJudicialDistrict11General[[#This Row],[Queens County Vote Results]]</f>
        <v>65833</v>
      </c>
      <c r="D12" s="10">
        <f>SupremeCourtJusticeJudicialDistrict11General[[#This Row],[Total Votes by Party]]</f>
        <v>65833</v>
      </c>
    </row>
    <row r="13" spans="1:4" ht="13.8" x14ac:dyDescent="0.3">
      <c r="A13" s="1" t="s">
        <v>163</v>
      </c>
      <c r="B13" s="23">
        <v>403191</v>
      </c>
      <c r="C13" s="9">
        <f>SupremeCourtJusticeJudicialDistrict11General[[#This Row],[Queens County Vote Results]]</f>
        <v>403191</v>
      </c>
      <c r="D13" s="10">
        <f>SupremeCourtJusticeJudicialDistrict11General[[#This Row],[Total Votes by Party]]</f>
        <v>403191</v>
      </c>
    </row>
    <row r="14" spans="1:4" ht="13.8" x14ac:dyDescent="0.3">
      <c r="A14" s="1" t="s">
        <v>164</v>
      </c>
      <c r="B14" s="23">
        <v>135238</v>
      </c>
      <c r="C14" s="9">
        <f>SupremeCourtJusticeJudicialDistrict11General[[#This Row],[Queens County Vote Results]]</f>
        <v>135238</v>
      </c>
      <c r="D14" s="10">
        <f>SUM(SupremeCourtJusticeJudicialDistrict11General[[#This Row],[Total Votes by Party]],C15)</f>
        <v>151043</v>
      </c>
    </row>
    <row r="15" spans="1:4" ht="13.8" x14ac:dyDescent="0.3">
      <c r="A15" s="1" t="s">
        <v>165</v>
      </c>
      <c r="B15" s="23">
        <v>15805</v>
      </c>
      <c r="C15" s="9">
        <f>SupremeCourtJusticeJudicialDistrict11General[[#This Row],[Queens County Vote Results]]</f>
        <v>15805</v>
      </c>
      <c r="D15" s="11"/>
    </row>
    <row r="16" spans="1:4" ht="13.8" x14ac:dyDescent="0.3">
      <c r="A16" s="1" t="s">
        <v>166</v>
      </c>
      <c r="B16" s="23">
        <v>49866</v>
      </c>
      <c r="C16" s="9">
        <f>SupremeCourtJusticeJudicialDistrict11General[[#This Row],[Queens County Vote Results]]</f>
        <v>49866</v>
      </c>
      <c r="D16" s="10">
        <f>SupremeCourtJusticeJudicialDistrict11General[[#This Row],[Total Votes by Party]]</f>
        <v>49866</v>
      </c>
    </row>
    <row r="17" spans="1:4" ht="13.8" x14ac:dyDescent="0.3">
      <c r="A17" s="1" t="s">
        <v>167</v>
      </c>
      <c r="B17" s="23">
        <v>442269</v>
      </c>
      <c r="C17" s="9">
        <f>SupremeCourtJusticeJudicialDistrict11General[[#This Row],[Queens County Vote Results]]</f>
        <v>442269</v>
      </c>
      <c r="D17" s="10">
        <f>SupremeCourtJusticeJudicialDistrict11General[[#This Row],[Total Votes by Party]]</f>
        <v>442269</v>
      </c>
    </row>
    <row r="18" spans="1:4" ht="13.8" x14ac:dyDescent="0.3">
      <c r="A18" s="1" t="s">
        <v>168</v>
      </c>
      <c r="B18" s="23">
        <v>69115</v>
      </c>
      <c r="C18" s="9">
        <f>SupremeCourtJusticeJudicialDistrict11General[[#This Row],[Queens County Vote Results]]</f>
        <v>69115</v>
      </c>
      <c r="D18" s="10">
        <f>SupremeCourtJusticeJudicialDistrict11General[[#This Row],[Total Votes by Party]]</f>
        <v>69115</v>
      </c>
    </row>
    <row r="19" spans="1:4" ht="13.8" x14ac:dyDescent="0.3">
      <c r="A19" s="1" t="s">
        <v>169</v>
      </c>
      <c r="B19" s="23">
        <v>397859</v>
      </c>
      <c r="C19" s="9">
        <f>SupremeCourtJusticeJudicialDistrict11General[[#This Row],[Queens County Vote Results]]</f>
        <v>397859</v>
      </c>
      <c r="D19" s="10">
        <f>SupremeCourtJusticeJudicialDistrict11General[[#This Row],[Total Votes by Party]]</f>
        <v>397859</v>
      </c>
    </row>
    <row r="20" spans="1:4" ht="13.8" x14ac:dyDescent="0.3">
      <c r="A20" s="1" t="s">
        <v>170</v>
      </c>
      <c r="B20" s="23">
        <v>76460</v>
      </c>
      <c r="C20" s="9">
        <f>SupremeCourtJusticeJudicialDistrict11General[[#This Row],[Queens County Vote Results]]</f>
        <v>76460</v>
      </c>
      <c r="D20" s="10">
        <f>SupremeCourtJusticeJudicialDistrict11General[[#This Row],[Total Votes by Party]]</f>
        <v>76460</v>
      </c>
    </row>
    <row r="21" spans="1:4" ht="13.8" x14ac:dyDescent="0.3">
      <c r="A21" s="1" t="s">
        <v>171</v>
      </c>
      <c r="B21" s="23">
        <v>402477</v>
      </c>
      <c r="C21" s="9">
        <f>SupremeCourtJusticeJudicialDistrict11General[[#This Row],[Queens County Vote Results]]</f>
        <v>402477</v>
      </c>
      <c r="D21" s="10">
        <f>SUM(SupremeCourtJusticeJudicialDistrict11General[[#This Row],[Total Votes by Party]],C22,C23)</f>
        <v>550808</v>
      </c>
    </row>
    <row r="22" spans="1:4" ht="13.8" x14ac:dyDescent="0.3">
      <c r="A22" s="1" t="s">
        <v>172</v>
      </c>
      <c r="B22" s="23">
        <v>131882</v>
      </c>
      <c r="C22" s="9">
        <f>SupremeCourtJusticeJudicialDistrict11General[[#This Row],[Queens County Vote Results]]</f>
        <v>131882</v>
      </c>
      <c r="D22" s="11"/>
    </row>
    <row r="23" spans="1:4" ht="13.8" x14ac:dyDescent="0.3">
      <c r="A23" s="1" t="s">
        <v>173</v>
      </c>
      <c r="B23" s="23">
        <v>16449</v>
      </c>
      <c r="C23" s="9">
        <f>SupremeCourtJusticeJudicialDistrict11General[[#This Row],[Queens County Vote Results]]</f>
        <v>16449</v>
      </c>
      <c r="D23" s="11"/>
    </row>
    <row r="24" spans="1:4" ht="13.8" x14ac:dyDescent="0.3">
      <c r="A24" s="1" t="s">
        <v>174</v>
      </c>
      <c r="B24" s="23">
        <v>390221</v>
      </c>
      <c r="C24" s="9">
        <f>SupremeCourtJusticeJudicialDistrict11General[[#This Row],[Queens County Vote Results]]</f>
        <v>390221</v>
      </c>
      <c r="D24" s="10">
        <f>SUM(SupremeCourtJusticeJudicialDistrict11General[[#This Row],[Total Votes by Party]],C25,C26)</f>
        <v>533309</v>
      </c>
    </row>
    <row r="25" spans="1:4" ht="13.8" x14ac:dyDescent="0.3">
      <c r="A25" s="1" t="s">
        <v>175</v>
      </c>
      <c r="B25" s="23">
        <v>127089</v>
      </c>
      <c r="C25" s="9">
        <f>SupremeCourtJusticeJudicialDistrict11General[[#This Row],[Queens County Vote Results]]</f>
        <v>127089</v>
      </c>
      <c r="D25" s="11"/>
    </row>
    <row r="26" spans="1:4" ht="13.8" x14ac:dyDescent="0.3">
      <c r="A26" s="1" t="s">
        <v>176</v>
      </c>
      <c r="B26" s="23">
        <v>15999</v>
      </c>
      <c r="C26" s="9">
        <f>SupremeCourtJusticeJudicialDistrict11General[[#This Row],[Queens County Vote Results]]</f>
        <v>15999</v>
      </c>
      <c r="D26" s="11"/>
    </row>
    <row r="27" spans="1:4" ht="13.8" x14ac:dyDescent="0.3">
      <c r="A27" s="1" t="s">
        <v>177</v>
      </c>
      <c r="B27" s="23">
        <v>383980</v>
      </c>
      <c r="C27" s="9">
        <f>SupremeCourtJusticeJudicialDistrict11General[[#This Row],[Queens County Vote Results]]</f>
        <v>383980</v>
      </c>
      <c r="D27" s="10">
        <f>SUM(SupremeCourtJusticeJudicialDistrict11General[[#This Row],[Total Votes by Party]],C28,C29)</f>
        <v>523891</v>
      </c>
    </row>
    <row r="28" spans="1:4" ht="13.8" x14ac:dyDescent="0.3">
      <c r="A28" s="1" t="s">
        <v>178</v>
      </c>
      <c r="B28" s="23">
        <v>124174</v>
      </c>
      <c r="C28" s="9">
        <f>SupremeCourtJusticeJudicialDistrict11General[[#This Row],[Queens County Vote Results]]</f>
        <v>124174</v>
      </c>
      <c r="D28" s="11"/>
    </row>
    <row r="29" spans="1:4" ht="13.8" x14ac:dyDescent="0.3">
      <c r="A29" s="1" t="s">
        <v>179</v>
      </c>
      <c r="B29" s="23">
        <v>15737</v>
      </c>
      <c r="C29" s="9">
        <f>SupremeCourtJusticeJudicialDistrict11General[[#This Row],[Queens County Vote Results]]</f>
        <v>15737</v>
      </c>
      <c r="D29" s="11"/>
    </row>
    <row r="30" spans="1:4" ht="13.8" x14ac:dyDescent="0.3">
      <c r="A30" s="3" t="s">
        <v>0</v>
      </c>
      <c r="B30" s="24">
        <v>2179608</v>
      </c>
      <c r="C30" s="9">
        <f>SupremeCourtJusticeJudicialDistrict11General[[#This Row],[Queens County Vote Results]]</f>
        <v>2179608</v>
      </c>
      <c r="D30" s="11"/>
    </row>
    <row r="31" spans="1:4" ht="13.8" x14ac:dyDescent="0.3">
      <c r="A31" s="3" t="s">
        <v>1</v>
      </c>
      <c r="B31" s="25">
        <v>969</v>
      </c>
      <c r="C31" s="9">
        <f>SupremeCourtJusticeJudicialDistrict11General[[#This Row],[Queens County Vote Results]]</f>
        <v>969</v>
      </c>
      <c r="D31" s="11"/>
    </row>
    <row r="32" spans="1:4" ht="13.8" x14ac:dyDescent="0.3">
      <c r="A32" s="3" t="s">
        <v>12</v>
      </c>
      <c r="B32" s="25">
        <v>9169</v>
      </c>
      <c r="C32" s="9">
        <f>SupremeCourtJusticeJudicialDistrict11General[[#This Row],[Queens County Vote Results]]</f>
        <v>9169</v>
      </c>
      <c r="D32" s="11"/>
    </row>
    <row r="33" spans="1:4" ht="13.8" x14ac:dyDescent="0.3">
      <c r="A33" s="12" t="s">
        <v>2</v>
      </c>
      <c r="B33" s="2">
        <f>SUM(SupremeCourtJusticeJudicialDistrict11General[Queens County Vote Results])</f>
        <v>7112169</v>
      </c>
      <c r="C33" s="9">
        <f>SUM(SupremeCourtJusticeJudicialDistrict11General[Total Votes by Party])</f>
        <v>7112169</v>
      </c>
      <c r="D33" s="11"/>
    </row>
  </sheetData>
  <pageMargins left="0.25" right="0.25" top="0.25" bottom="0.25" header="0.25" footer="0.25"/>
  <pageSetup paperSize="5" fitToHeight="0" orientation="landscape" r:id="rId1"/>
  <headerFooter alignWithMargins="0">
    <oddFooter xml:space="preserve">&amp;RPage &amp;P of &amp;N   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1st JD</vt:lpstr>
      <vt:lpstr>2nd JD</vt:lpstr>
      <vt:lpstr>5th JD</vt:lpstr>
      <vt:lpstr>6th JD</vt:lpstr>
      <vt:lpstr>7th JD</vt:lpstr>
      <vt:lpstr>8th JD</vt:lpstr>
      <vt:lpstr>9th JD</vt:lpstr>
      <vt:lpstr>10th JD</vt:lpstr>
      <vt:lpstr>11th JD</vt:lpstr>
      <vt:lpstr>12th JD</vt:lpstr>
      <vt:lpstr>13th JD</vt:lpstr>
      <vt:lpstr>Revision History</vt:lpstr>
      <vt:lpstr>'1st JD'!Print_Area</vt:lpstr>
      <vt:lpstr>'2nd JD'!Print_Area</vt:lpstr>
      <vt:lpstr>'5th JD'!Print_Area</vt:lpstr>
    </vt:vector>
  </TitlesOfParts>
  <Manager/>
  <Company>NYSBOE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pjorczak</dc:creator>
  <cp:keywords/>
  <dc:description/>
  <cp:lastModifiedBy>Joyce Cornell</cp:lastModifiedBy>
  <cp:revision/>
  <cp:lastPrinted>2021-07-26T20:16:21Z</cp:lastPrinted>
  <dcterms:created xsi:type="dcterms:W3CDTF">2008-10-28T18:22:21Z</dcterms:created>
  <dcterms:modified xsi:type="dcterms:W3CDTF">2021-08-18T23:03:44Z</dcterms:modified>
  <cp:category/>
  <cp:contentStatus/>
</cp:coreProperties>
</file>