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ohn Conklin\2019\"/>
    </mc:Choice>
  </mc:AlternateContent>
  <xr:revisionPtr revIDLastSave="0" documentId="14_{C126CC3B-C9F6-4E20-9632-F7D76AB07D55}" xr6:coauthVersionLast="45" xr6:coauthVersionMax="45" xr10:uidLastSave="{00000000-0000-0000-0000-000000000000}"/>
  <workbookProtection lockStructure="1"/>
  <bookViews>
    <workbookView xWindow="-120" yWindow="-120" windowWidth="20730" windowHeight="11160" firstSheet="5" activeTab="12" xr2:uid="{00000000-000D-0000-FFFF-FFFF00000000}"/>
  </bookViews>
  <sheets>
    <sheet name="1st JD" sheetId="354" r:id="rId1"/>
    <sheet name="2nd JD" sheetId="355" r:id="rId2"/>
    <sheet name="3rd JD" sheetId="28" r:id="rId3"/>
    <sheet name="4th JD" sheetId="258" r:id="rId4"/>
    <sheet name="5th JD" sheetId="260" r:id="rId5"/>
    <sheet name="6th JD" sheetId="261" r:id="rId6"/>
    <sheet name="7th JD" sheetId="262" r:id="rId7"/>
    <sheet name="8th JD" sheetId="263" r:id="rId8"/>
    <sheet name="9th JD" sheetId="264" r:id="rId9"/>
    <sheet name="10th JD" sheetId="265" r:id="rId10"/>
    <sheet name="11th JD" sheetId="356" r:id="rId11"/>
    <sheet name="12th JD" sheetId="353" r:id="rId12"/>
    <sheet name="13th JD" sheetId="357" r:id="rId13"/>
  </sheets>
  <definedNames>
    <definedName name="_xlnm.Print_Area" localSheetId="4">'5th JD'!$A$1:$I$18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57" l="1"/>
  <c r="C3" i="357"/>
  <c r="B9" i="357"/>
  <c r="C8" i="357"/>
  <c r="C7" i="357"/>
  <c r="C6" i="357"/>
  <c r="C4" i="357"/>
  <c r="D8" i="356"/>
  <c r="C3" i="356"/>
  <c r="C12" i="356"/>
  <c r="C11" i="356"/>
  <c r="B23" i="356"/>
  <c r="C22" i="356"/>
  <c r="C21" i="356"/>
  <c r="C20" i="356"/>
  <c r="C19" i="356"/>
  <c r="C18" i="356"/>
  <c r="C17" i="356"/>
  <c r="C16" i="356"/>
  <c r="C15" i="356"/>
  <c r="C14" i="356"/>
  <c r="D14" i="356" s="1"/>
  <c r="C13" i="356"/>
  <c r="C10" i="356"/>
  <c r="D10" i="356" s="1"/>
  <c r="C9" i="356"/>
  <c r="C8" i="356"/>
  <c r="C7" i="356"/>
  <c r="C6" i="356"/>
  <c r="C5" i="356"/>
  <c r="D5" i="356" s="1"/>
  <c r="C4" i="356"/>
  <c r="D4" i="356" s="1"/>
  <c r="B21" i="355"/>
  <c r="C20" i="355"/>
  <c r="C3" i="355"/>
  <c r="C16" i="355"/>
  <c r="C15" i="355"/>
  <c r="C14" i="355"/>
  <c r="C13" i="355"/>
  <c r="C12" i="355"/>
  <c r="C11" i="355"/>
  <c r="C10" i="355"/>
  <c r="C9" i="355"/>
  <c r="C8" i="355"/>
  <c r="C7" i="355"/>
  <c r="C6" i="355"/>
  <c r="C5" i="355"/>
  <c r="C19" i="355"/>
  <c r="C18" i="355"/>
  <c r="C17" i="355"/>
  <c r="C4" i="355"/>
  <c r="B9" i="354"/>
  <c r="C8" i="354"/>
  <c r="C5" i="354"/>
  <c r="D5" i="354" s="1"/>
  <c r="C3" i="354"/>
  <c r="D3" i="354" s="1"/>
  <c r="C7" i="354"/>
  <c r="C6" i="354"/>
  <c r="C4" i="354"/>
  <c r="D4" i="354" s="1"/>
  <c r="B9" i="353"/>
  <c r="C8" i="353"/>
  <c r="C7" i="353"/>
  <c r="C6" i="353"/>
  <c r="C5" i="353"/>
  <c r="D5" i="353" s="1"/>
  <c r="C4" i="353"/>
  <c r="D4" i="353" s="1"/>
  <c r="C3" i="353"/>
  <c r="D3" i="353" s="1"/>
  <c r="D4" i="355" l="1"/>
  <c r="D5" i="355"/>
  <c r="D7" i="355"/>
  <c r="D7" i="356"/>
  <c r="D6" i="355"/>
  <c r="D3" i="355"/>
  <c r="D11" i="356"/>
  <c r="D6" i="356"/>
  <c r="D3" i="356"/>
  <c r="D3" i="357"/>
  <c r="C26" i="265"/>
  <c r="B26" i="265"/>
  <c r="F24" i="264"/>
  <c r="E24" i="264"/>
  <c r="D24" i="264"/>
  <c r="C24" i="264"/>
  <c r="B24" i="264"/>
  <c r="I20" i="263"/>
  <c r="H20" i="263"/>
  <c r="G20" i="263"/>
  <c r="F20" i="263"/>
  <c r="E20" i="263"/>
  <c r="D20" i="263"/>
  <c r="C20" i="263"/>
  <c r="B20" i="263"/>
  <c r="I16" i="262"/>
  <c r="H16" i="262"/>
  <c r="G16" i="262"/>
  <c r="F16" i="262"/>
  <c r="E16" i="262"/>
  <c r="D16" i="262"/>
  <c r="C16" i="262"/>
  <c r="B16" i="262"/>
  <c r="K17" i="261"/>
  <c r="J17" i="261"/>
  <c r="I17" i="261"/>
  <c r="H17" i="261"/>
  <c r="G17" i="261"/>
  <c r="F17" i="261"/>
  <c r="E17" i="261"/>
  <c r="D17" i="261"/>
  <c r="C17" i="261"/>
  <c r="B17" i="261"/>
  <c r="G18" i="260"/>
  <c r="F18" i="260"/>
  <c r="E18" i="260"/>
  <c r="D18" i="260"/>
  <c r="C18" i="260"/>
  <c r="B18" i="260"/>
  <c r="L17" i="258"/>
  <c r="K17" i="258"/>
  <c r="J17" i="258"/>
  <c r="I17" i="258"/>
  <c r="H17" i="258"/>
  <c r="G17" i="258"/>
  <c r="F17" i="258"/>
  <c r="E17" i="258"/>
  <c r="D17" i="258"/>
  <c r="C17" i="258"/>
  <c r="B17" i="258"/>
  <c r="H18" i="28"/>
  <c r="G18" i="28"/>
  <c r="F18" i="28"/>
  <c r="E18" i="28"/>
  <c r="D18" i="28"/>
  <c r="C18" i="28"/>
  <c r="B18" i="28"/>
  <c r="D3" i="265" l="1"/>
  <c r="D25" i="265"/>
  <c r="G23" i="264" l="1"/>
  <c r="G3" i="264"/>
  <c r="J13" i="263"/>
  <c r="J12" i="263"/>
  <c r="J11" i="263"/>
  <c r="J10" i="263"/>
  <c r="J9" i="263"/>
  <c r="J8" i="263"/>
  <c r="J7" i="263"/>
  <c r="J5" i="263"/>
  <c r="J15" i="262"/>
  <c r="J12" i="262"/>
  <c r="J7" i="262"/>
  <c r="J13" i="262"/>
  <c r="J3" i="262"/>
  <c r="L10" i="261"/>
  <c r="L3" i="261"/>
  <c r="M3" i="261" l="1"/>
  <c r="K5" i="263"/>
  <c r="L4" i="261"/>
  <c r="M4" i="261" s="1"/>
  <c r="L5" i="261"/>
  <c r="L6" i="261"/>
  <c r="L7" i="261"/>
  <c r="L8" i="261"/>
  <c r="L9" i="261"/>
  <c r="L11" i="261"/>
  <c r="L12" i="261"/>
  <c r="M6" i="261" l="1"/>
  <c r="M5" i="261"/>
  <c r="H3" i="260"/>
  <c r="H8" i="260"/>
  <c r="M16" i="258"/>
  <c r="M15" i="258"/>
  <c r="M9" i="258"/>
  <c r="M3" i="258"/>
  <c r="N3" i="258" l="1"/>
  <c r="M14" i="258"/>
  <c r="M13" i="258"/>
  <c r="M12" i="258"/>
  <c r="M11" i="258"/>
  <c r="M10" i="258"/>
  <c r="M8" i="258"/>
  <c r="M7" i="258"/>
  <c r="M6" i="258"/>
  <c r="M5" i="258"/>
  <c r="N5" i="258" s="1"/>
  <c r="M4" i="258"/>
  <c r="N4" i="258" s="1"/>
  <c r="I17" i="28"/>
  <c r="I4" i="28"/>
  <c r="I3" i="28"/>
  <c r="I10" i="28"/>
  <c r="I11" i="28"/>
  <c r="M17" i="258" l="1"/>
  <c r="N8" i="258"/>
  <c r="N6" i="258"/>
  <c r="N7" i="258"/>
  <c r="L16" i="261" l="1"/>
  <c r="L15" i="261"/>
  <c r="L13" i="261"/>
  <c r="M7" i="261" l="1"/>
  <c r="D24" i="265"/>
  <c r="D23" i="265"/>
  <c r="D22" i="265"/>
  <c r="E22" i="265" s="1"/>
  <c r="D21" i="265"/>
  <c r="E21" i="265" s="1"/>
  <c r="D20" i="265"/>
  <c r="D19" i="265"/>
  <c r="D18" i="265"/>
  <c r="D17" i="265"/>
  <c r="D16" i="265"/>
  <c r="D15" i="265"/>
  <c r="D14" i="265"/>
  <c r="D13" i="265"/>
  <c r="D12" i="265"/>
  <c r="D11" i="265"/>
  <c r="D10" i="265"/>
  <c r="D9" i="265"/>
  <c r="D8" i="265"/>
  <c r="D7" i="265"/>
  <c r="D6" i="265"/>
  <c r="D5" i="265"/>
  <c r="D4" i="265"/>
  <c r="G22" i="264"/>
  <c r="G21" i="264"/>
  <c r="G20" i="264"/>
  <c r="H3" i="264" s="1"/>
  <c r="G19" i="264"/>
  <c r="G18" i="264"/>
  <c r="G17" i="264"/>
  <c r="G16" i="264"/>
  <c r="G15" i="264"/>
  <c r="G14" i="264"/>
  <c r="G13" i="264"/>
  <c r="G12" i="264"/>
  <c r="G11" i="264"/>
  <c r="G10" i="264"/>
  <c r="G9" i="264"/>
  <c r="G8" i="264"/>
  <c r="G7" i="264"/>
  <c r="H7" i="264" s="1"/>
  <c r="G6" i="264"/>
  <c r="G5" i="264"/>
  <c r="G4" i="264"/>
  <c r="J3" i="263"/>
  <c r="J4" i="263"/>
  <c r="J6" i="263"/>
  <c r="J14" i="263"/>
  <c r="J15" i="263"/>
  <c r="J16" i="263"/>
  <c r="J17" i="263"/>
  <c r="J18" i="263"/>
  <c r="J19" i="263"/>
  <c r="J4" i="262"/>
  <c r="K4" i="262" s="1"/>
  <c r="J5" i="262"/>
  <c r="J6" i="262"/>
  <c r="J8" i="262"/>
  <c r="K3" i="262" s="1"/>
  <c r="J9" i="262"/>
  <c r="J10" i="262"/>
  <c r="J11" i="262"/>
  <c r="J14" i="262"/>
  <c r="L14" i="261"/>
  <c r="L17" i="261" s="1"/>
  <c r="H17" i="260"/>
  <c r="H16" i="260"/>
  <c r="H15" i="260"/>
  <c r="H14" i="260"/>
  <c r="H13" i="260"/>
  <c r="H12" i="260"/>
  <c r="H11" i="260"/>
  <c r="H10" i="260"/>
  <c r="H9" i="260"/>
  <c r="H7" i="260"/>
  <c r="H6" i="260"/>
  <c r="H5" i="260"/>
  <c r="I5" i="260" s="1"/>
  <c r="H4" i="260"/>
  <c r="K5" i="262" l="1"/>
  <c r="E5" i="265"/>
  <c r="E6" i="265"/>
  <c r="H6" i="264"/>
  <c r="K6" i="263"/>
  <c r="I7" i="260"/>
  <c r="D26" i="265"/>
  <c r="J20" i="263"/>
  <c r="H4" i="264"/>
  <c r="G24" i="264"/>
  <c r="I4" i="260"/>
  <c r="H18" i="260"/>
  <c r="J16" i="262"/>
  <c r="K3" i="263"/>
  <c r="E4" i="265"/>
  <c r="E3" i="265"/>
  <c r="I8" i="260"/>
  <c r="H5" i="264"/>
  <c r="K4" i="263"/>
  <c r="E7" i="265"/>
  <c r="E8" i="265"/>
  <c r="I3" i="260"/>
  <c r="I16" i="28" l="1"/>
  <c r="I15" i="28"/>
  <c r="I14" i="28"/>
  <c r="I13" i="28"/>
  <c r="I12" i="28"/>
  <c r="I9" i="28"/>
  <c r="I8" i="28"/>
  <c r="J8" i="28" s="1"/>
  <c r="I7" i="28"/>
  <c r="I6" i="28"/>
  <c r="I5" i="28"/>
  <c r="I18" i="28" l="1"/>
  <c r="J4" i="28"/>
  <c r="J5" i="28"/>
  <c r="J3" i="28"/>
</calcChain>
</file>

<file path=xl/sharedStrings.xml><?xml version="1.0" encoding="utf-8"?>
<sst xmlns="http://schemas.openxmlformats.org/spreadsheetml/2006/main" count="316" uniqueCount="232">
  <si>
    <t>Blank</t>
  </si>
  <si>
    <t>Void</t>
  </si>
  <si>
    <t>Scattering</t>
  </si>
  <si>
    <t>Total Votes by County</t>
  </si>
  <si>
    <t>Total Votes by Candidate</t>
  </si>
  <si>
    <t>Candidate Name (Party)</t>
  </si>
  <si>
    <t>Greene County Vote Results</t>
  </si>
  <si>
    <t>Schoharie County Vote Results</t>
  </si>
  <si>
    <t>Montgomery County Vote Results</t>
  </si>
  <si>
    <t>Essex County Vote Results</t>
  </si>
  <si>
    <t>Warren County Vote Results</t>
  </si>
  <si>
    <t>Clinton County Vote Results</t>
  </si>
  <si>
    <t>Franklin County Vote Results</t>
  </si>
  <si>
    <t>Lewis County Vote Results</t>
  </si>
  <si>
    <t>Fulton County Vote Results</t>
  </si>
  <si>
    <t>Hamilton County Vote Results</t>
  </si>
  <si>
    <t>Madison County Vote Results</t>
  </si>
  <si>
    <t>Tioga County Vote Results</t>
  </si>
  <si>
    <t>Tompkins County Vote Results</t>
  </si>
  <si>
    <t>Wayne County Vote Results</t>
  </si>
  <si>
    <t>Ontario County Vote Results</t>
  </si>
  <si>
    <t>Schuyler County Vote Results</t>
  </si>
  <si>
    <t>Yates County Vote Results</t>
  </si>
  <si>
    <t>Livingston County Vote Results</t>
  </si>
  <si>
    <t>Genesee County Vote Results</t>
  </si>
  <si>
    <t>Wyoming County Vote Results</t>
  </si>
  <si>
    <t>Allegany County Vote Results</t>
  </si>
  <si>
    <t>Cattaraugus County Vote Results</t>
  </si>
  <si>
    <t>Chautauqua County Vote Results</t>
  </si>
  <si>
    <t>Rockland County Vote Results</t>
  </si>
  <si>
    <t>Orange County Vote Results</t>
  </si>
  <si>
    <t>Putnam County Vote Results</t>
  </si>
  <si>
    <t>Columbia County Vote Results</t>
  </si>
  <si>
    <t>Delaware County Vote Results</t>
  </si>
  <si>
    <t>Otsego County Vote Results</t>
  </si>
  <si>
    <t>Sullivan County Vote Results</t>
  </si>
  <si>
    <t>Ulster County Vote Results</t>
  </si>
  <si>
    <t>Albany County Vote Results</t>
  </si>
  <si>
    <t>Schenectady County Vote Results</t>
  </si>
  <si>
    <t>Jefferson County Vote Results</t>
  </si>
  <si>
    <t>St. Lawrence County Vote Results</t>
  </si>
  <si>
    <t>Washington County Vote Results</t>
  </si>
  <si>
    <t>Cortland County Vote Results</t>
  </si>
  <si>
    <t>Oneida County Vote Results</t>
  </si>
  <si>
    <t>Chemung County Vote Results</t>
  </si>
  <si>
    <t>Seneca County Vote Results</t>
  </si>
  <si>
    <t>Steuben County Vote Results</t>
  </si>
  <si>
    <t>Cayuga County Vote Results</t>
  </si>
  <si>
    <t>Onondaga County Vote Results</t>
  </si>
  <si>
    <t>Orleans County Vote Results</t>
  </si>
  <si>
    <t>Oswego County Vote Results</t>
  </si>
  <si>
    <t>Broome County Vote Results</t>
  </si>
  <si>
    <t>Niagara County Vote Results</t>
  </si>
  <si>
    <t>Rensselaer County Vote Results</t>
  </si>
  <si>
    <t>Herkimer County Vote Results</t>
  </si>
  <si>
    <t>Chenango County Vote Results</t>
  </si>
  <si>
    <t>Monroe County Vote Results</t>
  </si>
  <si>
    <t>Erie County Vote Results</t>
  </si>
  <si>
    <t>Dutchess County Vote Results</t>
  </si>
  <si>
    <t>Westchester County Vote Results</t>
  </si>
  <si>
    <t>Robert H. Freehill (REP)</t>
  </si>
  <si>
    <t>Robert H. Freehill (CON)</t>
  </si>
  <si>
    <t>Robert H. Freehill (IND)</t>
  </si>
  <si>
    <t>Nassau County Vote Results</t>
  </si>
  <si>
    <t>Suffolk County Vote Results</t>
  </si>
  <si>
    <t>Thomas Rademaker (CON)</t>
  </si>
  <si>
    <t>Robert E. Antonacci, II (REP)</t>
  </si>
  <si>
    <t>Robert E. Antonacci, II (CON)</t>
  </si>
  <si>
    <t>Robert E. Antonacci, II (IND)</t>
  </si>
  <si>
    <t>Total Votes by Party</t>
  </si>
  <si>
    <t>John C. Egan, Jr. (DEM)</t>
  </si>
  <si>
    <t>Michael C. Lynch (DEM)</t>
  </si>
  <si>
    <t>Justin Corcoran (DEM)</t>
  </si>
  <si>
    <t>John C. Egan, Jr. (REP)</t>
  </si>
  <si>
    <t>Michael C. Lynch (REP)</t>
  </si>
  <si>
    <t>Linda Blom Johnson (REP)</t>
  </si>
  <si>
    <t>John C. Egan, Jr. (CON)</t>
  </si>
  <si>
    <t>Linda Blom Johnson (CON)</t>
  </si>
  <si>
    <t>Michael C. Lynch (WOR)</t>
  </si>
  <si>
    <t>John C. Egan, Jr. (IND)</t>
  </si>
  <si>
    <t>Michael C. Lynch (IND)</t>
  </si>
  <si>
    <t>Justin Corcoran (IND)</t>
  </si>
  <si>
    <t>Saratoga County Vote Results</t>
  </si>
  <si>
    <t>Julie A. Garcia (DEM)</t>
  </si>
  <si>
    <t>Michael Violando (DEM)</t>
  </si>
  <si>
    <t>Rebecca A. Slezak (REP)</t>
  </si>
  <si>
    <t>Dianne N. Freestone (REP)</t>
  </si>
  <si>
    <t>James E. Walsh (REP)</t>
  </si>
  <si>
    <t>Michael R. Cuevas (REP)</t>
  </si>
  <si>
    <t>Rebecca A. Slezak (CON)</t>
  </si>
  <si>
    <t>Dianne N. Freestone (CON)</t>
  </si>
  <si>
    <t>James E. Walsh (CON)</t>
  </si>
  <si>
    <t>Michael R. Cuevas (CON)</t>
  </si>
  <si>
    <t>Dianne N. Freestone (LBT)</t>
  </si>
  <si>
    <t>Bernadette Romano Clark (DEM)</t>
  </si>
  <si>
    <t>Rory A. McMahon (DEM)</t>
  </si>
  <si>
    <t>Julie Cerio (DEM)</t>
  </si>
  <si>
    <t>Bernadette Romano Clark (REP)</t>
  </si>
  <si>
    <t>Joseph E. Lamendola (REP)</t>
  </si>
  <si>
    <t>Bernadette Romano Clark (CON)</t>
  </si>
  <si>
    <t>Joseph E. Lamendola (CON)</t>
  </si>
  <si>
    <t>Bernadette Romano Clark (IND)</t>
  </si>
  <si>
    <t>Joseph E. Lamendola (IND)</t>
  </si>
  <si>
    <t>Pete Charnetsky (DEM)</t>
  </si>
  <si>
    <t>Claudette Y. Newman (DEM)</t>
  </si>
  <si>
    <t>Chris Baker (REP)</t>
  </si>
  <si>
    <t>Oliver N. Blaise, III (REP)</t>
  </si>
  <si>
    <t>Mark Masler (REP)</t>
  </si>
  <si>
    <t>Chris Baker (CON)</t>
  </si>
  <si>
    <t>Oliver N. Blaise, III (CON)</t>
  </si>
  <si>
    <t>Mark Masler (CON)</t>
  </si>
  <si>
    <t>Chris Baker (IND)</t>
  </si>
  <si>
    <t>Oliver N. Blaise, III (IND)</t>
  </si>
  <si>
    <t>Mark Masler (IND)</t>
  </si>
  <si>
    <t>Meredith Vacca (DEM)</t>
  </si>
  <si>
    <t>Kevin Nasca (REP)</t>
  </si>
  <si>
    <t>Matthew Rosenbaum (REP)</t>
  </si>
  <si>
    <t>Kevin Nasca (CON)</t>
  </si>
  <si>
    <t>Matthew Rosenbaum (CON)</t>
  </si>
  <si>
    <t>Meredith Vacca (LBT)</t>
  </si>
  <si>
    <t>Matthew Rosenbaum (LBT)</t>
  </si>
  <si>
    <t>Kevin Nasca (IND)</t>
  </si>
  <si>
    <t>Matthew Rosenbaum (IND)</t>
  </si>
  <si>
    <t>Matthew Rosenbaum (SAM)</t>
  </si>
  <si>
    <t>Diane Y. Devlin (DEM)</t>
  </si>
  <si>
    <t>Gerald J. Whalen (DEM)</t>
  </si>
  <si>
    <t>Deborah A. Haendiges (DEM)</t>
  </si>
  <si>
    <t>Gerald J. Greenan, III (REP)</t>
  </si>
  <si>
    <t>Gerald J. Whalen (REP)</t>
  </si>
  <si>
    <t>Deborah A. Haendiges (REP)</t>
  </si>
  <si>
    <t>Gerald J. Greenan, III (CON)</t>
  </si>
  <si>
    <t>Gerald J. Whalen (CON)</t>
  </si>
  <si>
    <t>Deborah A. Haendiges (CON)</t>
  </si>
  <si>
    <t>Diane Y. Devlin (WOR)</t>
  </si>
  <si>
    <t>Gerald J. Whalen (WOR)</t>
  </si>
  <si>
    <t>Diane Y. Devlin (IND)</t>
  </si>
  <si>
    <t>Gerald J. Whalen (IND)</t>
  </si>
  <si>
    <t>Gerald J. Greenan, III (SAM)</t>
  </si>
  <si>
    <t>Nancy Quinn Koba (DEM)</t>
  </si>
  <si>
    <t>Steven I. Milligram (DEM)</t>
  </si>
  <si>
    <t>Lewis J. Lubell (DEM)</t>
  </si>
  <si>
    <t>Gina C. Capone (DEM)</t>
  </si>
  <si>
    <t>Steven I. Milligram (REP)</t>
  </si>
  <si>
    <t>Lewis J. Lubell (REP)</t>
  </si>
  <si>
    <t>Gina C. Capone (REP)</t>
  </si>
  <si>
    <t>Steven I. Milligram (CON)</t>
  </si>
  <si>
    <t>Lewis J. Lubell (CON)</t>
  </si>
  <si>
    <t>Gina C. Capone (CON)</t>
  </si>
  <si>
    <t>Steven I. Milligram (IND)</t>
  </si>
  <si>
    <t>Lewis J. Lubell (IND)</t>
  </si>
  <si>
    <t>Gina C. Capone (IND)</t>
  </si>
  <si>
    <t>Lewis J. Lubell (SAM)</t>
  </si>
  <si>
    <t>Nancy Quinn Koba (SAM)</t>
  </si>
  <si>
    <t>Stephen J. Lynch (DEM)</t>
  </si>
  <si>
    <t>Angela G. Iannacci (DEM)</t>
  </si>
  <si>
    <t>David J. Gugerty (DEM)</t>
  </si>
  <si>
    <t>Christopher G. Quinn (DEM)</t>
  </si>
  <si>
    <t>David P. Sullivan (DEM)</t>
  </si>
  <si>
    <t>Thomas Rademaker (DEM)</t>
  </si>
  <si>
    <t>Stephen J. Lynch (REP)</t>
  </si>
  <si>
    <t>Angela G. Iannacci (REP)</t>
  </si>
  <si>
    <t>David J. Gugerty (REP)</t>
  </si>
  <si>
    <t>Christopher G. Quinn (REP)</t>
  </si>
  <si>
    <t>David P. Sullivan (REP)</t>
  </si>
  <si>
    <t>Thomas Rademaker (REP)</t>
  </si>
  <si>
    <t>Stephen J. Lynch (CON)</t>
  </si>
  <si>
    <t>Angela G. Iannacci (CON)</t>
  </si>
  <si>
    <t>David J. Gugerty (CON)</t>
  </si>
  <si>
    <t>Christopher G. Quinn (CON)</t>
  </si>
  <si>
    <t>David P. Sullivan (CON)</t>
  </si>
  <si>
    <t>Christopher B. Garvey (LBT)</t>
  </si>
  <si>
    <t>Annette Totten (LBT)</t>
  </si>
  <si>
    <t>.</t>
  </si>
  <si>
    <t>Supreme Court Justice 3rd Judicial District - General Election - November 5, 2019 (Vote for any three)</t>
  </si>
  <si>
    <t>Supreme Court Justice 4th Judicial District - General Election - November 5, 2019 (Vote for any four)</t>
  </si>
  <si>
    <t>Supreme Court Justice 5th Judicial District - General Election - November 5, 2019 (Vote for any three)</t>
  </si>
  <si>
    <t>Supreme Court Justice 6th Judicial District - General Election - November 5, 2019 (Vote for any three)</t>
  </si>
  <si>
    <t>Supreme Court Justice 7th Judicial District - General Election - November 5, 2019 (Vote for any two)</t>
  </si>
  <si>
    <t>Supreme Court Justice 8th Judicial District - General Election - November 5, 2019 (Vote for any three)</t>
  </si>
  <si>
    <t>Supreme Court Justice 9th Judicial District - General Election - November 5, 2019 (Vote for any four)</t>
  </si>
  <si>
    <t>Supreme Court Justice 10th Judicial District - General Election - November 5, 2019 (Vote for any six)</t>
  </si>
  <si>
    <t>Supreme Court Justice 12th Judicial District - General Election - November 5, 2019 (Vote for any three)</t>
  </si>
  <si>
    <t>Bronx County Vote Results</t>
  </si>
  <si>
    <t>Wilma Guzman (DEM)</t>
  </si>
  <si>
    <t>Bahaati E. Pitt (DEM)</t>
  </si>
  <si>
    <t>John R. Higgitt (DEM)</t>
  </si>
  <si>
    <t>Supreme Court Justice 1st Judicial District - General Election - November 5, 2019 (Vote for any three)</t>
  </si>
  <si>
    <t>New York County Vote Results</t>
  </si>
  <si>
    <t>Martin Shulman (DEM)</t>
  </si>
  <si>
    <t>Shawn T. Kelly (DEM)</t>
  </si>
  <si>
    <t>Jennifer Schecter (DEM)</t>
  </si>
  <si>
    <t>Supreme Court Justice 2nd Judicial District - General Election - November 5, 2019 (Vote for any five)</t>
  </si>
  <si>
    <t>Kings County Vote Results</t>
  </si>
  <si>
    <t>Reinaldo E. Rivera (DEM)</t>
  </si>
  <si>
    <t>Esther Morgenstern (DEM)</t>
  </si>
  <si>
    <t>Donald S. Kurtz (DEM)</t>
  </si>
  <si>
    <t>Rosemarie Montalbano (DEM)</t>
  </si>
  <si>
    <t>Steven Z. Mostofsky (DEM)</t>
  </si>
  <si>
    <t>Reinaldo E. Rivera (REP)</t>
  </si>
  <si>
    <t>Esther Morgenstern (REP)</t>
  </si>
  <si>
    <t>Donald S. Kurtz (REP)</t>
  </si>
  <si>
    <t>Rosemarie Montalbano (REP)</t>
  </si>
  <si>
    <t>Steven Z. Mostofsky (REP)</t>
  </si>
  <si>
    <t>Reinaldo E. Rivera (CON)</t>
  </si>
  <si>
    <t>Esther Morgenstern (CON)</t>
  </si>
  <si>
    <t>Donald S. Kurtz (CON)</t>
  </si>
  <si>
    <t>Rosemarie Montalbano (CON)</t>
  </si>
  <si>
    <t>Steven Z. Mostofsky (CON)</t>
  </si>
  <si>
    <t>Supreme Court Justice 11th Judicial District - General Election - November 5, 2019 (Vote for any six)</t>
  </si>
  <si>
    <t>Queens County Vote Results</t>
  </si>
  <si>
    <t>Donna-Marie E. Golia (DEM)</t>
  </si>
  <si>
    <t>Maurice E. Muir (DEM)</t>
  </si>
  <si>
    <t>Phillip Hom (DEM)</t>
  </si>
  <si>
    <t>Stephen A. Knopf (DEM)</t>
  </si>
  <si>
    <t>Wyatt N. Gibbons (DEM)</t>
  </si>
  <si>
    <t>Lourdes M. Ventura (DEM)</t>
  </si>
  <si>
    <t>Donna-Marie E. Golia (REP)</t>
  </si>
  <si>
    <t>Joseph F. Kasper (REP)</t>
  </si>
  <si>
    <t>Daniel Kogan (REP)</t>
  </si>
  <si>
    <t>Stephen A. Knopf (REP)</t>
  </si>
  <si>
    <t>Wyatt N. Gibbons (REP)</t>
  </si>
  <si>
    <t>John C. Spataro (REP)</t>
  </si>
  <si>
    <t>Donna-Marie E. Golia (CON)</t>
  </si>
  <si>
    <t>Joseph F. Kasper (CON)</t>
  </si>
  <si>
    <t>Daniel Kogan (CON)</t>
  </si>
  <si>
    <t>Stephen A. Knopf (CON)</t>
  </si>
  <si>
    <t>Wyatt N. Gibbons (CON)</t>
  </si>
  <si>
    <t>Supreme Court Justice 13th Judicial District - General Election - November 5, 2019 (Vote for one)</t>
  </si>
  <si>
    <t>Richmond County Vote Results</t>
  </si>
  <si>
    <t>Orlando Marrazzo, Jr. (DEM)</t>
  </si>
  <si>
    <t>Orlando Marrazzo, Jr. (REP)</t>
  </si>
  <si>
    <t>Orlando Marrazzo, Jr. (CON)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</si>
</sst>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3" borderId="4" xfId="0" applyFont="1" applyFill="1" applyBorder="1"/>
    <xf numFmtId="3" fontId="2" fillId="0" borderId="1" xfId="0" applyNumberFormat="1" applyFont="1" applyBorder="1"/>
    <xf numFmtId="0" fontId="3" fillId="3" borderId="5" xfId="0" applyFont="1" applyFill="1" applyBorder="1"/>
    <xf numFmtId="3" fontId="2" fillId="0" borderId="3" xfId="0" applyNumberFormat="1" applyFont="1" applyBorder="1"/>
    <xf numFmtId="0" fontId="3" fillId="2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7" borderId="1" xfId="0" applyNumberFormat="1" applyFont="1" applyFill="1" applyBorder="1"/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0" fillId="0" borderId="0" xfId="0" applyNumberFormat="1"/>
    <xf numFmtId="0" fontId="3" fillId="3" borderId="1" xfId="0" applyFont="1" applyFill="1" applyBorder="1"/>
    <xf numFmtId="3" fontId="4" fillId="0" borderId="1" xfId="0" applyNumberFormat="1" applyFont="1" applyBorder="1"/>
    <xf numFmtId="3" fontId="2" fillId="8" borderId="1" xfId="0" applyNumberFormat="1" applyFont="1" applyFill="1" applyBorder="1"/>
    <xf numFmtId="3" fontId="2" fillId="0" borderId="1" xfId="0" applyNumberFormat="1" applyFont="1" applyFill="1" applyBorder="1"/>
  </cellXfs>
  <cellStyles count="1">
    <cellStyle name="Normal" xfId="0" builtinId="0"/>
  </cellStyles>
  <dxfs count="2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541F33-698A-432C-80A5-39D2ACA6B186}" name="SupremeCourtJusticeJudicialDistrict1General" displayName="SupremeCourtJusticeJudicialDistrict1General" ref="A2:D9" totalsRowCount="1" headerRowDxfId="279" dataDxfId="277" totalsRowDxfId="275" headerRowBorderDxfId="278" tableBorderDxfId="276" totalsRowBorderDxfId="274">
  <autoFilter ref="A2:D8" xr:uid="{E402F1AA-4E83-4726-A373-F0CA8B017EDD}">
    <filterColumn colId="0" hiddenButton="1"/>
    <filterColumn colId="1" hiddenButton="1"/>
    <filterColumn colId="2" hiddenButton="1"/>
    <filterColumn colId="3" hiddenButton="1"/>
  </autoFilter>
  <tableColumns count="4">
    <tableColumn id="1" xr3:uid="{00D6E314-39A1-4047-A7F7-BC1F724214A7}" name="Candidate Name (Party)" totalsRowLabel="Total Votes by County" dataDxfId="273" totalsRowDxfId="272"/>
    <tableColumn id="2" xr3:uid="{B31CC14B-D49D-46C4-85E7-196F28C27E2C}" name="New York County Vote Results" totalsRowFunction="custom" dataDxfId="271" totalsRowDxfId="270">
      <totalsRowFormula>SUM(SupremeCourtJusticeJudicialDistrict1General[New York County Vote Results])</totalsRowFormula>
    </tableColumn>
    <tableColumn id="3" xr3:uid="{8F17846F-CE87-4E2D-8DC1-54B4F6CB6656}" name="Total Votes by Party" dataDxfId="269" totalsRowDxfId="268">
      <calculatedColumnFormula>SupremeCourtJusticeJudicialDistrict1General[[#This Row],[New York County Vote Results]]</calculatedColumnFormula>
    </tableColumn>
    <tableColumn id="5" xr3:uid="{07C373E3-0808-4220-A639-54B0CB0CD415}" name="Total Votes by Candidate" dataDxfId="267" totalsRowDxfId="266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69CAE8A-E3C8-4A46-8A71-98C06410B59B}" name="SupremeCourtJusticeJudicialDistrict10General" displayName="SupremeCourtJusticeJudicialDistrict10General" ref="A2:E26" totalsRowCount="1" headerRowDxfId="57" dataDxfId="55" totalsRowDxfId="53" headerRowBorderDxfId="56" tableBorderDxfId="54" totalsRowBorderDxfId="52">
  <autoFilter ref="A2:E25" xr:uid="{0CCB8D5A-0187-4C70-B3B0-6D4D41A581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1CEED6-123A-42D4-8372-DBFD67972E98}" name="Candidate Name (Party)" totalsRowLabel="Total Votes by County" dataDxfId="51" totalsRowDxfId="50"/>
    <tableColumn id="2" xr3:uid="{ED8EB700-655C-4361-AE5D-EBE873D09719}" name="Nassau County Vote Results" totalsRowFunction="custom" dataDxfId="49" totalsRowDxfId="48">
      <totalsRowFormula>SUM(SupremeCourtJusticeJudicialDistrict10General[Nassau County Vote Results])</totalsRowFormula>
    </tableColumn>
    <tableColumn id="4" xr3:uid="{F6F0FC48-CC52-4FC4-A1F5-E35332A44B05}" name="Suffolk County Vote Results" totalsRowFunction="custom" dataDxfId="47" totalsRowDxfId="46">
      <totalsRowFormula>SUM(SupremeCourtJusticeJudicialDistrict10General[Suffolk County Vote Results])</totalsRowFormula>
    </tableColumn>
    <tableColumn id="3" xr3:uid="{92272E05-286D-47D9-907F-B11BF9AC5EF9}" name="Total Votes by Party" totalsRowFunction="custom" dataDxfId="45" totalsRowDxfId="44">
      <totalsRowFormula>SUM(SupremeCourtJusticeJudicialDistrict10General[Total Votes by Party])</totalsRowFormula>
    </tableColumn>
    <tableColumn id="5" xr3:uid="{DB511FF3-768C-4CD3-8E1A-FB4977E8656D}" name="Total Votes by Candidate" dataDxfId="43" totalsRowDxfId="42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711BF9-46E4-43D6-AEF9-E623878504CB}" name="SupremeCourtJusticeJudicialDistrict11General" displayName="SupremeCourtJusticeJudicialDistrict11General" ref="A2:D23" totalsRowCount="1" headerRowDxfId="41" dataDxfId="39" totalsRowDxfId="37" headerRowBorderDxfId="40" tableBorderDxfId="38" totalsRowBorderDxfId="36">
  <autoFilter ref="A2:D22" xr:uid="{66E676CE-1DF4-4945-AD83-4F76E7BE8FB0}">
    <filterColumn colId="0" hiddenButton="1"/>
    <filterColumn colId="1" hiddenButton="1"/>
    <filterColumn colId="2" hiddenButton="1"/>
    <filterColumn colId="3" hiddenButton="1"/>
  </autoFilter>
  <tableColumns count="4">
    <tableColumn id="1" xr3:uid="{620BF97A-7395-47F7-A0CB-99E43C22004D}" name="Candidate Name (Party)" totalsRowLabel="Total Votes by County" dataDxfId="35" totalsRowDxfId="34"/>
    <tableColumn id="2" xr3:uid="{72F598D9-D4F5-4682-BA4F-6DC5AC96AB92}" name="Queens County Vote Results" totalsRowFunction="custom" dataDxfId="33" totalsRowDxfId="32">
      <totalsRowFormula>SUM(SupremeCourtJusticeJudicialDistrict11General[Queens County Vote Results])</totalsRowFormula>
    </tableColumn>
    <tableColumn id="3" xr3:uid="{0C19DCC1-6E77-4447-A4FE-8D9E5DA29C48}" name="Total Votes by Party" dataDxfId="31" totalsRowDxfId="30">
      <calculatedColumnFormula>SupremeCourtJusticeJudicialDistrict11General[[#This Row],[Queens County Vote Results]]</calculatedColumnFormula>
    </tableColumn>
    <tableColumn id="5" xr3:uid="{5CA4C189-BB29-427F-90B9-E9E280D21B02}" name="Total Votes by Candidate" dataDxfId="29" totalsRowDxfId="28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8E6988-5E61-440C-98E3-EA332E9EA357}" name="SupremeCourtJusticeJudicialDistrict12General" displayName="SupremeCourtJusticeJudicialDistrict12General" ref="A2:D9" totalsRowCount="1" headerRowDxfId="27" dataDxfId="25" totalsRowDxfId="23" headerRowBorderDxfId="26" tableBorderDxfId="24" totalsRowBorderDxfId="22">
  <autoFilter ref="A2:D8" xr:uid="{4B3A2755-16F9-4EDD-BC42-454865916501}">
    <filterColumn colId="0" hiddenButton="1"/>
    <filterColumn colId="1" hiddenButton="1"/>
    <filterColumn colId="2" hiddenButton="1"/>
    <filterColumn colId="3" hiddenButton="1"/>
  </autoFilter>
  <tableColumns count="4">
    <tableColumn id="1" xr3:uid="{44FC8017-2272-46DB-90D8-C53268807E44}" name="Candidate Name (Party)" totalsRowLabel="Total Votes by County" dataDxfId="21" totalsRowDxfId="20"/>
    <tableColumn id="2" xr3:uid="{EA7E783F-1C98-46D1-9436-B2B48398A7BE}" name="Bronx County Vote Results" totalsRowFunction="custom" dataDxfId="19" totalsRowDxfId="18">
      <totalsRowFormula>SUM(SupremeCourtJusticeJudicialDistrict12General[Bronx County Vote Results])</totalsRowFormula>
    </tableColumn>
    <tableColumn id="3" xr3:uid="{5E8BE230-A17B-4090-97FC-A8C1344BBEB6}" name="Total Votes by Party" dataDxfId="17" totalsRowDxfId="16">
      <calculatedColumnFormula>SUM(#REF!)</calculatedColumnFormula>
    </tableColumn>
    <tableColumn id="5" xr3:uid="{485224BB-D3F2-4AE2-960F-32DCCF003ABA}" name="Total Votes by Candidate" dataDxfId="15" totalsRowDxfId="14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194795-B974-4F9D-BBA3-C78254D015C8}" name="SupremeCourtJusticeJudicialDistrict13General" displayName="SupremeCourtJusticeJudicialDistrict13General" ref="A2:D9" totalsRowCount="1" headerRowDxfId="13" dataDxfId="11" totalsRowDxfId="9" headerRowBorderDxfId="12" tableBorderDxfId="10" totalsRowBorderDxfId="8">
  <autoFilter ref="A2:D8" xr:uid="{CBB83477-9B67-4359-9092-771976832158}">
    <filterColumn colId="0" hiddenButton="1"/>
    <filterColumn colId="1" hiddenButton="1"/>
    <filterColumn colId="2" hiddenButton="1"/>
    <filterColumn colId="3" hiddenButton="1"/>
  </autoFilter>
  <tableColumns count="4">
    <tableColumn id="1" xr3:uid="{7F4C28F0-F7EA-4AEA-9250-B3796B935890}" name="Candidate Name (Party)" totalsRowLabel="Total Votes by County" dataDxfId="7" totalsRowDxfId="6"/>
    <tableColumn id="2" xr3:uid="{D6865583-26D3-420D-BD59-2D1C6045419E}" name="Richmond County Vote Results" totalsRowFunction="custom" dataDxfId="5" totalsRowDxfId="4">
      <totalsRowFormula>SUM(SupremeCourtJusticeJudicialDistrict13General[Richmond County Vote Results])</totalsRowFormula>
    </tableColumn>
    <tableColumn id="3" xr3:uid="{204134E4-9BDE-4BDC-B196-ECD6DA082731}" name="Total Votes by Party" dataDxfId="3" totalsRowDxfId="2">
      <calculatedColumnFormula>SupremeCourtJusticeJudicialDistrict13General[[#This Row],[Richmond County Vote Results]]</calculatedColumnFormula>
    </tableColumn>
    <tableColumn id="5" xr3:uid="{75ED2EE2-C505-497F-92C3-D29E1B7263AA}" name="Total Votes by Candidate" dataDxfId="1" totalsRow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729AAE-98A0-43D9-B415-C1B348D35914}" name="SupremeCourtJusticeJudicialDistrict2General" displayName="SupremeCourtJusticeJudicialDistrict2General" ref="A2:D21" totalsRowCount="1" headerRowDxfId="265" dataDxfId="263" totalsRowDxfId="261" headerRowBorderDxfId="264" tableBorderDxfId="262" totalsRowBorderDxfId="260">
  <autoFilter ref="A2:D20" xr:uid="{985A7B56-D60B-41CF-971C-5DA649306521}">
    <filterColumn colId="0" hiddenButton="1"/>
    <filterColumn colId="1" hiddenButton="1"/>
    <filterColumn colId="2" hiddenButton="1"/>
    <filterColumn colId="3" hiddenButton="1"/>
  </autoFilter>
  <tableColumns count="4">
    <tableColumn id="1" xr3:uid="{EE8838AA-DEDE-43C4-BBCE-24CC571D1A92}" name="Candidate Name (Party)" totalsRowLabel="Total Votes by County" dataDxfId="259" totalsRowDxfId="258"/>
    <tableColumn id="2" xr3:uid="{934EB151-7D77-4C14-9129-5C5D7314F5FC}" name="Kings County Vote Results" totalsRowFunction="custom" dataDxfId="257" totalsRowDxfId="256">
      <totalsRowFormula>SUM(SupremeCourtJusticeJudicialDistrict2General[Kings County Vote Results])</totalsRowFormula>
    </tableColumn>
    <tableColumn id="3" xr3:uid="{1F470E01-1394-4FD7-856B-9E22B0CE1FB8}" name="Total Votes by Party" dataDxfId="255" totalsRowDxfId="254">
      <calculatedColumnFormula>SupremeCourtJusticeJudicialDistrict2General[[#This Row],[Kings County Vote Results]]</calculatedColumnFormula>
    </tableColumn>
    <tableColumn id="5" xr3:uid="{E6E144D9-EE2C-4227-8A30-4E74FF2DD1E2}" name="Total Votes by Candidate" dataDxfId="253" totalsRowDxfId="252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5FB743-9E94-4632-A847-C820A45B0400}" name="SupremeCourtJusticeJudicialDistrict3General" displayName="SupremeCourtJusticeJudicialDistrict3General" ref="A2:J18" totalsRowCount="1" headerRowDxfId="251" dataDxfId="249" totalsRowDxfId="247" headerRowBorderDxfId="250" tableBorderDxfId="248" totalsRowBorderDxfId="246">
  <autoFilter ref="A2:J17" xr:uid="{171AA563-B1AD-4248-A94A-D65A6E7179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764488A-BE5E-4723-BDFC-249E45DC793F}" name="Candidate Name (Party)" totalsRowLabel="Total Votes by County" dataDxfId="245" totalsRowDxfId="244"/>
    <tableColumn id="2" xr3:uid="{CB9E467D-E849-41C5-9130-BA34CC1CD972}" name="Albany County Vote Results" totalsRowFunction="custom" dataDxfId="243" totalsRowDxfId="242">
      <totalsRowFormula>SUM(SupremeCourtJusticeJudicialDistrict3General[Albany County Vote Results])</totalsRowFormula>
    </tableColumn>
    <tableColumn id="10" xr3:uid="{2DF8FF89-3B39-409D-86DB-845169FD5F0F}" name="Columbia County Vote Results" totalsRowFunction="custom" dataDxfId="241" totalsRowDxfId="240">
      <totalsRowFormula>SUM(SupremeCourtJusticeJudicialDistrict3General[Columbia County Vote Results])</totalsRowFormula>
    </tableColumn>
    <tableColumn id="9" xr3:uid="{642448A6-0294-4264-9857-090D9757F80B}" name="Greene County Vote Results" totalsRowFunction="custom" dataDxfId="239" totalsRowDxfId="238">
      <totalsRowFormula>SUM(SupremeCourtJusticeJudicialDistrict3General[Greene County Vote Results])</totalsRowFormula>
    </tableColumn>
    <tableColumn id="8" xr3:uid="{AC74FDD7-BA6E-401C-80C7-D1FD2727D0A4}" name="Rensselaer County Vote Results" totalsRowFunction="custom" dataDxfId="237" totalsRowDxfId="236">
      <totalsRowFormula>SUM(SupremeCourtJusticeJudicialDistrict3General[Rensselaer County Vote Results])</totalsRowFormula>
    </tableColumn>
    <tableColumn id="7" xr3:uid="{2A95BCAF-2168-42F9-AC88-95DE1DDC0D8A}" name="Schoharie County Vote Results" totalsRowFunction="custom" dataDxfId="235" totalsRowDxfId="234">
      <totalsRowFormula>SUM(SupremeCourtJusticeJudicialDistrict3General[Schoharie County Vote Results])</totalsRowFormula>
    </tableColumn>
    <tableColumn id="6" xr3:uid="{AC35906C-549A-40CE-8DB2-EBCB4247A94D}" name="Sullivan County Vote Results" totalsRowFunction="custom" dataDxfId="233" totalsRowDxfId="232">
      <totalsRowFormula>SUM(SupremeCourtJusticeJudicialDistrict3General[Sullivan County Vote Results])</totalsRowFormula>
    </tableColumn>
    <tableColumn id="4" xr3:uid="{3B4599F3-3395-410C-9DFA-15926027CD4A}" name="Ulster County Vote Results" totalsRowFunction="custom" dataDxfId="231" totalsRowDxfId="230">
      <totalsRowFormula>SUM(SupremeCourtJusticeJudicialDistrict3General[Ulster County Vote Results])</totalsRowFormula>
    </tableColumn>
    <tableColumn id="3" xr3:uid="{0F337D4C-1412-438B-925F-456C139079C8}" name="Total Votes by Party" totalsRowFunction="custom" dataDxfId="229" totalsRowDxfId="228">
      <calculatedColumnFormula>SUM(SupremeCourtJusticeJudicialDistrict3General[[#This Row],[Albany County Vote Results]:[Ulster County Vote Results]])</calculatedColumnFormula>
      <totalsRowFormula>SUM(SupremeCourtJusticeJudicialDistrict3General[Total Votes by Party])</totalsRowFormula>
    </tableColumn>
    <tableColumn id="5" xr3:uid="{C54AC215-354F-41A4-8301-91F64E921136}" name="Total Votes by Candidate" dataDxfId="227" totalsRowDxfId="22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4AA343-C898-4D93-A8D1-CF254070EA20}" name="SupremeCourtJusticeJudicialDistrict4General" displayName="SupremeCourtJusticeJudicialDistrict4General" ref="A2:N17" totalsRowCount="1" headerRowDxfId="225" dataDxfId="223" totalsRowDxfId="221" headerRowBorderDxfId="224" tableBorderDxfId="222" totalsRowBorderDxfId="220">
  <autoFilter ref="A2:N16" xr:uid="{2B1B8F5A-C875-4BBD-9653-B3E3165724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9F75905-8A94-4496-83F6-C62C9FD313AA}" name="Candidate Name (Party)" totalsRowLabel="Total Votes by County" dataDxfId="219" totalsRowDxfId="218"/>
    <tableColumn id="2" xr3:uid="{68285C9E-05DE-42F9-BB19-95D2D1CF393E}" name="Clinton County Vote Results" totalsRowFunction="custom" dataDxfId="217" totalsRowDxfId="216">
      <totalsRowFormula>SUM(SupremeCourtJusticeJudicialDistrict4General[Clinton County Vote Results])</totalsRowFormula>
    </tableColumn>
    <tableColumn id="10" xr3:uid="{A43BDE0E-611F-40ED-8FB4-62555163F8D1}" name="Essex County Vote Results" totalsRowFunction="custom" dataDxfId="215" totalsRowDxfId="214">
      <totalsRowFormula>SUM(SupremeCourtJusticeJudicialDistrict4General[Essex County Vote Results])</totalsRowFormula>
    </tableColumn>
    <tableColumn id="9" xr3:uid="{BA09C406-3D8B-4A69-80BC-9483E02887B5}" name="Franklin County Vote Results" totalsRowFunction="custom" dataDxfId="213" totalsRowDxfId="212">
      <totalsRowFormula>SUM(SupremeCourtJusticeJudicialDistrict4General[Franklin County Vote Results])</totalsRowFormula>
    </tableColumn>
    <tableColumn id="14" xr3:uid="{C09F916F-F2C9-4F7C-BDE9-460550D88DDE}" name="Fulton County Vote Results" totalsRowFunction="custom" dataDxfId="211" totalsRowDxfId="210">
      <totalsRowFormula>SUM(SupremeCourtJusticeJudicialDistrict4General[Fulton County Vote Results])</totalsRowFormula>
    </tableColumn>
    <tableColumn id="13" xr3:uid="{F071FFE9-6FF3-4D11-8AB5-9B20C85C56C4}" name="Hamilton County Vote Results" totalsRowFunction="custom" dataDxfId="209" totalsRowDxfId="208">
      <totalsRowFormula>SUM(SupremeCourtJusticeJudicialDistrict4General[Hamilton County Vote Results])</totalsRowFormula>
    </tableColumn>
    <tableColumn id="12" xr3:uid="{8DAAABF6-78C6-43C9-BE7F-7BEDCB75D569}" name="Montgomery County Vote Results" totalsRowFunction="custom" dataDxfId="207" totalsRowDxfId="206">
      <totalsRowFormula>SUM(SupremeCourtJusticeJudicialDistrict4General[Montgomery County Vote Results])</totalsRowFormula>
    </tableColumn>
    <tableColumn id="11" xr3:uid="{F0A5DDB1-B629-4163-99BE-E95A084C7491}" name="St. Lawrence County Vote Results" totalsRowFunction="custom" dataDxfId="205" totalsRowDxfId="204">
      <totalsRowFormula>SUM(SupremeCourtJusticeJudicialDistrict4General[St. Lawrence County Vote Results])</totalsRowFormula>
    </tableColumn>
    <tableColumn id="8" xr3:uid="{9F889E68-46A0-41E0-A894-80BBFA4D3601}" name="Saratoga County Vote Results" totalsRowFunction="custom" dataDxfId="203" totalsRowDxfId="202">
      <totalsRowFormula>SUM(SupremeCourtJusticeJudicialDistrict4General[Saratoga County Vote Results])</totalsRowFormula>
    </tableColumn>
    <tableColumn id="7" xr3:uid="{2EF6287C-371C-4943-AB5D-A4753829F9E5}" name="Schenectady County Vote Results" totalsRowFunction="custom" dataDxfId="201" totalsRowDxfId="200">
      <totalsRowFormula>SUM(SupremeCourtJusticeJudicialDistrict4General[Schenectady County Vote Results])</totalsRowFormula>
    </tableColumn>
    <tableColumn id="6" xr3:uid="{32FFFA40-9E20-4127-A6C2-975A7D112C56}" name="Warren County Vote Results" totalsRowFunction="custom" dataDxfId="199" totalsRowDxfId="198">
      <totalsRowFormula>SUM(SupremeCourtJusticeJudicialDistrict4General[Warren County Vote Results])</totalsRowFormula>
    </tableColumn>
    <tableColumn id="4" xr3:uid="{4FF83C39-1195-4D6D-A609-C7A96F621491}" name="Washington County Vote Results" totalsRowFunction="custom" dataDxfId="197" totalsRowDxfId="196">
      <totalsRowFormula>SUM(SupremeCourtJusticeJudicialDistrict4General[Washington County Vote Results])</totalsRowFormula>
    </tableColumn>
    <tableColumn id="3" xr3:uid="{2B068990-48AE-4B55-A7EA-ECBD17BC259D}" name="Total Votes by Party" totalsRowFunction="custom" dataDxfId="195" totalsRowDxfId="194">
      <calculatedColumnFormula>SUM(SupremeCourtJusticeJudicialDistrict4General[[#This Row],[Clinton County Vote Results]:[Washington County Vote Results]])</calculatedColumnFormula>
      <totalsRowFormula>SUM(SupremeCourtJusticeJudicialDistrict4General[Total Votes by Party])</totalsRowFormula>
    </tableColumn>
    <tableColumn id="5" xr3:uid="{34E43DFA-A494-4D7D-A470-395DB96A7924}" name="Total Votes by Candidate" dataDxfId="193" totalsRowDxfId="19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B3587F5-DB8E-4F37-B4C8-E7477D2187E8}" name="SupremeCourtJusticeJudicialDistrict5General" displayName="SupremeCourtJusticeJudicialDistrict5General" ref="A2:I18" totalsRowCount="1" headerRowDxfId="191" dataDxfId="189" totalsRowDxfId="187" headerRowBorderDxfId="190" tableBorderDxfId="188" totalsRowBorderDxfId="186">
  <autoFilter ref="A2:I17" xr:uid="{A40D9807-6526-4980-B4FE-57B09E4932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DFFD150-E4E3-4F5A-9939-5DBC8A0F9A9F}" name="Candidate Name (Party)" totalsRowLabel="Total Votes by County" dataDxfId="185" totalsRowDxfId="184"/>
    <tableColumn id="2" xr3:uid="{83C147E2-9BBB-4CD2-848D-93D73D0F954A}" name="Herkimer County Vote Results" totalsRowFunction="custom" dataDxfId="183" totalsRowDxfId="182">
      <totalsRowFormula>SUM(SupremeCourtJusticeJudicialDistrict5General[Herkimer County Vote Results])</totalsRowFormula>
    </tableColumn>
    <tableColumn id="9" xr3:uid="{18FDF415-2EDB-4C56-838A-FC9309E6328A}" name="Jefferson County Vote Results" totalsRowFunction="custom" dataDxfId="181" totalsRowDxfId="180">
      <totalsRowFormula>SUM(SupremeCourtJusticeJudicialDistrict5General[Jefferson County Vote Results])</totalsRowFormula>
    </tableColumn>
    <tableColumn id="8" xr3:uid="{754D0C4D-7709-4282-AC55-C64E38FD08C3}" name="Lewis County Vote Results" totalsRowFunction="custom" dataDxfId="179" totalsRowDxfId="178">
      <totalsRowFormula>SUM(SupremeCourtJusticeJudicialDistrict5General[Lewis County Vote Results])</totalsRowFormula>
    </tableColumn>
    <tableColumn id="7" xr3:uid="{3655E802-6482-4528-8D3F-F5A69CDF10D2}" name="Oneida County Vote Results" totalsRowFunction="custom" dataDxfId="177" totalsRowDxfId="176">
      <totalsRowFormula>SUM(SupremeCourtJusticeJudicialDistrict5General[Oneida County Vote Results])</totalsRowFormula>
    </tableColumn>
    <tableColumn id="3" xr3:uid="{AFBA5A3D-5B13-44AF-B013-A061AA8DB9E8}" name="Onondaga County Vote Results" totalsRowFunction="custom" dataDxfId="175" totalsRowDxfId="174">
      <totalsRowFormula>SUM(SupremeCourtJusticeJudicialDistrict5General[Onondaga County Vote Results])</totalsRowFormula>
    </tableColumn>
    <tableColumn id="4" xr3:uid="{A30E96EA-6221-4EBF-94CF-383518D6BA85}" name="Oswego County Vote Results" totalsRowFunction="custom" dataDxfId="173" totalsRowDxfId="172">
      <totalsRowFormula>SUM(SupremeCourtJusticeJudicialDistrict5General[Oswego County Vote Results])</totalsRowFormula>
    </tableColumn>
    <tableColumn id="6" xr3:uid="{43B2D2CB-1F74-4647-93D4-7C29229343D6}" name="Total Votes by Party" totalsRowFunction="custom" dataDxfId="171" totalsRowDxfId="170">
      <totalsRowFormula>SUM(SupremeCourtJusticeJudicialDistrict5General[Total Votes by Party])</totalsRowFormula>
    </tableColumn>
    <tableColumn id="5" xr3:uid="{0B4E0C15-205A-453C-B8C8-D10E15F78D08}" name="Total Votes by Candidate" dataDxfId="169" totalsRowDxfId="168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18830A0F-F41D-4057-9C1D-9810688DD3DB}" name="SupremeCourtJusticeJudicialDistrict6General" displayName="SupremeCourtJusticeJudicialDistrict6General" ref="A2:M17" totalsRowCount="1" headerRowDxfId="167" dataDxfId="165" totalsRowDxfId="163" headerRowBorderDxfId="166" tableBorderDxfId="164" totalsRowBorderDxfId="162">
  <autoFilter ref="A2:M16" xr:uid="{255643C0-3E9F-4065-BC76-EA9F240040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2619BFA-F64C-4ADF-B3AC-FD56178E60C0}" name="Candidate Name (Party)" totalsRowLabel="Total Votes by County" dataDxfId="161" totalsRowDxfId="160"/>
    <tableColumn id="2" xr3:uid="{2BC5F9F7-33EB-4716-915D-C06FB658EFF6}" name="Broome County Vote Results" totalsRowFunction="custom" dataDxfId="159" totalsRowDxfId="158">
      <totalsRowFormula>SUM(SupremeCourtJusticeJudicialDistrict6General[Broome County Vote Results])</totalsRowFormula>
    </tableColumn>
    <tableColumn id="9" xr3:uid="{E845202B-635B-45E1-89C4-07C4CA3CF5B4}" name="Chemung County Vote Results" totalsRowFunction="custom" dataDxfId="157" totalsRowDxfId="156">
      <totalsRowFormula>SUM(SupremeCourtJusticeJudicialDistrict6General[Chemung County Vote Results])</totalsRowFormula>
    </tableColumn>
    <tableColumn id="8" xr3:uid="{480701BA-BA0F-4CAD-8732-0C06790BC76F}" name="Chenango County Vote Results" totalsRowFunction="custom" dataDxfId="155" totalsRowDxfId="154">
      <totalsRowFormula>SUM(SupremeCourtJusticeJudicialDistrict6General[Chenango County Vote Results])</totalsRowFormula>
    </tableColumn>
    <tableColumn id="12" xr3:uid="{F970D2DC-D208-46AE-8BD8-1E79A3466908}" name="Cortland County Vote Results" totalsRowFunction="custom" dataDxfId="153" totalsRowDxfId="152">
      <totalsRowFormula>SUM(SupremeCourtJusticeJudicialDistrict6General[Cortland County Vote Results])</totalsRowFormula>
    </tableColumn>
    <tableColumn id="11" xr3:uid="{66DB5F99-6536-419C-B0FB-5CE1B398A106}" name="Delaware County Vote Results" totalsRowFunction="custom" dataDxfId="151" totalsRowDxfId="150">
      <totalsRowFormula>SUM(SupremeCourtJusticeJudicialDistrict6General[Delaware County Vote Results])</totalsRowFormula>
    </tableColumn>
    <tableColumn id="10" xr3:uid="{2F458E70-9D62-4EBD-81B4-F1D9436C07CA}" name="Madison County Vote Results" totalsRowFunction="custom" dataDxfId="149" totalsRowDxfId="148">
      <totalsRowFormula>SUM(SupremeCourtJusticeJudicialDistrict6General[Madison County Vote Results])</totalsRowFormula>
    </tableColumn>
    <tableColumn id="7" xr3:uid="{9F0D58A9-0DD7-4531-88E8-7F0459CE8655}" name="Otsego County Vote Results" totalsRowFunction="custom" dataDxfId="147" totalsRowDxfId="146">
      <totalsRowFormula>SUM(SupremeCourtJusticeJudicialDistrict6General[Otsego County Vote Results])</totalsRowFormula>
    </tableColumn>
    <tableColumn id="6" xr3:uid="{5C8FCD82-95EB-47C4-8CE3-29FA859584C7}" name="Schuyler County Vote Results" totalsRowFunction="custom" dataDxfId="145" totalsRowDxfId="144">
      <totalsRowFormula>SUM(SupremeCourtJusticeJudicialDistrict6General[Schuyler County Vote Results])</totalsRowFormula>
    </tableColumn>
    <tableColumn id="3" xr3:uid="{AF9AFB12-746E-4F72-82D6-992E5F90B1E4}" name="Tioga County Vote Results" totalsRowFunction="custom" dataDxfId="143" totalsRowDxfId="142">
      <totalsRowFormula>SUM(SupremeCourtJusticeJudicialDistrict6General[Tioga County Vote Results])</totalsRowFormula>
    </tableColumn>
    <tableColumn id="4" xr3:uid="{DAF5E336-3C5C-43DD-B07D-4BFE1FC8083D}" name="Tompkins County Vote Results" totalsRowFunction="custom" dataDxfId="141" totalsRowDxfId="140">
      <totalsRowFormula>SUM(SupremeCourtJusticeJudicialDistrict6General[Tompkins County Vote Results])</totalsRowFormula>
    </tableColumn>
    <tableColumn id="13" xr3:uid="{7CB839B2-17FE-486E-8FFA-898BBB15D555}" name="Total Votes by Party" totalsRowFunction="custom" dataDxfId="139" totalsRowDxfId="138">
      <calculatedColumnFormula>SUM(SupremeCourtJusticeJudicialDistrict6General[[#This Row],[Broome County Vote Results]:[Tompkins County Vote Results]])</calculatedColumnFormula>
      <totalsRowFormula>SUM(SupremeCourtJusticeJudicialDistrict6General[Total Votes by Party])</totalsRowFormula>
    </tableColumn>
    <tableColumn id="5" xr3:uid="{B3A67BE9-3481-41BB-A5EA-CE10006BFDB9}" name="Total Votes by Candidate" dataDxfId="137" totalsRowDxfId="136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3D6462AC-67A4-44B5-B36E-AB7A30102C12}" name="SupremeCourtJusticeJudicialDistrict7General" displayName="SupremeCourtJusticeJudicialDistrict7General" ref="A2:K16" totalsRowCount="1" headerRowDxfId="135" dataDxfId="133" totalsRowDxfId="131" headerRowBorderDxfId="134" tableBorderDxfId="132" totalsRowBorderDxfId="130">
  <autoFilter ref="A2:K15" xr:uid="{4A698953-4787-42EF-B5E8-7683CF8B90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4BEFBEF-97E2-496B-B7BE-A4467402BC27}" name="Candidate Name (Party)" totalsRowLabel="Total Votes by County" dataDxfId="129" totalsRowDxfId="128"/>
    <tableColumn id="2" xr3:uid="{CC38592D-FD73-4D7D-9BB2-504E75CD8B6F}" name="Cayuga County Vote Results" totalsRowFunction="custom" dataDxfId="127" totalsRowDxfId="126">
      <totalsRowFormula>SUM(SupremeCourtJusticeJudicialDistrict7General[Cayuga County Vote Results])</totalsRowFormula>
    </tableColumn>
    <tableColumn id="9" xr3:uid="{67362306-932F-4D34-A106-CE4B107F5041}" name="Livingston County Vote Results" totalsRowFunction="custom" dataDxfId="125" totalsRowDxfId="124">
      <totalsRowFormula>SUM(SupremeCourtJusticeJudicialDistrict7General[Livingston County Vote Results])</totalsRowFormula>
    </tableColumn>
    <tableColumn id="8" xr3:uid="{B28C0287-F7B8-4125-9741-ECA01FEC85B7}" name="Monroe County Vote Results" totalsRowFunction="custom" dataDxfId="123" totalsRowDxfId="122">
      <totalsRowFormula>SUM(SupremeCourtJusticeJudicialDistrict7General[Monroe County Vote Results])</totalsRowFormula>
    </tableColumn>
    <tableColumn id="11" xr3:uid="{B8214F10-D87C-4A43-899C-17933F328F7C}" name="Ontario County Vote Results" totalsRowFunction="custom" dataDxfId="121" totalsRowDxfId="120">
      <totalsRowFormula>SUM(SupremeCourtJusticeJudicialDistrict7General[Ontario County Vote Results])</totalsRowFormula>
    </tableColumn>
    <tableColumn id="10" xr3:uid="{D4F04DEC-E619-4939-9992-BAB7BFC985A2}" name="Seneca County Vote Results" totalsRowFunction="custom" dataDxfId="119" totalsRowDxfId="118">
      <totalsRowFormula>SUM(SupremeCourtJusticeJudicialDistrict7General[Seneca County Vote Results])</totalsRowFormula>
    </tableColumn>
    <tableColumn id="7" xr3:uid="{DFE6BF67-4B96-48F4-BE6D-7827A3CE9E85}" name="Steuben County Vote Results" totalsRowFunction="custom" dataDxfId="117" totalsRowDxfId="116">
      <totalsRowFormula>SUM(SupremeCourtJusticeJudicialDistrict7General[Steuben County Vote Results])</totalsRowFormula>
    </tableColumn>
    <tableColumn id="3" xr3:uid="{4A9F3B25-4DCE-491D-9AB7-1211462FC706}" name="Wayne County Vote Results" totalsRowFunction="custom" dataDxfId="115" totalsRowDxfId="114">
      <totalsRowFormula>SUM(SupremeCourtJusticeJudicialDistrict7General[Wayne County Vote Results])</totalsRowFormula>
    </tableColumn>
    <tableColumn id="4" xr3:uid="{50C00CC7-118C-45E8-8164-E9DB9A91E6B3}" name="Yates County Vote Results" totalsRowFunction="custom" dataDxfId="113" totalsRowDxfId="112">
      <totalsRowFormula>SUM(SupremeCourtJusticeJudicialDistrict7General[Yates County Vote Results])</totalsRowFormula>
    </tableColumn>
    <tableColumn id="6" xr3:uid="{F6374326-092D-49D5-A0B4-6C1A169EE8EF}" name="Total Votes by Party" totalsRowFunction="custom" dataDxfId="111" totalsRowDxfId="110">
      <calculatedColumnFormula>SUM(SupremeCourtJusticeJudicialDistrict7General[[#This Row],[Cayuga County Vote Results]:[Yates County Vote Results]])</calculatedColumnFormula>
      <totalsRowFormula>SUM(SupremeCourtJusticeJudicialDistrict7General[Total Votes by Party])</totalsRowFormula>
    </tableColumn>
    <tableColumn id="5" xr3:uid="{9672B4BB-01A8-40E4-818D-685CC958D739}" name="Total Votes by Candidate" dataDxfId="109" totalsRowDxfId="10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706F2144-A5E3-475B-A27C-A16ED434F5AA}" name="SupremeCourtJusticeJudicialDistrict8General" displayName="SupremeCourtJusticeJudicialDistrict8General" ref="A2:K20" totalsRowCount="1" headerRowDxfId="107" dataDxfId="105" totalsRowDxfId="103" headerRowBorderDxfId="106" tableBorderDxfId="104" totalsRowBorderDxfId="102">
  <autoFilter ref="A2:K19" xr:uid="{BA26D69A-8223-4C72-ACE7-80CECD8130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01431C6-72DF-4D69-A4E2-7BC01831D242}" name="Candidate Name (Party)" totalsRowLabel="Total Votes by County" dataDxfId="101" totalsRowDxfId="100"/>
    <tableColumn id="2" xr3:uid="{A8612375-1AFD-4EA9-8007-1646FDF863E1}" name="Allegany County Vote Results" totalsRowFunction="custom" dataDxfId="99" totalsRowDxfId="98">
      <totalsRowFormula>SUM(SupremeCourtJusticeJudicialDistrict8General[Allegany County Vote Results])</totalsRowFormula>
    </tableColumn>
    <tableColumn id="9" xr3:uid="{525D5304-6EFA-4839-AF28-7100F82A7874}" name="Cattaraugus County Vote Results" totalsRowFunction="custom" dataDxfId="97" totalsRowDxfId="96">
      <totalsRowFormula>SUM(SupremeCourtJusticeJudicialDistrict8General[Cattaraugus County Vote Results])</totalsRowFormula>
    </tableColumn>
    <tableColumn id="8" xr3:uid="{AAFC365B-E398-40A2-AAE9-F43158F073A6}" name="Chautauqua County Vote Results" totalsRowFunction="custom" dataDxfId="95" totalsRowDxfId="94">
      <totalsRowFormula>SUM(SupremeCourtJusticeJudicialDistrict8General[Chautauqua County Vote Results])</totalsRowFormula>
    </tableColumn>
    <tableColumn id="11" xr3:uid="{928C9A69-A0C8-4E57-AF8F-6E0939E0D1E3}" name="Erie County Vote Results" totalsRowFunction="custom" dataDxfId="93" totalsRowDxfId="92">
      <totalsRowFormula>SUM(SupremeCourtJusticeJudicialDistrict8General[Erie County Vote Results])</totalsRowFormula>
    </tableColumn>
    <tableColumn id="10" xr3:uid="{D4B54242-76BB-42E0-AA97-DA9111B2B04C}" name="Genesee County Vote Results" totalsRowFunction="custom" dataDxfId="91" totalsRowDxfId="90">
      <totalsRowFormula>SUM(SupremeCourtJusticeJudicialDistrict8General[Genesee County Vote Results])</totalsRowFormula>
    </tableColumn>
    <tableColumn id="7" xr3:uid="{31C1FA06-5AAF-47AE-9947-D1C26C4BB6B5}" name="Niagara County Vote Results" totalsRowFunction="custom" dataDxfId="89" totalsRowDxfId="88">
      <totalsRowFormula>SUM(SupremeCourtJusticeJudicialDistrict8General[Niagara County Vote Results])</totalsRowFormula>
    </tableColumn>
    <tableColumn id="3" xr3:uid="{FBD7B710-780E-49B4-93B9-D659A147602A}" name="Orleans County Vote Results" totalsRowFunction="custom" dataDxfId="87" totalsRowDxfId="86">
      <totalsRowFormula>SUM(SupremeCourtJusticeJudicialDistrict8General[Orleans County Vote Results])</totalsRowFormula>
    </tableColumn>
    <tableColumn id="4" xr3:uid="{99A560E5-4B88-4C7D-B0A5-4186BF9CFFE1}" name="Wyoming County Vote Results" totalsRowFunction="custom" dataDxfId="85" totalsRowDxfId="84">
      <totalsRowFormula>SUM(SupremeCourtJusticeJudicialDistrict8General[Wyoming County Vote Results])</totalsRowFormula>
    </tableColumn>
    <tableColumn id="6" xr3:uid="{DD91AA70-7738-47B5-B91F-097632FA7B33}" name="Total Votes by Party" totalsRowFunction="custom" dataDxfId="83" totalsRowDxfId="82">
      <calculatedColumnFormula>SUM(SupremeCourtJusticeJudicialDistrict8General[[#This Row],[Allegany County Vote Results]:[Wyoming County Vote Results]])</calculatedColumnFormula>
      <totalsRowFormula>SUM(SupremeCourtJusticeJudicialDistrict8General[Total Votes by Party])</totalsRowFormula>
    </tableColumn>
    <tableColumn id="5" xr3:uid="{7771E77A-7534-4E8B-B1F5-4DEE9A6EA389}" name="Total Votes by Candidate" dataDxfId="81" totalsRowDxfId="80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AA9B1A9A-9144-40F0-8E20-5E9AA604477B}" name="SupremeCourtJusticeJudicialDistrict9General" displayName="SupremeCourtJusticeJudicialDistrict9General" ref="A2:H24" totalsRowCount="1" headerRowDxfId="79" dataDxfId="77" totalsRowDxfId="75" headerRowBorderDxfId="78" tableBorderDxfId="76" totalsRowBorderDxfId="74">
  <autoFilter ref="A2:H23" xr:uid="{56A2BF69-4EF5-460D-AADA-D5565A5D5E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0C5AB30-EB0D-4976-805A-775921F85975}" name="Candidate Name (Party)" totalsRowLabel="Total Votes by County" dataDxfId="73" totalsRowDxfId="72"/>
    <tableColumn id="2" xr3:uid="{182EC548-1E95-4E2C-846E-88246439B360}" name="Dutchess County Vote Results" totalsRowFunction="custom" dataDxfId="71" totalsRowDxfId="70">
      <totalsRowFormula>SUM(SupremeCourtJusticeJudicialDistrict9General[Dutchess County Vote Results])</totalsRowFormula>
    </tableColumn>
    <tableColumn id="9" xr3:uid="{808B4ED7-853A-4A59-885E-943C33C9E561}" name="Orange County Vote Results" totalsRowFunction="custom" dataDxfId="69" totalsRowDxfId="68">
      <totalsRowFormula>SUM(SupremeCourtJusticeJudicialDistrict9General[Orange County Vote Results])</totalsRowFormula>
    </tableColumn>
    <tableColumn id="8" xr3:uid="{C5B77640-8962-4CA3-9A9F-F4768E6F9D7B}" name="Putnam County Vote Results" totalsRowFunction="custom" dataDxfId="67" totalsRowDxfId="66">
      <totalsRowFormula>SUM(SupremeCourtJusticeJudicialDistrict9General[Putnam County Vote Results])</totalsRowFormula>
    </tableColumn>
    <tableColumn id="3" xr3:uid="{A97C5F10-B19C-4011-AABE-E2573F573617}" name="Rockland County Vote Results" totalsRowFunction="custom" dataDxfId="65" totalsRowDxfId="64">
      <totalsRowFormula>SUM(SupremeCourtJusticeJudicialDistrict9General[Rockland County Vote Results])</totalsRowFormula>
    </tableColumn>
    <tableColumn id="4" xr3:uid="{87239EA8-7A82-4BD2-99E7-8D939580A2BC}" name="Westchester County Vote Results" totalsRowFunction="custom" dataDxfId="63" totalsRowDxfId="62">
      <totalsRowFormula>SUM(SupremeCourtJusticeJudicialDistrict9General[Westchester County Vote Results])</totalsRowFormula>
    </tableColumn>
    <tableColumn id="6" xr3:uid="{2FA7AFCC-1868-42DB-8D50-42D33A861A46}" name="Total Votes by Party" totalsRowFunction="custom" dataDxfId="61" totalsRowDxfId="60">
      <totalsRowFormula>SUM(SupremeCourtJusticeJudicialDistrict9General[Total Votes by Party])</totalsRowFormula>
    </tableColumn>
    <tableColumn id="5" xr3:uid="{56D72240-249B-42A1-9977-C51DEE57448D}" name="Total Votes by Candidate" dataDxfId="59" totalsRowDxfId="5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A852-6C16-40A1-99D6-81701BCDFAC3}">
  <dimension ref="A1:D9"/>
  <sheetViews>
    <sheetView workbookViewId="0">
      <selection activeCell="B11" sqref="B1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186</v>
      </c>
    </row>
    <row r="2" spans="1:4" ht="25.5" x14ac:dyDescent="0.2">
      <c r="A2" s="6" t="s">
        <v>5</v>
      </c>
      <c r="B2" s="7" t="s">
        <v>187</v>
      </c>
      <c r="C2" s="8" t="s">
        <v>69</v>
      </c>
      <c r="D2" s="9" t="s">
        <v>4</v>
      </c>
    </row>
    <row r="3" spans="1:4" x14ac:dyDescent="0.2">
      <c r="A3" s="2" t="s">
        <v>188</v>
      </c>
      <c r="B3" s="3">
        <v>129921</v>
      </c>
      <c r="C3" s="10">
        <f>SupremeCourtJusticeJudicialDistrict1General[[#This Row],[New York County Vote Results]]</f>
        <v>129921</v>
      </c>
      <c r="D3" s="11">
        <f>SupremeCourtJusticeJudicialDistrict1General[[#This Row],[Total Votes by Party]]</f>
        <v>129921</v>
      </c>
    </row>
    <row r="4" spans="1:4" x14ac:dyDescent="0.2">
      <c r="A4" s="2" t="s">
        <v>189</v>
      </c>
      <c r="B4" s="3">
        <v>127775</v>
      </c>
      <c r="C4" s="10">
        <f>SupremeCourtJusticeJudicialDistrict1General[[#This Row],[New York County Vote Results]]</f>
        <v>127775</v>
      </c>
      <c r="D4" s="11">
        <f>SupremeCourtJusticeJudicialDistrict1General[[#This Row],[Total Votes by Party]]</f>
        <v>127775</v>
      </c>
    </row>
    <row r="5" spans="1:4" x14ac:dyDescent="0.2">
      <c r="A5" s="2" t="s">
        <v>190</v>
      </c>
      <c r="B5" s="3">
        <v>139424</v>
      </c>
      <c r="C5" s="10">
        <f>SupremeCourtJusticeJudicialDistrict1General[[#This Row],[New York County Vote Results]]</f>
        <v>139424</v>
      </c>
      <c r="D5" s="11">
        <f>SupremeCourtJusticeJudicialDistrict1General[[#This Row],[Total Votes by Party]]</f>
        <v>139424</v>
      </c>
    </row>
    <row r="6" spans="1:4" x14ac:dyDescent="0.2">
      <c r="A6" s="4" t="s">
        <v>0</v>
      </c>
      <c r="B6" s="3">
        <v>179473</v>
      </c>
      <c r="C6" s="10">
        <f>SupremeCourtJusticeJudicialDistrict1General[[#This Row],[New York County Vote Results]]</f>
        <v>179473</v>
      </c>
      <c r="D6" s="12"/>
    </row>
    <row r="7" spans="1:4" x14ac:dyDescent="0.2">
      <c r="A7" s="4" t="s">
        <v>1</v>
      </c>
      <c r="B7" s="3">
        <v>0</v>
      </c>
      <c r="C7" s="10">
        <f>SupremeCourtJusticeJudicialDistrict1General[[#This Row],[New York County Vote Results]]</f>
        <v>0</v>
      </c>
      <c r="D7" s="12"/>
    </row>
    <row r="8" spans="1:4" x14ac:dyDescent="0.2">
      <c r="A8" s="4" t="s">
        <v>2</v>
      </c>
      <c r="B8" s="5">
        <v>3946</v>
      </c>
      <c r="C8" s="10">
        <f>SupremeCourtJusticeJudicialDistrict1General[[#This Row],[New York County Vote Results]]</f>
        <v>3946</v>
      </c>
      <c r="D8" s="12"/>
    </row>
    <row r="9" spans="1:4" x14ac:dyDescent="0.2">
      <c r="A9" s="15" t="s">
        <v>3</v>
      </c>
      <c r="B9" s="3">
        <f>SUM(SupremeCourtJusticeJudicialDistrict1General[New York County Vote Results])</f>
        <v>580539</v>
      </c>
      <c r="C9" s="12"/>
      <c r="D9" s="12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E47-0CF6-4DB4-B51C-96037B053BC1}">
  <dimension ref="A1:E26"/>
  <sheetViews>
    <sheetView zoomScaleNormal="100" workbookViewId="0">
      <selection activeCell="B28" sqref="B2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" t="s">
        <v>180</v>
      </c>
    </row>
    <row r="2" spans="1:5" ht="25.5" x14ac:dyDescent="0.2">
      <c r="A2" s="6" t="s">
        <v>5</v>
      </c>
      <c r="B2" s="7" t="s">
        <v>63</v>
      </c>
      <c r="C2" s="7" t="s">
        <v>64</v>
      </c>
      <c r="D2" s="8" t="s">
        <v>69</v>
      </c>
      <c r="E2" s="9" t="s">
        <v>4</v>
      </c>
    </row>
    <row r="3" spans="1:5" x14ac:dyDescent="0.2">
      <c r="A3" s="2" t="s">
        <v>153</v>
      </c>
      <c r="B3" s="3">
        <v>116065</v>
      </c>
      <c r="C3" s="3">
        <v>114134</v>
      </c>
      <c r="D3" s="10">
        <f>SUM(SupremeCourtJusticeJudicialDistrict10General[[#This Row],[Nassau County Vote Results]:[Suffolk County Vote Results]])</f>
        <v>230199</v>
      </c>
      <c r="E3" s="11">
        <f>SUM(SupremeCourtJusticeJudicialDistrict10General[[#This Row],[Total Votes by Party]],D9,D15)</f>
        <v>481178</v>
      </c>
    </row>
    <row r="4" spans="1:5" x14ac:dyDescent="0.2">
      <c r="A4" s="2" t="s">
        <v>154</v>
      </c>
      <c r="B4" s="3">
        <v>117000</v>
      </c>
      <c r="C4" s="3">
        <v>115563</v>
      </c>
      <c r="D4" s="10">
        <f>SUM(SupremeCourtJusticeJudicialDistrict10General[[#This Row],[Nassau County Vote Results]:[Suffolk County Vote Results]])</f>
        <v>232563</v>
      </c>
      <c r="E4" s="11">
        <f>SUM(SupremeCourtJusticeJudicialDistrict10General[[#This Row],[Total Votes by Party]],D10,D16)</f>
        <v>480701</v>
      </c>
    </row>
    <row r="5" spans="1:5" x14ac:dyDescent="0.2">
      <c r="A5" s="2" t="s">
        <v>155</v>
      </c>
      <c r="B5" s="3">
        <v>114602</v>
      </c>
      <c r="C5" s="3">
        <v>111802</v>
      </c>
      <c r="D5" s="10">
        <f>SUM(SupremeCourtJusticeJudicialDistrict10General[[#This Row],[Nassau County Vote Results]:[Suffolk County Vote Results]])</f>
        <v>226404</v>
      </c>
      <c r="E5" s="11">
        <f>SUM(SupremeCourtJusticeJudicialDistrict10General[[#This Row],[Total Votes by Party]],D11,D17)</f>
        <v>473733</v>
      </c>
    </row>
    <row r="6" spans="1:5" x14ac:dyDescent="0.2">
      <c r="A6" s="2" t="s">
        <v>156</v>
      </c>
      <c r="B6" s="3">
        <v>115268</v>
      </c>
      <c r="C6" s="3">
        <v>111594</v>
      </c>
      <c r="D6" s="10">
        <f>SUM(SupremeCourtJusticeJudicialDistrict10General[[#This Row],[Nassau County Vote Results]:[Suffolk County Vote Results]])</f>
        <v>226862</v>
      </c>
      <c r="E6" s="11">
        <f>SUM(SupremeCourtJusticeJudicialDistrict10General[[#This Row],[Total Votes by Party]],D12,D18)</f>
        <v>479584</v>
      </c>
    </row>
    <row r="7" spans="1:5" x14ac:dyDescent="0.2">
      <c r="A7" s="2" t="s">
        <v>157</v>
      </c>
      <c r="B7" s="3">
        <v>115431</v>
      </c>
      <c r="C7" s="3">
        <v>112155</v>
      </c>
      <c r="D7" s="10">
        <f>SUM(SupremeCourtJusticeJudicialDistrict10General[[#This Row],[Nassau County Vote Results]:[Suffolk County Vote Results]])</f>
        <v>227586</v>
      </c>
      <c r="E7" s="11">
        <f>SUM(SupremeCourtJusticeJudicialDistrict10General[[#This Row],[Total Votes by Party]],D13,D19)</f>
        <v>480239</v>
      </c>
    </row>
    <row r="8" spans="1:5" x14ac:dyDescent="0.2">
      <c r="A8" s="2" t="s">
        <v>158</v>
      </c>
      <c r="B8" s="3">
        <v>112802</v>
      </c>
      <c r="C8" s="3">
        <v>109775</v>
      </c>
      <c r="D8" s="10">
        <f>SUM(SupremeCourtJusticeJudicialDistrict10General[[#This Row],[Nassau County Vote Results]:[Suffolk County Vote Results]])</f>
        <v>222577</v>
      </c>
      <c r="E8" s="11">
        <f>SUM(SupremeCourtJusticeJudicialDistrict10General[[#This Row],[Total Votes by Party]],D14,D20)</f>
        <v>470558</v>
      </c>
    </row>
    <row r="9" spans="1:5" x14ac:dyDescent="0.2">
      <c r="A9" s="2" t="s">
        <v>159</v>
      </c>
      <c r="B9" s="3">
        <v>105136</v>
      </c>
      <c r="C9" s="3">
        <v>106576</v>
      </c>
      <c r="D9" s="10">
        <f>SUM(SupremeCourtJusticeJudicialDistrict10General[[#This Row],[Nassau County Vote Results]:[Suffolk County Vote Results]])</f>
        <v>211712</v>
      </c>
      <c r="E9" s="12"/>
    </row>
    <row r="10" spans="1:5" x14ac:dyDescent="0.2">
      <c r="A10" s="2" t="s">
        <v>160</v>
      </c>
      <c r="B10" s="3">
        <v>104364</v>
      </c>
      <c r="C10" s="3">
        <v>104298</v>
      </c>
      <c r="D10" s="10">
        <f>SUM(SupremeCourtJusticeJudicialDistrict10General[[#This Row],[Nassau County Vote Results]:[Suffolk County Vote Results]])</f>
        <v>208662</v>
      </c>
      <c r="E10" s="12"/>
    </row>
    <row r="11" spans="1:5" x14ac:dyDescent="0.2">
      <c r="A11" s="2" t="s">
        <v>161</v>
      </c>
      <c r="B11" s="3">
        <v>103354</v>
      </c>
      <c r="C11" s="3">
        <v>102534</v>
      </c>
      <c r="D11" s="10">
        <f>SUM(SupremeCourtJusticeJudicialDistrict10General[[#This Row],[Nassau County Vote Results]:[Suffolk County Vote Results]])</f>
        <v>205888</v>
      </c>
      <c r="E11" s="12"/>
    </row>
    <row r="12" spans="1:5" x14ac:dyDescent="0.2">
      <c r="A12" s="2" t="s">
        <v>162</v>
      </c>
      <c r="B12" s="3">
        <v>105546</v>
      </c>
      <c r="C12" s="3">
        <v>105395</v>
      </c>
      <c r="D12" s="10">
        <f>SUM(SupremeCourtJusticeJudicialDistrict10General[[#This Row],[Nassau County Vote Results]:[Suffolk County Vote Results]])</f>
        <v>210941</v>
      </c>
      <c r="E12" s="12"/>
    </row>
    <row r="13" spans="1:5" x14ac:dyDescent="0.2">
      <c r="A13" s="2" t="s">
        <v>163</v>
      </c>
      <c r="B13" s="3">
        <v>105366</v>
      </c>
      <c r="C13" s="3">
        <v>105674</v>
      </c>
      <c r="D13" s="10">
        <f>SUM(SupremeCourtJusticeJudicialDistrict10General[[#This Row],[Nassau County Vote Results]:[Suffolk County Vote Results]])</f>
        <v>211040</v>
      </c>
      <c r="E13" s="12"/>
    </row>
    <row r="14" spans="1:5" x14ac:dyDescent="0.2">
      <c r="A14" s="2" t="s">
        <v>164</v>
      </c>
      <c r="B14" s="3">
        <v>102716</v>
      </c>
      <c r="C14" s="3">
        <v>102062</v>
      </c>
      <c r="D14" s="10">
        <f>SUM(SupremeCourtJusticeJudicialDistrict10General[[#This Row],[Nassau County Vote Results]:[Suffolk County Vote Results]])</f>
        <v>204778</v>
      </c>
      <c r="E14" s="12"/>
    </row>
    <row r="15" spans="1:5" x14ac:dyDescent="0.2">
      <c r="A15" s="2" t="s">
        <v>165</v>
      </c>
      <c r="B15" s="3">
        <v>16378</v>
      </c>
      <c r="C15" s="3">
        <v>22889</v>
      </c>
      <c r="D15" s="10">
        <f>SUM(SupremeCourtJusticeJudicialDistrict10General[[#This Row],[Nassau County Vote Results]:[Suffolk County Vote Results]])</f>
        <v>39267</v>
      </c>
      <c r="E15" s="12"/>
    </row>
    <row r="16" spans="1:5" x14ac:dyDescent="0.2">
      <c r="A16" s="2" t="s">
        <v>166</v>
      </c>
      <c r="B16" s="3">
        <v>16560</v>
      </c>
      <c r="C16" s="3">
        <v>22916</v>
      </c>
      <c r="D16" s="10">
        <f>SUM(SupremeCourtJusticeJudicialDistrict10General[[#This Row],[Nassau County Vote Results]:[Suffolk County Vote Results]])</f>
        <v>39476</v>
      </c>
      <c r="E16" s="12"/>
    </row>
    <row r="17" spans="1:5" x14ac:dyDescent="0.2">
      <c r="A17" s="2" t="s">
        <v>167</v>
      </c>
      <c r="B17" s="3">
        <v>17482</v>
      </c>
      <c r="C17" s="3">
        <v>23959</v>
      </c>
      <c r="D17" s="10">
        <f>SUM(SupremeCourtJusticeJudicialDistrict10General[[#This Row],[Nassau County Vote Results]:[Suffolk County Vote Results]])</f>
        <v>41441</v>
      </c>
      <c r="E17" s="12"/>
    </row>
    <row r="18" spans="1:5" x14ac:dyDescent="0.2">
      <c r="A18" s="2" t="s">
        <v>168</v>
      </c>
      <c r="B18" s="3">
        <v>17612</v>
      </c>
      <c r="C18" s="3">
        <v>24169</v>
      </c>
      <c r="D18" s="10">
        <f>SUM(SupremeCourtJusticeJudicialDistrict10General[[#This Row],[Nassau County Vote Results]:[Suffolk County Vote Results]])</f>
        <v>41781</v>
      </c>
      <c r="E18" s="12"/>
    </row>
    <row r="19" spans="1:5" x14ac:dyDescent="0.2">
      <c r="A19" s="2" t="s">
        <v>169</v>
      </c>
      <c r="B19" s="3">
        <v>17532</v>
      </c>
      <c r="C19" s="3">
        <v>24081</v>
      </c>
      <c r="D19" s="10">
        <f>SUM(SupremeCourtJusticeJudicialDistrict10General[[#This Row],[Nassau County Vote Results]:[Suffolk County Vote Results]])</f>
        <v>41613</v>
      </c>
      <c r="E19" s="12"/>
    </row>
    <row r="20" spans="1:5" x14ac:dyDescent="0.2">
      <c r="A20" s="2" t="s">
        <v>65</v>
      </c>
      <c r="B20" s="3">
        <v>17923</v>
      </c>
      <c r="C20" s="3">
        <v>25280</v>
      </c>
      <c r="D20" s="10">
        <f>SUM(SupremeCourtJusticeJudicialDistrict10General[[#This Row],[Nassau County Vote Results]:[Suffolk County Vote Results]])</f>
        <v>43203</v>
      </c>
      <c r="E20" s="12"/>
    </row>
    <row r="21" spans="1:5" x14ac:dyDescent="0.2">
      <c r="A21" s="2" t="s">
        <v>170</v>
      </c>
      <c r="B21" s="3">
        <v>6959</v>
      </c>
      <c r="C21" s="3">
        <v>9785</v>
      </c>
      <c r="D21" s="10">
        <f>SUM(SupremeCourtJusticeJudicialDistrict10General[[#This Row],[Nassau County Vote Results]:[Suffolk County Vote Results]])</f>
        <v>16744</v>
      </c>
      <c r="E21" s="11">
        <f>SupremeCourtJusticeJudicialDistrict10General[[#This Row],[Total Votes by Party]]</f>
        <v>16744</v>
      </c>
    </row>
    <row r="22" spans="1:5" x14ac:dyDescent="0.2">
      <c r="A22" s="2" t="s">
        <v>171</v>
      </c>
      <c r="B22" s="3">
        <v>7676</v>
      </c>
      <c r="C22" s="3">
        <v>11419</v>
      </c>
      <c r="D22" s="10">
        <f>SUM(SupremeCourtJusticeJudicialDistrict10General[[#This Row],[Nassau County Vote Results]:[Suffolk County Vote Results]])</f>
        <v>19095</v>
      </c>
      <c r="E22" s="11">
        <f>SupremeCourtJusticeJudicialDistrict10General[[#This Row],[Total Votes by Party]]</f>
        <v>19095</v>
      </c>
    </row>
    <row r="23" spans="1:5" x14ac:dyDescent="0.2">
      <c r="A23" s="4" t="s">
        <v>0</v>
      </c>
      <c r="B23" s="3">
        <v>159299</v>
      </c>
      <c r="C23" s="3">
        <v>246301</v>
      </c>
      <c r="D23" s="10">
        <f>SUM(SupremeCourtJusticeJudicialDistrict10General[[#This Row],[Nassau County Vote Results]:[Suffolk County Vote Results]])</f>
        <v>405600</v>
      </c>
      <c r="E23" s="12"/>
    </row>
    <row r="24" spans="1:5" x14ac:dyDescent="0.2">
      <c r="A24" s="4" t="s">
        <v>1</v>
      </c>
      <c r="B24" s="3">
        <v>966</v>
      </c>
      <c r="C24" s="3">
        <v>1566</v>
      </c>
      <c r="D24" s="10">
        <f>SUM(SupremeCourtJusticeJudicialDistrict10General[[#This Row],[Nassau County Vote Results]:[Suffolk County Vote Results]])</f>
        <v>2532</v>
      </c>
      <c r="E24" s="12"/>
    </row>
    <row r="25" spans="1:5" x14ac:dyDescent="0.2">
      <c r="A25" s="4" t="s">
        <v>2</v>
      </c>
      <c r="B25" s="5">
        <v>1265</v>
      </c>
      <c r="C25" s="5">
        <v>1119</v>
      </c>
      <c r="D25" s="10">
        <f>SUM(SupremeCourtJusticeJudicialDistrict10General[[#This Row],[Nassau County Vote Results]:[Suffolk County Vote Results]])</f>
        <v>2384</v>
      </c>
      <c r="E25" s="12"/>
    </row>
    <row r="26" spans="1:5" x14ac:dyDescent="0.2">
      <c r="A26" s="15" t="s">
        <v>3</v>
      </c>
      <c r="B26" s="3">
        <f>SUM(SupremeCourtJusticeJudicialDistrict10General[Nassau County Vote Results])</f>
        <v>1597302</v>
      </c>
      <c r="C26" s="3">
        <f>SUM(SupremeCourtJusticeJudicialDistrict10General[Suffolk County Vote Results])</f>
        <v>1715046</v>
      </c>
      <c r="D26" s="16">
        <f>SUM(SupremeCourtJusticeJudicialDistrict10General[Total Votes by Party])</f>
        <v>3312348</v>
      </c>
      <c r="E26" s="12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3421-E300-4C1C-9F0B-38719CE43C53}">
  <dimension ref="A1:D23"/>
  <sheetViews>
    <sheetView workbookViewId="0">
      <selection activeCell="B15" sqref="B1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208</v>
      </c>
    </row>
    <row r="2" spans="1:4" ht="25.5" x14ac:dyDescent="0.2">
      <c r="A2" s="6" t="s">
        <v>5</v>
      </c>
      <c r="B2" s="7" t="s">
        <v>209</v>
      </c>
      <c r="C2" s="8" t="s">
        <v>69</v>
      </c>
      <c r="D2" s="9" t="s">
        <v>4</v>
      </c>
    </row>
    <row r="3" spans="1:4" x14ac:dyDescent="0.2">
      <c r="A3" s="2" t="s">
        <v>210</v>
      </c>
      <c r="B3" s="3">
        <v>124174</v>
      </c>
      <c r="C3" s="10">
        <f>SupremeCourtJusticeJudicialDistrict11General[[#This Row],[Queens County Vote Results]]</f>
        <v>124174</v>
      </c>
      <c r="D3" s="11">
        <f>SupremeCourtJusticeJudicialDistrict11General[[#This Row],[Total Votes by Party]]+C9+C15</f>
        <v>166137</v>
      </c>
    </row>
    <row r="4" spans="1:4" x14ac:dyDescent="0.2">
      <c r="A4" s="2" t="s">
        <v>211</v>
      </c>
      <c r="B4" s="3">
        <v>109627</v>
      </c>
      <c r="C4" s="10">
        <f>SupremeCourtJusticeJudicialDistrict11General[[#This Row],[Queens County Vote Results]]</f>
        <v>109627</v>
      </c>
      <c r="D4" s="11">
        <f>SupremeCourtJusticeJudicialDistrict11General[[#This Row],[Total Votes by Party]]</f>
        <v>109627</v>
      </c>
    </row>
    <row r="5" spans="1:4" x14ac:dyDescent="0.2">
      <c r="A5" s="2" t="s">
        <v>212</v>
      </c>
      <c r="B5" s="3">
        <v>115644</v>
      </c>
      <c r="C5" s="10">
        <f>SupremeCourtJusticeJudicialDistrict11General[[#This Row],[Queens County Vote Results]]</f>
        <v>115644</v>
      </c>
      <c r="D5" s="11">
        <f>SupremeCourtJusticeJudicialDistrict11General[[#This Row],[Total Votes by Party]]</f>
        <v>115644</v>
      </c>
    </row>
    <row r="6" spans="1:4" x14ac:dyDescent="0.2">
      <c r="A6" s="2" t="s">
        <v>213</v>
      </c>
      <c r="B6" s="3">
        <v>111552</v>
      </c>
      <c r="C6" s="10">
        <f>SupremeCourtJusticeJudicialDistrict11General[[#This Row],[Queens County Vote Results]]</f>
        <v>111552</v>
      </c>
      <c r="D6" s="11">
        <f>SupremeCourtJusticeJudicialDistrict11General[[#This Row],[Total Votes by Party]]+C12+C18</f>
        <v>152048</v>
      </c>
    </row>
    <row r="7" spans="1:4" x14ac:dyDescent="0.2">
      <c r="A7" s="2" t="s">
        <v>214</v>
      </c>
      <c r="B7" s="3">
        <v>112133</v>
      </c>
      <c r="C7" s="10">
        <f>SupremeCourtJusticeJudicialDistrict11General[[#This Row],[Queens County Vote Results]]</f>
        <v>112133</v>
      </c>
      <c r="D7" s="11">
        <f>SupremeCourtJusticeJudicialDistrict11General[[#This Row],[Total Votes by Party]]+C13+C19</f>
        <v>151925</v>
      </c>
    </row>
    <row r="8" spans="1:4" x14ac:dyDescent="0.2">
      <c r="A8" s="2" t="s">
        <v>215</v>
      </c>
      <c r="B8" s="3">
        <v>119836</v>
      </c>
      <c r="C8" s="10">
        <f>SupremeCourtJusticeJudicialDistrict11General[[#This Row],[Queens County Vote Results]]</f>
        <v>119836</v>
      </c>
      <c r="D8" s="11">
        <f>SupremeCourtJusticeJudicialDistrict11General[[#This Row],[Total Votes by Party]]</f>
        <v>119836</v>
      </c>
    </row>
    <row r="9" spans="1:4" x14ac:dyDescent="0.2">
      <c r="A9" s="2" t="s">
        <v>216</v>
      </c>
      <c r="B9" s="3">
        <v>35437</v>
      </c>
      <c r="C9" s="10">
        <f>SupremeCourtJusticeJudicialDistrict11General[[#This Row],[Queens County Vote Results]]</f>
        <v>35437</v>
      </c>
      <c r="D9" s="12"/>
    </row>
    <row r="10" spans="1:4" x14ac:dyDescent="0.2">
      <c r="A10" s="2" t="s">
        <v>217</v>
      </c>
      <c r="B10" s="3">
        <v>38023</v>
      </c>
      <c r="C10" s="10">
        <f>SupremeCourtJusticeJudicialDistrict11General[[#This Row],[Queens County Vote Results]]</f>
        <v>38023</v>
      </c>
      <c r="D10" s="11">
        <f>SupremeCourtJusticeJudicialDistrict11General[[#This Row],[Total Votes by Party]]+C16</f>
        <v>45026</v>
      </c>
    </row>
    <row r="11" spans="1:4" x14ac:dyDescent="0.2">
      <c r="A11" s="2" t="s">
        <v>218</v>
      </c>
      <c r="B11" s="3">
        <v>38827</v>
      </c>
      <c r="C11" s="10">
        <f>SupremeCourtJusticeJudicialDistrict11General[[#This Row],[Queens County Vote Results]]</f>
        <v>38827</v>
      </c>
      <c r="D11" s="11">
        <f>SupremeCourtJusticeJudicialDistrict11General[[#This Row],[Total Votes by Party]]+C17</f>
        <v>46006</v>
      </c>
    </row>
    <row r="12" spans="1:4" x14ac:dyDescent="0.2">
      <c r="A12" s="2" t="s">
        <v>219</v>
      </c>
      <c r="B12" s="3">
        <v>34106</v>
      </c>
      <c r="C12" s="10">
        <f>SupremeCourtJusticeJudicialDistrict11General[[#This Row],[Queens County Vote Results]]</f>
        <v>34106</v>
      </c>
      <c r="D12" s="12"/>
    </row>
    <row r="13" spans="1:4" x14ac:dyDescent="0.2">
      <c r="A13" s="2" t="s">
        <v>220</v>
      </c>
      <c r="B13" s="3">
        <v>33478</v>
      </c>
      <c r="C13" s="10">
        <f>SupremeCourtJusticeJudicialDistrict11General[[#This Row],[Queens County Vote Results]]</f>
        <v>33478</v>
      </c>
      <c r="D13" s="12"/>
    </row>
    <row r="14" spans="1:4" x14ac:dyDescent="0.2">
      <c r="A14" s="2" t="s">
        <v>221</v>
      </c>
      <c r="B14" s="3">
        <v>42755</v>
      </c>
      <c r="C14" s="10">
        <f>SupremeCourtJusticeJudicialDistrict11General[[#This Row],[Queens County Vote Results]]</f>
        <v>42755</v>
      </c>
      <c r="D14" s="11">
        <f>SupremeCourtJusticeJudicialDistrict11General[[#This Row],[Total Votes by Party]]</f>
        <v>42755</v>
      </c>
    </row>
    <row r="15" spans="1:4" x14ac:dyDescent="0.2">
      <c r="A15" s="2" t="s">
        <v>222</v>
      </c>
      <c r="B15" s="3">
        <v>6526</v>
      </c>
      <c r="C15" s="10">
        <f>SupremeCourtJusticeJudicialDistrict11General[[#This Row],[Queens County Vote Results]]</f>
        <v>6526</v>
      </c>
      <c r="D15" s="12"/>
    </row>
    <row r="16" spans="1:4" x14ac:dyDescent="0.2">
      <c r="A16" s="2" t="s">
        <v>223</v>
      </c>
      <c r="B16" s="3">
        <v>7003</v>
      </c>
      <c r="C16" s="10">
        <f>SupremeCourtJusticeJudicialDistrict11General[[#This Row],[Queens County Vote Results]]</f>
        <v>7003</v>
      </c>
      <c r="D16" s="12"/>
    </row>
    <row r="17" spans="1:4" x14ac:dyDescent="0.2">
      <c r="A17" s="2" t="s">
        <v>224</v>
      </c>
      <c r="B17" s="3">
        <v>7179</v>
      </c>
      <c r="C17" s="10">
        <f>SupremeCourtJusticeJudicialDistrict11General[[#This Row],[Queens County Vote Results]]</f>
        <v>7179</v>
      </c>
      <c r="D17" s="12"/>
    </row>
    <row r="18" spans="1:4" x14ac:dyDescent="0.2">
      <c r="A18" s="2" t="s">
        <v>225</v>
      </c>
      <c r="B18" s="3">
        <v>6390</v>
      </c>
      <c r="C18" s="10">
        <f>SupremeCourtJusticeJudicialDistrict11General[[#This Row],[Queens County Vote Results]]</f>
        <v>6390</v>
      </c>
      <c r="D18" s="12"/>
    </row>
    <row r="19" spans="1:4" x14ac:dyDescent="0.2">
      <c r="A19" s="2" t="s">
        <v>226</v>
      </c>
      <c r="B19" s="3">
        <v>6314</v>
      </c>
      <c r="C19" s="10">
        <f>SupremeCourtJusticeJudicialDistrict11General[[#This Row],[Queens County Vote Results]]</f>
        <v>6314</v>
      </c>
      <c r="D19" s="12"/>
    </row>
    <row r="20" spans="1:4" x14ac:dyDescent="0.2">
      <c r="A20" s="4" t="s">
        <v>0</v>
      </c>
      <c r="B20" s="3">
        <v>263934</v>
      </c>
      <c r="C20" s="10">
        <f>SupremeCourtJusticeJudicialDistrict11General[[#This Row],[Queens County Vote Results]]</f>
        <v>263934</v>
      </c>
      <c r="D20" s="12"/>
    </row>
    <row r="21" spans="1:4" x14ac:dyDescent="0.2">
      <c r="A21" s="4" t="s">
        <v>1</v>
      </c>
      <c r="B21" s="3">
        <v>0</v>
      </c>
      <c r="C21" s="10">
        <f>SupremeCourtJusticeJudicialDistrict11General[[#This Row],[Queens County Vote Results]]</f>
        <v>0</v>
      </c>
      <c r="D21" s="12"/>
    </row>
    <row r="22" spans="1:4" x14ac:dyDescent="0.2">
      <c r="A22" s="4" t="s">
        <v>2</v>
      </c>
      <c r="B22" s="5">
        <v>2170</v>
      </c>
      <c r="C22" s="10">
        <f>SupremeCourtJusticeJudicialDistrict11General[[#This Row],[Queens County Vote Results]]</f>
        <v>2170</v>
      </c>
      <c r="D22" s="12"/>
    </row>
    <row r="23" spans="1:4" x14ac:dyDescent="0.2">
      <c r="A23" s="15" t="s">
        <v>3</v>
      </c>
      <c r="B23" s="3">
        <f>SUM(SupremeCourtJusticeJudicialDistrict11General[Queens County Vote Results])</f>
        <v>1215108</v>
      </c>
      <c r="C23" s="12"/>
      <c r="D23" s="12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016E-7750-4061-A290-526029823416}">
  <dimension ref="A1:D9"/>
  <sheetViews>
    <sheetView workbookViewId="0">
      <selection activeCell="B6" sqref="B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181</v>
      </c>
    </row>
    <row r="2" spans="1:4" ht="25.5" x14ac:dyDescent="0.2">
      <c r="A2" s="6" t="s">
        <v>5</v>
      </c>
      <c r="B2" s="7" t="s">
        <v>182</v>
      </c>
      <c r="C2" s="8" t="s">
        <v>69</v>
      </c>
      <c r="D2" s="9" t="s">
        <v>4</v>
      </c>
    </row>
    <row r="3" spans="1:4" x14ac:dyDescent="0.2">
      <c r="A3" s="2" t="s">
        <v>183</v>
      </c>
      <c r="B3" s="3">
        <v>74366</v>
      </c>
      <c r="C3" s="10">
        <f>SupremeCourtJusticeJudicialDistrict12General[[#This Row],[Bronx County Vote Results]]</f>
        <v>74366</v>
      </c>
      <c r="D3" s="11">
        <f>SupremeCourtJusticeJudicialDistrict12General[[#This Row],[Total Votes by Party]]</f>
        <v>74366</v>
      </c>
    </row>
    <row r="4" spans="1:4" x14ac:dyDescent="0.2">
      <c r="A4" s="2" t="s">
        <v>184</v>
      </c>
      <c r="B4" s="3">
        <v>46345</v>
      </c>
      <c r="C4" s="10">
        <f>SupremeCourtJusticeJudicialDistrict12General[[#This Row],[Bronx County Vote Results]]</f>
        <v>46345</v>
      </c>
      <c r="D4" s="11">
        <f>SupremeCourtJusticeJudicialDistrict12General[[#This Row],[Total Votes by Party]]</f>
        <v>46345</v>
      </c>
    </row>
    <row r="5" spans="1:4" x14ac:dyDescent="0.2">
      <c r="A5" s="2" t="s">
        <v>185</v>
      </c>
      <c r="B5" s="3">
        <v>44810</v>
      </c>
      <c r="C5" s="10">
        <f>SupremeCourtJusticeJudicialDistrict12General[[#This Row],[Bronx County Vote Results]]</f>
        <v>44810</v>
      </c>
      <c r="D5" s="11">
        <f>SupremeCourtJusticeJudicialDistrict12General[[#This Row],[Total Votes by Party]]</f>
        <v>44810</v>
      </c>
    </row>
    <row r="6" spans="1:4" x14ac:dyDescent="0.2">
      <c r="A6" s="4" t="s">
        <v>0</v>
      </c>
      <c r="B6" s="3">
        <v>125820</v>
      </c>
      <c r="C6" s="10">
        <f>SupremeCourtJusticeJudicialDistrict12General[[#This Row],[Bronx County Vote Results]]</f>
        <v>125820</v>
      </c>
      <c r="D6" s="12"/>
    </row>
    <row r="7" spans="1:4" x14ac:dyDescent="0.2">
      <c r="A7" s="4" t="s">
        <v>1</v>
      </c>
      <c r="B7" s="3">
        <v>0</v>
      </c>
      <c r="C7" s="10">
        <f>SupremeCourtJusticeJudicialDistrict12General[[#This Row],[Bronx County Vote Results]]</f>
        <v>0</v>
      </c>
      <c r="D7" s="12"/>
    </row>
    <row r="8" spans="1:4" x14ac:dyDescent="0.2">
      <c r="A8" s="4" t="s">
        <v>2</v>
      </c>
      <c r="B8" s="5">
        <v>994</v>
      </c>
      <c r="C8" s="10">
        <f>SupremeCourtJusticeJudicialDistrict12General[[#This Row],[Bronx County Vote Results]]</f>
        <v>994</v>
      </c>
      <c r="D8" s="12"/>
    </row>
    <row r="9" spans="1:4" x14ac:dyDescent="0.2">
      <c r="A9" s="15" t="s">
        <v>3</v>
      </c>
      <c r="B9" s="3">
        <f>SUM(SupremeCourtJusticeJudicialDistrict12General[Bronx County Vote Results])</f>
        <v>292335</v>
      </c>
      <c r="C9" s="12"/>
      <c r="D9" s="12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9F97-C424-4B97-8877-7AEFFBDD6266}">
  <dimension ref="A1:D9"/>
  <sheetViews>
    <sheetView tabSelected="1" workbookViewId="0">
      <selection activeCell="B8" sqref="B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227</v>
      </c>
    </row>
    <row r="2" spans="1:4" ht="25.5" x14ac:dyDescent="0.2">
      <c r="A2" s="6" t="s">
        <v>5</v>
      </c>
      <c r="B2" s="7" t="s">
        <v>228</v>
      </c>
      <c r="C2" s="8" t="s">
        <v>69</v>
      </c>
      <c r="D2" s="9" t="s">
        <v>4</v>
      </c>
    </row>
    <row r="3" spans="1:4" x14ac:dyDescent="0.2">
      <c r="A3" s="2" t="s">
        <v>229</v>
      </c>
      <c r="B3" s="3">
        <v>21121</v>
      </c>
      <c r="C3" s="10">
        <f>SupremeCourtJusticeJudicialDistrict13General[[#This Row],[Richmond County Vote Results]]</f>
        <v>21121</v>
      </c>
      <c r="D3" s="11">
        <f>SupremeCourtJusticeJudicialDistrict13General[[#This Row],[Total Votes by Party]]+C4+C5</f>
        <v>53913</v>
      </c>
    </row>
    <row r="4" spans="1:4" x14ac:dyDescent="0.2">
      <c r="A4" s="2" t="s">
        <v>230</v>
      </c>
      <c r="B4" s="3">
        <v>27945</v>
      </c>
      <c r="C4" s="10">
        <f>SupremeCourtJusticeJudicialDistrict13General[[#This Row],[Richmond County Vote Results]]</f>
        <v>27945</v>
      </c>
      <c r="D4" s="12"/>
    </row>
    <row r="5" spans="1:4" x14ac:dyDescent="0.2">
      <c r="A5" s="2" t="s">
        <v>231</v>
      </c>
      <c r="B5" s="3">
        <v>4847</v>
      </c>
      <c r="C5" s="10">
        <f>SupremeCourtJusticeJudicialDistrict13General[[#This Row],[Richmond County Vote Results]]</f>
        <v>4847</v>
      </c>
      <c r="D5" s="12"/>
    </row>
    <row r="6" spans="1:4" x14ac:dyDescent="0.2">
      <c r="A6" s="4" t="s">
        <v>0</v>
      </c>
      <c r="B6" s="3">
        <v>4205</v>
      </c>
      <c r="C6" s="10">
        <f>SupremeCourtJusticeJudicialDistrict13General[[#This Row],[Richmond County Vote Results]]</f>
        <v>4205</v>
      </c>
      <c r="D6" s="12"/>
    </row>
    <row r="7" spans="1:4" x14ac:dyDescent="0.2">
      <c r="A7" s="4" t="s">
        <v>1</v>
      </c>
      <c r="B7" s="3">
        <v>0</v>
      </c>
      <c r="C7" s="10">
        <f>SupremeCourtJusticeJudicialDistrict13General[[#This Row],[Richmond County Vote Results]]</f>
        <v>0</v>
      </c>
      <c r="D7" s="12"/>
    </row>
    <row r="8" spans="1:4" x14ac:dyDescent="0.2">
      <c r="A8" s="4" t="s">
        <v>2</v>
      </c>
      <c r="B8" s="5">
        <v>357</v>
      </c>
      <c r="C8" s="10">
        <f>SupremeCourtJusticeJudicialDistrict13General[[#This Row],[Richmond County Vote Results]]</f>
        <v>357</v>
      </c>
      <c r="D8" s="12"/>
    </row>
    <row r="9" spans="1:4" x14ac:dyDescent="0.2">
      <c r="A9" s="15" t="s">
        <v>3</v>
      </c>
      <c r="B9" s="3">
        <f>SUM(SupremeCourtJusticeJudicialDistrict13General[Richmond County Vote Results])</f>
        <v>58475</v>
      </c>
      <c r="C9" s="12"/>
      <c r="D9" s="1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300-62D7-47E9-88FF-4D834BF1A7F4}">
  <dimension ref="A1:D21"/>
  <sheetViews>
    <sheetView workbookViewId="0">
      <selection activeCell="B16" sqref="B1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191</v>
      </c>
    </row>
    <row r="2" spans="1:4" ht="25.5" x14ac:dyDescent="0.2">
      <c r="A2" s="6" t="s">
        <v>5</v>
      </c>
      <c r="B2" s="7" t="s">
        <v>192</v>
      </c>
      <c r="C2" s="8" t="s">
        <v>69</v>
      </c>
      <c r="D2" s="9" t="s">
        <v>4</v>
      </c>
    </row>
    <row r="3" spans="1:4" x14ac:dyDescent="0.2">
      <c r="A3" s="2" t="s">
        <v>193</v>
      </c>
      <c r="B3" s="3">
        <v>172509</v>
      </c>
      <c r="C3" s="10">
        <f>SupremeCourtJusticeJudicialDistrict2General[[#This Row],[Kings County Vote Results]]</f>
        <v>172509</v>
      </c>
      <c r="D3" s="11">
        <f>SupremeCourtJusticeJudicialDistrict2General[[#This Row],[Total Votes by Party]]+C8+C13</f>
        <v>198947</v>
      </c>
    </row>
    <row r="4" spans="1:4" x14ac:dyDescent="0.2">
      <c r="A4" s="2" t="s">
        <v>194</v>
      </c>
      <c r="B4" s="3">
        <v>162819</v>
      </c>
      <c r="C4" s="10">
        <f>SupremeCourtJusticeJudicialDistrict2General[[#This Row],[Kings County Vote Results]]</f>
        <v>162819</v>
      </c>
      <c r="D4" s="11">
        <f>SupremeCourtJusticeJudicialDistrict2General[[#This Row],[Total Votes by Party]]+C9+C14</f>
        <v>189337</v>
      </c>
    </row>
    <row r="5" spans="1:4" x14ac:dyDescent="0.2">
      <c r="A5" s="2" t="s">
        <v>195</v>
      </c>
      <c r="B5" s="3">
        <v>160973</v>
      </c>
      <c r="C5" s="10">
        <f>SupremeCourtJusticeJudicialDistrict2General[[#This Row],[Kings County Vote Results]]</f>
        <v>160973</v>
      </c>
      <c r="D5" s="11">
        <f>SupremeCourtJusticeJudicialDistrict2General[[#This Row],[Total Votes by Party]]+C10+C15</f>
        <v>187303</v>
      </c>
    </row>
    <row r="6" spans="1:4" x14ac:dyDescent="0.2">
      <c r="A6" s="2" t="s">
        <v>196</v>
      </c>
      <c r="B6" s="3">
        <v>166943</v>
      </c>
      <c r="C6" s="10">
        <f>SupremeCourtJusticeJudicialDistrict2General[[#This Row],[Kings County Vote Results]]</f>
        <v>166943</v>
      </c>
      <c r="D6" s="11">
        <f>SupremeCourtJusticeJudicialDistrict2General[[#This Row],[Total Votes by Party]]+C11+C16</f>
        <v>192933</v>
      </c>
    </row>
    <row r="7" spans="1:4" x14ac:dyDescent="0.2">
      <c r="A7" s="2" t="s">
        <v>197</v>
      </c>
      <c r="B7" s="3">
        <v>155662</v>
      </c>
      <c r="C7" s="10">
        <f>SupremeCourtJusticeJudicialDistrict2General[[#This Row],[Kings County Vote Results]]</f>
        <v>155662</v>
      </c>
      <c r="D7" s="11">
        <f>SupremeCourtJusticeJudicialDistrict2General[[#This Row],[Total Votes by Party]]+C12+C17</f>
        <v>182076</v>
      </c>
    </row>
    <row r="8" spans="1:4" x14ac:dyDescent="0.2">
      <c r="A8" s="2" t="s">
        <v>198</v>
      </c>
      <c r="B8" s="3">
        <v>21613</v>
      </c>
      <c r="C8" s="10">
        <f>SupremeCourtJusticeJudicialDistrict2General[[#This Row],[Kings County Vote Results]]</f>
        <v>21613</v>
      </c>
      <c r="D8" s="12"/>
    </row>
    <row r="9" spans="1:4" x14ac:dyDescent="0.2">
      <c r="A9" s="2" t="s">
        <v>199</v>
      </c>
      <c r="B9" s="3">
        <v>21667</v>
      </c>
      <c r="C9" s="10">
        <f>SupremeCourtJusticeJudicialDistrict2General[[#This Row],[Kings County Vote Results]]</f>
        <v>21667</v>
      </c>
      <c r="D9" s="12"/>
    </row>
    <row r="10" spans="1:4" x14ac:dyDescent="0.2">
      <c r="A10" s="2" t="s">
        <v>200</v>
      </c>
      <c r="B10" s="3">
        <v>21374</v>
      </c>
      <c r="C10" s="10">
        <f>SupremeCourtJusticeJudicialDistrict2General[[#This Row],[Kings County Vote Results]]</f>
        <v>21374</v>
      </c>
      <c r="D10" s="12"/>
    </row>
    <row r="11" spans="1:4" x14ac:dyDescent="0.2">
      <c r="A11" s="2" t="s">
        <v>201</v>
      </c>
      <c r="B11" s="3">
        <v>21193</v>
      </c>
      <c r="C11" s="10">
        <f>SupremeCourtJusticeJudicialDistrict2General[[#This Row],[Kings County Vote Results]]</f>
        <v>21193</v>
      </c>
      <c r="D11" s="12"/>
    </row>
    <row r="12" spans="1:4" x14ac:dyDescent="0.2">
      <c r="A12" s="2" t="s">
        <v>202</v>
      </c>
      <c r="B12" s="3">
        <v>21461</v>
      </c>
      <c r="C12" s="10">
        <f>SupremeCourtJusticeJudicialDistrict2General[[#This Row],[Kings County Vote Results]]</f>
        <v>21461</v>
      </c>
      <c r="D12" s="12"/>
    </row>
    <row r="13" spans="1:4" x14ac:dyDescent="0.2">
      <c r="A13" s="2" t="s">
        <v>203</v>
      </c>
      <c r="B13" s="3">
        <v>4825</v>
      </c>
      <c r="C13" s="10">
        <f>SupremeCourtJusticeJudicialDistrict2General[[#This Row],[Kings County Vote Results]]</f>
        <v>4825</v>
      </c>
      <c r="D13" s="12"/>
    </row>
    <row r="14" spans="1:4" x14ac:dyDescent="0.2">
      <c r="A14" s="2" t="s">
        <v>204</v>
      </c>
      <c r="B14" s="3">
        <v>4851</v>
      </c>
      <c r="C14" s="10">
        <f>SupremeCourtJusticeJudicialDistrict2General[[#This Row],[Kings County Vote Results]]</f>
        <v>4851</v>
      </c>
      <c r="D14" s="12"/>
    </row>
    <row r="15" spans="1:4" x14ac:dyDescent="0.2">
      <c r="A15" s="2" t="s">
        <v>205</v>
      </c>
      <c r="B15" s="3">
        <v>4956</v>
      </c>
      <c r="C15" s="10">
        <f>SupremeCourtJusticeJudicialDistrict2General[[#This Row],[Kings County Vote Results]]</f>
        <v>4956</v>
      </c>
      <c r="D15" s="12"/>
    </row>
    <row r="16" spans="1:4" x14ac:dyDescent="0.2">
      <c r="A16" s="2" t="s">
        <v>206</v>
      </c>
      <c r="B16" s="3">
        <v>4797</v>
      </c>
      <c r="C16" s="10">
        <f>SupremeCourtJusticeJudicialDistrict2General[[#This Row],[Kings County Vote Results]]</f>
        <v>4797</v>
      </c>
      <c r="D16" s="12"/>
    </row>
    <row r="17" spans="1:4" x14ac:dyDescent="0.2">
      <c r="A17" s="2" t="s">
        <v>207</v>
      </c>
      <c r="B17" s="3">
        <v>4953</v>
      </c>
      <c r="C17" s="10">
        <f>SupremeCourtJusticeJudicialDistrict2General[[#This Row],[Kings County Vote Results]]</f>
        <v>4953</v>
      </c>
      <c r="D17" s="12"/>
    </row>
    <row r="18" spans="1:4" x14ac:dyDescent="0.2">
      <c r="A18" s="4" t="s">
        <v>0</v>
      </c>
      <c r="B18" s="3">
        <v>266402</v>
      </c>
      <c r="C18" s="10">
        <f>SupremeCourtJusticeJudicialDistrict2General[[#This Row],[Kings County Vote Results]]</f>
        <v>266402</v>
      </c>
      <c r="D18" s="12"/>
    </row>
    <row r="19" spans="1:4" x14ac:dyDescent="0.2">
      <c r="A19" s="4" t="s">
        <v>1</v>
      </c>
      <c r="B19" s="3">
        <v>0</v>
      </c>
      <c r="C19" s="10">
        <f>SupremeCourtJusticeJudicialDistrict2General[[#This Row],[Kings County Vote Results]]</f>
        <v>0</v>
      </c>
      <c r="D19" s="12"/>
    </row>
    <row r="20" spans="1:4" x14ac:dyDescent="0.2">
      <c r="A20" s="4" t="s">
        <v>2</v>
      </c>
      <c r="B20" s="5">
        <v>4512</v>
      </c>
      <c r="C20" s="10">
        <f>SupremeCourtJusticeJudicialDistrict2General[[#This Row],[Kings County Vote Results]]</f>
        <v>4512</v>
      </c>
      <c r="D20" s="12"/>
    </row>
    <row r="21" spans="1:4" x14ac:dyDescent="0.2">
      <c r="A21" s="15" t="s">
        <v>3</v>
      </c>
      <c r="B21" s="3">
        <f>SUM(SupremeCourtJusticeJudicialDistrict2General[Kings County Vote Results])</f>
        <v>1221510</v>
      </c>
      <c r="C21" s="12"/>
      <c r="D21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DE9C-840C-4DBE-A427-127F2470FB8C}">
  <dimension ref="A1:J18"/>
  <sheetViews>
    <sheetView zoomScale="90" zoomScaleNormal="90" workbookViewId="0">
      <pane xSplit="1" topLeftCell="B1" activePane="topRight" state="frozen"/>
      <selection pane="topRight" activeCell="C16" sqref="C16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24.75" customHeight="1" x14ac:dyDescent="0.2">
      <c r="A1" s="1" t="s">
        <v>173</v>
      </c>
    </row>
    <row r="2" spans="1:10" ht="25.5" x14ac:dyDescent="0.2">
      <c r="A2" s="6" t="s">
        <v>5</v>
      </c>
      <c r="B2" s="7" t="s">
        <v>37</v>
      </c>
      <c r="C2" s="7" t="s">
        <v>32</v>
      </c>
      <c r="D2" s="7" t="s">
        <v>6</v>
      </c>
      <c r="E2" s="7" t="s">
        <v>53</v>
      </c>
      <c r="F2" s="7" t="s">
        <v>7</v>
      </c>
      <c r="G2" s="7" t="s">
        <v>35</v>
      </c>
      <c r="H2" s="7" t="s">
        <v>36</v>
      </c>
      <c r="I2" s="8" t="s">
        <v>69</v>
      </c>
      <c r="J2" s="9" t="s">
        <v>4</v>
      </c>
    </row>
    <row r="3" spans="1:10" x14ac:dyDescent="0.2">
      <c r="A3" s="2" t="s">
        <v>70</v>
      </c>
      <c r="B3" s="3">
        <v>35945</v>
      </c>
      <c r="C3" s="3">
        <v>9089</v>
      </c>
      <c r="D3" s="3">
        <v>3475</v>
      </c>
      <c r="E3" s="3">
        <v>14687</v>
      </c>
      <c r="F3" s="3">
        <v>2126</v>
      </c>
      <c r="G3" s="3">
        <v>5260</v>
      </c>
      <c r="H3" s="3">
        <v>24332</v>
      </c>
      <c r="I3" s="10">
        <f>SUM(SupremeCourtJusticeJudicialDistrict3General[[#This Row],[Albany County Vote Results]:[Ulster County Vote Results]])</f>
        <v>94914</v>
      </c>
      <c r="J3" s="11">
        <f>SUM(I3,I6,I9,I12)</f>
        <v>180498</v>
      </c>
    </row>
    <row r="4" spans="1:10" x14ac:dyDescent="0.2">
      <c r="A4" s="2" t="s">
        <v>71</v>
      </c>
      <c r="B4" s="3">
        <v>34070</v>
      </c>
      <c r="C4" s="3">
        <v>8628</v>
      </c>
      <c r="D4" s="3">
        <v>3403</v>
      </c>
      <c r="E4" s="3">
        <v>14213</v>
      </c>
      <c r="F4" s="3">
        <v>2099</v>
      </c>
      <c r="G4" s="3">
        <v>5016</v>
      </c>
      <c r="H4" s="3">
        <v>23149</v>
      </c>
      <c r="I4" s="10">
        <f>SUM(SupremeCourtJusticeJudicialDistrict3General[[#This Row],[Albany County Vote Results]:[Ulster County Vote Results]])</f>
        <v>90578</v>
      </c>
      <c r="J4" s="11">
        <f>SUM(I4,I7,I11,I13)</f>
        <v>177758</v>
      </c>
    </row>
    <row r="5" spans="1:10" x14ac:dyDescent="0.2">
      <c r="A5" s="2" t="s">
        <v>72</v>
      </c>
      <c r="B5" s="3">
        <v>34409</v>
      </c>
      <c r="C5" s="3">
        <v>8993</v>
      </c>
      <c r="D5" s="3">
        <v>3521</v>
      </c>
      <c r="E5" s="3">
        <v>14474</v>
      </c>
      <c r="F5" s="3">
        <v>2060</v>
      </c>
      <c r="G5" s="3">
        <v>4956</v>
      </c>
      <c r="H5" s="3">
        <v>24755</v>
      </c>
      <c r="I5" s="10">
        <f>SUM(SupremeCourtJusticeJudicialDistrict3General[[#This Row],[Albany County Vote Results]:[Ulster County Vote Results]])</f>
        <v>93168</v>
      </c>
      <c r="J5" s="11">
        <f>SUM(I5,I14)</f>
        <v>103598</v>
      </c>
    </row>
    <row r="6" spans="1:10" x14ac:dyDescent="0.2">
      <c r="A6" s="2" t="s">
        <v>73</v>
      </c>
      <c r="B6" s="3">
        <v>15590</v>
      </c>
      <c r="C6" s="3">
        <v>6352</v>
      </c>
      <c r="D6" s="3">
        <v>5162</v>
      </c>
      <c r="E6" s="3">
        <v>11737</v>
      </c>
      <c r="F6" s="3">
        <v>3334</v>
      </c>
      <c r="G6" s="3">
        <v>5330</v>
      </c>
      <c r="H6" s="3">
        <v>14220</v>
      </c>
      <c r="I6" s="10">
        <f>SUM(SupremeCourtJusticeJudicialDistrict3General[[#This Row],[Albany County Vote Results]:[Ulster County Vote Results]])</f>
        <v>61725</v>
      </c>
      <c r="J6" s="12"/>
    </row>
    <row r="7" spans="1:10" x14ac:dyDescent="0.2">
      <c r="A7" s="2" t="s">
        <v>74</v>
      </c>
      <c r="B7" s="3">
        <v>17176</v>
      </c>
      <c r="C7" s="3">
        <v>6690</v>
      </c>
      <c r="D7" s="3">
        <v>5658</v>
      </c>
      <c r="E7" s="3">
        <v>12977</v>
      </c>
      <c r="F7" s="3">
        <v>3632</v>
      </c>
      <c r="G7" s="3">
        <v>5440</v>
      </c>
      <c r="H7" s="3">
        <v>15398</v>
      </c>
      <c r="I7" s="10">
        <f>SUM(SupremeCourtJusticeJudicialDistrict3General[[#This Row],[Albany County Vote Results]:[Ulster County Vote Results]])</f>
        <v>66971</v>
      </c>
      <c r="J7" s="12"/>
    </row>
    <row r="8" spans="1:10" x14ac:dyDescent="0.2">
      <c r="A8" s="2" t="s">
        <v>75</v>
      </c>
      <c r="B8" s="3">
        <v>18497</v>
      </c>
      <c r="C8" s="3">
        <v>7149</v>
      </c>
      <c r="D8" s="3">
        <v>5635</v>
      </c>
      <c r="E8" s="3">
        <v>13805</v>
      </c>
      <c r="F8" s="3">
        <v>3629</v>
      </c>
      <c r="G8" s="3">
        <v>6120</v>
      </c>
      <c r="H8" s="3">
        <v>15495</v>
      </c>
      <c r="I8" s="10">
        <f>SUM(SupremeCourtJusticeJudicialDistrict3General[[#This Row],[Albany County Vote Results]:[Ulster County Vote Results]])</f>
        <v>70330</v>
      </c>
      <c r="J8" s="11">
        <f>SUM(I8,I10)</f>
        <v>86874</v>
      </c>
    </row>
    <row r="9" spans="1:10" x14ac:dyDescent="0.2">
      <c r="A9" s="2" t="s">
        <v>76</v>
      </c>
      <c r="B9" s="3">
        <v>3435</v>
      </c>
      <c r="C9" s="3">
        <v>1115</v>
      </c>
      <c r="D9" s="3">
        <v>957</v>
      </c>
      <c r="E9" s="3">
        <v>2915</v>
      </c>
      <c r="F9" s="3">
        <v>559</v>
      </c>
      <c r="G9" s="3">
        <v>1137</v>
      </c>
      <c r="H9" s="3">
        <v>2980</v>
      </c>
      <c r="I9" s="10">
        <f>SUM(SupremeCourtJusticeJudicialDistrict3General[[#This Row],[Albany County Vote Results]:[Ulster County Vote Results]])</f>
        <v>13098</v>
      </c>
      <c r="J9" s="12"/>
    </row>
    <row r="10" spans="1:10" x14ac:dyDescent="0.2">
      <c r="A10" s="2" t="s">
        <v>77</v>
      </c>
      <c r="B10" s="3">
        <v>4565</v>
      </c>
      <c r="C10" s="3">
        <v>1409</v>
      </c>
      <c r="D10" s="3">
        <v>1127</v>
      </c>
      <c r="E10" s="3">
        <v>3680</v>
      </c>
      <c r="F10" s="3">
        <v>703</v>
      </c>
      <c r="G10" s="3">
        <v>1456</v>
      </c>
      <c r="H10" s="3">
        <v>3604</v>
      </c>
      <c r="I10" s="10">
        <f>SUM(SupremeCourtJusticeJudicialDistrict3General[[#This Row],[Albany County Vote Results]:[Ulster County Vote Results]])</f>
        <v>16544</v>
      </c>
      <c r="J10" s="13"/>
    </row>
    <row r="11" spans="1:10" x14ac:dyDescent="0.2">
      <c r="A11" s="2" t="s">
        <v>78</v>
      </c>
      <c r="B11" s="3">
        <v>3133</v>
      </c>
      <c r="C11" s="3">
        <v>785</v>
      </c>
      <c r="D11" s="3">
        <v>339</v>
      </c>
      <c r="E11" s="3">
        <v>1497</v>
      </c>
      <c r="F11" s="3">
        <v>208</v>
      </c>
      <c r="G11" s="3">
        <v>404</v>
      </c>
      <c r="H11" s="3">
        <v>3083</v>
      </c>
      <c r="I11" s="10">
        <f>SUM(SupremeCourtJusticeJudicialDistrict3General[[#This Row],[Albany County Vote Results]:[Ulster County Vote Results]])</f>
        <v>9449</v>
      </c>
      <c r="J11" s="13"/>
    </row>
    <row r="12" spans="1:10" x14ac:dyDescent="0.2">
      <c r="A12" s="2" t="s">
        <v>79</v>
      </c>
      <c r="B12" s="3">
        <v>3195</v>
      </c>
      <c r="C12" s="3">
        <v>939</v>
      </c>
      <c r="D12" s="3">
        <v>635</v>
      </c>
      <c r="E12" s="3">
        <v>2808</v>
      </c>
      <c r="F12" s="3">
        <v>343</v>
      </c>
      <c r="G12" s="3">
        <v>664</v>
      </c>
      <c r="H12" s="3">
        <v>2177</v>
      </c>
      <c r="I12" s="10">
        <f>SUM(SupremeCourtJusticeJudicialDistrict3General[[#This Row],[Albany County Vote Results]:[Ulster County Vote Results]])</f>
        <v>10761</v>
      </c>
      <c r="J12" s="12"/>
    </row>
    <row r="13" spans="1:10" x14ac:dyDescent="0.2">
      <c r="A13" s="2" t="s">
        <v>80</v>
      </c>
      <c r="B13" s="3">
        <v>3104</v>
      </c>
      <c r="C13" s="3">
        <v>941</v>
      </c>
      <c r="D13" s="3">
        <v>667</v>
      </c>
      <c r="E13" s="3">
        <v>2871</v>
      </c>
      <c r="F13" s="3">
        <v>351</v>
      </c>
      <c r="G13" s="3">
        <v>713</v>
      </c>
      <c r="H13" s="3">
        <v>2113</v>
      </c>
      <c r="I13" s="10">
        <f>SUM(SupremeCourtJusticeJudicialDistrict3General[[#This Row],[Albany County Vote Results]:[Ulster County Vote Results]])</f>
        <v>10760</v>
      </c>
      <c r="J13" s="13"/>
    </row>
    <row r="14" spans="1:10" x14ac:dyDescent="0.2">
      <c r="A14" s="2" t="s">
        <v>81</v>
      </c>
      <c r="B14" s="3">
        <v>3290</v>
      </c>
      <c r="C14" s="3">
        <v>843</v>
      </c>
      <c r="D14" s="3">
        <v>645</v>
      </c>
      <c r="E14" s="3">
        <v>2557</v>
      </c>
      <c r="F14" s="3">
        <v>316</v>
      </c>
      <c r="G14" s="3">
        <v>675</v>
      </c>
      <c r="H14" s="3">
        <v>2104</v>
      </c>
      <c r="I14" s="10">
        <f>SUM(SupremeCourtJusticeJudicialDistrict3General[[#This Row],[Albany County Vote Results]:[Ulster County Vote Results]])</f>
        <v>10430</v>
      </c>
      <c r="J14" s="13"/>
    </row>
    <row r="15" spans="1:10" x14ac:dyDescent="0.2">
      <c r="A15" s="4" t="s">
        <v>0</v>
      </c>
      <c r="B15" s="3">
        <v>25496</v>
      </c>
      <c r="C15" s="3">
        <v>9589</v>
      </c>
      <c r="D15" s="3">
        <v>7772</v>
      </c>
      <c r="E15" s="3">
        <v>19360</v>
      </c>
      <c r="F15" s="3">
        <v>3896</v>
      </c>
      <c r="G15" s="3">
        <v>13386</v>
      </c>
      <c r="H15" s="3">
        <v>26577</v>
      </c>
      <c r="I15" s="10">
        <f>SUM(SupremeCourtJusticeJudicialDistrict3General[[#This Row],[Albany County Vote Results]:[Ulster County Vote Results]])</f>
        <v>106076</v>
      </c>
      <c r="J15" s="12"/>
    </row>
    <row r="16" spans="1:10" x14ac:dyDescent="0.2">
      <c r="A16" s="4" t="s">
        <v>1</v>
      </c>
      <c r="B16" s="3">
        <v>156</v>
      </c>
      <c r="C16" s="3">
        <v>11</v>
      </c>
      <c r="D16" s="3">
        <v>39</v>
      </c>
      <c r="E16" s="3">
        <v>0</v>
      </c>
      <c r="F16" s="3">
        <v>81</v>
      </c>
      <c r="G16" s="3">
        <v>26</v>
      </c>
      <c r="H16" s="3">
        <v>74</v>
      </c>
      <c r="I16" s="10">
        <f>SUM(SupremeCourtJusticeJudicialDistrict3General[[#This Row],[Albany County Vote Results]:[Ulster County Vote Results]])</f>
        <v>387</v>
      </c>
      <c r="J16" s="12"/>
    </row>
    <row r="17" spans="1:10" x14ac:dyDescent="0.2">
      <c r="A17" s="4" t="s">
        <v>2</v>
      </c>
      <c r="B17" s="5">
        <v>340</v>
      </c>
      <c r="C17" s="3">
        <v>50</v>
      </c>
      <c r="D17" s="3">
        <v>31</v>
      </c>
      <c r="E17" s="3">
        <v>139</v>
      </c>
      <c r="F17" s="3">
        <v>18</v>
      </c>
      <c r="G17" s="3">
        <v>18</v>
      </c>
      <c r="H17" s="5">
        <v>199</v>
      </c>
      <c r="I17" s="10">
        <f>SUM(SupremeCourtJusticeJudicialDistrict3General[[#This Row],[Albany County Vote Results]:[Ulster County Vote Results]])</f>
        <v>795</v>
      </c>
      <c r="J17" s="12"/>
    </row>
    <row r="18" spans="1:10" x14ac:dyDescent="0.2">
      <c r="A18" s="15" t="s">
        <v>3</v>
      </c>
      <c r="B18" s="3">
        <f>SUM(SupremeCourtJusticeJudicialDistrict3General[Albany County Vote Results])</f>
        <v>202401</v>
      </c>
      <c r="C18" s="3">
        <f>SUM(SupremeCourtJusticeJudicialDistrict3General[Columbia County Vote Results])</f>
        <v>62583</v>
      </c>
      <c r="D18" s="3">
        <f>SUM(SupremeCourtJusticeJudicialDistrict3General[Greene County Vote Results])</f>
        <v>39066</v>
      </c>
      <c r="E18" s="3">
        <f>SUM(SupremeCourtJusticeJudicialDistrict3General[Rensselaer County Vote Results])</f>
        <v>117720</v>
      </c>
      <c r="F18" s="3">
        <f>SUM(SupremeCourtJusticeJudicialDistrict3General[Schoharie County Vote Results])</f>
        <v>23355</v>
      </c>
      <c r="G18" s="3">
        <f>SUM(SupremeCourtJusticeJudicialDistrict3General[Sullivan County Vote Results])</f>
        <v>50601</v>
      </c>
      <c r="H18" s="3">
        <f>SUM(SupremeCourtJusticeJudicialDistrict3General[Ulster County Vote Results])</f>
        <v>160260</v>
      </c>
      <c r="I18" s="3">
        <f>SUM(SupremeCourtJusticeJudicialDistrict3General[Total Votes by Party])</f>
        <v>655986</v>
      </c>
      <c r="J18" s="12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5EF6-9245-4919-A45B-A413F1263EDA}">
  <dimension ref="A1:N18"/>
  <sheetViews>
    <sheetView zoomScale="90" zoomScaleNormal="90" zoomScaleSheetLayoutView="90" workbookViewId="0">
      <pane xSplit="1" topLeftCell="B1" activePane="topRight" state="frozen"/>
      <selection pane="topRight" activeCell="B20" sqref="B20"/>
    </sheetView>
  </sheetViews>
  <sheetFormatPr defaultRowHeight="12.75" x14ac:dyDescent="0.2"/>
  <cols>
    <col min="1" max="1" width="25.5703125" customWidth="1"/>
    <col min="2" max="14" width="20.5703125" customWidth="1"/>
    <col min="15" max="16" width="23.5703125" customWidth="1"/>
  </cols>
  <sheetData>
    <row r="1" spans="1:14" ht="24.75" customHeight="1" x14ac:dyDescent="0.2">
      <c r="A1" s="1" t="s">
        <v>174</v>
      </c>
    </row>
    <row r="2" spans="1:14" ht="25.5" x14ac:dyDescent="0.2">
      <c r="A2" s="6" t="s">
        <v>5</v>
      </c>
      <c r="B2" s="7" t="s">
        <v>11</v>
      </c>
      <c r="C2" s="7" t="s">
        <v>9</v>
      </c>
      <c r="D2" s="7" t="s">
        <v>12</v>
      </c>
      <c r="E2" s="7" t="s">
        <v>14</v>
      </c>
      <c r="F2" s="7" t="s">
        <v>15</v>
      </c>
      <c r="G2" s="7" t="s">
        <v>8</v>
      </c>
      <c r="H2" s="7" t="s">
        <v>40</v>
      </c>
      <c r="I2" s="7" t="s">
        <v>82</v>
      </c>
      <c r="J2" s="7" t="s">
        <v>38</v>
      </c>
      <c r="K2" s="7" t="s">
        <v>10</v>
      </c>
      <c r="L2" s="7" t="s">
        <v>41</v>
      </c>
      <c r="M2" s="8" t="s">
        <v>69</v>
      </c>
      <c r="N2" s="9" t="s">
        <v>4</v>
      </c>
    </row>
    <row r="3" spans="1:14" x14ac:dyDescent="0.2">
      <c r="A3" s="2" t="s">
        <v>83</v>
      </c>
      <c r="B3" s="3">
        <v>7020</v>
      </c>
      <c r="C3" s="3">
        <v>6900</v>
      </c>
      <c r="D3" s="3">
        <v>3735</v>
      </c>
      <c r="E3" s="3">
        <v>2063</v>
      </c>
      <c r="F3" s="3">
        <v>622</v>
      </c>
      <c r="G3" s="17">
        <v>2098</v>
      </c>
      <c r="H3" s="3">
        <v>7721</v>
      </c>
      <c r="I3" s="3">
        <v>18468</v>
      </c>
      <c r="J3" s="3">
        <v>13775</v>
      </c>
      <c r="K3" s="3">
        <v>6640</v>
      </c>
      <c r="L3" s="3">
        <v>3718</v>
      </c>
      <c r="M3" s="10">
        <f>SUM(SupremeCourtJusticeJudicialDistrict4General[[#This Row],[Clinton County Vote Results]:[Washington County Vote Results]])</f>
        <v>72760</v>
      </c>
      <c r="N3" s="11">
        <f>SUM(M3)</f>
        <v>72760</v>
      </c>
    </row>
    <row r="4" spans="1:14" x14ac:dyDescent="0.2">
      <c r="A4" s="2" t="s">
        <v>84</v>
      </c>
      <c r="B4" s="3">
        <v>5116</v>
      </c>
      <c r="C4" s="3">
        <v>3105</v>
      </c>
      <c r="D4" s="3">
        <v>2853</v>
      </c>
      <c r="E4" s="3">
        <v>1666</v>
      </c>
      <c r="F4" s="3">
        <v>500</v>
      </c>
      <c r="G4" s="17">
        <v>1764</v>
      </c>
      <c r="H4" s="3">
        <v>6225</v>
      </c>
      <c r="I4" s="3">
        <v>16085</v>
      </c>
      <c r="J4" s="3">
        <v>12064</v>
      </c>
      <c r="K4" s="3">
        <v>4483</v>
      </c>
      <c r="L4" s="3">
        <v>2926</v>
      </c>
      <c r="M4" s="10">
        <f>SUM(SupremeCourtJusticeJudicialDistrict4General[[#This Row],[Clinton County Vote Results]:[Washington County Vote Results]])</f>
        <v>56787</v>
      </c>
      <c r="N4" s="11">
        <f>SUM(M4,)</f>
        <v>56787</v>
      </c>
    </row>
    <row r="5" spans="1:14" x14ac:dyDescent="0.2">
      <c r="A5" s="2" t="s">
        <v>85</v>
      </c>
      <c r="B5" s="3">
        <v>5560</v>
      </c>
      <c r="C5" s="3">
        <v>3300</v>
      </c>
      <c r="D5" s="3">
        <v>3359</v>
      </c>
      <c r="E5" s="3">
        <v>4878</v>
      </c>
      <c r="F5" s="3">
        <v>1363</v>
      </c>
      <c r="G5" s="17">
        <v>4448</v>
      </c>
      <c r="H5" s="3">
        <v>7892</v>
      </c>
      <c r="I5" s="3">
        <v>19585</v>
      </c>
      <c r="J5" s="3">
        <v>10655</v>
      </c>
      <c r="K5" s="3">
        <v>5903</v>
      </c>
      <c r="L5" s="3">
        <v>4572</v>
      </c>
      <c r="M5" s="10">
        <f>SUM(SupremeCourtJusticeJudicialDistrict4General[[#This Row],[Clinton County Vote Results]:[Washington County Vote Results]])</f>
        <v>71515</v>
      </c>
      <c r="N5" s="11">
        <f>SUM(M5,M9)</f>
        <v>87486</v>
      </c>
    </row>
    <row r="6" spans="1:14" x14ac:dyDescent="0.2">
      <c r="A6" s="2" t="s">
        <v>86</v>
      </c>
      <c r="B6" s="3">
        <v>5714</v>
      </c>
      <c r="C6" s="3">
        <v>3482</v>
      </c>
      <c r="D6" s="3">
        <v>3387</v>
      </c>
      <c r="E6" s="3">
        <v>4077</v>
      </c>
      <c r="F6" s="3">
        <v>1246</v>
      </c>
      <c r="G6" s="17">
        <v>2617</v>
      </c>
      <c r="H6" s="3">
        <v>7461</v>
      </c>
      <c r="I6" s="3">
        <v>19267</v>
      </c>
      <c r="J6" s="3">
        <v>9412</v>
      </c>
      <c r="K6" s="3">
        <v>5864</v>
      </c>
      <c r="L6" s="3">
        <v>4342</v>
      </c>
      <c r="M6" s="10">
        <f>SUM(SupremeCourtJusticeJudicialDistrict4General[[#This Row],[Clinton County Vote Results]:[Washington County Vote Results]])</f>
        <v>66869</v>
      </c>
      <c r="N6" s="11">
        <f>SUM(M6,M10,M13)</f>
        <v>88452</v>
      </c>
    </row>
    <row r="7" spans="1:14" x14ac:dyDescent="0.2">
      <c r="A7" s="2" t="s">
        <v>87</v>
      </c>
      <c r="B7" s="3">
        <v>6058</v>
      </c>
      <c r="C7" s="3">
        <v>3783</v>
      </c>
      <c r="D7" s="3">
        <v>3810</v>
      </c>
      <c r="E7" s="3">
        <v>4658</v>
      </c>
      <c r="F7" s="3">
        <v>1361</v>
      </c>
      <c r="G7" s="17">
        <v>2655</v>
      </c>
      <c r="H7" s="3">
        <v>8742</v>
      </c>
      <c r="I7" s="3">
        <v>20967</v>
      </c>
      <c r="J7" s="3">
        <v>10676</v>
      </c>
      <c r="K7" s="3">
        <v>6229</v>
      </c>
      <c r="L7" s="3">
        <v>4676</v>
      </c>
      <c r="M7" s="10">
        <f>SUM(SupremeCourtJusticeJudicialDistrict4General[[#This Row],[Clinton County Vote Results]:[Washington County Vote Results]])</f>
        <v>73615</v>
      </c>
      <c r="N7" s="11">
        <f>SUM(M7,M11)</f>
        <v>91704</v>
      </c>
    </row>
    <row r="8" spans="1:14" x14ac:dyDescent="0.2">
      <c r="A8" s="2" t="s">
        <v>88</v>
      </c>
      <c r="B8" s="3">
        <v>5644</v>
      </c>
      <c r="C8" s="3">
        <v>3389</v>
      </c>
      <c r="D8" s="3">
        <v>3433</v>
      </c>
      <c r="E8" s="3">
        <v>4147</v>
      </c>
      <c r="F8" s="3">
        <v>1236</v>
      </c>
      <c r="G8" s="17">
        <v>2524</v>
      </c>
      <c r="H8" s="3">
        <v>7648</v>
      </c>
      <c r="I8" s="3">
        <v>19372</v>
      </c>
      <c r="J8" s="3">
        <v>10699</v>
      </c>
      <c r="K8" s="3">
        <v>5822</v>
      </c>
      <c r="L8" s="3">
        <v>4386</v>
      </c>
      <c r="M8" s="10">
        <f>SUM(SupremeCourtJusticeJudicialDistrict4General[[#This Row],[Clinton County Vote Results]:[Washington County Vote Results]])</f>
        <v>68300</v>
      </c>
      <c r="N8" s="11">
        <f>SUM(M8,M12)</f>
        <v>85709</v>
      </c>
    </row>
    <row r="9" spans="1:14" x14ac:dyDescent="0.2">
      <c r="A9" s="2" t="s">
        <v>89</v>
      </c>
      <c r="B9" s="3">
        <v>1051</v>
      </c>
      <c r="C9" s="3">
        <v>714</v>
      </c>
      <c r="D9" s="3">
        <v>622</v>
      </c>
      <c r="E9" s="3">
        <v>777</v>
      </c>
      <c r="F9" s="3">
        <v>226</v>
      </c>
      <c r="G9" s="17">
        <v>1094</v>
      </c>
      <c r="H9" s="3">
        <v>1720</v>
      </c>
      <c r="I9" s="3">
        <v>4543</v>
      </c>
      <c r="J9" s="3">
        <v>3170</v>
      </c>
      <c r="K9" s="3">
        <v>1159</v>
      </c>
      <c r="L9" s="3">
        <v>895</v>
      </c>
      <c r="M9" s="10">
        <f>SUM(SupremeCourtJusticeJudicialDistrict4General[[#This Row],[Clinton County Vote Results]:[Washington County Vote Results]])</f>
        <v>15971</v>
      </c>
      <c r="N9" s="12"/>
    </row>
    <row r="10" spans="1:14" x14ac:dyDescent="0.2">
      <c r="A10" s="2" t="s">
        <v>90</v>
      </c>
      <c r="B10" s="3">
        <v>1069</v>
      </c>
      <c r="C10" s="3">
        <v>699</v>
      </c>
      <c r="D10" s="3">
        <v>600</v>
      </c>
      <c r="E10" s="3">
        <v>643</v>
      </c>
      <c r="F10" s="3">
        <v>219</v>
      </c>
      <c r="G10" s="17">
        <v>725</v>
      </c>
      <c r="H10" s="3">
        <v>1627</v>
      </c>
      <c r="I10" s="3">
        <v>4330</v>
      </c>
      <c r="J10" s="3">
        <v>2809</v>
      </c>
      <c r="K10" s="3">
        <v>1145</v>
      </c>
      <c r="L10" s="3">
        <v>803</v>
      </c>
      <c r="M10" s="10">
        <f>SUM(SupremeCourtJusticeJudicialDistrict4General[[#This Row],[Clinton County Vote Results]:[Washington County Vote Results]])</f>
        <v>14669</v>
      </c>
      <c r="N10" s="13"/>
    </row>
    <row r="11" spans="1:14" x14ac:dyDescent="0.2">
      <c r="A11" s="2" t="s">
        <v>91</v>
      </c>
      <c r="B11" s="3">
        <v>1362</v>
      </c>
      <c r="C11" s="3">
        <v>820</v>
      </c>
      <c r="D11" s="3">
        <v>814</v>
      </c>
      <c r="E11" s="3">
        <v>796</v>
      </c>
      <c r="F11" s="3">
        <v>240</v>
      </c>
      <c r="G11" s="17">
        <v>785</v>
      </c>
      <c r="H11" s="3">
        <v>2074</v>
      </c>
      <c r="I11" s="3">
        <v>5263</v>
      </c>
      <c r="J11" s="3">
        <v>3416</v>
      </c>
      <c r="K11" s="3">
        <v>1460</v>
      </c>
      <c r="L11" s="3">
        <v>1059</v>
      </c>
      <c r="M11" s="10">
        <f>SUM(SupremeCourtJusticeJudicialDistrict4General[[#This Row],[Clinton County Vote Results]:[Washington County Vote Results]])</f>
        <v>18089</v>
      </c>
      <c r="N11" s="12"/>
    </row>
    <row r="12" spans="1:14" x14ac:dyDescent="0.2">
      <c r="A12" s="2" t="s">
        <v>92</v>
      </c>
      <c r="B12" s="3">
        <v>1325</v>
      </c>
      <c r="C12" s="3">
        <v>745</v>
      </c>
      <c r="D12" s="3">
        <v>773</v>
      </c>
      <c r="E12" s="3">
        <v>722</v>
      </c>
      <c r="F12" s="3">
        <v>229</v>
      </c>
      <c r="G12" s="17">
        <v>743</v>
      </c>
      <c r="H12" s="3">
        <v>1872</v>
      </c>
      <c r="I12" s="3">
        <v>5103</v>
      </c>
      <c r="J12" s="3">
        <v>3498</v>
      </c>
      <c r="K12" s="3">
        <v>1396</v>
      </c>
      <c r="L12" s="3">
        <v>1003</v>
      </c>
      <c r="M12" s="10">
        <f>SUM(SupremeCourtJusticeJudicialDistrict4General[[#This Row],[Clinton County Vote Results]:[Washington County Vote Results]])</f>
        <v>17409</v>
      </c>
      <c r="N12" s="13"/>
    </row>
    <row r="13" spans="1:14" x14ac:dyDescent="0.2">
      <c r="A13" s="2" t="s">
        <v>93</v>
      </c>
      <c r="B13" s="3">
        <v>601</v>
      </c>
      <c r="C13" s="3">
        <v>436</v>
      </c>
      <c r="D13" s="3">
        <v>412</v>
      </c>
      <c r="E13" s="3">
        <v>264</v>
      </c>
      <c r="F13" s="3">
        <v>75</v>
      </c>
      <c r="G13" s="17">
        <v>212</v>
      </c>
      <c r="H13" s="3">
        <v>707</v>
      </c>
      <c r="I13" s="3">
        <v>1930</v>
      </c>
      <c r="J13" s="3">
        <v>1202</v>
      </c>
      <c r="K13" s="3">
        <v>662</v>
      </c>
      <c r="L13" s="3">
        <v>413</v>
      </c>
      <c r="M13" s="10">
        <f>SUM(SupremeCourtJusticeJudicialDistrict4General[[#This Row],[Clinton County Vote Results]:[Washington County Vote Results]])</f>
        <v>6914</v>
      </c>
      <c r="N13" s="13"/>
    </row>
    <row r="14" spans="1:14" x14ac:dyDescent="0.2">
      <c r="A14" s="4" t="s">
        <v>0</v>
      </c>
      <c r="B14" s="3">
        <v>15965</v>
      </c>
      <c r="C14" s="3">
        <v>17726</v>
      </c>
      <c r="D14" s="3">
        <v>7630</v>
      </c>
      <c r="E14" s="3">
        <v>9780</v>
      </c>
      <c r="F14" s="3">
        <v>3452</v>
      </c>
      <c r="G14" s="17">
        <v>12173</v>
      </c>
      <c r="H14" s="3">
        <v>22358</v>
      </c>
      <c r="I14" s="3">
        <v>43863</v>
      </c>
      <c r="J14" s="3">
        <v>36391</v>
      </c>
      <c r="K14" s="3">
        <v>15007</v>
      </c>
      <c r="L14" s="3">
        <v>10713</v>
      </c>
      <c r="M14" s="10">
        <f>SUM(SupremeCourtJusticeJudicialDistrict4General[[#This Row],[Clinton County Vote Results]:[Washington County Vote Results]])</f>
        <v>195058</v>
      </c>
      <c r="N14" s="12"/>
    </row>
    <row r="15" spans="1:14" x14ac:dyDescent="0.2">
      <c r="A15" s="4" t="s">
        <v>1</v>
      </c>
      <c r="B15" s="3">
        <v>70</v>
      </c>
      <c r="C15" s="3">
        <v>120</v>
      </c>
      <c r="D15" s="3">
        <v>54</v>
      </c>
      <c r="E15" s="3">
        <v>59</v>
      </c>
      <c r="F15" s="3">
        <v>2</v>
      </c>
      <c r="G15" s="3">
        <v>20</v>
      </c>
      <c r="H15" s="3">
        <v>1</v>
      </c>
      <c r="I15" s="3">
        <v>96</v>
      </c>
      <c r="J15" s="3">
        <v>84</v>
      </c>
      <c r="K15" s="3">
        <v>100</v>
      </c>
      <c r="L15" s="3">
        <v>48</v>
      </c>
      <c r="M15" s="10">
        <f>SUM(SupremeCourtJusticeJudicialDistrict4General[[#This Row],[Clinton County Vote Results]:[Washington County Vote Results]])</f>
        <v>654</v>
      </c>
      <c r="N15" s="12"/>
    </row>
    <row r="16" spans="1:14" x14ac:dyDescent="0.2">
      <c r="A16" s="4" t="s">
        <v>2</v>
      </c>
      <c r="B16" s="5">
        <v>62</v>
      </c>
      <c r="C16" s="3">
        <v>29</v>
      </c>
      <c r="D16" s="3">
        <v>34</v>
      </c>
      <c r="E16" s="3">
        <v>18</v>
      </c>
      <c r="F16" s="3">
        <v>13</v>
      </c>
      <c r="G16" s="3">
        <v>18</v>
      </c>
      <c r="H16" s="3">
        <v>64</v>
      </c>
      <c r="I16" s="3">
        <v>264</v>
      </c>
      <c r="J16" s="3">
        <v>257</v>
      </c>
      <c r="K16" s="3">
        <v>34</v>
      </c>
      <c r="L16" s="5">
        <v>9</v>
      </c>
      <c r="M16" s="10">
        <f>SUM(SupremeCourtJusticeJudicialDistrict4General[[#This Row],[Clinton County Vote Results]:[Washington County Vote Results]])</f>
        <v>802</v>
      </c>
      <c r="N16" s="12"/>
    </row>
    <row r="17" spans="1:14" x14ac:dyDescent="0.2">
      <c r="A17" s="15" t="s">
        <v>3</v>
      </c>
      <c r="B17" s="3">
        <f>SUM(SupremeCourtJusticeJudicialDistrict4General[Clinton County Vote Results])</f>
        <v>56617</v>
      </c>
      <c r="C17" s="3">
        <f>SUM(SupremeCourtJusticeJudicialDistrict4General[Essex County Vote Results])</f>
        <v>45248</v>
      </c>
      <c r="D17" s="3">
        <f>SUM(SupremeCourtJusticeJudicialDistrict4General[Franklin County Vote Results])</f>
        <v>31516</v>
      </c>
      <c r="E17" s="3">
        <f>SUM(SupremeCourtJusticeJudicialDistrict4General[Fulton County Vote Results])</f>
        <v>34548</v>
      </c>
      <c r="F17" s="3">
        <f>SUM(SupremeCourtJusticeJudicialDistrict4General[Hamilton County Vote Results])</f>
        <v>10784</v>
      </c>
      <c r="G17" s="3">
        <f>SUM(SupremeCourtJusticeJudicialDistrict4General[Montgomery County Vote Results])</f>
        <v>31876</v>
      </c>
      <c r="H17" s="3">
        <f>SUM(SupremeCourtJusticeJudicialDistrict4General[St. Lawrence County Vote Results])</f>
        <v>76112</v>
      </c>
      <c r="I17" s="3">
        <f>SUM(SupremeCourtJusticeJudicialDistrict4General[Saratoga County Vote Results])</f>
        <v>179136</v>
      </c>
      <c r="J17" s="3">
        <f>SUM(SupremeCourtJusticeJudicialDistrict4General[Schenectady County Vote Results])</f>
        <v>118108</v>
      </c>
      <c r="K17" s="3">
        <f>SUM(SupremeCourtJusticeJudicialDistrict4General[Warren County Vote Results])</f>
        <v>55904</v>
      </c>
      <c r="L17" s="3">
        <f>SUM(SupremeCourtJusticeJudicialDistrict4General[Washington County Vote Results])</f>
        <v>39563</v>
      </c>
      <c r="M17" s="3">
        <f>SUM(SupremeCourtJusticeJudicialDistrict4General[Total Votes by Party])</f>
        <v>679412</v>
      </c>
      <c r="N17" s="12"/>
    </row>
    <row r="18" spans="1:14" x14ac:dyDescent="0.2">
      <c r="K18" s="14"/>
      <c r="L18" s="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4F75-F081-4EA4-A334-01D130911137}">
  <dimension ref="A1:I18"/>
  <sheetViews>
    <sheetView zoomScaleNormal="100" workbookViewId="0">
      <selection activeCell="B21" sqref="B21"/>
    </sheetView>
  </sheetViews>
  <sheetFormatPr defaultRowHeight="12.75" x14ac:dyDescent="0.2"/>
  <cols>
    <col min="1" max="1" width="26.28515625" customWidth="1"/>
    <col min="2" max="9" width="20.5703125" customWidth="1"/>
    <col min="10" max="11" width="23.5703125" customWidth="1"/>
  </cols>
  <sheetData>
    <row r="1" spans="1:9" ht="24.95" customHeight="1" x14ac:dyDescent="0.2">
      <c r="A1" s="1" t="s">
        <v>175</v>
      </c>
    </row>
    <row r="2" spans="1:9" ht="25.5" x14ac:dyDescent="0.2">
      <c r="A2" s="6" t="s">
        <v>5</v>
      </c>
      <c r="B2" s="7" t="s">
        <v>54</v>
      </c>
      <c r="C2" s="7" t="s">
        <v>39</v>
      </c>
      <c r="D2" s="7" t="s">
        <v>13</v>
      </c>
      <c r="E2" s="7" t="s">
        <v>43</v>
      </c>
      <c r="F2" s="7" t="s">
        <v>48</v>
      </c>
      <c r="G2" s="7" t="s">
        <v>50</v>
      </c>
      <c r="H2" s="8" t="s">
        <v>69</v>
      </c>
      <c r="I2" s="9" t="s">
        <v>4</v>
      </c>
    </row>
    <row r="3" spans="1:9" x14ac:dyDescent="0.2">
      <c r="A3" s="2" t="s">
        <v>94</v>
      </c>
      <c r="B3" s="3">
        <v>2336</v>
      </c>
      <c r="C3" s="3">
        <v>4605</v>
      </c>
      <c r="D3" s="3">
        <v>1355</v>
      </c>
      <c r="E3" s="3">
        <v>14742</v>
      </c>
      <c r="F3" s="3">
        <v>45308</v>
      </c>
      <c r="G3" s="3">
        <v>5253</v>
      </c>
      <c r="H3" s="10">
        <f>SUM(SupremeCourtJusticeJudicialDistrict5General[[#This Row],[Herkimer County Vote Results]:[Oswego County Vote Results]])</f>
        <v>73599</v>
      </c>
      <c r="I3" s="11">
        <f>SUM(SupremeCourtJusticeJudicialDistrict5General[[#This Row],[Total Votes by Party]],H6,H9,H12)</f>
        <v>162162</v>
      </c>
    </row>
    <row r="4" spans="1:9" x14ac:dyDescent="0.2">
      <c r="A4" s="2" t="s">
        <v>95</v>
      </c>
      <c r="B4" s="3">
        <v>1933</v>
      </c>
      <c r="C4" s="3">
        <v>4045</v>
      </c>
      <c r="D4" s="3">
        <v>1138</v>
      </c>
      <c r="E4" s="3">
        <v>11533</v>
      </c>
      <c r="F4" s="3">
        <v>47694</v>
      </c>
      <c r="G4" s="3">
        <v>5193</v>
      </c>
      <c r="H4" s="10">
        <f>SUM(SupremeCourtJusticeJudicialDistrict5General[[#This Row],[Herkimer County Vote Results]:[Oswego County Vote Results]])</f>
        <v>71536</v>
      </c>
      <c r="I4" s="11">
        <f>SUM(SupremeCourtJusticeJudicialDistrict5General[[#This Row],[Total Votes by Party]])</f>
        <v>71536</v>
      </c>
    </row>
    <row r="5" spans="1:9" x14ac:dyDescent="0.2">
      <c r="A5" s="2" t="s">
        <v>96</v>
      </c>
      <c r="B5" s="3">
        <v>2767</v>
      </c>
      <c r="C5" s="3">
        <v>6260</v>
      </c>
      <c r="D5" s="3">
        <v>1804</v>
      </c>
      <c r="E5" s="3">
        <v>16100</v>
      </c>
      <c r="F5" s="3">
        <v>55219</v>
      </c>
      <c r="G5" s="3">
        <v>6753</v>
      </c>
      <c r="H5" s="10">
        <f>SUM(SupremeCourtJusticeJudicialDistrict5General[[#This Row],[Herkimer County Vote Results]:[Oswego County Vote Results]])</f>
        <v>88903</v>
      </c>
      <c r="I5" s="11">
        <f>SUM(SupremeCourtJusticeJudicialDistrict5General[[#This Row],[Total Votes by Party]])</f>
        <v>88903</v>
      </c>
    </row>
    <row r="6" spans="1:9" x14ac:dyDescent="0.2">
      <c r="A6" s="2" t="s">
        <v>97</v>
      </c>
      <c r="B6" s="3">
        <v>4005</v>
      </c>
      <c r="C6" s="3">
        <v>6887</v>
      </c>
      <c r="D6" s="3">
        <v>2595</v>
      </c>
      <c r="E6" s="3">
        <v>15534</v>
      </c>
      <c r="F6" s="3">
        <v>30181</v>
      </c>
      <c r="G6" s="3">
        <v>8010</v>
      </c>
      <c r="H6" s="10">
        <f>SUM(SupremeCourtJusticeJudicialDistrict5General[[#This Row],[Herkimer County Vote Results]:[Oswego County Vote Results]])</f>
        <v>67212</v>
      </c>
      <c r="I6" s="12"/>
    </row>
    <row r="7" spans="1:9" x14ac:dyDescent="0.2">
      <c r="A7" s="2" t="s">
        <v>98</v>
      </c>
      <c r="B7" s="3">
        <v>3875</v>
      </c>
      <c r="C7" s="3">
        <v>7490</v>
      </c>
      <c r="D7" s="3">
        <v>2754</v>
      </c>
      <c r="E7" s="3">
        <v>15492</v>
      </c>
      <c r="F7" s="3">
        <v>33577</v>
      </c>
      <c r="G7" s="3">
        <v>8165</v>
      </c>
      <c r="H7" s="10">
        <f>SUM(SupremeCourtJusticeJudicialDistrict5General[[#This Row],[Herkimer County Vote Results]:[Oswego County Vote Results]])</f>
        <v>71353</v>
      </c>
      <c r="I7" s="11">
        <f>SUM(SupremeCourtJusticeJudicialDistrict5General[[#This Row],[Total Votes by Party]],H10,H13)</f>
        <v>92676</v>
      </c>
    </row>
    <row r="8" spans="1:9" x14ac:dyDescent="0.2">
      <c r="A8" s="2" t="s">
        <v>66</v>
      </c>
      <c r="B8" s="3">
        <v>3509</v>
      </c>
      <c r="C8" s="3">
        <v>6344</v>
      </c>
      <c r="D8" s="3">
        <v>2385</v>
      </c>
      <c r="E8" s="3">
        <v>14277</v>
      </c>
      <c r="F8" s="3">
        <v>37484</v>
      </c>
      <c r="G8" s="3">
        <v>8517</v>
      </c>
      <c r="H8" s="10">
        <f>SUM(SupremeCourtJusticeJudicialDistrict5General[[#This Row],[Herkimer County Vote Results]:[Oswego County Vote Results]])</f>
        <v>72516</v>
      </c>
      <c r="I8" s="11">
        <f>SUM(SupremeCourtJusticeJudicialDistrict5General[[#This Row],[Total Votes by Party]],H11,H14)</f>
        <v>93966</v>
      </c>
    </row>
    <row r="9" spans="1:9" x14ac:dyDescent="0.2">
      <c r="A9" s="2" t="s">
        <v>99</v>
      </c>
      <c r="B9" s="3">
        <v>464</v>
      </c>
      <c r="C9" s="3">
        <v>829</v>
      </c>
      <c r="D9" s="3">
        <v>322</v>
      </c>
      <c r="E9" s="3">
        <v>2616</v>
      </c>
      <c r="F9" s="3">
        <v>7601</v>
      </c>
      <c r="G9" s="3">
        <v>1598</v>
      </c>
      <c r="H9" s="10">
        <f>SUM(SupremeCourtJusticeJudicialDistrict5General[[#This Row],[Herkimer County Vote Results]:[Oswego County Vote Results]])</f>
        <v>13430</v>
      </c>
      <c r="I9" s="12"/>
    </row>
    <row r="10" spans="1:9" x14ac:dyDescent="0.2">
      <c r="A10" s="2" t="s">
        <v>100</v>
      </c>
      <c r="B10" s="3">
        <v>517</v>
      </c>
      <c r="C10" s="3">
        <v>989</v>
      </c>
      <c r="D10" s="3">
        <v>370</v>
      </c>
      <c r="E10" s="3">
        <v>2881</v>
      </c>
      <c r="F10" s="3">
        <v>7970</v>
      </c>
      <c r="G10" s="3">
        <v>1645</v>
      </c>
      <c r="H10" s="10">
        <f>SUM(SupremeCourtJusticeJudicialDistrict5General[[#This Row],[Herkimer County Vote Results]:[Oswego County Vote Results]])</f>
        <v>14372</v>
      </c>
      <c r="I10" s="12"/>
    </row>
    <row r="11" spans="1:9" x14ac:dyDescent="0.2">
      <c r="A11" s="2" t="s">
        <v>67</v>
      </c>
      <c r="B11" s="3">
        <v>505</v>
      </c>
      <c r="C11" s="3">
        <v>873</v>
      </c>
      <c r="D11" s="3">
        <v>327</v>
      </c>
      <c r="E11" s="3">
        <v>2852</v>
      </c>
      <c r="F11" s="3">
        <v>8641</v>
      </c>
      <c r="G11" s="3">
        <v>1767</v>
      </c>
      <c r="H11" s="10">
        <f>SUM(SupremeCourtJusticeJudicialDistrict5General[[#This Row],[Herkimer County Vote Results]:[Oswego County Vote Results]])</f>
        <v>14965</v>
      </c>
      <c r="I11" s="12"/>
    </row>
    <row r="12" spans="1:9" x14ac:dyDescent="0.2">
      <c r="A12" s="2" t="s">
        <v>101</v>
      </c>
      <c r="B12" s="3">
        <v>361</v>
      </c>
      <c r="C12" s="3">
        <v>769</v>
      </c>
      <c r="D12" s="3">
        <v>259</v>
      </c>
      <c r="E12" s="3">
        <v>2079</v>
      </c>
      <c r="F12" s="3">
        <v>3683</v>
      </c>
      <c r="G12" s="3">
        <v>770</v>
      </c>
      <c r="H12" s="10">
        <f>SUM(SupremeCourtJusticeJudicialDistrict5General[[#This Row],[Herkimer County Vote Results]:[Oswego County Vote Results]])</f>
        <v>7921</v>
      </c>
      <c r="I12" s="12"/>
    </row>
    <row r="13" spans="1:9" x14ac:dyDescent="0.2">
      <c r="A13" s="2" t="s">
        <v>102</v>
      </c>
      <c r="B13" s="3">
        <v>335</v>
      </c>
      <c r="C13" s="3">
        <v>778</v>
      </c>
      <c r="D13" s="3">
        <v>247</v>
      </c>
      <c r="E13" s="3">
        <v>1736</v>
      </c>
      <c r="F13" s="3">
        <v>3213</v>
      </c>
      <c r="G13" s="3">
        <v>642</v>
      </c>
      <c r="H13" s="10">
        <f>SUM(SupremeCourtJusticeJudicialDistrict5General[[#This Row],[Herkimer County Vote Results]:[Oswego County Vote Results]])</f>
        <v>6951</v>
      </c>
      <c r="I13" s="12"/>
    </row>
    <row r="14" spans="1:9" x14ac:dyDescent="0.2">
      <c r="A14" s="2" t="s">
        <v>68</v>
      </c>
      <c r="B14" s="3">
        <v>315</v>
      </c>
      <c r="C14" s="3">
        <v>627</v>
      </c>
      <c r="D14" s="3">
        <v>203</v>
      </c>
      <c r="E14" s="3">
        <v>1506</v>
      </c>
      <c r="F14" s="3">
        <v>3199</v>
      </c>
      <c r="G14" s="3">
        <v>635</v>
      </c>
      <c r="H14" s="10">
        <f>SUM(SupremeCourtJusticeJudicialDistrict5General[[#This Row],[Herkimer County Vote Results]:[Oswego County Vote Results]])</f>
        <v>6485</v>
      </c>
      <c r="I14" s="12"/>
    </row>
    <row r="15" spans="1:9" x14ac:dyDescent="0.2">
      <c r="A15" s="4" t="s">
        <v>0</v>
      </c>
      <c r="B15" s="3">
        <v>6835</v>
      </c>
      <c r="C15" s="3">
        <v>10510</v>
      </c>
      <c r="D15" s="3">
        <v>3890</v>
      </c>
      <c r="E15" s="3">
        <v>25336</v>
      </c>
      <c r="F15" s="3">
        <v>38651</v>
      </c>
      <c r="G15" s="3">
        <v>11610</v>
      </c>
      <c r="H15" s="10">
        <f>SUM(SupremeCourtJusticeJudicialDistrict5General[[#This Row],[Herkimer County Vote Results]:[Oswego County Vote Results]])</f>
        <v>96832</v>
      </c>
      <c r="I15" s="12"/>
    </row>
    <row r="16" spans="1:9" x14ac:dyDescent="0.2">
      <c r="A16" s="4" t="s">
        <v>1</v>
      </c>
      <c r="B16" s="3">
        <v>18</v>
      </c>
      <c r="C16" s="3">
        <v>47</v>
      </c>
      <c r="D16" s="3">
        <v>80</v>
      </c>
      <c r="E16" s="3">
        <v>1201</v>
      </c>
      <c r="F16" s="3">
        <v>0</v>
      </c>
      <c r="G16" s="3">
        <v>5</v>
      </c>
      <c r="H16" s="10">
        <f>SUM(SupremeCourtJusticeJudicialDistrict5General[[#This Row],[Herkimer County Vote Results]:[Oswego County Vote Results]])</f>
        <v>1351</v>
      </c>
      <c r="I16" s="12"/>
    </row>
    <row r="17" spans="1:9" x14ac:dyDescent="0.2">
      <c r="A17" s="4" t="s">
        <v>2</v>
      </c>
      <c r="B17" s="5">
        <v>20</v>
      </c>
      <c r="C17" s="5">
        <v>28</v>
      </c>
      <c r="D17" s="5">
        <v>10</v>
      </c>
      <c r="E17" s="5">
        <v>45</v>
      </c>
      <c r="F17" s="5">
        <v>229</v>
      </c>
      <c r="G17" s="5">
        <v>45</v>
      </c>
      <c r="H17" s="10">
        <f>SUM(SupremeCourtJusticeJudicialDistrict5General[[#This Row],[Herkimer County Vote Results]:[Oswego County Vote Results]])</f>
        <v>377</v>
      </c>
      <c r="I17" s="12"/>
    </row>
    <row r="18" spans="1:9" x14ac:dyDescent="0.2">
      <c r="A18" s="15" t="s">
        <v>3</v>
      </c>
      <c r="B18" s="3">
        <f>SUM(SupremeCourtJusticeJudicialDistrict5General[Herkimer County Vote Results])</f>
        <v>27795</v>
      </c>
      <c r="C18" s="3">
        <f>SUM(SupremeCourtJusticeJudicialDistrict5General[Jefferson County Vote Results])</f>
        <v>51081</v>
      </c>
      <c r="D18" s="3">
        <f>SUM(SupremeCourtJusticeJudicialDistrict5General[Lewis County Vote Results])</f>
        <v>17739</v>
      </c>
      <c r="E18" s="3">
        <f>SUM(SupremeCourtJusticeJudicialDistrict5General[Oneida County Vote Results])</f>
        <v>127930</v>
      </c>
      <c r="F18" s="3">
        <f>SUM(SupremeCourtJusticeJudicialDistrict5General[Onondaga County Vote Results])</f>
        <v>322650</v>
      </c>
      <c r="G18" s="3">
        <f>SUM(SupremeCourtJusticeJudicialDistrict5General[Oswego County Vote Results])</f>
        <v>60608</v>
      </c>
      <c r="H18" s="16">
        <f>SUM(SupremeCourtJusticeJudicialDistrict5General[Total Votes by Party])</f>
        <v>607803</v>
      </c>
      <c r="I18" s="12"/>
    </row>
  </sheetData>
  <pageMargins left="0.7" right="0.7" top="0.75" bottom="0.75" header="0.3" footer="0.3"/>
  <pageSetup paperSize="5" scale="86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E381-9019-4D90-80FC-805EBBEC0565}">
  <dimension ref="A1:M17"/>
  <sheetViews>
    <sheetView zoomScale="75" zoomScaleNormal="75" zoomScaleSheetLayoutView="90" workbookViewId="0">
      <pane xSplit="1" topLeftCell="B1" activePane="topRight" state="frozen"/>
      <selection pane="topRight" activeCell="B19" sqref="B19"/>
    </sheetView>
  </sheetViews>
  <sheetFormatPr defaultRowHeight="12.75" x14ac:dyDescent="0.2"/>
  <cols>
    <col min="1" max="1" width="25.5703125" customWidth="1"/>
    <col min="2" max="13" width="20.5703125" customWidth="1"/>
    <col min="14" max="15" width="23.5703125" customWidth="1"/>
  </cols>
  <sheetData>
    <row r="1" spans="1:13" ht="24.95" customHeight="1" x14ac:dyDescent="0.2">
      <c r="A1" s="1" t="s">
        <v>176</v>
      </c>
    </row>
    <row r="2" spans="1:13" ht="25.5" x14ac:dyDescent="0.2">
      <c r="A2" s="6" t="s">
        <v>5</v>
      </c>
      <c r="B2" s="7" t="s">
        <v>51</v>
      </c>
      <c r="C2" s="7" t="s">
        <v>44</v>
      </c>
      <c r="D2" s="7" t="s">
        <v>55</v>
      </c>
      <c r="E2" s="7" t="s">
        <v>42</v>
      </c>
      <c r="F2" s="7" t="s">
        <v>33</v>
      </c>
      <c r="G2" s="7" t="s">
        <v>16</v>
      </c>
      <c r="H2" s="7" t="s">
        <v>34</v>
      </c>
      <c r="I2" s="7" t="s">
        <v>21</v>
      </c>
      <c r="J2" s="7" t="s">
        <v>17</v>
      </c>
      <c r="K2" s="7" t="s">
        <v>18</v>
      </c>
      <c r="L2" s="8" t="s">
        <v>69</v>
      </c>
      <c r="M2" s="9" t="s">
        <v>4</v>
      </c>
    </row>
    <row r="3" spans="1:13" x14ac:dyDescent="0.2">
      <c r="A3" s="2" t="s">
        <v>103</v>
      </c>
      <c r="B3" s="3">
        <v>19432</v>
      </c>
      <c r="C3" s="3">
        <v>3279</v>
      </c>
      <c r="D3" s="3">
        <v>2218</v>
      </c>
      <c r="E3" s="3">
        <v>2757</v>
      </c>
      <c r="F3" s="3">
        <v>2759</v>
      </c>
      <c r="G3" s="3">
        <v>4193</v>
      </c>
      <c r="H3" s="3">
        <v>4098</v>
      </c>
      <c r="I3" s="3">
        <v>1638</v>
      </c>
      <c r="J3" s="3">
        <v>2415</v>
      </c>
      <c r="K3" s="3">
        <v>10652</v>
      </c>
      <c r="L3" s="10">
        <f>SUM(SupremeCourtJusticeJudicialDistrict6General[[#This Row],[Broome County Vote Results]:[Tompkins County Vote Results]])</f>
        <v>53441</v>
      </c>
      <c r="M3" s="11">
        <f>SupremeCourtJusticeJudicialDistrict6General[[#This Row],[Total Votes by Party]]</f>
        <v>53441</v>
      </c>
    </row>
    <row r="4" spans="1:13" x14ac:dyDescent="0.2">
      <c r="A4" s="2" t="s">
        <v>104</v>
      </c>
      <c r="B4" s="3">
        <v>17021</v>
      </c>
      <c r="C4" s="3">
        <v>3620</v>
      </c>
      <c r="D4" s="3">
        <v>3394</v>
      </c>
      <c r="E4" s="3">
        <v>3180</v>
      </c>
      <c r="F4" s="3">
        <v>3208</v>
      </c>
      <c r="G4" s="3">
        <v>4952</v>
      </c>
      <c r="H4" s="3">
        <v>5133</v>
      </c>
      <c r="I4" s="3">
        <v>1772</v>
      </c>
      <c r="J4" s="3">
        <v>2559</v>
      </c>
      <c r="K4" s="3">
        <v>11569</v>
      </c>
      <c r="L4" s="10">
        <f>SUM(SupremeCourtJusticeJudicialDistrict6General[[#This Row],[Broome County Vote Results]:[Tompkins County Vote Results]])</f>
        <v>56408</v>
      </c>
      <c r="M4" s="11">
        <f>SupremeCourtJusticeJudicialDistrict6General[[#This Row],[Total Votes by Party]]</f>
        <v>56408</v>
      </c>
    </row>
    <row r="5" spans="1:13" x14ac:dyDescent="0.2">
      <c r="A5" s="2" t="s">
        <v>105</v>
      </c>
      <c r="B5" s="3">
        <v>17101</v>
      </c>
      <c r="C5" s="3">
        <v>8867</v>
      </c>
      <c r="D5" s="3">
        <v>4278</v>
      </c>
      <c r="E5" s="3">
        <v>3727</v>
      </c>
      <c r="F5" s="3">
        <v>4464</v>
      </c>
      <c r="G5" s="3">
        <v>5838</v>
      </c>
      <c r="H5" s="3">
        <v>4805</v>
      </c>
      <c r="I5" s="3">
        <v>2568</v>
      </c>
      <c r="J5" s="3">
        <v>4639</v>
      </c>
      <c r="K5" s="3">
        <v>3674</v>
      </c>
      <c r="L5" s="10">
        <f>SUM(SupremeCourtJusticeJudicialDistrict6General[[#This Row],[Broome County Vote Results]:[Tompkins County Vote Results]])</f>
        <v>59961</v>
      </c>
      <c r="M5" s="11">
        <f>SUM(SupremeCourtJusticeJudicialDistrict6General[[#This Row],[Total Votes by Party]],L8,L11)</f>
        <v>75865</v>
      </c>
    </row>
    <row r="6" spans="1:13" x14ac:dyDescent="0.2">
      <c r="A6" s="2" t="s">
        <v>106</v>
      </c>
      <c r="B6" s="3">
        <v>18009</v>
      </c>
      <c r="C6" s="3">
        <v>6562</v>
      </c>
      <c r="D6" s="3">
        <v>3788</v>
      </c>
      <c r="E6" s="3">
        <v>3447</v>
      </c>
      <c r="F6" s="3">
        <v>4197</v>
      </c>
      <c r="G6" s="3">
        <v>5220</v>
      </c>
      <c r="H6" s="3">
        <v>4343</v>
      </c>
      <c r="I6" s="3">
        <v>2306</v>
      </c>
      <c r="J6" s="3">
        <v>4252</v>
      </c>
      <c r="K6" s="3">
        <v>3285</v>
      </c>
      <c r="L6" s="10">
        <f>SUM(SupremeCourtJusticeJudicialDistrict6General[[#This Row],[Broome County Vote Results]:[Tompkins County Vote Results]])</f>
        <v>55409</v>
      </c>
      <c r="M6" s="11">
        <f>SUM(SupremeCourtJusticeJudicialDistrict6General[[#This Row],[Total Votes by Party]],L9,L12)</f>
        <v>69994</v>
      </c>
    </row>
    <row r="7" spans="1:13" x14ac:dyDescent="0.2">
      <c r="A7" s="2" t="s">
        <v>107</v>
      </c>
      <c r="B7" s="3">
        <v>18266</v>
      </c>
      <c r="C7" s="3">
        <v>7000</v>
      </c>
      <c r="D7" s="3">
        <v>4488</v>
      </c>
      <c r="E7" s="3">
        <v>4682</v>
      </c>
      <c r="F7" s="3">
        <v>4452</v>
      </c>
      <c r="G7" s="3">
        <v>5993</v>
      </c>
      <c r="H7" s="3">
        <v>4688</v>
      </c>
      <c r="I7" s="3">
        <v>2534</v>
      </c>
      <c r="J7" s="3">
        <v>4569</v>
      </c>
      <c r="K7" s="3">
        <v>4348</v>
      </c>
      <c r="L7" s="10">
        <f>SUM(SupremeCourtJusticeJudicialDistrict6General[[#This Row],[Broome County Vote Results]:[Tompkins County Vote Results]])</f>
        <v>61020</v>
      </c>
      <c r="M7" s="11">
        <f>SUM(SupremeCourtJusticeJudicialDistrict6General[[#This Row],[Total Votes by Party]],L10,L13)</f>
        <v>82078</v>
      </c>
    </row>
    <row r="8" spans="1:13" x14ac:dyDescent="0.2">
      <c r="A8" s="2" t="s">
        <v>108</v>
      </c>
      <c r="B8" s="3">
        <v>2816</v>
      </c>
      <c r="C8" s="3">
        <v>1143</v>
      </c>
      <c r="D8" s="3">
        <v>445</v>
      </c>
      <c r="E8" s="3">
        <v>571</v>
      </c>
      <c r="F8" s="3">
        <v>622</v>
      </c>
      <c r="G8" s="3">
        <v>1173</v>
      </c>
      <c r="H8" s="3">
        <v>704</v>
      </c>
      <c r="I8" s="3">
        <v>395</v>
      </c>
      <c r="J8" s="3">
        <v>508</v>
      </c>
      <c r="K8" s="3">
        <v>508</v>
      </c>
      <c r="L8" s="10">
        <f>SUM(SupremeCourtJusticeJudicialDistrict6General[[#This Row],[Broome County Vote Results]:[Tompkins County Vote Results]])</f>
        <v>8885</v>
      </c>
      <c r="M8" s="12"/>
    </row>
    <row r="9" spans="1:13" x14ac:dyDescent="0.2">
      <c r="A9" s="2" t="s">
        <v>109</v>
      </c>
      <c r="B9" s="3">
        <v>2953</v>
      </c>
      <c r="C9" s="3">
        <v>934</v>
      </c>
      <c r="D9" s="3">
        <v>436</v>
      </c>
      <c r="E9" s="3">
        <v>546</v>
      </c>
      <c r="F9" s="3">
        <v>552</v>
      </c>
      <c r="G9" s="3">
        <v>1087</v>
      </c>
      <c r="H9" s="3">
        <v>632</v>
      </c>
      <c r="I9" s="3">
        <v>375</v>
      </c>
      <c r="J9" s="3">
        <v>499</v>
      </c>
      <c r="K9" s="3">
        <v>490</v>
      </c>
      <c r="L9" s="10">
        <f>SUM(SupremeCourtJusticeJudicialDistrict6General[[#This Row],[Broome County Vote Results]:[Tompkins County Vote Results]])</f>
        <v>8504</v>
      </c>
      <c r="M9" s="12"/>
    </row>
    <row r="10" spans="1:13" x14ac:dyDescent="0.2">
      <c r="A10" s="2" t="s">
        <v>110</v>
      </c>
      <c r="B10" s="3">
        <v>3332</v>
      </c>
      <c r="C10" s="3">
        <v>1049</v>
      </c>
      <c r="D10" s="3">
        <v>476</v>
      </c>
      <c r="E10" s="3">
        <v>680</v>
      </c>
      <c r="F10" s="3">
        <v>678</v>
      </c>
      <c r="G10" s="3">
        <v>1345</v>
      </c>
      <c r="H10" s="3">
        <v>768</v>
      </c>
      <c r="I10" s="3">
        <v>471</v>
      </c>
      <c r="J10" s="3">
        <v>528</v>
      </c>
      <c r="K10" s="3">
        <v>594</v>
      </c>
      <c r="L10" s="10">
        <f>SUM(SupremeCourtJusticeJudicialDistrict6General[[#This Row],[Broome County Vote Results]:[Tompkins County Vote Results]])</f>
        <v>9921</v>
      </c>
      <c r="M10" s="12"/>
    </row>
    <row r="11" spans="1:13" x14ac:dyDescent="0.2">
      <c r="A11" s="2" t="s">
        <v>111</v>
      </c>
      <c r="B11" s="3">
        <v>2314</v>
      </c>
      <c r="C11" s="3">
        <v>842</v>
      </c>
      <c r="D11" s="3">
        <v>395</v>
      </c>
      <c r="E11" s="3">
        <v>394</v>
      </c>
      <c r="F11" s="3">
        <v>350</v>
      </c>
      <c r="G11" s="3">
        <v>690</v>
      </c>
      <c r="H11" s="3">
        <v>441</v>
      </c>
      <c r="I11" s="3">
        <v>341</v>
      </c>
      <c r="J11" s="3">
        <v>404</v>
      </c>
      <c r="K11" s="3">
        <v>848</v>
      </c>
      <c r="L11" s="10">
        <f>SUM(SupremeCourtJusticeJudicialDistrict6General[[#This Row],[Broome County Vote Results]:[Tompkins County Vote Results]])</f>
        <v>7019</v>
      </c>
      <c r="M11" s="12"/>
    </row>
    <row r="12" spans="1:13" x14ac:dyDescent="0.2">
      <c r="A12" s="2" t="s">
        <v>112</v>
      </c>
      <c r="B12" s="3">
        <v>2474</v>
      </c>
      <c r="C12" s="3">
        <v>511</v>
      </c>
      <c r="D12" s="3">
        <v>350</v>
      </c>
      <c r="E12" s="3">
        <v>336</v>
      </c>
      <c r="F12" s="3">
        <v>282</v>
      </c>
      <c r="G12" s="3">
        <v>569</v>
      </c>
      <c r="H12" s="3">
        <v>326</v>
      </c>
      <c r="I12" s="3">
        <v>267</v>
      </c>
      <c r="J12" s="3">
        <v>338</v>
      </c>
      <c r="K12" s="3">
        <v>628</v>
      </c>
      <c r="L12" s="10">
        <f>SUM(SupremeCourtJusticeJudicialDistrict6General[[#This Row],[Broome County Vote Results]:[Tompkins County Vote Results]])</f>
        <v>6081</v>
      </c>
      <c r="M12" s="12"/>
    </row>
    <row r="13" spans="1:13" x14ac:dyDescent="0.2">
      <c r="A13" s="2" t="s">
        <v>113</v>
      </c>
      <c r="B13" s="3">
        <v>3846</v>
      </c>
      <c r="C13" s="3">
        <v>835</v>
      </c>
      <c r="D13" s="3">
        <v>666</v>
      </c>
      <c r="E13" s="3">
        <v>793</v>
      </c>
      <c r="F13" s="3">
        <v>509</v>
      </c>
      <c r="G13" s="3">
        <v>992</v>
      </c>
      <c r="H13" s="3">
        <v>689</v>
      </c>
      <c r="I13" s="3">
        <v>534</v>
      </c>
      <c r="J13" s="3">
        <v>570</v>
      </c>
      <c r="K13" s="3">
        <v>1703</v>
      </c>
      <c r="L13" s="10">
        <f>SUM(SupremeCourtJusticeJudicialDistrict6General[[#This Row],[Broome County Vote Results]:[Tompkins County Vote Results]])</f>
        <v>11137</v>
      </c>
      <c r="M13" s="12"/>
    </row>
    <row r="14" spans="1:13" x14ac:dyDescent="0.2">
      <c r="A14" s="4" t="s">
        <v>0</v>
      </c>
      <c r="B14" s="3">
        <v>21132</v>
      </c>
      <c r="C14" s="3">
        <v>8060</v>
      </c>
      <c r="D14" s="3">
        <v>4</v>
      </c>
      <c r="E14" s="3">
        <v>5566</v>
      </c>
      <c r="F14" s="3">
        <v>4959</v>
      </c>
      <c r="G14" s="3">
        <v>9137</v>
      </c>
      <c r="H14" s="3">
        <v>8593</v>
      </c>
      <c r="I14" s="3">
        <v>3050</v>
      </c>
      <c r="J14" s="3">
        <v>3795</v>
      </c>
      <c r="K14" s="3">
        <v>12865</v>
      </c>
      <c r="L14" s="10">
        <f>SUM(SupremeCourtJusticeJudicialDistrict6General[[#This Row],[Broome County Vote Results]:[Tompkins County Vote Results]])</f>
        <v>77161</v>
      </c>
      <c r="M14" s="12"/>
    </row>
    <row r="15" spans="1:13" x14ac:dyDescent="0.2">
      <c r="A15" s="4" t="s">
        <v>1</v>
      </c>
      <c r="B15" s="3">
        <v>259</v>
      </c>
      <c r="C15" s="3">
        <v>0</v>
      </c>
      <c r="D15" s="3">
        <v>2</v>
      </c>
      <c r="E15" s="3">
        <v>0</v>
      </c>
      <c r="F15" s="3">
        <v>2</v>
      </c>
      <c r="G15" s="3">
        <v>0</v>
      </c>
      <c r="H15" s="3">
        <v>54</v>
      </c>
      <c r="I15" s="3">
        <v>3</v>
      </c>
      <c r="J15" s="3">
        <v>51</v>
      </c>
      <c r="K15" s="3">
        <v>6</v>
      </c>
      <c r="L15" s="10">
        <f>SUM(SupremeCourtJusticeJudicialDistrict6General[[#This Row],[Broome County Vote Results]:[Tompkins County Vote Results]])</f>
        <v>377</v>
      </c>
      <c r="M15" s="12"/>
    </row>
    <row r="16" spans="1:13" x14ac:dyDescent="0.2">
      <c r="A16" s="4" t="s">
        <v>2</v>
      </c>
      <c r="B16" s="5">
        <v>276</v>
      </c>
      <c r="C16" s="5">
        <v>0</v>
      </c>
      <c r="D16" s="5">
        <v>23</v>
      </c>
      <c r="E16" s="5">
        <v>33</v>
      </c>
      <c r="F16" s="5">
        <v>26</v>
      </c>
      <c r="G16" s="5">
        <v>46</v>
      </c>
      <c r="H16" s="5">
        <v>45</v>
      </c>
      <c r="I16" s="5">
        <v>6</v>
      </c>
      <c r="J16" s="5">
        <v>16</v>
      </c>
      <c r="K16" s="5">
        <v>220</v>
      </c>
      <c r="L16" s="10">
        <f>SUM(SupremeCourtJusticeJudicialDistrict6General[[#This Row],[Broome County Vote Results]:[Tompkins County Vote Results]])</f>
        <v>691</v>
      </c>
      <c r="M16" s="12"/>
    </row>
    <row r="17" spans="1:13" x14ac:dyDescent="0.2">
      <c r="A17" s="15" t="s">
        <v>3</v>
      </c>
      <c r="B17" s="3">
        <f>SUM(SupremeCourtJusticeJudicialDistrict6General[Broome County Vote Results])</f>
        <v>129231</v>
      </c>
      <c r="C17" s="18">
        <f>SUM(SupremeCourtJusticeJudicialDistrict6General[Chemung County Vote Results])</f>
        <v>42702</v>
      </c>
      <c r="D17" s="3">
        <f>SUM(SupremeCourtJusticeJudicialDistrict6General[Chenango County Vote Results])</f>
        <v>20963</v>
      </c>
      <c r="E17" s="3">
        <f>SUM(SupremeCourtJusticeJudicialDistrict6General[Cortland County Vote Results])</f>
        <v>26712</v>
      </c>
      <c r="F17" s="3">
        <f>SUM(SupremeCourtJusticeJudicialDistrict6General[Delaware County Vote Results])</f>
        <v>27060</v>
      </c>
      <c r="G17" s="3">
        <f>SUM(SupremeCourtJusticeJudicialDistrict6General[Madison County Vote Results])</f>
        <v>41235</v>
      </c>
      <c r="H17" s="3">
        <f>SUM(SupremeCourtJusticeJudicialDistrict6General[Otsego County Vote Results])</f>
        <v>35319</v>
      </c>
      <c r="I17" s="3">
        <f>SUM(SupremeCourtJusticeJudicialDistrict6General[Schuyler County Vote Results])</f>
        <v>16260</v>
      </c>
      <c r="J17" s="3">
        <f>SUM(SupremeCourtJusticeJudicialDistrict6General[Tioga County Vote Results])</f>
        <v>25143</v>
      </c>
      <c r="K17" s="3">
        <f>SUM(SupremeCourtJusticeJudicialDistrict6General[Tompkins County Vote Results])</f>
        <v>51390</v>
      </c>
      <c r="L17" s="10">
        <f>SUM(SupremeCourtJusticeJudicialDistrict6General[Total Votes by Party])</f>
        <v>416015</v>
      </c>
      <c r="M17" s="12"/>
    </row>
  </sheetData>
  <pageMargins left="0.7" right="0.7" top="0.75" bottom="0.75" header="0.3" footer="0.3"/>
  <pageSetup paperSize="5" scale="6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83BF-0515-4B25-BDCD-56BA7A50050D}">
  <dimension ref="A1:K16"/>
  <sheetViews>
    <sheetView zoomScale="80" zoomScaleNormal="80" workbookViewId="0">
      <pane xSplit="1" topLeftCell="B1" activePane="topRight" state="frozen"/>
      <selection pane="topRight" activeCell="B18" sqref="B18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95" customHeight="1" x14ac:dyDescent="0.2">
      <c r="A1" s="1" t="s">
        <v>177</v>
      </c>
    </row>
    <row r="2" spans="1:11" ht="25.5" x14ac:dyDescent="0.2">
      <c r="A2" s="6" t="s">
        <v>5</v>
      </c>
      <c r="B2" s="7" t="s">
        <v>47</v>
      </c>
      <c r="C2" s="7" t="s">
        <v>23</v>
      </c>
      <c r="D2" s="7" t="s">
        <v>56</v>
      </c>
      <c r="E2" s="7" t="s">
        <v>20</v>
      </c>
      <c r="F2" s="7" t="s">
        <v>45</v>
      </c>
      <c r="G2" s="7" t="s">
        <v>46</v>
      </c>
      <c r="H2" s="7" t="s">
        <v>19</v>
      </c>
      <c r="I2" s="7" t="s">
        <v>22</v>
      </c>
      <c r="J2" s="8" t="s">
        <v>69</v>
      </c>
      <c r="K2" s="9" t="s">
        <v>4</v>
      </c>
    </row>
    <row r="3" spans="1:11" x14ac:dyDescent="0.2">
      <c r="A3" s="2" t="s">
        <v>114</v>
      </c>
      <c r="B3" s="3">
        <v>6541</v>
      </c>
      <c r="C3" s="3">
        <v>5112</v>
      </c>
      <c r="D3" s="3">
        <v>92510</v>
      </c>
      <c r="E3" s="3">
        <v>8556</v>
      </c>
      <c r="F3" s="3">
        <v>3166</v>
      </c>
      <c r="G3" s="3">
        <v>4407</v>
      </c>
      <c r="H3" s="3">
        <v>4762</v>
      </c>
      <c r="I3" s="3">
        <v>1373</v>
      </c>
      <c r="J3" s="10">
        <f>SUM(SupremeCourtJusticeJudicialDistrict7General[[#This Row],[Cayuga County Vote Results]:[Yates County Vote Results]])</f>
        <v>126427</v>
      </c>
      <c r="K3" s="11">
        <f>SUM(SupremeCourtJusticeJudicialDistrict7General[[#This Row],[Total Votes by Party]],J8)</f>
        <v>132494</v>
      </c>
    </row>
    <row r="4" spans="1:11" x14ac:dyDescent="0.2">
      <c r="A4" s="2" t="s">
        <v>115</v>
      </c>
      <c r="B4" s="3">
        <v>6867</v>
      </c>
      <c r="C4" s="3">
        <v>7934</v>
      </c>
      <c r="D4" s="3">
        <v>63116</v>
      </c>
      <c r="E4" s="3">
        <v>8539</v>
      </c>
      <c r="F4" s="3">
        <v>3257</v>
      </c>
      <c r="G4" s="3">
        <v>8635</v>
      </c>
      <c r="H4" s="3">
        <v>7212</v>
      </c>
      <c r="I4" s="3">
        <v>2017</v>
      </c>
      <c r="J4" s="10">
        <f>SUM(SupremeCourtJusticeJudicialDistrict7General[[#This Row],[Cayuga County Vote Results]:[Yates County Vote Results]])</f>
        <v>107577</v>
      </c>
      <c r="K4" s="11">
        <f>SUM(SupremeCourtJusticeJudicialDistrict7General[[#This Row],[Total Votes by Party]],J6,J10)</f>
        <v>146662</v>
      </c>
    </row>
    <row r="5" spans="1:11" x14ac:dyDescent="0.2">
      <c r="A5" s="2" t="s">
        <v>116</v>
      </c>
      <c r="B5" s="3">
        <v>7860</v>
      </c>
      <c r="C5" s="3">
        <v>8344</v>
      </c>
      <c r="D5" s="3">
        <v>69321</v>
      </c>
      <c r="E5" s="3">
        <v>9624</v>
      </c>
      <c r="F5" s="3">
        <v>3937</v>
      </c>
      <c r="G5" s="3">
        <v>9432</v>
      </c>
      <c r="H5" s="3">
        <v>7920</v>
      </c>
      <c r="I5" s="3">
        <v>2200</v>
      </c>
      <c r="J5" s="10">
        <f>SUM(SupremeCourtJusticeJudicialDistrict7General[[#This Row],[Cayuga County Vote Results]:[Yates County Vote Results]])</f>
        <v>118638</v>
      </c>
      <c r="K5" s="11">
        <f>SUM(SupremeCourtJusticeJudicialDistrict7General[[#This Row],[Total Votes by Party]],J7,J9,J11,J12)</f>
        <v>169294</v>
      </c>
    </row>
    <row r="6" spans="1:11" x14ac:dyDescent="0.2">
      <c r="A6" s="2" t="s">
        <v>117</v>
      </c>
      <c r="B6" s="3">
        <v>1347</v>
      </c>
      <c r="C6" s="3">
        <v>1570</v>
      </c>
      <c r="D6" s="3">
        <v>16613</v>
      </c>
      <c r="E6" s="3">
        <v>1901</v>
      </c>
      <c r="F6" s="3">
        <v>500</v>
      </c>
      <c r="G6" s="3">
        <v>1048</v>
      </c>
      <c r="H6" s="3">
        <v>1699</v>
      </c>
      <c r="I6" s="3">
        <v>228</v>
      </c>
      <c r="J6" s="10">
        <f>SUM(SupremeCourtJusticeJudicialDistrict7General[[#This Row],[Cayuga County Vote Results]:[Yates County Vote Results]])</f>
        <v>24906</v>
      </c>
      <c r="K6" s="12"/>
    </row>
    <row r="7" spans="1:11" x14ac:dyDescent="0.2">
      <c r="A7" s="2" t="s">
        <v>118</v>
      </c>
      <c r="B7" s="3">
        <v>1502</v>
      </c>
      <c r="C7" s="3">
        <v>1610</v>
      </c>
      <c r="D7" s="3">
        <v>17053</v>
      </c>
      <c r="E7" s="3">
        <v>2133</v>
      </c>
      <c r="F7" s="3">
        <v>543</v>
      </c>
      <c r="G7" s="3">
        <v>1138</v>
      </c>
      <c r="H7" s="3">
        <v>1985</v>
      </c>
      <c r="I7" s="3">
        <v>239</v>
      </c>
      <c r="J7" s="10">
        <f>SUM(SupremeCourtJusticeJudicialDistrict7General[[#This Row],[Cayuga County Vote Results]:[Yates County Vote Results]])</f>
        <v>26203</v>
      </c>
      <c r="K7" s="12"/>
    </row>
    <row r="8" spans="1:11" x14ac:dyDescent="0.2">
      <c r="A8" s="2" t="s">
        <v>119</v>
      </c>
      <c r="B8" s="3">
        <v>380</v>
      </c>
      <c r="C8" s="3">
        <v>412</v>
      </c>
      <c r="D8" s="3">
        <v>3887</v>
      </c>
      <c r="E8" s="3">
        <v>428</v>
      </c>
      <c r="F8" s="3">
        <v>262</v>
      </c>
      <c r="G8" s="3">
        <v>277</v>
      </c>
      <c r="H8" s="3">
        <v>330</v>
      </c>
      <c r="I8" s="3">
        <v>91</v>
      </c>
      <c r="J8" s="10">
        <f>SUM(SupremeCourtJusticeJudicialDistrict7General[[#This Row],[Cayuga County Vote Results]:[Yates County Vote Results]])</f>
        <v>6067</v>
      </c>
      <c r="K8" s="12"/>
    </row>
    <row r="9" spans="1:11" x14ac:dyDescent="0.2">
      <c r="A9" s="2" t="s">
        <v>120</v>
      </c>
      <c r="B9" s="3">
        <v>456</v>
      </c>
      <c r="C9" s="3">
        <v>498</v>
      </c>
      <c r="D9" s="3">
        <v>5849</v>
      </c>
      <c r="E9" s="3">
        <v>630</v>
      </c>
      <c r="F9" s="3">
        <v>257</v>
      </c>
      <c r="G9" s="3">
        <v>383</v>
      </c>
      <c r="H9" s="3">
        <v>438</v>
      </c>
      <c r="I9" s="3">
        <v>84</v>
      </c>
      <c r="J9" s="10">
        <f>SUM(SupremeCourtJusticeJudicialDistrict7General[[#This Row],[Cayuga County Vote Results]:[Yates County Vote Results]])</f>
        <v>8595</v>
      </c>
      <c r="K9" s="12"/>
    </row>
    <row r="10" spans="1:11" x14ac:dyDescent="0.2">
      <c r="A10" s="2" t="s">
        <v>121</v>
      </c>
      <c r="B10" s="3">
        <v>840</v>
      </c>
      <c r="C10" s="3">
        <v>773</v>
      </c>
      <c r="D10" s="3">
        <v>10072</v>
      </c>
      <c r="E10" s="3">
        <v>926</v>
      </c>
      <c r="F10" s="3">
        <v>416</v>
      </c>
      <c r="G10" s="3">
        <v>502</v>
      </c>
      <c r="H10" s="3">
        <v>508</v>
      </c>
      <c r="I10" s="3">
        <v>142</v>
      </c>
      <c r="J10" s="10">
        <f>SUM(SupremeCourtJusticeJudicialDistrict7General[[#This Row],[Cayuga County Vote Results]:[Yates County Vote Results]])</f>
        <v>14179</v>
      </c>
      <c r="K10" s="12"/>
    </row>
    <row r="11" spans="1:11" x14ac:dyDescent="0.2">
      <c r="A11" s="2" t="s">
        <v>122</v>
      </c>
      <c r="B11" s="3">
        <v>1107</v>
      </c>
      <c r="C11" s="3">
        <v>856</v>
      </c>
      <c r="D11" s="3">
        <v>10052</v>
      </c>
      <c r="E11" s="3">
        <v>1184</v>
      </c>
      <c r="F11" s="3">
        <v>463</v>
      </c>
      <c r="G11" s="3">
        <v>585</v>
      </c>
      <c r="H11" s="3">
        <v>579</v>
      </c>
      <c r="I11" s="3">
        <v>164</v>
      </c>
      <c r="J11" s="10">
        <f>SUM(SupremeCourtJusticeJudicialDistrict7General[[#This Row],[Cayuga County Vote Results]:[Yates County Vote Results]])</f>
        <v>14990</v>
      </c>
      <c r="K11" s="12"/>
    </row>
    <row r="12" spans="1:11" x14ac:dyDescent="0.2">
      <c r="A12" s="2" t="s">
        <v>123</v>
      </c>
      <c r="B12" s="3">
        <v>55</v>
      </c>
      <c r="C12" s="3">
        <v>38</v>
      </c>
      <c r="D12" s="3">
        <v>624</v>
      </c>
      <c r="E12" s="3">
        <v>51</v>
      </c>
      <c r="F12" s="3">
        <v>34</v>
      </c>
      <c r="G12" s="3">
        <v>27</v>
      </c>
      <c r="H12" s="3">
        <v>27</v>
      </c>
      <c r="I12" s="3">
        <v>12</v>
      </c>
      <c r="J12" s="10">
        <f>SUM(SupremeCourtJusticeJudicialDistrict7General[[#This Row],[Cayuga County Vote Results]:[Yates County Vote Results]])</f>
        <v>868</v>
      </c>
      <c r="K12" s="12"/>
    </row>
    <row r="13" spans="1:11" x14ac:dyDescent="0.2">
      <c r="A13" s="4" t="s">
        <v>0</v>
      </c>
      <c r="B13" s="3">
        <v>8376</v>
      </c>
      <c r="C13" s="3">
        <v>7205</v>
      </c>
      <c r="D13" s="3">
        <v>75959</v>
      </c>
      <c r="E13" s="3">
        <v>7322</v>
      </c>
      <c r="F13" s="3">
        <v>3589</v>
      </c>
      <c r="G13" s="3">
        <v>6295</v>
      </c>
      <c r="H13" s="3">
        <v>4233</v>
      </c>
      <c r="I13" s="3">
        <v>1750</v>
      </c>
      <c r="J13" s="10">
        <f>SUM(SupremeCourtJusticeJudicialDistrict7General[[#This Row],[Cayuga County Vote Results]:[Yates County Vote Results]])</f>
        <v>114729</v>
      </c>
      <c r="K13" s="12"/>
    </row>
    <row r="14" spans="1:11" x14ac:dyDescent="0.2">
      <c r="A14" s="4" t="s">
        <v>1</v>
      </c>
      <c r="B14" s="3">
        <v>20</v>
      </c>
      <c r="C14" s="3">
        <v>22</v>
      </c>
      <c r="D14" s="3">
        <v>260</v>
      </c>
      <c r="E14" s="3">
        <v>43</v>
      </c>
      <c r="F14" s="3">
        <v>12</v>
      </c>
      <c r="G14" s="3">
        <v>64</v>
      </c>
      <c r="H14" s="3">
        <v>89</v>
      </c>
      <c r="I14" s="3">
        <v>8</v>
      </c>
      <c r="J14" s="10">
        <f>SUM(SupremeCourtJusticeJudicialDistrict7General[[#This Row],[Cayuga County Vote Results]:[Yates County Vote Results]])</f>
        <v>518</v>
      </c>
      <c r="K14" s="12"/>
    </row>
    <row r="15" spans="1:11" x14ac:dyDescent="0.2">
      <c r="A15" s="4" t="s">
        <v>2</v>
      </c>
      <c r="B15" s="5">
        <v>59</v>
      </c>
      <c r="C15" s="5">
        <v>28</v>
      </c>
      <c r="D15" s="5">
        <v>348</v>
      </c>
      <c r="E15" s="5">
        <v>67</v>
      </c>
      <c r="F15" s="5">
        <v>16</v>
      </c>
      <c r="G15" s="5">
        <v>33</v>
      </c>
      <c r="H15" s="5">
        <v>14</v>
      </c>
      <c r="I15" s="5">
        <v>4</v>
      </c>
      <c r="J15" s="10">
        <f>SUM(SupremeCourtJusticeJudicialDistrict7General[[#This Row],[Cayuga County Vote Results]:[Yates County Vote Results]])</f>
        <v>569</v>
      </c>
      <c r="K15" s="12"/>
    </row>
    <row r="16" spans="1:11" x14ac:dyDescent="0.2">
      <c r="A16" s="15" t="s">
        <v>3</v>
      </c>
      <c r="B16" s="3">
        <f>SUM(SupremeCourtJusticeJudicialDistrict7General[Cayuga County Vote Results])</f>
        <v>35410</v>
      </c>
      <c r="C16" s="3">
        <f>SUM(SupremeCourtJusticeJudicialDistrict7General[Livingston County Vote Results])</f>
        <v>34402</v>
      </c>
      <c r="D16" s="3">
        <f>SUM(SupremeCourtJusticeJudicialDistrict7General[Monroe County Vote Results])</f>
        <v>365664</v>
      </c>
      <c r="E16" s="3">
        <f>SUM(SupremeCourtJusticeJudicialDistrict7General[Ontario County Vote Results])</f>
        <v>41404</v>
      </c>
      <c r="F16" s="3">
        <f>SUM(SupremeCourtJusticeJudicialDistrict7General[Seneca County Vote Results])</f>
        <v>16452</v>
      </c>
      <c r="G16" s="3">
        <f>SUM(SupremeCourtJusticeJudicialDistrict7General[Steuben County Vote Results])</f>
        <v>32826</v>
      </c>
      <c r="H16" s="3">
        <f>SUM(SupremeCourtJusticeJudicialDistrict7General[Wayne County Vote Results])</f>
        <v>29796</v>
      </c>
      <c r="I16" s="3">
        <f>SUM(SupremeCourtJusticeJudicialDistrict7General[Yates County Vote Results])</f>
        <v>8312</v>
      </c>
      <c r="J16" s="10">
        <f>SUM(SupremeCourtJusticeJudicialDistrict7General[Total Votes by Party])</f>
        <v>564266</v>
      </c>
      <c r="K16" s="12"/>
    </row>
  </sheetData>
  <pageMargins left="0.7" right="0.7" top="0.75" bottom="0.75" header="0.3" footer="0.3"/>
  <pageSetup paperSize="5" scale="7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4D4F-8F8C-40EE-96A4-816A95CE2593}">
  <dimension ref="A1:K21"/>
  <sheetViews>
    <sheetView zoomScale="80" zoomScaleNormal="80" workbookViewId="0">
      <selection activeCell="B22" sqref="B22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95" customHeight="1" x14ac:dyDescent="0.2">
      <c r="A1" s="1" t="s">
        <v>178</v>
      </c>
    </row>
    <row r="2" spans="1:11" ht="25.5" x14ac:dyDescent="0.2">
      <c r="A2" s="6" t="s">
        <v>5</v>
      </c>
      <c r="B2" s="7" t="s">
        <v>26</v>
      </c>
      <c r="C2" s="7" t="s">
        <v>27</v>
      </c>
      <c r="D2" s="7" t="s">
        <v>28</v>
      </c>
      <c r="E2" s="7" t="s">
        <v>57</v>
      </c>
      <c r="F2" s="7" t="s">
        <v>24</v>
      </c>
      <c r="G2" s="7" t="s">
        <v>52</v>
      </c>
      <c r="H2" s="7" t="s">
        <v>49</v>
      </c>
      <c r="I2" s="7" t="s">
        <v>25</v>
      </c>
      <c r="J2" s="8" t="s">
        <v>69</v>
      </c>
      <c r="K2" s="9" t="s">
        <v>4</v>
      </c>
    </row>
    <row r="3" spans="1:11" x14ac:dyDescent="0.2">
      <c r="A3" s="2" t="s">
        <v>124</v>
      </c>
      <c r="B3" s="3">
        <v>1939</v>
      </c>
      <c r="C3" s="3">
        <v>4809</v>
      </c>
      <c r="D3" s="3">
        <v>10582</v>
      </c>
      <c r="E3" s="3">
        <v>99265</v>
      </c>
      <c r="F3" s="3">
        <v>2632</v>
      </c>
      <c r="G3" s="3">
        <v>15269</v>
      </c>
      <c r="H3" s="3">
        <v>1518</v>
      </c>
      <c r="I3" s="3">
        <v>1526</v>
      </c>
      <c r="J3" s="10">
        <f>SUM(SupremeCourtJusticeJudicialDistrict8General[[#This Row],[Allegany County Vote Results]:[Wyoming County Vote Results]])</f>
        <v>137540</v>
      </c>
      <c r="K3" s="11">
        <f>SUM(SupremeCourtJusticeJudicialDistrict8General[[#This Row],[Total Votes by Party]],J12,J14)</f>
        <v>161825</v>
      </c>
    </row>
    <row r="4" spans="1:11" x14ac:dyDescent="0.2">
      <c r="A4" s="2" t="s">
        <v>125</v>
      </c>
      <c r="B4" s="3">
        <v>1597</v>
      </c>
      <c r="C4" s="3">
        <v>4135</v>
      </c>
      <c r="D4" s="3">
        <v>9044</v>
      </c>
      <c r="E4" s="3">
        <v>85710</v>
      </c>
      <c r="F4" s="3">
        <v>2263</v>
      </c>
      <c r="G4" s="3">
        <v>12885</v>
      </c>
      <c r="H4" s="3">
        <v>1300</v>
      </c>
      <c r="I4" s="3">
        <v>1345</v>
      </c>
      <c r="J4" s="10">
        <f>SUM(SupremeCourtJusticeJudicialDistrict8General[[#This Row],[Allegany County Vote Results]:[Wyoming County Vote Results]])</f>
        <v>118279</v>
      </c>
      <c r="K4" s="11">
        <f>SUM(SupremeCourtJusticeJudicialDistrict8General[[#This Row],[Total Votes by Party]],J7,J10,J13,J15)</f>
        <v>279000</v>
      </c>
    </row>
    <row r="5" spans="1:11" x14ac:dyDescent="0.2">
      <c r="A5" s="2" t="s">
        <v>126</v>
      </c>
      <c r="B5" s="3">
        <v>1634</v>
      </c>
      <c r="C5" s="3">
        <v>4262</v>
      </c>
      <c r="D5" s="3">
        <v>9436</v>
      </c>
      <c r="E5" s="3">
        <v>88601</v>
      </c>
      <c r="F5" s="3">
        <v>2377</v>
      </c>
      <c r="G5" s="3">
        <v>13350</v>
      </c>
      <c r="H5" s="3">
        <v>1363</v>
      </c>
      <c r="I5" s="3">
        <v>1386</v>
      </c>
      <c r="J5" s="10">
        <f>SUM(SupremeCourtJusticeJudicialDistrict8General[[#This Row],[Allegany County Vote Results]:[Wyoming County Vote Results]])</f>
        <v>122409</v>
      </c>
      <c r="K5" s="11">
        <f>SUM(SupremeCourtJusticeJudicialDistrict8General[[#This Row],[Total Votes by Party]],J8,J11)</f>
        <v>267439</v>
      </c>
    </row>
    <row r="6" spans="1:11" x14ac:dyDescent="0.2">
      <c r="A6" s="2" t="s">
        <v>127</v>
      </c>
      <c r="B6" s="3">
        <v>4982</v>
      </c>
      <c r="C6" s="3">
        <v>7840</v>
      </c>
      <c r="D6" s="3">
        <v>12534</v>
      </c>
      <c r="E6" s="3">
        <v>63485</v>
      </c>
      <c r="F6" s="3">
        <v>5347</v>
      </c>
      <c r="G6" s="3">
        <v>16214</v>
      </c>
      <c r="H6" s="3">
        <v>3943</v>
      </c>
      <c r="I6" s="3">
        <v>3857</v>
      </c>
      <c r="J6" s="10">
        <f>SUM(SupremeCourtJusticeJudicialDistrict8General[[#This Row],[Allegany County Vote Results]:[Wyoming County Vote Results]])</f>
        <v>118202</v>
      </c>
      <c r="K6" s="11">
        <f>SUM(SupremeCourtJusticeJudicialDistrict8General[[#This Row],[Total Votes by Party]],J9,J16)</f>
        <v>151644</v>
      </c>
    </row>
    <row r="7" spans="1:11" x14ac:dyDescent="0.2">
      <c r="A7" s="2" t="s">
        <v>128</v>
      </c>
      <c r="B7" s="3">
        <v>4738</v>
      </c>
      <c r="C7" s="3">
        <v>7549</v>
      </c>
      <c r="D7" s="3">
        <v>12234</v>
      </c>
      <c r="E7" s="3">
        <v>59205</v>
      </c>
      <c r="F7" s="3">
        <v>5195</v>
      </c>
      <c r="G7" s="3">
        <v>15573</v>
      </c>
      <c r="H7" s="3">
        <v>3811</v>
      </c>
      <c r="I7" s="3">
        <v>3818</v>
      </c>
      <c r="J7" s="10">
        <f>SUM(SupremeCourtJusticeJudicialDistrict8General[[#This Row],[Allegany County Vote Results]:[Wyoming County Vote Results]])</f>
        <v>112123</v>
      </c>
      <c r="K7" s="12"/>
    </row>
    <row r="8" spans="1:11" x14ac:dyDescent="0.2">
      <c r="A8" s="2" t="s">
        <v>129</v>
      </c>
      <c r="B8" s="3">
        <v>4550</v>
      </c>
      <c r="C8" s="3">
        <v>7476</v>
      </c>
      <c r="D8" s="3">
        <v>11962</v>
      </c>
      <c r="E8" s="3">
        <v>58082</v>
      </c>
      <c r="F8" s="3">
        <v>5095</v>
      </c>
      <c r="G8" s="3">
        <v>15352</v>
      </c>
      <c r="H8" s="3">
        <v>3737</v>
      </c>
      <c r="I8" s="3">
        <v>3775</v>
      </c>
      <c r="J8" s="10">
        <f>SUM(SupremeCourtJusticeJudicialDistrict8General[[#This Row],[Allegany County Vote Results]:[Wyoming County Vote Results]])</f>
        <v>110029</v>
      </c>
      <c r="K8" s="12"/>
    </row>
    <row r="9" spans="1:11" x14ac:dyDescent="0.2">
      <c r="A9" s="2" t="s">
        <v>130</v>
      </c>
      <c r="B9" s="3">
        <v>533</v>
      </c>
      <c r="C9" s="3">
        <v>1223</v>
      </c>
      <c r="D9" s="3">
        <v>2278</v>
      </c>
      <c r="E9" s="3">
        <v>22031</v>
      </c>
      <c r="F9" s="3">
        <v>1119</v>
      </c>
      <c r="G9" s="3">
        <v>3738</v>
      </c>
      <c r="H9" s="3">
        <v>697</v>
      </c>
      <c r="I9" s="3">
        <v>600</v>
      </c>
      <c r="J9" s="10">
        <f>SUM(SupremeCourtJusticeJudicialDistrict8General[[#This Row],[Allegany County Vote Results]:[Wyoming County Vote Results]])</f>
        <v>32219</v>
      </c>
      <c r="K9" s="12"/>
    </row>
    <row r="10" spans="1:11" x14ac:dyDescent="0.2">
      <c r="A10" s="2" t="s">
        <v>131</v>
      </c>
      <c r="B10" s="3">
        <v>511</v>
      </c>
      <c r="C10" s="3">
        <v>1157</v>
      </c>
      <c r="D10" s="3">
        <v>2262</v>
      </c>
      <c r="E10" s="3">
        <v>20469</v>
      </c>
      <c r="F10" s="3">
        <v>1091</v>
      </c>
      <c r="G10" s="3">
        <v>3547</v>
      </c>
      <c r="H10" s="3">
        <v>667</v>
      </c>
      <c r="I10" s="3">
        <v>597</v>
      </c>
      <c r="J10" s="10">
        <f>SUM(SupremeCourtJusticeJudicialDistrict8General[[#This Row],[Allegany County Vote Results]:[Wyoming County Vote Results]])</f>
        <v>30301</v>
      </c>
      <c r="K10" s="12"/>
    </row>
    <row r="11" spans="1:11" x14ac:dyDescent="0.2">
      <c r="A11" s="2" t="s">
        <v>132</v>
      </c>
      <c r="B11" s="3">
        <v>599</v>
      </c>
      <c r="C11" s="3">
        <v>1423</v>
      </c>
      <c r="D11" s="3">
        <v>2723</v>
      </c>
      <c r="E11" s="3">
        <v>23371</v>
      </c>
      <c r="F11" s="3">
        <v>1249</v>
      </c>
      <c r="G11" s="3">
        <v>4218</v>
      </c>
      <c r="H11" s="3">
        <v>734</v>
      </c>
      <c r="I11" s="3">
        <v>684</v>
      </c>
      <c r="J11" s="10">
        <f>SUM(SupremeCourtJusticeJudicialDistrict8General[[#This Row],[Allegany County Vote Results]:[Wyoming County Vote Results]])</f>
        <v>35001</v>
      </c>
      <c r="K11" s="12"/>
    </row>
    <row r="12" spans="1:11" x14ac:dyDescent="0.2">
      <c r="A12" s="2" t="s">
        <v>133</v>
      </c>
      <c r="B12" s="3">
        <v>231</v>
      </c>
      <c r="C12" s="3">
        <v>498</v>
      </c>
      <c r="D12" s="3">
        <v>1145</v>
      </c>
      <c r="E12" s="3">
        <v>9433</v>
      </c>
      <c r="F12" s="3">
        <v>342</v>
      </c>
      <c r="G12" s="3">
        <v>1448</v>
      </c>
      <c r="H12" s="3">
        <v>174</v>
      </c>
      <c r="I12" s="3">
        <v>165</v>
      </c>
      <c r="J12" s="10">
        <f>SUM(SupremeCourtJusticeJudicialDistrict8General[[#This Row],[Allegany County Vote Results]:[Wyoming County Vote Results]])</f>
        <v>13436</v>
      </c>
      <c r="K12" s="12"/>
    </row>
    <row r="13" spans="1:11" x14ac:dyDescent="0.2">
      <c r="A13" s="2" t="s">
        <v>134</v>
      </c>
      <c r="B13" s="3">
        <v>133</v>
      </c>
      <c r="C13" s="3">
        <v>305</v>
      </c>
      <c r="D13" s="3">
        <v>663</v>
      </c>
      <c r="E13" s="3">
        <v>6636</v>
      </c>
      <c r="F13" s="3">
        <v>204</v>
      </c>
      <c r="G13" s="3">
        <v>947</v>
      </c>
      <c r="H13" s="3">
        <v>102</v>
      </c>
      <c r="I13" s="3">
        <v>92</v>
      </c>
      <c r="J13" s="10">
        <f>SUM(SupremeCourtJusticeJudicialDistrict8General[[#This Row],[Allegany County Vote Results]:[Wyoming County Vote Results]])</f>
        <v>9082</v>
      </c>
      <c r="K13" s="12"/>
    </row>
    <row r="14" spans="1:11" x14ac:dyDescent="0.2">
      <c r="A14" s="2" t="s">
        <v>135</v>
      </c>
      <c r="B14" s="3">
        <v>188</v>
      </c>
      <c r="C14" s="3">
        <v>476</v>
      </c>
      <c r="D14" s="3">
        <v>993</v>
      </c>
      <c r="E14" s="3">
        <v>6769</v>
      </c>
      <c r="F14" s="3">
        <v>278</v>
      </c>
      <c r="G14" s="3">
        <v>1746</v>
      </c>
      <c r="H14" s="3">
        <v>219</v>
      </c>
      <c r="I14" s="3">
        <v>180</v>
      </c>
      <c r="J14" s="10">
        <f>SUM(SupremeCourtJusticeJudicialDistrict8General[[#This Row],[Allegany County Vote Results]:[Wyoming County Vote Results]])</f>
        <v>10849</v>
      </c>
      <c r="K14" s="12"/>
    </row>
    <row r="15" spans="1:11" x14ac:dyDescent="0.2">
      <c r="A15" s="2" t="s">
        <v>136</v>
      </c>
      <c r="B15" s="3">
        <v>165</v>
      </c>
      <c r="C15" s="3">
        <v>409</v>
      </c>
      <c r="D15" s="3">
        <v>909</v>
      </c>
      <c r="E15" s="3">
        <v>5572</v>
      </c>
      <c r="F15" s="3">
        <v>264</v>
      </c>
      <c r="G15" s="3">
        <v>1582</v>
      </c>
      <c r="H15" s="3">
        <v>176</v>
      </c>
      <c r="I15" s="3">
        <v>138</v>
      </c>
      <c r="J15" s="10">
        <f>SUM(SupremeCourtJusticeJudicialDistrict8General[[#This Row],[Allegany County Vote Results]:[Wyoming County Vote Results]])</f>
        <v>9215</v>
      </c>
      <c r="K15" s="12"/>
    </row>
    <row r="16" spans="1:11" x14ac:dyDescent="0.2">
      <c r="A16" s="2" t="s">
        <v>137</v>
      </c>
      <c r="B16" s="3">
        <v>36</v>
      </c>
      <c r="C16" s="3">
        <v>53</v>
      </c>
      <c r="D16" s="3">
        <v>105</v>
      </c>
      <c r="E16" s="3">
        <v>754</v>
      </c>
      <c r="F16" s="3">
        <v>42</v>
      </c>
      <c r="G16" s="3">
        <v>187</v>
      </c>
      <c r="H16" s="3">
        <v>23</v>
      </c>
      <c r="I16" s="3">
        <v>23</v>
      </c>
      <c r="J16" s="10">
        <f>SUM(SupremeCourtJusticeJudicialDistrict8General[[#This Row],[Allegany County Vote Results]:[Wyoming County Vote Results]])</f>
        <v>1223</v>
      </c>
      <c r="K16" s="12"/>
    </row>
    <row r="17" spans="1:11" x14ac:dyDescent="0.2">
      <c r="A17" s="4" t="s">
        <v>0</v>
      </c>
      <c r="B17" s="3">
        <v>5439</v>
      </c>
      <c r="C17" s="3">
        <v>8278</v>
      </c>
      <c r="D17" s="3">
        <v>14569</v>
      </c>
      <c r="E17" s="3">
        <v>100159</v>
      </c>
      <c r="F17" s="3">
        <v>5410</v>
      </c>
      <c r="G17" s="3">
        <v>25978</v>
      </c>
      <c r="H17" s="3">
        <v>6563</v>
      </c>
      <c r="I17" s="3">
        <v>2199</v>
      </c>
      <c r="J17" s="10">
        <f>SUM(SupremeCourtJusticeJudicialDistrict8General[[#This Row],[Allegany County Vote Results]:[Wyoming County Vote Results]])</f>
        <v>168595</v>
      </c>
      <c r="K17" s="12"/>
    </row>
    <row r="18" spans="1:11" x14ac:dyDescent="0.2">
      <c r="A18" s="4" t="s">
        <v>1</v>
      </c>
      <c r="B18" s="3">
        <v>2</v>
      </c>
      <c r="C18" s="3">
        <v>40</v>
      </c>
      <c r="D18" s="3">
        <v>92</v>
      </c>
      <c r="E18" s="3"/>
      <c r="F18" s="3">
        <v>3</v>
      </c>
      <c r="G18" s="3">
        <v>0</v>
      </c>
      <c r="H18" s="3">
        <v>30</v>
      </c>
      <c r="I18" s="3">
        <v>0</v>
      </c>
      <c r="J18" s="10">
        <f>SUM(SupremeCourtJusticeJudicialDistrict8General[[#This Row],[Allegany County Vote Results]:[Wyoming County Vote Results]])</f>
        <v>167</v>
      </c>
      <c r="K18" s="12"/>
    </row>
    <row r="19" spans="1:11" x14ac:dyDescent="0.2">
      <c r="A19" s="4" t="s">
        <v>2</v>
      </c>
      <c r="B19" s="5">
        <v>14</v>
      </c>
      <c r="C19" s="5">
        <v>17</v>
      </c>
      <c r="D19" s="5">
        <v>65</v>
      </c>
      <c r="E19" s="5"/>
      <c r="F19" s="5">
        <v>26</v>
      </c>
      <c r="G19" s="5">
        <v>146</v>
      </c>
      <c r="H19" s="5">
        <v>14</v>
      </c>
      <c r="I19" s="5">
        <v>12</v>
      </c>
      <c r="J19" s="10">
        <f>SUM(SupremeCourtJusticeJudicialDistrict8General[[#This Row],[Allegany County Vote Results]:[Wyoming County Vote Results]])</f>
        <v>294</v>
      </c>
      <c r="K19" s="12"/>
    </row>
    <row r="20" spans="1:11" x14ac:dyDescent="0.2">
      <c r="A20" s="15" t="s">
        <v>3</v>
      </c>
      <c r="B20" s="3">
        <f>SUM(SupremeCourtJusticeJudicialDistrict8General[Allegany County Vote Results])</f>
        <v>27291</v>
      </c>
      <c r="C20" s="3">
        <f>SUM(SupremeCourtJusticeJudicialDistrict8General[Cattaraugus County Vote Results])</f>
        <v>49950</v>
      </c>
      <c r="D20" s="3">
        <f>SUM(SupremeCourtJusticeJudicialDistrict8General[Chautauqua County Vote Results])</f>
        <v>91596</v>
      </c>
      <c r="E20" s="3">
        <f>SUM(SupremeCourtJusticeJudicialDistrict8General[Erie County Vote Results])</f>
        <v>649542</v>
      </c>
      <c r="F20" s="3">
        <f>SUM(SupremeCourtJusticeJudicialDistrict8General[Genesee County Vote Results])</f>
        <v>32937</v>
      </c>
      <c r="G20" s="3">
        <f>SUM(SupremeCourtJusticeJudicialDistrict8General[Niagara County Vote Results])</f>
        <v>132180</v>
      </c>
      <c r="H20" s="3">
        <f>SUM(SupremeCourtJusticeJudicialDistrict8General[Orleans County Vote Results])</f>
        <v>25071</v>
      </c>
      <c r="I20" s="3">
        <f>SUM(SupremeCourtJusticeJudicialDistrict8General[Wyoming County Vote Results])</f>
        <v>20397</v>
      </c>
      <c r="J20" s="10">
        <f>SUM(SupremeCourtJusticeJudicialDistrict8General[Total Votes by Party])</f>
        <v>1028964</v>
      </c>
      <c r="K20" s="12"/>
    </row>
    <row r="21" spans="1:11" x14ac:dyDescent="0.2">
      <c r="I21" s="14" t="s">
        <v>172</v>
      </c>
    </row>
  </sheetData>
  <pageMargins left="0.7" right="0.7" top="0.75" bottom="0.75" header="0.3" footer="0.3"/>
  <pageSetup paperSize="5"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ADC0-968C-457A-9196-665DB14A9828}">
  <dimension ref="A1:H24"/>
  <sheetViews>
    <sheetView zoomScaleNormal="100" zoomScaleSheetLayoutView="90" workbookViewId="0">
      <selection activeCell="B26" sqref="B2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95" customHeight="1" x14ac:dyDescent="0.2">
      <c r="A1" s="1" t="s">
        <v>179</v>
      </c>
    </row>
    <row r="2" spans="1:8" ht="25.5" x14ac:dyDescent="0.2">
      <c r="A2" s="6" t="s">
        <v>5</v>
      </c>
      <c r="B2" s="7" t="s">
        <v>58</v>
      </c>
      <c r="C2" s="7" t="s">
        <v>30</v>
      </c>
      <c r="D2" s="7" t="s">
        <v>31</v>
      </c>
      <c r="E2" s="7" t="s">
        <v>29</v>
      </c>
      <c r="F2" s="7" t="s">
        <v>59</v>
      </c>
      <c r="G2" s="8" t="s">
        <v>69</v>
      </c>
      <c r="H2" s="9" t="s">
        <v>4</v>
      </c>
    </row>
    <row r="3" spans="1:8" x14ac:dyDescent="0.2">
      <c r="A3" s="2" t="s">
        <v>138</v>
      </c>
      <c r="B3" s="3">
        <v>31833</v>
      </c>
      <c r="C3" s="3">
        <v>21722</v>
      </c>
      <c r="D3" s="3">
        <v>7777</v>
      </c>
      <c r="E3" s="3">
        <v>35380</v>
      </c>
      <c r="F3" s="3">
        <v>100816</v>
      </c>
      <c r="G3" s="10">
        <f>SUM(SupremeCourtJusticeJudicialDistrict9General[[#This Row],[Dutchess County Vote Results]:[Westchester County Vote Results]])</f>
        <v>197528</v>
      </c>
      <c r="H3" s="11">
        <f>SUM(SupremeCourtJusticeJudicialDistrict9General[[#This Row],[Total Votes by Party]],G20)</f>
        <v>209710</v>
      </c>
    </row>
    <row r="4" spans="1:8" x14ac:dyDescent="0.2">
      <c r="A4" s="2" t="s">
        <v>139</v>
      </c>
      <c r="B4" s="3">
        <v>28920</v>
      </c>
      <c r="C4" s="3">
        <v>23289</v>
      </c>
      <c r="D4" s="3">
        <v>7000</v>
      </c>
      <c r="E4" s="3">
        <v>33908</v>
      </c>
      <c r="F4" s="3">
        <v>91321</v>
      </c>
      <c r="G4" s="10">
        <f>SUM(SupremeCourtJusticeJudicialDistrict9General[[#This Row],[Dutchess County Vote Results]:[Westchester County Vote Results]])</f>
        <v>184438</v>
      </c>
      <c r="H4" s="11">
        <f>SUM(SupremeCourtJusticeJudicialDistrict9General[[#This Row],[Total Votes by Party]],G8,G12,G16)</f>
        <v>326584</v>
      </c>
    </row>
    <row r="5" spans="1:8" x14ac:dyDescent="0.2">
      <c r="A5" s="2" t="s">
        <v>140</v>
      </c>
      <c r="B5" s="3">
        <v>28941</v>
      </c>
      <c r="C5" s="3">
        <v>22766</v>
      </c>
      <c r="D5" s="3">
        <v>7081</v>
      </c>
      <c r="E5" s="3">
        <v>33165</v>
      </c>
      <c r="F5" s="3">
        <v>91608</v>
      </c>
      <c r="G5" s="10">
        <f>SUM(SupremeCourtJusticeJudicialDistrict9General[[#This Row],[Dutchess County Vote Results]:[Westchester County Vote Results]])</f>
        <v>183561</v>
      </c>
      <c r="H5" s="11">
        <f>SUM(SupremeCourtJusticeJudicialDistrict9General[[#This Row],[Total Votes by Party]],G9,G13,G17,G19)</f>
        <v>331784</v>
      </c>
    </row>
    <row r="6" spans="1:8" x14ac:dyDescent="0.2">
      <c r="A6" s="2" t="s">
        <v>141</v>
      </c>
      <c r="B6" s="3">
        <v>29598</v>
      </c>
      <c r="C6" s="3">
        <v>23564</v>
      </c>
      <c r="D6" s="3">
        <v>7541</v>
      </c>
      <c r="E6" s="3">
        <v>34485</v>
      </c>
      <c r="F6" s="3">
        <v>93874</v>
      </c>
      <c r="G6" s="10">
        <f>SUM(SupremeCourtJusticeJudicialDistrict9General[[#This Row],[Dutchess County Vote Results]:[Westchester County Vote Results]])</f>
        <v>189062</v>
      </c>
      <c r="H6" s="11">
        <f>SUM(SupremeCourtJusticeJudicialDistrict9General[[#This Row],[Total Votes by Party]],G10,G14,G18)</f>
        <v>332079</v>
      </c>
    </row>
    <row r="7" spans="1:8" x14ac:dyDescent="0.2">
      <c r="A7" s="2" t="s">
        <v>60</v>
      </c>
      <c r="B7" s="3">
        <v>24789</v>
      </c>
      <c r="C7" s="3">
        <v>26385</v>
      </c>
      <c r="D7" s="3">
        <v>7362</v>
      </c>
      <c r="E7" s="3">
        <v>15727</v>
      </c>
      <c r="F7" s="3">
        <v>43917</v>
      </c>
      <c r="G7" s="10">
        <f>SUM(SupremeCourtJusticeJudicialDistrict9General[[#This Row],[Dutchess County Vote Results]:[Westchester County Vote Results]])</f>
        <v>118180</v>
      </c>
      <c r="H7" s="11">
        <f>SUM(SupremeCourtJusticeJudicialDistrict9General[[#This Row],[Total Votes by Party]],G11,G15)</f>
        <v>151425</v>
      </c>
    </row>
    <row r="8" spans="1:8" x14ac:dyDescent="0.2">
      <c r="A8" s="2" t="s">
        <v>142</v>
      </c>
      <c r="B8" s="3">
        <v>23785</v>
      </c>
      <c r="C8" s="3">
        <v>19663</v>
      </c>
      <c r="D8" s="3">
        <v>6958</v>
      </c>
      <c r="E8" s="3">
        <v>16146</v>
      </c>
      <c r="F8" s="3">
        <v>40812</v>
      </c>
      <c r="G8" s="10">
        <f>SUM(SupremeCourtJusticeJudicialDistrict9General[[#This Row],[Dutchess County Vote Results]:[Westchester County Vote Results]])</f>
        <v>107364</v>
      </c>
      <c r="H8" s="12"/>
    </row>
    <row r="9" spans="1:8" x14ac:dyDescent="0.2">
      <c r="A9" s="2" t="s">
        <v>143</v>
      </c>
      <c r="B9" s="3">
        <v>23583</v>
      </c>
      <c r="C9" s="3">
        <v>19083</v>
      </c>
      <c r="D9" s="3">
        <v>7111</v>
      </c>
      <c r="E9" s="3">
        <v>14893</v>
      </c>
      <c r="F9" s="3">
        <v>40471</v>
      </c>
      <c r="G9" s="10">
        <f>SUM(SupremeCourtJusticeJudicialDistrict9General[[#This Row],[Dutchess County Vote Results]:[Westchester County Vote Results]])</f>
        <v>105141</v>
      </c>
      <c r="H9" s="12"/>
    </row>
    <row r="10" spans="1:8" x14ac:dyDescent="0.2">
      <c r="A10" s="2" t="s">
        <v>144</v>
      </c>
      <c r="B10" s="3">
        <v>23781</v>
      </c>
      <c r="C10" s="3">
        <v>19190</v>
      </c>
      <c r="D10" s="3">
        <v>7200</v>
      </c>
      <c r="E10" s="3">
        <v>16012</v>
      </c>
      <c r="F10" s="3">
        <v>41340</v>
      </c>
      <c r="G10" s="10">
        <f>SUM(SupremeCourtJusticeJudicialDistrict9General[[#This Row],[Dutchess County Vote Results]:[Westchester County Vote Results]])</f>
        <v>107523</v>
      </c>
      <c r="H10" s="12"/>
    </row>
    <row r="11" spans="1:8" x14ac:dyDescent="0.2">
      <c r="A11" s="2" t="s">
        <v>61</v>
      </c>
      <c r="B11" s="3">
        <v>5459</v>
      </c>
      <c r="C11" s="3">
        <v>5390</v>
      </c>
      <c r="D11" s="3">
        <v>1911</v>
      </c>
      <c r="E11" s="3">
        <v>4155</v>
      </c>
      <c r="F11" s="3">
        <v>8215</v>
      </c>
      <c r="G11" s="10">
        <f>SUM(SupremeCourtJusticeJudicialDistrict9General[[#This Row],[Dutchess County Vote Results]:[Westchester County Vote Results]])</f>
        <v>25130</v>
      </c>
      <c r="H11" s="12"/>
    </row>
    <row r="12" spans="1:8" x14ac:dyDescent="0.2">
      <c r="A12" s="2" t="s">
        <v>145</v>
      </c>
      <c r="B12" s="3">
        <v>5271</v>
      </c>
      <c r="C12" s="3">
        <v>4765</v>
      </c>
      <c r="D12" s="3">
        <v>1803</v>
      </c>
      <c r="E12" s="3">
        <v>4427</v>
      </c>
      <c r="F12" s="3">
        <v>7809</v>
      </c>
      <c r="G12" s="10">
        <f>SUM(SupremeCourtJusticeJudicialDistrict9General[[#This Row],[Dutchess County Vote Results]:[Westchester County Vote Results]])</f>
        <v>24075</v>
      </c>
      <c r="H12" s="12"/>
    </row>
    <row r="13" spans="1:8" x14ac:dyDescent="0.2">
      <c r="A13" s="2" t="s">
        <v>146</v>
      </c>
      <c r="B13" s="3">
        <v>5284</v>
      </c>
      <c r="C13" s="3">
        <v>4659</v>
      </c>
      <c r="D13" s="3">
        <v>1795</v>
      </c>
      <c r="E13" s="3">
        <v>3916</v>
      </c>
      <c r="F13" s="3">
        <v>7783</v>
      </c>
      <c r="G13" s="10">
        <f>SUM(SupremeCourtJusticeJudicialDistrict9General[[#This Row],[Dutchess County Vote Results]:[Westchester County Vote Results]])</f>
        <v>23437</v>
      </c>
      <c r="H13" s="12"/>
    </row>
    <row r="14" spans="1:8" x14ac:dyDescent="0.2">
      <c r="A14" s="2" t="s">
        <v>147</v>
      </c>
      <c r="B14" s="3">
        <v>5246</v>
      </c>
      <c r="C14" s="3">
        <v>4706</v>
      </c>
      <c r="D14" s="3">
        <v>1844</v>
      </c>
      <c r="E14" s="3">
        <v>4476</v>
      </c>
      <c r="F14" s="3">
        <v>7978</v>
      </c>
      <c r="G14" s="10">
        <f>SUM(SupremeCourtJusticeJudicialDistrict9General[[#This Row],[Dutchess County Vote Results]:[Westchester County Vote Results]])</f>
        <v>24250</v>
      </c>
      <c r="H14" s="12"/>
    </row>
    <row r="15" spans="1:8" x14ac:dyDescent="0.2">
      <c r="A15" s="2" t="s">
        <v>62</v>
      </c>
      <c r="B15" s="3">
        <v>2010</v>
      </c>
      <c r="C15" s="3">
        <v>1758</v>
      </c>
      <c r="D15" s="3">
        <v>588</v>
      </c>
      <c r="E15" s="3">
        <v>1263</v>
      </c>
      <c r="F15" s="3">
        <v>2496</v>
      </c>
      <c r="G15" s="10">
        <f>SUM(SupremeCourtJusticeJudicialDistrict9General[[#This Row],[Dutchess County Vote Results]:[Westchester County Vote Results]])</f>
        <v>8115</v>
      </c>
      <c r="H15" s="12"/>
    </row>
    <row r="16" spans="1:8" x14ac:dyDescent="0.2">
      <c r="A16" s="2" t="s">
        <v>148</v>
      </c>
      <c r="B16" s="3">
        <v>2325</v>
      </c>
      <c r="C16" s="3">
        <v>1728</v>
      </c>
      <c r="D16" s="3">
        <v>708</v>
      </c>
      <c r="E16" s="3">
        <v>2799</v>
      </c>
      <c r="F16" s="3">
        <v>3147</v>
      </c>
      <c r="G16" s="10">
        <f>SUM(SupremeCourtJusticeJudicialDistrict9General[[#This Row],[Dutchess County Vote Results]:[Westchester County Vote Results]])</f>
        <v>10707</v>
      </c>
      <c r="H16" s="12"/>
    </row>
    <row r="17" spans="1:8" x14ac:dyDescent="0.2">
      <c r="A17" s="2" t="s">
        <v>149</v>
      </c>
      <c r="B17" s="3">
        <v>2286</v>
      </c>
      <c r="C17" s="3">
        <v>1621</v>
      </c>
      <c r="D17" s="3">
        <v>673</v>
      </c>
      <c r="E17" s="3">
        <v>1366</v>
      </c>
      <c r="F17" s="3">
        <v>3024</v>
      </c>
      <c r="G17" s="10">
        <f>SUM(SupremeCourtJusticeJudicialDistrict9General[[#This Row],[Dutchess County Vote Results]:[Westchester County Vote Results]])</f>
        <v>8970</v>
      </c>
      <c r="H17" s="12"/>
    </row>
    <row r="18" spans="1:8" x14ac:dyDescent="0.2">
      <c r="A18" s="2" t="s">
        <v>150</v>
      </c>
      <c r="B18" s="3">
        <v>2442</v>
      </c>
      <c r="C18" s="3">
        <v>1757</v>
      </c>
      <c r="D18" s="3">
        <v>759</v>
      </c>
      <c r="E18" s="3">
        <v>2956</v>
      </c>
      <c r="F18" s="3">
        <v>3330</v>
      </c>
      <c r="G18" s="10">
        <f>SUM(SupremeCourtJusticeJudicialDistrict9General[[#This Row],[Dutchess County Vote Results]:[Westchester County Vote Results]])</f>
        <v>11244</v>
      </c>
      <c r="H18" s="12"/>
    </row>
    <row r="19" spans="1:8" x14ac:dyDescent="0.2">
      <c r="A19" s="2" t="s">
        <v>151</v>
      </c>
      <c r="B19" s="3">
        <v>156</v>
      </c>
      <c r="C19" s="3">
        <v>151</v>
      </c>
      <c r="D19" s="3">
        <v>56</v>
      </c>
      <c r="E19" s="3">
        <v>9918</v>
      </c>
      <c r="F19" s="3">
        <v>394</v>
      </c>
      <c r="G19" s="10">
        <f>SUM(SupremeCourtJusticeJudicialDistrict9General[[#This Row],[Dutchess County Vote Results]:[Westchester County Vote Results]])</f>
        <v>10675</v>
      </c>
      <c r="H19" s="12"/>
    </row>
    <row r="20" spans="1:8" x14ac:dyDescent="0.2">
      <c r="A20" s="2" t="s">
        <v>152</v>
      </c>
      <c r="B20" s="3">
        <v>308</v>
      </c>
      <c r="C20" s="3">
        <v>270</v>
      </c>
      <c r="D20" s="3">
        <v>145</v>
      </c>
      <c r="E20" s="3">
        <v>10730</v>
      </c>
      <c r="F20" s="3">
        <v>729</v>
      </c>
      <c r="G20" s="10">
        <f>SUM(SupremeCourtJusticeJudicialDistrict9General[[#This Row],[Dutchess County Vote Results]:[Westchester County Vote Results]])</f>
        <v>12182</v>
      </c>
      <c r="H20" s="12"/>
    </row>
    <row r="21" spans="1:8" x14ac:dyDescent="0.2">
      <c r="A21" s="4" t="s">
        <v>0</v>
      </c>
      <c r="B21" s="3">
        <v>40486</v>
      </c>
      <c r="C21" s="3">
        <v>39434</v>
      </c>
      <c r="D21" s="3">
        <v>11481</v>
      </c>
      <c r="E21" s="3">
        <v>54795</v>
      </c>
      <c r="F21" s="3">
        <v>113733</v>
      </c>
      <c r="G21" s="10">
        <f>SUM(SupremeCourtJusticeJudicialDistrict9General[[#This Row],[Dutchess County Vote Results]:[Westchester County Vote Results]])</f>
        <v>259929</v>
      </c>
      <c r="H21" s="12"/>
    </row>
    <row r="22" spans="1:8" x14ac:dyDescent="0.2">
      <c r="A22" s="4" t="s">
        <v>1</v>
      </c>
      <c r="B22" s="3">
        <v>88</v>
      </c>
      <c r="C22" s="3">
        <v>231</v>
      </c>
      <c r="D22" s="3">
        <v>0</v>
      </c>
      <c r="E22" s="3">
        <v>172</v>
      </c>
      <c r="F22" s="3"/>
      <c r="G22" s="10">
        <f>SUM(SupremeCourtJusticeJudicialDistrict9General[[#This Row],[Dutchess County Vote Results]:[Westchester County Vote Results]])</f>
        <v>491</v>
      </c>
      <c r="H22" s="12"/>
    </row>
    <row r="23" spans="1:8" x14ac:dyDescent="0.2">
      <c r="A23" s="4" t="s">
        <v>2</v>
      </c>
      <c r="B23" s="5">
        <v>181</v>
      </c>
      <c r="C23" s="5">
        <v>107</v>
      </c>
      <c r="D23" s="5">
        <v>43</v>
      </c>
      <c r="E23" s="5">
        <v>471</v>
      </c>
      <c r="F23" s="5">
        <v>323</v>
      </c>
      <c r="G23" s="10">
        <f>SUM(SupremeCourtJusticeJudicialDistrict9General[[#This Row],[Dutchess County Vote Results]:[Westchester County Vote Results]])</f>
        <v>1125</v>
      </c>
      <c r="H23" s="12"/>
    </row>
    <row r="24" spans="1:8" x14ac:dyDescent="0.2">
      <c r="A24" s="15" t="s">
        <v>3</v>
      </c>
      <c r="B24" s="3">
        <f>SUM(SupremeCourtJusticeJudicialDistrict9General[Dutchess County Vote Results])</f>
        <v>286772</v>
      </c>
      <c r="C24" s="3">
        <f>SUM(SupremeCourtJusticeJudicialDistrict9General[Orange County Vote Results])</f>
        <v>242239</v>
      </c>
      <c r="D24" s="3">
        <f>SUM(SupremeCourtJusticeJudicialDistrict9General[Putnam County Vote Results])</f>
        <v>79836</v>
      </c>
      <c r="E24" s="3">
        <f>SUM(SupremeCourtJusticeJudicialDistrict9General[Rockland County Vote Results])</f>
        <v>301160</v>
      </c>
      <c r="F24" s="3">
        <f>SUM(SupremeCourtJusticeJudicialDistrict9General[Westchester County Vote Results])</f>
        <v>703120</v>
      </c>
      <c r="G24" s="3">
        <f>SUM(SupremeCourtJusticeJudicialDistrict9General[Total Votes by Party])</f>
        <v>1613127</v>
      </c>
      <c r="H24" s="12"/>
    </row>
  </sheetData>
  <pageMargins left="0.7" right="0.7" top="0.75" bottom="0.75" header="0.3" footer="0.3"/>
  <pageSetup paperSize="5" scale="9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1st JD</vt:lpstr>
      <vt:lpstr>2nd JD</vt:lpstr>
      <vt:lpstr>3rd JD</vt:lpstr>
      <vt:lpstr>4th JD</vt:lpstr>
      <vt:lpstr>5th JD</vt:lpstr>
      <vt:lpstr>6th JD</vt:lpstr>
      <vt:lpstr>7th JD</vt:lpstr>
      <vt:lpstr>8th JD</vt:lpstr>
      <vt:lpstr>9th JD</vt:lpstr>
      <vt:lpstr>10th JD</vt:lpstr>
      <vt:lpstr>11th JD</vt:lpstr>
      <vt:lpstr>12th JD</vt:lpstr>
      <vt:lpstr>13th JD</vt:lpstr>
      <vt:lpstr>'5th JD'!Print_Area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John Conklin</cp:lastModifiedBy>
  <cp:lastPrinted>2018-12-13T16:58:27Z</cp:lastPrinted>
  <dcterms:created xsi:type="dcterms:W3CDTF">2008-10-28T18:22:21Z</dcterms:created>
  <dcterms:modified xsi:type="dcterms:W3CDTF">2020-02-06T22:25:06Z</dcterms:modified>
</cp:coreProperties>
</file>