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tconnolly\Desktop\results for 2018\Parts for Posting\"/>
    </mc:Choice>
  </mc:AlternateContent>
  <xr:revisionPtr revIDLastSave="0" documentId="8_{9874D2DF-A7AE-456D-8805-66A1EDF4054F}" xr6:coauthVersionLast="31" xr6:coauthVersionMax="31" xr10:uidLastSave="{00000000-0000-0000-0000-000000000000}"/>
  <bookViews>
    <workbookView xWindow="360" yWindow="90" windowWidth="11340" windowHeight="6795" xr2:uid="{00000000-000D-0000-FFFF-FFFF00000000}"/>
  </bookViews>
  <sheets>
    <sheet name="1st CD" sheetId="3" r:id="rId1"/>
    <sheet name="2nd CD" sheetId="269" r:id="rId2"/>
    <sheet name="3rd CD" sheetId="272" r:id="rId3"/>
    <sheet name="4th CD" sheetId="273" r:id="rId4"/>
    <sheet name="5th CD" sheetId="274" r:id="rId5"/>
    <sheet name="6th CD" sheetId="275" r:id="rId6"/>
    <sheet name="7th CD" sheetId="276" r:id="rId7"/>
    <sheet name="8th CD" sheetId="277" r:id="rId8"/>
    <sheet name="9th CD" sheetId="278" r:id="rId9"/>
    <sheet name="10th CD" sheetId="279" r:id="rId10"/>
    <sheet name="11th CD" sheetId="280" r:id="rId11"/>
    <sheet name="12th CD" sheetId="281" r:id="rId12"/>
    <sheet name="13th CD" sheetId="282" r:id="rId13"/>
    <sheet name="14th CD" sheetId="283" r:id="rId14"/>
    <sheet name="15th CD" sheetId="284" r:id="rId15"/>
    <sheet name="16th CD" sheetId="285" r:id="rId16"/>
    <sheet name="17th CD" sheetId="286" r:id="rId17"/>
    <sheet name="18th CD" sheetId="287" r:id="rId18"/>
    <sheet name="19th CD" sheetId="288" r:id="rId19"/>
    <sheet name="20th CD" sheetId="289" r:id="rId20"/>
    <sheet name="21st CD" sheetId="290" r:id="rId21"/>
    <sheet name="22nd CD" sheetId="291" r:id="rId22"/>
    <sheet name="23rd CD" sheetId="292" r:id="rId23"/>
    <sheet name="24th CD" sheetId="293" r:id="rId24"/>
    <sheet name="25th CD" sheetId="294" r:id="rId25"/>
    <sheet name="26th CD" sheetId="295" r:id="rId26"/>
    <sheet name="27th CD" sheetId="296" r:id="rId27"/>
  </sheets>
  <definedNames>
    <definedName name="_xlnm.Print_Area" localSheetId="0">'1st CD'!$A$1:$N$333</definedName>
  </definedNames>
  <calcPr calcId="179017"/>
</workbook>
</file>

<file path=xl/calcChain.xml><?xml version="1.0" encoding="utf-8"?>
<calcChain xmlns="http://schemas.openxmlformats.org/spreadsheetml/2006/main">
  <c r="C3" i="3" l="1"/>
  <c r="D3" i="3" s="1"/>
  <c r="C4" i="3"/>
  <c r="C5" i="3"/>
  <c r="C6" i="3"/>
  <c r="C7" i="3"/>
  <c r="C8" i="3"/>
  <c r="C9" i="3"/>
  <c r="C10" i="3"/>
  <c r="C11" i="3"/>
  <c r="C12" i="3"/>
  <c r="D10" i="280" l="1"/>
  <c r="M13" i="288" l="1"/>
  <c r="M11" i="288"/>
  <c r="M9" i="288"/>
  <c r="M8" i="288"/>
  <c r="M6" i="288"/>
  <c r="M5" i="288"/>
  <c r="M4" i="288"/>
  <c r="M3" i="288"/>
  <c r="J11" i="291"/>
  <c r="J9" i="291"/>
  <c r="J7" i="291"/>
  <c r="J6" i="291"/>
  <c r="J5" i="291"/>
  <c r="J4" i="291"/>
  <c r="J3" i="291"/>
  <c r="J12" i="296" l="1"/>
  <c r="J11" i="296"/>
  <c r="J10" i="296"/>
  <c r="J9" i="296"/>
  <c r="K9" i="296" s="1"/>
  <c r="J8" i="296"/>
  <c r="J7" i="296"/>
  <c r="J6" i="296"/>
  <c r="J5" i="296"/>
  <c r="J4" i="296"/>
  <c r="J3" i="296"/>
  <c r="D3" i="295"/>
  <c r="D4" i="295"/>
  <c r="E4" i="295" s="1"/>
  <c r="D5" i="295"/>
  <c r="D6" i="295"/>
  <c r="D7" i="295"/>
  <c r="D8" i="295"/>
  <c r="D9" i="295"/>
  <c r="D10" i="295"/>
  <c r="C3" i="294"/>
  <c r="C4" i="294"/>
  <c r="C5" i="294"/>
  <c r="C6" i="294"/>
  <c r="C7" i="294"/>
  <c r="C8" i="294"/>
  <c r="C9" i="294"/>
  <c r="C10" i="294"/>
  <c r="C11" i="294"/>
  <c r="C12" i="294"/>
  <c r="F12" i="293"/>
  <c r="F11" i="293"/>
  <c r="F10" i="293"/>
  <c r="F9" i="293"/>
  <c r="F8" i="293"/>
  <c r="F7" i="293"/>
  <c r="F6" i="293"/>
  <c r="F5" i="293"/>
  <c r="F4" i="293"/>
  <c r="F3" i="293"/>
  <c r="M11" i="292"/>
  <c r="M10" i="292"/>
  <c r="M9" i="292"/>
  <c r="M8" i="292"/>
  <c r="M7" i="292"/>
  <c r="M6" i="292"/>
  <c r="M5" i="292"/>
  <c r="M4" i="292"/>
  <c r="M3" i="292"/>
  <c r="J12" i="291"/>
  <c r="J10" i="291"/>
  <c r="J8" i="291"/>
  <c r="K3" i="291" s="1"/>
  <c r="N13" i="290"/>
  <c r="N12" i="290"/>
  <c r="N11" i="290"/>
  <c r="N10" i="290"/>
  <c r="N9" i="290"/>
  <c r="N8" i="290"/>
  <c r="N7" i="290"/>
  <c r="N6" i="290"/>
  <c r="O6" i="290" s="1"/>
  <c r="N5" i="290"/>
  <c r="N4" i="290"/>
  <c r="N3" i="290"/>
  <c r="G3" i="289"/>
  <c r="G4" i="289"/>
  <c r="H4" i="289" s="1"/>
  <c r="G5" i="289"/>
  <c r="G6" i="289"/>
  <c r="G7" i="289"/>
  <c r="G8" i="289"/>
  <c r="G9" i="289"/>
  <c r="G10" i="289"/>
  <c r="G11" i="289"/>
  <c r="M14" i="288"/>
  <c r="M12" i="288"/>
  <c r="N11" i="288"/>
  <c r="M10" i="288"/>
  <c r="M7" i="288"/>
  <c r="N3" i="288" s="1"/>
  <c r="N6" i="288"/>
  <c r="F12" i="287"/>
  <c r="F11" i="287"/>
  <c r="F10" i="287"/>
  <c r="F9" i="287"/>
  <c r="F8" i="287"/>
  <c r="F7" i="287"/>
  <c r="F6" i="287"/>
  <c r="F5" i="287"/>
  <c r="F4" i="287"/>
  <c r="F3" i="287"/>
  <c r="D9" i="286"/>
  <c r="D8" i="286"/>
  <c r="D7" i="286"/>
  <c r="D6" i="286"/>
  <c r="E6" i="286" s="1"/>
  <c r="D5" i="286"/>
  <c r="D4" i="286"/>
  <c r="D3" i="286"/>
  <c r="D3" i="285"/>
  <c r="D4" i="285"/>
  <c r="D5" i="285"/>
  <c r="D6" i="285"/>
  <c r="D7" i="285"/>
  <c r="D8" i="285"/>
  <c r="D9" i="285"/>
  <c r="C3" i="284"/>
  <c r="C4" i="284"/>
  <c r="C5" i="284"/>
  <c r="C6" i="284"/>
  <c r="C7" i="284"/>
  <c r="C8" i="284"/>
  <c r="C9" i="284"/>
  <c r="C10" i="284"/>
  <c r="D10" i="283"/>
  <c r="D9" i="283"/>
  <c r="D8" i="283"/>
  <c r="D7" i="283"/>
  <c r="D6" i="283"/>
  <c r="D5" i="283"/>
  <c r="E5" i="283" s="1"/>
  <c r="D4" i="283"/>
  <c r="E4" i="283" s="1"/>
  <c r="D3" i="283"/>
  <c r="E3" i="283" s="1"/>
  <c r="D3" i="282"/>
  <c r="D4" i="282"/>
  <c r="D5" i="282"/>
  <c r="D6" i="282"/>
  <c r="D7" i="282"/>
  <c r="D8" i="282"/>
  <c r="D9" i="282"/>
  <c r="D10" i="282"/>
  <c r="E3" i="281"/>
  <c r="E4" i="281"/>
  <c r="F4" i="281" s="1"/>
  <c r="E5" i="281"/>
  <c r="F5" i="281" s="1"/>
  <c r="E6" i="281"/>
  <c r="E7" i="281"/>
  <c r="E8" i="281"/>
  <c r="E9" i="281"/>
  <c r="E10" i="281"/>
  <c r="E11" i="281"/>
  <c r="D13" i="280"/>
  <c r="D12" i="280"/>
  <c r="D11" i="280"/>
  <c r="D9" i="280"/>
  <c r="D8" i="280"/>
  <c r="D7" i="280"/>
  <c r="D6" i="280"/>
  <c r="E6" i="280" s="1"/>
  <c r="D5" i="280"/>
  <c r="D4" i="280"/>
  <c r="D3" i="280"/>
  <c r="D3" i="279"/>
  <c r="D4" i="279"/>
  <c r="D5" i="279"/>
  <c r="D6" i="279"/>
  <c r="D7" i="279"/>
  <c r="D8" i="279"/>
  <c r="D9" i="279"/>
  <c r="D10" i="279"/>
  <c r="C10" i="278"/>
  <c r="C9" i="278"/>
  <c r="C8" i="278"/>
  <c r="C7" i="278"/>
  <c r="D7" i="278" s="1"/>
  <c r="C6" i="278"/>
  <c r="C5" i="278"/>
  <c r="C4" i="278"/>
  <c r="C3" i="278"/>
  <c r="D3" i="277"/>
  <c r="D4" i="277"/>
  <c r="E4" i="277" s="1"/>
  <c r="D5" i="277"/>
  <c r="D6" i="277"/>
  <c r="E6" i="277" s="1"/>
  <c r="D7" i="277"/>
  <c r="D8" i="277"/>
  <c r="D9" i="277"/>
  <c r="E3" i="276"/>
  <c r="E4" i="276"/>
  <c r="F4" i="276" s="1"/>
  <c r="E5" i="276"/>
  <c r="E6" i="276"/>
  <c r="F6" i="276" s="1"/>
  <c r="E7" i="276"/>
  <c r="E8" i="276"/>
  <c r="E9" i="276"/>
  <c r="C9" i="275"/>
  <c r="C8" i="275"/>
  <c r="C7" i="275"/>
  <c r="C6" i="275"/>
  <c r="C5" i="275"/>
  <c r="C4" i="275"/>
  <c r="D4" i="275" s="1"/>
  <c r="C3" i="275"/>
  <c r="D3" i="274"/>
  <c r="E3" i="274" s="1"/>
  <c r="D4" i="274"/>
  <c r="D5" i="274"/>
  <c r="D6" i="274"/>
  <c r="D7" i="274"/>
  <c r="C3" i="273"/>
  <c r="C4" i="273"/>
  <c r="C5" i="273"/>
  <c r="C6" i="273"/>
  <c r="C7" i="273"/>
  <c r="C8" i="273"/>
  <c r="C9" i="273"/>
  <c r="C10" i="273"/>
  <c r="C11" i="273"/>
  <c r="E3" i="272"/>
  <c r="E4" i="272"/>
  <c r="E5" i="272"/>
  <c r="E6" i="272"/>
  <c r="E7" i="272"/>
  <c r="E8" i="272"/>
  <c r="E9" i="272"/>
  <c r="E10" i="272"/>
  <c r="E11" i="272"/>
  <c r="E12" i="272"/>
  <c r="E13" i="272"/>
  <c r="D13" i="269"/>
  <c r="D12" i="269"/>
  <c r="D11" i="269"/>
  <c r="D10" i="269"/>
  <c r="D9" i="269"/>
  <c r="D8" i="269"/>
  <c r="D7" i="269"/>
  <c r="D6" i="269"/>
  <c r="D5" i="269"/>
  <c r="D4" i="269"/>
  <c r="D3" i="269"/>
  <c r="D8" i="3"/>
  <c r="C13" i="3"/>
  <c r="E3" i="279" l="1"/>
  <c r="D4" i="284"/>
  <c r="E4" i="280"/>
  <c r="E6" i="283"/>
  <c r="D4" i="3"/>
  <c r="B13" i="3" s="1"/>
  <c r="E3" i="282"/>
  <c r="G4" i="287"/>
  <c r="D3" i="275"/>
  <c r="B10" i="275" s="1"/>
  <c r="D4" i="294"/>
  <c r="F3" i="276"/>
  <c r="D3" i="278"/>
  <c r="E3" i="280"/>
  <c r="F4" i="272"/>
  <c r="D4" i="278"/>
  <c r="G3" i="287"/>
  <c r="G3" i="293"/>
  <c r="K3" i="296"/>
  <c r="K4" i="296"/>
  <c r="E4" i="269"/>
  <c r="D3" i="294"/>
  <c r="D4" i="273"/>
  <c r="D3" i="273"/>
  <c r="E3" i="269"/>
  <c r="E3" i="286"/>
  <c r="N4" i="288"/>
  <c r="H3" i="289"/>
  <c r="F3" i="281"/>
  <c r="E4" i="282"/>
  <c r="F3" i="272"/>
  <c r="E3" i="277"/>
  <c r="O3" i="290"/>
  <c r="K4" i="291"/>
  <c r="E3" i="295"/>
  <c r="G4" i="293"/>
  <c r="N4" i="292"/>
  <c r="N3" i="292"/>
  <c r="O4" i="290"/>
  <c r="E3" i="285"/>
  <c r="D3" i="284"/>
  <c r="E4" i="279"/>
  <c r="B10" i="284" l="1"/>
  <c r="B11" i="278"/>
  <c r="B13" i="294"/>
  <c r="B11" i="273"/>
  <c r="F11" i="289" l="1"/>
  <c r="B11" i="289"/>
  <c r="E13" i="287"/>
  <c r="B13" i="287"/>
  <c r="I13" i="296"/>
  <c r="B13" i="296"/>
  <c r="C10" i="295"/>
  <c r="B10" i="295"/>
  <c r="E13" i="293"/>
  <c r="B13" i="293"/>
  <c r="L12" i="292"/>
  <c r="B12" i="292"/>
  <c r="I13" i="291"/>
  <c r="B13" i="291"/>
  <c r="M14" i="290"/>
  <c r="B14" i="290"/>
  <c r="L15" i="288"/>
  <c r="B15" i="288"/>
  <c r="C10" i="286"/>
  <c r="B10" i="286"/>
  <c r="C9" i="285"/>
  <c r="B9" i="285"/>
  <c r="C11" i="283"/>
  <c r="B11" i="283"/>
  <c r="C10" i="282"/>
  <c r="B10" i="282"/>
  <c r="D11" i="281"/>
  <c r="B11" i="281"/>
  <c r="C14" i="280"/>
  <c r="B14" i="280"/>
  <c r="C11" i="279"/>
  <c r="B11" i="279"/>
  <c r="C10" i="277"/>
  <c r="B10" i="277"/>
  <c r="D10" i="276"/>
  <c r="B10" i="276"/>
  <c r="C7" i="274"/>
  <c r="B7" i="274"/>
  <c r="D13" i="272"/>
  <c r="B13" i="272"/>
  <c r="C14" i="269"/>
  <c r="B14" i="269"/>
</calcChain>
</file>

<file path=xl/sharedStrings.xml><?xml version="1.0" encoding="utf-8"?>
<sst xmlns="http://schemas.openxmlformats.org/spreadsheetml/2006/main" count="464" uniqueCount="246">
  <si>
    <t>Blank</t>
  </si>
  <si>
    <t>Void</t>
  </si>
  <si>
    <t>Scattering</t>
  </si>
  <si>
    <t>Total Votes by County</t>
  </si>
  <si>
    <t>Total Votes by Candidate</t>
  </si>
  <si>
    <t>Candidate Name (Party)</t>
  </si>
  <si>
    <t>Part of Suffolk County Vote Results</t>
  </si>
  <si>
    <t>Part of Nassau County Vote Results</t>
  </si>
  <si>
    <t>Part of Queens County Vote Results</t>
  </si>
  <si>
    <t>Part of Kings County Vote Results</t>
  </si>
  <si>
    <t>Part of New York County Vote Results</t>
  </si>
  <si>
    <t>Part of Bronx County Vote Results</t>
  </si>
  <si>
    <t>Part of Westchester County Vote Results</t>
  </si>
  <si>
    <t>Part of Herkimer County Vote Results</t>
  </si>
  <si>
    <t>Greene County Vote Results</t>
  </si>
  <si>
    <t>Schoharie County Vote Results</t>
  </si>
  <si>
    <t>Part of Dutchess County Vote Results</t>
  </si>
  <si>
    <t>Part of Rensselaer County Vote Results</t>
  </si>
  <si>
    <t>Part of Saratoga County Vote Results</t>
  </si>
  <si>
    <t>Essex County Vote Results</t>
  </si>
  <si>
    <t>Warren County Vote Results</t>
  </si>
  <si>
    <t>Clinton County Vote Results</t>
  </si>
  <si>
    <t>Franklin County Vote Results</t>
  </si>
  <si>
    <t>Lewis County Vote Results</t>
  </si>
  <si>
    <t>Fulton County Vote Results</t>
  </si>
  <si>
    <t>Hamilton County Vote Results</t>
  </si>
  <si>
    <t>Part of Oswego County Vote Results</t>
  </si>
  <si>
    <t>Madison County Vote Results</t>
  </si>
  <si>
    <t>Part of Broome County Vote Results</t>
  </si>
  <si>
    <t>Tompkins County Vote Results</t>
  </si>
  <si>
    <t>Wayne County Vote Results</t>
  </si>
  <si>
    <t>Schuyler County Vote Results</t>
  </si>
  <si>
    <t>Yates County Vote Results</t>
  </si>
  <si>
    <t>Livingston County Vote Results</t>
  </si>
  <si>
    <t>Part of Monroe County Vote Results</t>
  </si>
  <si>
    <t>Genesee County Vote Results</t>
  </si>
  <si>
    <t>Part of Erie County Vote Results</t>
  </si>
  <si>
    <t>Part of Niagara County Vote Results</t>
  </si>
  <si>
    <t>Wyoming County Vote Results</t>
  </si>
  <si>
    <t>Allegany County Vote Results</t>
  </si>
  <si>
    <t>Cattaraugus County Vote Results</t>
  </si>
  <si>
    <t>Chautauqua County Vote Results</t>
  </si>
  <si>
    <t>Richmond County Vote Results</t>
  </si>
  <si>
    <t>Rockland County Vote Results</t>
  </si>
  <si>
    <t>Orange County Vote Results</t>
  </si>
  <si>
    <t>Putnam County Vote Results</t>
  </si>
  <si>
    <t>Columbia County Vote Results</t>
  </si>
  <si>
    <t>Delaware County Vote Results</t>
  </si>
  <si>
    <t>Otsego County Vote Results</t>
  </si>
  <si>
    <t>Sullivan County Vote Results</t>
  </si>
  <si>
    <t>Ulster County Vote Results</t>
  </si>
  <si>
    <t>Part of Montgomery County Vote Results</t>
  </si>
  <si>
    <t>Albany County Vote Results</t>
  </si>
  <si>
    <t>Schenectady County Vote Results</t>
  </si>
  <si>
    <t>Jefferson County Vote Results</t>
  </si>
  <si>
    <t>St. Lawrence County Vote Results</t>
  </si>
  <si>
    <t>Washington County Vote Results</t>
  </si>
  <si>
    <t>Chenago County Vote Results</t>
  </si>
  <si>
    <t>Cortland County Vote Results</t>
  </si>
  <si>
    <t>Oneida County Vote Results</t>
  </si>
  <si>
    <t>Part of Tioga County Vote Results</t>
  </si>
  <si>
    <t>Chemung County Vote Results</t>
  </si>
  <si>
    <t>Seneca County Vote Results</t>
  </si>
  <si>
    <t>Steuben County Vote Results</t>
  </si>
  <si>
    <t>Part of Ontario County Vote Results</t>
  </si>
  <si>
    <t>Cayuga County Vote Results</t>
  </si>
  <si>
    <t>Onondaga County Vote Results</t>
  </si>
  <si>
    <t>Orleans County Vote Results</t>
  </si>
  <si>
    <t>Representative in Congress 1st Congressional District - General Election - November 6, 2018</t>
  </si>
  <si>
    <t>Perry Gershon (DEM)</t>
  </si>
  <si>
    <t>Lee M. Zeldin (REP)</t>
  </si>
  <si>
    <t>Kate M. Browning (WEP)</t>
  </si>
  <si>
    <t>Lee M. Zeldin (CON)</t>
  </si>
  <si>
    <t>Lee M. Zeldin (IND)</t>
  </si>
  <si>
    <t>Lee M. Zeldin (REF)</t>
  </si>
  <si>
    <t>Representative in Congress 2nd Congressional District - General Election - November 6, 2018</t>
  </si>
  <si>
    <t>Liuba Grechen Shirley (DEM)</t>
  </si>
  <si>
    <t>Peter T. King (REP)</t>
  </si>
  <si>
    <t>Peter T. King (CON)</t>
  </si>
  <si>
    <t>Liuba Grechen Shirley (WOR)</t>
  </si>
  <si>
    <t>Peter T. King (IND)</t>
  </si>
  <si>
    <t>Liuba Grechen Shirley (WEP)</t>
  </si>
  <si>
    <t>Peter T. King (REF)</t>
  </si>
  <si>
    <t>Peter T. King (TRP)</t>
  </si>
  <si>
    <t>Representative in Congress 3rd Congressional District - General Election - November 6, 2018</t>
  </si>
  <si>
    <t>Thomas R. Suozzi (DEM)</t>
  </si>
  <si>
    <t>Dan P. DeBono (REP)</t>
  </si>
  <si>
    <t>Dan P. DeBono (CON)</t>
  </si>
  <si>
    <t>Thomas R. Suozzi (WOR)</t>
  </si>
  <si>
    <t>Thomas R. Suozzi (IND)</t>
  </si>
  <si>
    <t>Thomas R. Suozzi (WEP)</t>
  </si>
  <si>
    <t>Thomas R. Suozzi (REF)</t>
  </si>
  <si>
    <t>Representative in Congress 4th Congressional District - General Election - November 6, 2018</t>
  </si>
  <si>
    <t>Kathleen M. Rice (DEM)</t>
  </si>
  <si>
    <t>Ameer N. Benno (REP)</t>
  </si>
  <si>
    <t>Ameer N. Benno (CON)</t>
  </si>
  <si>
    <t>Kathleen M. Rice (WEP)</t>
  </si>
  <si>
    <t>Ameer N. Benno (REF)</t>
  </si>
  <si>
    <t>Representative in Congress 5th Congressional District - General Election - November 6, 2018</t>
  </si>
  <si>
    <t>Gregory W. Meeks (DEM)</t>
  </si>
  <si>
    <t>Representative in Congress 6th Congressional District - General Election - November 6, 2018</t>
  </si>
  <si>
    <t>Grace Meng (DEM)</t>
  </si>
  <si>
    <t>Thomas J. Hillgardner (GRE)</t>
  </si>
  <si>
    <t>Grace Meng (WOR)</t>
  </si>
  <si>
    <t>Grace Meng (REF)</t>
  </si>
  <si>
    <t>Representative in Congress 7th Congressional District - General Election - November 6, 2018</t>
  </si>
  <si>
    <t>Nydia M. Velazquez (DEM)</t>
  </si>
  <si>
    <t>Joseph Lieberman (CON)</t>
  </si>
  <si>
    <t>Nydia M. Velazquez (WOR)</t>
  </si>
  <si>
    <t>Jeffrey M. Kurzon (REF)</t>
  </si>
  <si>
    <t>Representative in Congress 8th Congressional District - General Election - November 6, 2018</t>
  </si>
  <si>
    <t>Hakeem S. Jeffries (DEM)</t>
  </si>
  <si>
    <t>Ernest C. Johnson (CON)</t>
  </si>
  <si>
    <t>Hakeem S. Jeffries (WOR)</t>
  </si>
  <si>
    <t>Jessica L. White (REF)</t>
  </si>
  <si>
    <t>Representative in Congress 9th Congressional District - General Election - November 6, 2018</t>
  </si>
  <si>
    <t>Yvette D. Clarke (DEM)</t>
  </si>
  <si>
    <t>Lutchi Gayot (REP)</t>
  </si>
  <si>
    <t>Lutchi Gayot (CON)</t>
  </si>
  <si>
    <t>Yvette D. Clarke (WOR)</t>
  </si>
  <si>
    <t>Joel Anabilah-Azumah (REF)</t>
  </si>
  <si>
    <t>Representative in Congress 10th Congressional District - General Election - November 6, 2018</t>
  </si>
  <si>
    <t>Jerrold L. Nadler (DEM)</t>
  </si>
  <si>
    <t>Naomi Levin (REP)</t>
  </si>
  <si>
    <t>Naomi Levin (CON)</t>
  </si>
  <si>
    <t>Jerrold L. Nadler (WOR)</t>
  </si>
  <si>
    <t>Naomi Levin (REF)</t>
  </si>
  <si>
    <t>Representative in Congress 11th Congressional District - General Election - November 6, 2018</t>
  </si>
  <si>
    <t>Max N. Rose (DEM)</t>
  </si>
  <si>
    <t>Dan Donovan (REP)</t>
  </si>
  <si>
    <t>Henry J. Bardel (GRE)</t>
  </si>
  <si>
    <t>Dan Donovan (CON)</t>
  </si>
  <si>
    <t>Max N. Rose (WOR)</t>
  </si>
  <si>
    <t>Dan Donovan (IND)</t>
  </si>
  <si>
    <t>Max N. Rose (WEP)</t>
  </si>
  <si>
    <t>Representative in Congress 12th Congressional District - General Election - November 6, 2018</t>
  </si>
  <si>
    <t>Carolyn B. Maloney (DEM)</t>
  </si>
  <si>
    <t>Eliot Rabin (REP)</t>
  </si>
  <si>
    <t>Scott Hutchins (GRE)</t>
  </si>
  <si>
    <t>Carolyn B. Maloney (WOR)</t>
  </si>
  <si>
    <t>Carolyn B. Maloney (REF)</t>
  </si>
  <si>
    <t>Representative in Congress 13th Congressional District - General Election - November 6, 2018</t>
  </si>
  <si>
    <t>Adriano Espaillat (DEM)</t>
  </si>
  <si>
    <t>Jineea Butler (REP)</t>
  </si>
  <si>
    <t>Adriano Espaillat (WOR)</t>
  </si>
  <si>
    <t>Jineea Butler (REF)</t>
  </si>
  <si>
    <t>Representative in Congress 14th Congressional District - General Election - November 6, 2018</t>
  </si>
  <si>
    <t>Alexandria Ocasio-Cortez (DEM)</t>
  </si>
  <si>
    <t>Anthony Pappas (REP)</t>
  </si>
  <si>
    <t>Elizabeth Perri (CON)</t>
  </si>
  <si>
    <t>Joseph Crowley (WOR)</t>
  </si>
  <si>
    <t>Joseph Crowley (WEP)</t>
  </si>
  <si>
    <t>Representative in Congress 15th Congressional District - General Election - November 6, 2018</t>
  </si>
  <si>
    <t>Jose E. Serrano (DEM)</t>
  </si>
  <si>
    <t>Jason D. Gonzalez (REP)</t>
  </si>
  <si>
    <t>Jason D. Gonzalez (CON)</t>
  </si>
  <si>
    <t>Jose E. Serrano (WOR)</t>
  </si>
  <si>
    <t>Representative in Congress 16th Congressional District - General Election - November 6, 2018</t>
  </si>
  <si>
    <t>Eliot L. Engel (DEM)</t>
  </si>
  <si>
    <t>Eliot L. Engel (WOR)</t>
  </si>
  <si>
    <t>Eliot L. Engel (WEP)</t>
  </si>
  <si>
    <t>Representative in Congress 17th Congressional District - General Election - November 6, 2018</t>
  </si>
  <si>
    <t>Nita M. Lowey (DEM)</t>
  </si>
  <si>
    <t>Nita M. Lowey (WOR)</t>
  </si>
  <si>
    <t>Nita M. Lowey (WEP)</t>
  </si>
  <si>
    <t>Joseph J. Ciardullo (REF)</t>
  </si>
  <si>
    <t>Representative in Congress 18th Congressional District - General Election - November 6, 2018</t>
  </si>
  <si>
    <t>Sean Patrick Maloney (DEM)</t>
  </si>
  <si>
    <t>James O'Donnell (REP)</t>
  </si>
  <si>
    <t>James O'Donnell (CON)</t>
  </si>
  <si>
    <t>Sean Patrick Maloney (WOR)</t>
  </si>
  <si>
    <t>Sean Patrick Maloney (IND)</t>
  </si>
  <si>
    <t>Sean Patrick Maloney (WEP)</t>
  </si>
  <si>
    <t>James O'Donnell (REF)</t>
  </si>
  <si>
    <t>Representative in Congress 19th Congressional District - General Election - November 6, 2018</t>
  </si>
  <si>
    <t>Antonio Delgado (DEM)</t>
  </si>
  <si>
    <t>John J. Faso (REP)</t>
  </si>
  <si>
    <t>Steven Greenfield (GRE)</t>
  </si>
  <si>
    <t>John J. Faso (CON)</t>
  </si>
  <si>
    <t>Antonio Delgado (WOR)</t>
  </si>
  <si>
    <t>John J. Faso (IND)</t>
  </si>
  <si>
    <t>Antonio Delgado (WEP)</t>
  </si>
  <si>
    <t>John J. Faso (REF)</t>
  </si>
  <si>
    <t>Diane Neal (FRI)</t>
  </si>
  <si>
    <t>Representative in Congress 20th Congressional District - General Election - November 6, 2018</t>
  </si>
  <si>
    <t>Paul D. Tonko (DEM)</t>
  </si>
  <si>
    <t>Joe Vitollo (REP)</t>
  </si>
  <si>
    <t>Paul D. Tonko (WOR)</t>
  </si>
  <si>
    <t>Paul D. Tonko (WEP)</t>
  </si>
  <si>
    <t>Paul D. Tonko (REF)</t>
  </si>
  <si>
    <t>Representative in Congress 21st Congressional District - General Election - November 6, 2018</t>
  </si>
  <si>
    <t>Tedra L. Cobb (DEM)</t>
  </si>
  <si>
    <t>Elise M. Stefanik (REP)</t>
  </si>
  <si>
    <t>Lynn Kahn (GRE)</t>
  </si>
  <si>
    <t>Elise M. Stefanik (CON)</t>
  </si>
  <si>
    <t>Tedra L. Cobb (WOR)</t>
  </si>
  <si>
    <t>Elise M. Stefanik (IND)</t>
  </si>
  <si>
    <t>Tedra L. Cobb (WEP)</t>
  </si>
  <si>
    <t>Elise M. Stefanik (REF)</t>
  </si>
  <si>
    <t>Representative in Congress 22nd Congressional District - General Election - November 6, 2018</t>
  </si>
  <si>
    <t>Anthony J. Brindisi (DEM)</t>
  </si>
  <si>
    <t>Claudia Tenney (REP)</t>
  </si>
  <si>
    <t>Claudia Tenney (CON)</t>
  </si>
  <si>
    <t>Anthony J. Brindisi (WOR)</t>
  </si>
  <si>
    <t>Anthony J. Brindisi (IND)</t>
  </si>
  <si>
    <t>Anthony J. Brindisi (WEP)</t>
  </si>
  <si>
    <t>Claudia Tenney (REF)</t>
  </si>
  <si>
    <t>Representative in Congress 23rd Congressional District - General Election - November 6, 2018</t>
  </si>
  <si>
    <t>Tracy Mitrano (DEM)</t>
  </si>
  <si>
    <t>Thomas W. Reed, II (REP)</t>
  </si>
  <si>
    <t>Thomas W. Reed, II (CON)</t>
  </si>
  <si>
    <t>Tracy Mitrano (WOR)</t>
  </si>
  <si>
    <t>Thomas W. Reed, II (IND)</t>
  </si>
  <si>
    <t>Tracy Mitrano (WEP)</t>
  </si>
  <si>
    <t>Representative in Congress 24th Congressional District - General Election - November 6, 2018</t>
  </si>
  <si>
    <t>Dana Balter (DEM)</t>
  </si>
  <si>
    <t>John M. Katko (REP)</t>
  </si>
  <si>
    <t>John M. Katko (CON)</t>
  </si>
  <si>
    <t>Dana Balter (WOR)</t>
  </si>
  <si>
    <t>John M. Katko (IND)</t>
  </si>
  <si>
    <t>Dana Balter (WEP)</t>
  </si>
  <si>
    <t>John M. Katko (REF)</t>
  </si>
  <si>
    <t>Representative in Congress 25th Congressional District - General Election - November 6, 2018</t>
  </si>
  <si>
    <t>Joseph D. Morelle (DEM)</t>
  </si>
  <si>
    <t>Jim Maxwell (REP)</t>
  </si>
  <si>
    <t>Jim Maxwell (CON)</t>
  </si>
  <si>
    <t>Joseph D. Morelle (WOR)</t>
  </si>
  <si>
    <t>Joseph D. Morelle (IND)</t>
  </si>
  <si>
    <t>Joseph D. Morelle (WEP)</t>
  </si>
  <si>
    <t>Jim Maxwell (REF)</t>
  </si>
  <si>
    <t>Representative in Congress 26th Congressional District - General Election - November 6, 2018</t>
  </si>
  <si>
    <t>Brian Higgins (DEM)</t>
  </si>
  <si>
    <t>Renee M. Zeno (REP)</t>
  </si>
  <si>
    <t>Brian Higgins (WOR)</t>
  </si>
  <si>
    <t>Brian Higgins (WEP)</t>
  </si>
  <si>
    <t>Representative in Congress 27th Congressional District - General Election - November 6, 2018</t>
  </si>
  <si>
    <t>Nathan D. McMurray (DEM)</t>
  </si>
  <si>
    <t>Chris Collins (REP)</t>
  </si>
  <si>
    <t>Chris Collins (CON)</t>
  </si>
  <si>
    <t>Nathan D. McMurray (WOR)</t>
  </si>
  <si>
    <t>Chris Collins (IND)</t>
  </si>
  <si>
    <t>Nathan D. McMurray (WEP)</t>
  </si>
  <si>
    <t>Larry Piegza (REF)</t>
  </si>
  <si>
    <t>Total Votes by Party</t>
  </si>
  <si>
    <t>Dan Donovan (REF)</t>
  </si>
  <si>
    <t>Perry Gershon (WOR)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</si>
</sst>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4" fillId="3" borderId="4" xfId="0" applyFont="1" applyFill="1" applyBorder="1"/>
    <xf numFmtId="3" fontId="3" fillId="0" borderId="1" xfId="0" applyNumberFormat="1" applyFont="1" applyBorder="1"/>
    <xf numFmtId="0" fontId="4" fillId="3" borderId="5" xfId="0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4" fillId="2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7" borderId="1" xfId="0" applyNumberFormat="1" applyFont="1" applyFill="1" applyBorder="1"/>
    <xf numFmtId="3" fontId="3" fillId="5" borderId="1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45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3360E458-6900-4D2A-96C6-CCDE53875AB0}" name="RepInCongressCongressionalDistrict1General" displayName="RepInCongressCongressionalDistrict1General" ref="A2:D13" totalsRowCount="1" headerRowDxfId="458" dataDxfId="456" headerRowBorderDxfId="457" tableBorderDxfId="455" totalsRowBorderDxfId="454">
  <autoFilter ref="A2:D12" xr:uid="{E4C80049-8B70-4EEE-86C5-EA95090A6C7F}">
    <filterColumn colId="0" hiddenButton="1"/>
    <filterColumn colId="1" hiddenButton="1"/>
    <filterColumn colId="2" hiddenButton="1"/>
    <filterColumn colId="3" hiddenButton="1"/>
  </autoFilter>
  <tableColumns count="4">
    <tableColumn id="1" xr3:uid="{F55769B7-1EE8-4111-B5C7-664BD53898E2}" name="Candidate Name (Party)" totalsRowLabel="Total Votes by County" dataDxfId="453" totalsRowDxfId="452"/>
    <tableColumn id="4" xr3:uid="{FF2A52C8-02FA-47B6-8F63-8DF9903732A9}" name="Part of Suffolk County Vote Results" totalsRowFunction="custom" dataDxfId="451" totalsRowDxfId="450">
      <totalsRowFormula>SUBTOTAL(109,RepInCongressCongressionalDistrict1General[Total Votes by Candidate])</totalsRowFormula>
    </tableColumn>
    <tableColumn id="3" xr3:uid="{503A5495-0B8B-4E93-AE2D-CAFDED3E2B5E}" name="Total Votes by Party" totalsRowFunction="custom" dataDxfId="449" totalsRowDxfId="448">
      <calculatedColumnFormula>RepInCongressCongressionalDistrict1General[[#This Row],[Part of Suffolk County Vote Results]]</calculatedColumnFormula>
      <totalsRowFormula>#REF!</totalsRowFormula>
    </tableColumn>
    <tableColumn id="2" xr3:uid="{4CB84B57-FB31-4C33-9F99-F201AB3F4146}" name="Total Votes by Candidate" dataDxfId="447" totalsRowDxfId="446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ABD4D607-E80F-4830-BB96-B9587F1B3DCA}" name="RepInCongressCongressionalDistrict10General" displayName="RepInCongressCongressionalDistrict10General" ref="A2:E11" totalsRowCount="1" headerRowDxfId="337" dataDxfId="335" headerRowBorderDxfId="336" tableBorderDxfId="334" totalsRowBorderDxfId="333">
  <autoFilter ref="A2:E10" xr:uid="{466D8A0E-FA77-4AB9-9F29-55E4B0D53A8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B9AC27C-0C75-47CE-8664-E1F582877172}" name="Candidate Name (Party)" totalsRowLabel="Total Votes by County" dataDxfId="332" totalsRowDxfId="331"/>
    <tableColumn id="2" xr3:uid="{B57280ED-811B-4EF6-894E-DC9673EFA19C}" name="Part of Kings County Vote Results" totalsRowFunction="sum" dataDxfId="330" totalsRowDxfId="329"/>
    <tableColumn id="4" xr3:uid="{6D6E0D4E-BE68-451E-8CBC-6E1E65C38FB6}" name="Part of New York County Vote Results" totalsRowFunction="sum" dataDxfId="328" totalsRowDxfId="327"/>
    <tableColumn id="3" xr3:uid="{A3F550F8-935D-46FE-9F34-1DF89B800AED}" name="Total Votes by Party" dataDxfId="326">
      <calculatedColumnFormula>SUM(RepInCongressCongressionalDistrict10General[[#This Row],[Part of Kings County Vote Results]:[Part of New York County Vote Results]])</calculatedColumnFormula>
    </tableColumn>
    <tableColumn id="5" xr3:uid="{74CE9B3E-91BB-4F2C-94A2-632469675F99}" name="Total Votes by Candidate" dataDxfId="325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C73CB7D1-FB4F-40CF-A794-F5A09466A725}" name="RepInCongressCongressionalDistrict11General" displayName="RepInCongressCongressionalDistrict11General" ref="A2:E14" totalsRowCount="1" headerRowDxfId="324" dataDxfId="322" headerRowBorderDxfId="323" tableBorderDxfId="321" totalsRowBorderDxfId="320">
  <autoFilter ref="A2:E13" xr:uid="{2B509EDC-5809-47C3-974E-7BB7547D093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A16DAC2-AD3B-46D4-958D-3FF8B26112AB}" name="Candidate Name (Party)" totalsRowLabel="Total Votes by County" dataDxfId="319" totalsRowDxfId="318"/>
    <tableColumn id="2" xr3:uid="{D6EC9CBC-7502-4381-8892-16BF4E292400}" name="Richmond County Vote Results" totalsRowFunction="sum" dataDxfId="317" totalsRowDxfId="316"/>
    <tableColumn id="4" xr3:uid="{669E601B-2E17-4E64-818E-66BA19E14CBC}" name="Part of Kings County Vote Results" totalsRowFunction="sum" dataDxfId="315" totalsRowDxfId="314"/>
    <tableColumn id="3" xr3:uid="{8AC8A471-BCE8-40A5-A789-0AAD08E358A6}" name="Total Votes by Party" dataDxfId="313"/>
    <tableColumn id="5" xr3:uid="{49546E72-DC01-42AA-A4EC-0D150649B837}" name="Total Votes by Candidate" dataDxfId="312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687321F4-5E89-4041-BF7F-EB1071068019}" name="RepInCongressCongressionalDistrict12General" displayName="RepInCongressCongressionalDistrict12General" ref="A2:F11" totalsRowCount="1" headerRowDxfId="311" dataDxfId="309" headerRowBorderDxfId="310" tableBorderDxfId="308" totalsRowBorderDxfId="307">
  <autoFilter ref="A2:F10" xr:uid="{21975E14-01E6-4429-9B84-675EEFAF38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E55DAF8-37E6-479D-AD4D-0150D1209647}" name="Candidate Name (Party)" totalsRowLabel="Total Votes by County" dataDxfId="306" totalsRowDxfId="305"/>
    <tableColumn id="2" xr3:uid="{D2AEF873-4F80-4055-8EDF-1D259E40C846}" name="Part of Kings County Vote Results" totalsRowFunction="sum" dataDxfId="304" totalsRowDxfId="303"/>
    <tableColumn id="3" xr3:uid="{625BB6E0-0D5C-4660-AF23-D012F0D884C4}" name="Part of New York County Vote Results" dataDxfId="302" totalsRowDxfId="301"/>
    <tableColumn id="4" xr3:uid="{7A15AAEC-3A8A-47A5-9863-C62677C87321}" name="Part of Queens County Vote Results" totalsRowFunction="sum" dataDxfId="300" totalsRowDxfId="299"/>
    <tableColumn id="6" xr3:uid="{C28BF2D1-1D95-4101-B8B0-1C3204A575CB}" name="Total Votes by Party" totalsRowFunction="custom" dataDxfId="298" totalsRowDxfId="297">
      <calculatedColumnFormula>SUM(RepInCongressCongressionalDistrict12General[[#This Row],[Part of Kings County Vote Results]:[Part of Queens County Vote Results]])</calculatedColumnFormula>
      <totalsRowFormula>SUM(RepInCongressCongressionalDistrict11General[[#This Row],[Richmond County Vote Results]:[Part of Kings County Vote Results]])</totalsRowFormula>
    </tableColumn>
    <tableColumn id="5" xr3:uid="{8D6F464E-7BC4-431E-9B1A-11AE95710797}" name="Total Votes by Candidate" dataDxfId="296" totalsRowDxfId="295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789D1B03-40C2-48E1-96BE-AD1EBC7C4293}" name="RepInCongressCongressionalDistrict13General" displayName="RepInCongressCongressionalDistrict13General" ref="A2:E10" totalsRowCount="1" headerRowDxfId="294" dataDxfId="292" headerRowBorderDxfId="293" tableBorderDxfId="291" totalsRowBorderDxfId="290">
  <autoFilter ref="A2:E9" xr:uid="{FF6665A5-72E6-44D5-BE3B-8B2CACB4A79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CFC7FCD-829F-47A2-9E90-BD090F79091C}" name="Candidate Name (Party)" totalsRowLabel="Total Votes by County" dataDxfId="289" totalsRowDxfId="288"/>
    <tableColumn id="2" xr3:uid="{7AEDE33E-464A-4BBB-9B15-C229AB96C71C}" name="Part of Bronx County Vote Results" totalsRowFunction="sum" dataDxfId="287" totalsRowDxfId="286"/>
    <tableColumn id="4" xr3:uid="{EDF84E86-82B5-42D9-BF0D-9E15E15068F7}" name="Part of New York County Vote Results" totalsRowFunction="sum" dataDxfId="285" totalsRowDxfId="284"/>
    <tableColumn id="3" xr3:uid="{2C016697-F77A-46AC-A8B7-741A1E1C82E7}" name="Total Votes by Party" totalsRowFunction="custom" dataDxfId="283" totalsRowDxfId="282">
      <calculatedColumnFormula>SUM(RepInCongressCongressionalDistrict13General[[#This Row],[Part of Bronx County Vote Results]:[Part of New York County Vote Results]])</calculatedColumnFormula>
      <totalsRowFormula>SUM(RepInCongressCongressionalDistrict12General[[#This Row],[Part of Kings County Vote Results]:[Part of Queens County Vote Results]])</totalsRowFormula>
    </tableColumn>
    <tableColumn id="5" xr3:uid="{5AB7B685-4601-4745-A880-56062D6BF8B9}" name="Total Votes by Candidate" dataDxfId="281" totalsRowDxfId="280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ADFC4C1E-E564-4B0A-BC17-14931795F068}" name="RepInCongressCongressionalDistrict14General" displayName="RepInCongressCongressionalDistrict14General" ref="A2:E11" totalsRowCount="1" headerRowDxfId="279" dataDxfId="277" headerRowBorderDxfId="278" tableBorderDxfId="276" totalsRowBorderDxfId="275">
  <autoFilter ref="A2:E10" xr:uid="{0748C5B6-70AB-43AF-9D47-AE1627D286F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3D4618A-846F-433A-A0D2-24DD8772BBFC}" name="Candidate Name (Party)" totalsRowLabel="Total Votes by County" dataDxfId="274" totalsRowDxfId="273"/>
    <tableColumn id="2" xr3:uid="{F5E83189-543E-41A6-BE54-1ED4B7D69810}" name="Part of Bronx County Vote Results" totalsRowFunction="sum" dataDxfId="272" totalsRowDxfId="271"/>
    <tableColumn id="4" xr3:uid="{CA85D24B-4718-4DC2-8371-033455B23A89}" name="Part of Queens County Vote Results" totalsRowFunction="sum" dataDxfId="270" totalsRowDxfId="269"/>
    <tableColumn id="3" xr3:uid="{4AEC0CDF-7C37-4A84-A489-532CF56D680A}" name="Total Votes by Party" dataDxfId="268"/>
    <tableColumn id="5" xr3:uid="{B787A747-D054-4587-9335-57A68B1267A4}" name="Total Votes by Candidate" dataDxfId="267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D63B24CB-B50D-4A1B-A541-DF730F807C10}" name="RepInCongressCongressionalDistrict15General" displayName="RepInCongressCongressionalDistrict15General" ref="A2:D10" totalsRowCount="1" headerRowDxfId="266" dataDxfId="264" headerRowBorderDxfId="265" tableBorderDxfId="263" totalsRowBorderDxfId="262">
  <autoFilter ref="A2:D9" xr:uid="{BA9C7FE1-F4F4-409E-B13A-39FF6A93574F}">
    <filterColumn colId="0" hiddenButton="1"/>
    <filterColumn colId="1" hiddenButton="1"/>
    <filterColumn colId="2" hiddenButton="1"/>
    <filterColumn colId="3" hiddenButton="1"/>
  </autoFilter>
  <tableColumns count="4">
    <tableColumn id="1" xr3:uid="{C6FE19A6-58B0-49B7-9197-37B2E96327F4}" name="Candidate Name (Party)" totalsRowLabel="Total Votes by County" dataDxfId="261" totalsRowDxfId="260"/>
    <tableColumn id="4" xr3:uid="{E38FE170-C113-4FFC-885D-0DE6F5CD9179}" name="Part of Bronx County Vote Results" totalsRowFunction="custom" dataDxfId="259" totalsRowDxfId="258">
      <totalsRowFormula>SUBTOTAL(109,RepInCongressCongressionalDistrict15General[Total Votes by Candidate])</totalsRowFormula>
    </tableColumn>
    <tableColumn id="3" xr3:uid="{FC986551-FBCF-4ABA-906B-7EE182F18A14}" name="Total Votes by Party" totalsRowFunction="custom" dataDxfId="257" totalsRowDxfId="256">
      <calculatedColumnFormula>RepInCongressCongressionalDistrict15General[[#This Row],[Part of Bronx County Vote Results]]</calculatedColumnFormula>
      <totalsRowFormula>SUM(RepInCongressCongressionalDistrict14General[[#This Row],[Part of Bronx County Vote Results]:[Part of Queens County Vote Results]])</totalsRowFormula>
    </tableColumn>
    <tableColumn id="2" xr3:uid="{6D11020E-D1E2-4EA8-94D3-04A061DBF3BF}" name="Total Votes by Candidate" dataDxfId="255" totalsRowDxfId="254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45ADB0A2-F725-48C0-9DE3-088162D46A3A}" name="RepInCongressCongressionalDistrict16General" displayName="RepInCongressCongressionalDistrict16General" ref="A2:E9" totalsRowCount="1" headerRowDxfId="253" dataDxfId="251" headerRowBorderDxfId="252" tableBorderDxfId="250" totalsRowBorderDxfId="249">
  <autoFilter ref="A2:E8" xr:uid="{151567D1-C9D1-459F-A027-DDDB16941B5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63EAEC1-7364-4EDB-B492-D360C680765C}" name="Candidate Name (Party)" totalsRowLabel="Total Votes by County" dataDxfId="248" totalsRowDxfId="247"/>
    <tableColumn id="2" xr3:uid="{83A6AFDB-728E-4A68-8573-88562F65AF9F}" name="Part of Bronx County Vote Results" totalsRowFunction="sum" dataDxfId="246" totalsRowDxfId="245"/>
    <tableColumn id="4" xr3:uid="{13E8579A-B85F-4B46-AEF8-3410B5F48C39}" name="Part of Westchester County Vote Results" totalsRowFunction="sum" dataDxfId="244" totalsRowDxfId="243"/>
    <tableColumn id="3" xr3:uid="{748F98F0-C32F-45BD-82A3-F12400F117D4}" name="Total Votes by Party" totalsRowFunction="custom" dataDxfId="242" totalsRowDxfId="241">
      <calculatedColumnFormula>SUM(RepInCongressCongressionalDistrict16General[[#This Row],[Part of Bronx County Vote Results]:[Part of Westchester County Vote Results]])</calculatedColumnFormula>
      <totalsRowFormula>RepInCongressCongressionalDistrict15General[[#This Row],[Part of Bronx County Vote Results]]</totalsRowFormula>
    </tableColumn>
    <tableColumn id="5" xr3:uid="{F8AB6772-35E6-4BFC-90F6-4D09175E744C}" name="Total Votes by Candidate" dataDxfId="240" totalsRowDxfId="239">
      <calculatedColumnFormula>SUM(RepInCongressCongressionalDistrict16General[[#This Row],[Total Votes by Party]],D4,D5)</calculatedColumnFormula>
    </tableColumn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8E6D9853-BD3C-46C0-A8EF-BD20C31304DF}" name="RepInCongressCongressionalDistrict17General" displayName="RepInCongressCongressionalDistrict17General" ref="A2:E10" totalsRowCount="1" headerRowDxfId="238" dataDxfId="236" headerRowBorderDxfId="237" tableBorderDxfId="235" totalsRowBorderDxfId="234">
  <autoFilter ref="A2:E9" xr:uid="{BB80A5BF-F8A6-4751-8ACC-0548AF09BFE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AA91614-36B0-411C-B449-8D6992324145}" name="Candidate Name (Party)" totalsRowLabel="Total Votes by County" dataDxfId="233" totalsRowDxfId="232"/>
    <tableColumn id="2" xr3:uid="{DCA157F0-E380-418C-8FD6-3873DE2FAFE1}" name="Rockland County Vote Results" totalsRowFunction="sum" dataDxfId="231" totalsRowDxfId="230"/>
    <tableColumn id="4" xr3:uid="{8A1720F6-0F92-4677-A01F-9F2721B6C043}" name="Part of Westchester County Vote Results" totalsRowFunction="sum" dataDxfId="229" totalsRowDxfId="228"/>
    <tableColumn id="3" xr3:uid="{0A15F1CE-5BF6-4A59-8344-5D88947E189E}" name="Total Votes by Party" dataDxfId="227"/>
    <tableColumn id="5" xr3:uid="{2B3967D0-6A4C-47F0-84DC-C59EF6B0238E}" name="Total Votes by Candidate" dataDxfId="226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4" xr:uid="{114A1A57-0D4A-414F-88C7-6D9E0BDD8B2C}" name="RepInCongressCongressionalDistrict18General" displayName="RepInCongressCongressionalDistrict18General" ref="A2:G13" totalsRowCount="1" headerRowDxfId="225" dataDxfId="223" headerRowBorderDxfId="224" tableBorderDxfId="222" totalsRowBorderDxfId="221">
  <autoFilter ref="A2:G12" xr:uid="{F7C835FC-B4CE-47D2-B193-E5C29F42EB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84C8668-1BDB-4BCA-9193-A7874CFAAFCB}" name="Candidate Name (Party)" totalsRowLabel="Total Votes by County" dataDxfId="220" totalsRowDxfId="219"/>
    <tableColumn id="2" xr3:uid="{AA11E8EA-C3A9-469D-8275-056BBD29C411}" name="Orange County Vote Results" totalsRowFunction="sum" dataDxfId="218" totalsRowDxfId="217"/>
    <tableColumn id="6" xr3:uid="{212C4272-2109-4679-B4F2-43726311D23F}" name="Putnam County Vote Results" dataDxfId="216" totalsRowDxfId="215"/>
    <tableColumn id="3" xr3:uid="{A200AAE1-63C7-4130-A849-993302FAA4D4}" name="Part of Dutchess County Vote Results" dataDxfId="214" totalsRowDxfId="213"/>
    <tableColumn id="4" xr3:uid="{EC9821C3-918F-4078-9C43-6F709FB484C2}" name="Part of Westchester County Vote Results" totalsRowFunction="sum" dataDxfId="212" totalsRowDxfId="211"/>
    <tableColumn id="7" xr3:uid="{8631C07E-838E-43CE-85B0-88AE4C67896A}" name="Total Votes by Party" dataDxfId="210"/>
    <tableColumn id="5" xr3:uid="{2EAD6376-B387-4E9A-A0E0-F6D62726E71E}" name="Total Votes by Candidate" dataDxfId="209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41D9D4F8-363E-482A-AF8E-2680A0093B50}" name="RepInCongressCongressionalDistrict19General" displayName="RepInCongressCongressionalDistrict19General" ref="A2:N15" totalsRowCount="1" headerRowDxfId="208" dataDxfId="206" headerRowBorderDxfId="207" tableBorderDxfId="205" totalsRowBorderDxfId="204">
  <autoFilter ref="A2:N14" xr:uid="{E4E31CCD-DBAF-461B-809F-2E5F9AA9AF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DBA7B2B-EA38-469B-8839-987534AAFA6F}" name="Candidate Name (Party)" totalsRowLabel="Total Votes by County" dataDxfId="203" totalsRowDxfId="202"/>
    <tableColumn id="2" xr3:uid="{46BA17B5-06B6-4C10-A4E0-1355D2C43272}" name="Columbia County Vote Results" totalsRowFunction="sum" dataDxfId="201" totalsRowDxfId="200"/>
    <tableColumn id="13" xr3:uid="{83B78516-C2B5-4206-A365-E76EE852C03B}" name="Delaware County Vote Results" dataDxfId="199" totalsRowDxfId="198"/>
    <tableColumn id="12" xr3:uid="{CB8BEE87-FB3F-42A8-B151-6E535D5B60DD}" name="Greene County Vote Results" dataDxfId="197" totalsRowDxfId="196"/>
    <tableColumn id="11" xr3:uid="{C8191123-CF8C-4AC5-B44A-FAFF24926FAB}" name="Otsego County Vote Results" dataDxfId="195" totalsRowDxfId="194"/>
    <tableColumn id="10" xr3:uid="{1AAAA1E6-7E6B-4690-A8A6-CEE8467A2060}" name="Schoharie County Vote Results" dataDxfId="193" totalsRowDxfId="192"/>
    <tableColumn id="9" xr3:uid="{7907CF37-297D-41CC-A2C5-25B6E23033F8}" name="Sullivan County Vote Results" dataDxfId="191" totalsRowDxfId="190"/>
    <tableColumn id="8" xr3:uid="{2D159585-DAD7-4144-A1F8-D95A3060FE93}" name="Ulster County Vote Results" dataDxfId="189" totalsRowDxfId="188"/>
    <tableColumn id="7" xr3:uid="{F12A0E0B-7DFC-433D-B30A-F95A471B7F91}" name="Part of Broome County Vote Results" dataDxfId="187" totalsRowDxfId="186"/>
    <tableColumn id="6" xr3:uid="{C9904E6E-72A3-44D0-9744-8350AACE4327}" name="Part of Dutchess County Vote Results" dataDxfId="185" totalsRowDxfId="184"/>
    <tableColumn id="3" xr3:uid="{A3BC6F16-C78A-405E-A1C4-97DCD032FE40}" name="Part of Montgomery County Vote Results" dataDxfId="183" totalsRowDxfId="182"/>
    <tableColumn id="4" xr3:uid="{E100F9A2-BC33-429B-8A77-13CD2DAC369A}" name="Part of Rensselaer County Vote Results" totalsRowFunction="sum" dataDxfId="181" totalsRowDxfId="180"/>
    <tableColumn id="14" xr3:uid="{37C95375-5419-413C-8497-8040C2790C2A}" name="Total Votes by Party" dataDxfId="179"/>
    <tableColumn id="5" xr3:uid="{0ABF6663-7FBF-4004-B5A1-4BEFD3C1E299}" name="Total Votes by Candidate" dataDxfId="178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E664E6E9-8966-4899-90B4-998B434E9246}" name="RepInCongressCongressionalDistrict2General" displayName="RepInCongressCongressionalDistrict2General" ref="A2:E14" totalsRowCount="1" headerRowDxfId="445" dataDxfId="443" headerRowBorderDxfId="444" tableBorderDxfId="442" totalsRowBorderDxfId="441">
  <autoFilter ref="A2:E13" xr:uid="{D9123418-E292-4761-8C58-00BD3857154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692862D-9A05-476F-B4D0-3142509B53B7}" name="Candidate Name (Party)" totalsRowLabel="Total Votes by County" dataDxfId="440" totalsRowDxfId="439"/>
    <tableColumn id="2" xr3:uid="{33A9B2DA-4CD5-41DC-A979-5A88B1EA0C30}" name="Part of Nassau County Vote Results" totalsRowFunction="sum" dataDxfId="438" totalsRowDxfId="437"/>
    <tableColumn id="4" xr3:uid="{48268465-4E29-462B-8AB7-3A7F4550B6BA}" name="Part of Suffolk County Vote Results" totalsRowFunction="sum" dataDxfId="436" totalsRowDxfId="435"/>
    <tableColumn id="3" xr3:uid="{0AFE27B0-93B9-4957-BE65-719E19EFD23F}" name="Total Votes by Party" dataDxfId="434"/>
    <tableColumn id="5" xr3:uid="{C9AD6328-E38D-4C45-8E1C-2187F14B563F}" name="Total Votes by Candidate" dataDxfId="433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6" xr:uid="{972D72CF-7CA0-4678-8A37-84068BF5FF92}" name="RepInCongressCongressionalDistrict20General" displayName="RepInCongressCongressionalDistrict20General" ref="A2:H11" totalsRowCount="1" headerRowDxfId="177" dataDxfId="175" headerRowBorderDxfId="176" tableBorderDxfId="174" totalsRowBorderDxfId="173">
  <autoFilter ref="A2:H10" xr:uid="{D11F5F7B-D6D9-482B-935E-CBFF3FAE72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4677EFD-B2EE-4EA3-A325-8B4063054F08}" name="Candidate Name (Party)" totalsRowLabel="Total Votes by County" dataDxfId="172" totalsRowDxfId="171"/>
    <tableColumn id="2" xr3:uid="{F8297057-8D21-445D-B24E-0F752C70DDEA}" name="Albany County Vote Results" totalsRowFunction="sum" dataDxfId="170" totalsRowDxfId="169"/>
    <tableColumn id="6" xr3:uid="{DE30FF58-9668-4FBF-A20B-91FB5BA8DD7F}" name="Schenectady County Vote Results" dataDxfId="168" totalsRowDxfId="167"/>
    <tableColumn id="7" xr3:uid="{8EB65011-574B-4613-90A0-E303E7576D2B}" name="Part of Montgomery County Vote Results" dataDxfId="166" totalsRowDxfId="165"/>
    <tableColumn id="3" xr3:uid="{8C06863C-40C3-4828-AE2B-586E88185CFE}" name="Part of Rensselaer County Vote Results" dataDxfId="164" totalsRowDxfId="163"/>
    <tableColumn id="4" xr3:uid="{3F86401C-94EF-4A30-85C9-D4AF8B806C00}" name="Part of Saratoga County Vote Results" totalsRowFunction="sum" dataDxfId="162" totalsRowDxfId="161"/>
    <tableColumn id="8" xr3:uid="{DD98D69E-B422-4834-B061-193593C2F13B}" name="Total Votes by Party" totalsRowFunction="custom" dataDxfId="160" totalsRowDxfId="159">
      <calculatedColumnFormula>SUM(RepInCongressCongressionalDistrict20General[[#This Row],[Albany County Vote Results]:[Part of Saratoga County Vote Results]])</calculatedColumnFormula>
      <totalsRowFormula>SUM(RepInCongressCongressionalDistrict18General[[#This Row],[Orange County Vote Results]:[Part of Westchester County Vote Results]])</totalsRowFormula>
    </tableColumn>
    <tableColumn id="5" xr3:uid="{064CE07F-687E-4621-B62F-797AA4C8A757}" name="Total Votes by Candidate" dataDxfId="158" totalsRowDxfId="157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B1D129B5-7C0A-49B5-9D51-E39EB6D8C0BB}" name="RepInCongressCongressionalDistrict21General" displayName="RepInCongressCongressionalDistrict21General" ref="A2:O14" totalsRowCount="1" headerRowDxfId="156" dataDxfId="154" headerRowBorderDxfId="155" tableBorderDxfId="153" totalsRowBorderDxfId="152">
  <autoFilter ref="A2:O13" xr:uid="{539EBD77-812D-4C79-BDB5-02B7A3F2A6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B10372CC-F0B4-4D03-B18F-0B091F080003}" name="Candidate Name (Party)" totalsRowLabel="Total Votes by County" dataDxfId="151" totalsRowDxfId="150"/>
    <tableColumn id="2" xr3:uid="{44660E60-3D62-411E-AE8C-DCCA283B9518}" name="Clinton County Vote Results" totalsRowFunction="sum" dataDxfId="149" totalsRowDxfId="148"/>
    <tableColumn id="13" xr3:uid="{DC1111B1-A9BE-4551-B4E5-C7C90B637D3B}" name="Essex County Vote Results" dataDxfId="147" totalsRowDxfId="146"/>
    <tableColumn id="12" xr3:uid="{6C0A255D-E8D5-4493-AD2D-C38C2151C913}" name="Franklin County Vote Results" dataDxfId="145" totalsRowDxfId="144"/>
    <tableColumn id="11" xr3:uid="{BB4E1751-4615-442B-B5B0-51CC4B746A8E}" name="Fulton County Vote Results" dataDxfId="143" totalsRowDxfId="142"/>
    <tableColumn id="10" xr3:uid="{45957038-5BAA-4E7B-87A3-6BF908354987}" name="Hamilton County Vote Results" dataDxfId="141" totalsRowDxfId="140"/>
    <tableColumn id="9" xr3:uid="{B4CC33EE-CAE7-463F-A47A-1CB2AB789153}" name="Jefferson County Vote Results" dataDxfId="139" totalsRowDxfId="138"/>
    <tableColumn id="8" xr3:uid="{39F07F54-054F-453D-8764-03DE9276019B}" name="Lewis County Vote Results" dataDxfId="137" totalsRowDxfId="136"/>
    <tableColumn id="7" xr3:uid="{38F5589E-C3B1-4323-B79E-FE840EB7DC2B}" name="St. Lawrence County Vote Results" dataDxfId="135" totalsRowDxfId="134"/>
    <tableColumn id="14" xr3:uid="{C892F57C-904A-4741-80BB-4A8BA67F899C}" name="Warren County Vote Results" dataDxfId="133" totalsRowDxfId="132"/>
    <tableColumn id="6" xr3:uid="{14B9BF99-467C-4086-9B2F-234ACDB3A26A}" name="Washington County Vote Results" dataDxfId="131" totalsRowDxfId="130"/>
    <tableColumn id="3" xr3:uid="{549D1D91-6913-4EB8-B261-CD6DC9BE75C2}" name="Part of Herkimer County Vote Results" dataDxfId="129" totalsRowDxfId="128"/>
    <tableColumn id="4" xr3:uid="{FB490569-86FE-427C-8B5C-66CF3B61E2C2}" name="Part of Saratoga County Vote Results" totalsRowFunction="sum" dataDxfId="127" totalsRowDxfId="126"/>
    <tableColumn id="15" xr3:uid="{A91E87BB-0DA5-49A9-8541-21CB30863C87}" name="Total Votes by Party" dataDxfId="125"/>
    <tableColumn id="5" xr3:uid="{7913F281-116C-41E0-90D4-F3F4A3C95F25}" name="Total Votes by Candidate" dataDxfId="124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F7D0908A-BD3B-4F67-B670-46CA1D13FFF3}" name="RepInCongressCongressionalDistrict22General" displayName="RepInCongressCongressionalDistrict22General" ref="A2:K13" totalsRowCount="1" headerRowDxfId="123" dataDxfId="121" headerRowBorderDxfId="122" tableBorderDxfId="120" totalsRowBorderDxfId="119">
  <autoFilter ref="A2:K12" xr:uid="{004FB23F-B89A-4BE0-8C7A-0D0D60DB0C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2F60D30-94A8-436E-B5C4-6B140AA511CD}" name="Candidate Name (Party)" totalsRowLabel="Total Votes by County" dataDxfId="118" totalsRowDxfId="117"/>
    <tableColumn id="2" xr3:uid="{B7E5CBB5-A1F7-4C47-BCD9-51372BFE2D1A}" name="Chenago County Vote Results" totalsRowFunction="sum" dataDxfId="116" totalsRowDxfId="115"/>
    <tableColumn id="6" xr3:uid="{2BC7034A-E4BB-4D6C-8C07-B9D18B9DF579}" name="Cortland County Vote Results" dataDxfId="114" totalsRowDxfId="113"/>
    <tableColumn id="7" xr3:uid="{A80B3F51-8BFE-40E8-88EE-E491CA92D0C2}" name="Madison County Vote Results" dataDxfId="112" totalsRowDxfId="111"/>
    <tableColumn id="10" xr3:uid="{D2A4178A-8CC3-455B-A57C-A09435C18EB5}" name="Oneida County Vote Results" dataDxfId="110" totalsRowDxfId="109"/>
    <tableColumn id="9" xr3:uid="{61B710FA-CCB4-4DE9-BF0F-281325E05AC2}" name="Part of Broome County Vote Results" dataDxfId="108" totalsRowDxfId="107"/>
    <tableColumn id="8" xr3:uid="{FE45732F-0B4F-4563-AAFF-BCBD930A1282}" name="Part of Herkimer County Vote Results" dataDxfId="106" totalsRowDxfId="105"/>
    <tableColumn id="3" xr3:uid="{097899C5-40CA-41F5-A9FB-B2B3B146F0EF}" name="Part of Oswego County Vote Results" dataDxfId="104" totalsRowDxfId="103"/>
    <tableColumn id="4" xr3:uid="{06EEFD3F-A81C-4724-9E15-14098B6A2D6B}" name="Part of Tioga County Vote Results" totalsRowFunction="sum" dataDxfId="102" totalsRowDxfId="101"/>
    <tableColumn id="11" xr3:uid="{1FFD6898-B788-4DAB-8DBC-C3D249265995}" name="Total Votes by Party" dataDxfId="100"/>
    <tableColumn id="5" xr3:uid="{3385B94D-1E14-48C4-96F4-E067268AA07A}" name="Total Votes by Candidate" dataDxfId="99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CC0D3B32-924A-41CE-A7C8-EFF11F472E4C}" name="RepInCongressCongressionalDistrict23General" displayName="RepInCongressCongressionalDistrict23General" ref="A2:N12" totalsRowCount="1" headerRowDxfId="98" dataDxfId="96" headerRowBorderDxfId="97" tableBorderDxfId="95" totalsRowBorderDxfId="94">
  <autoFilter ref="A2:N11" xr:uid="{0C49DDDC-F88C-4209-934A-3C7F684B09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B381825-A6A7-41F4-9B98-E093B20BA3E2}" name="Candidate Name (Party)" totalsRowLabel="Total Votes by County" dataDxfId="93" totalsRowDxfId="92"/>
    <tableColumn id="2" xr3:uid="{91B7D694-EF5A-40F0-ABC6-DA6FD965728B}" name="Allegany County Vote Results" totalsRowFunction="sum" dataDxfId="91" totalsRowDxfId="90"/>
    <tableColumn id="13" xr3:uid="{B8AF5636-B7EA-49F8-86EC-2309AF8A4B50}" name="Cattaraugus County Vote Results" dataDxfId="89" totalsRowDxfId="88"/>
    <tableColumn id="12" xr3:uid="{65A0DF7B-2F47-453A-BA96-EF7CA2CE7728}" name="Chautauqua County Vote Results" dataDxfId="87" totalsRowDxfId="86"/>
    <tableColumn id="11" xr3:uid="{36965201-DF71-4922-8DF0-223DFBA57BCC}" name="Chemung County Vote Results" dataDxfId="85" totalsRowDxfId="84"/>
    <tableColumn id="10" xr3:uid="{1B3FAB3F-A642-4B3D-8E9A-ED777847132C}" name="Schuyler County Vote Results" dataDxfId="83" totalsRowDxfId="82"/>
    <tableColumn id="9" xr3:uid="{87BCA5CA-1F57-43A1-B59B-CBD6E23670E1}" name="Seneca County Vote Results" dataDxfId="81" totalsRowDxfId="80"/>
    <tableColumn id="8" xr3:uid="{883A6522-0E51-42F2-89DE-37AC5CB4CEA5}" name="Steuben County Vote Results" dataDxfId="79" totalsRowDxfId="78"/>
    <tableColumn id="7" xr3:uid="{052BE1E5-E45B-4BB7-848A-53770399BC02}" name="Tompkins County Vote Results" dataDxfId="77" totalsRowDxfId="76"/>
    <tableColumn id="14" xr3:uid="{69B96D39-EEFF-4ADF-BDFC-7466049AD51A}" name="Yates County Vote Results" dataDxfId="75" totalsRowDxfId="74"/>
    <tableColumn id="3" xr3:uid="{BB82E46B-8A1B-460C-B1DC-B64D94788E7B}" name="Part of Ontario County Vote Results" dataDxfId="73" totalsRowDxfId="72"/>
    <tableColumn id="4" xr3:uid="{9BBDE277-A359-405D-AA3A-4E36A5FF4E91}" name="Part of Tioga County Vote Results" totalsRowFunction="sum" dataDxfId="71" totalsRowDxfId="70"/>
    <tableColumn id="6" xr3:uid="{BC96CA23-1184-4D91-9B79-6EC1EDC7097B}" name="Total Votes by Party" dataDxfId="69"/>
    <tableColumn id="5" xr3:uid="{BE95CCB2-44E1-42CD-ACE8-032314B77109}" name="Total Votes by Candidate" dataDxfId="68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CDDE415A-1582-4110-9682-829D3C1DB869}" name="RepInCongressCongressionalDistrict24General" displayName="RepInCongressCongressionalDistrict24General" ref="A2:G13" totalsRowCount="1" headerRowDxfId="67" dataDxfId="65" headerRowBorderDxfId="66" tableBorderDxfId="64" totalsRowBorderDxfId="63">
  <autoFilter ref="A2:G12" xr:uid="{73707D82-830B-41CE-ABF5-16DAFA77C9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790CB0B-2A47-493B-B8D6-180377419AFA}" name="Candidate Name (Party)" totalsRowLabel="Total Votes by County" dataDxfId="62" totalsRowDxfId="61"/>
    <tableColumn id="2" xr3:uid="{F6CCEAE4-4E7D-4926-B101-97E0A084CF4B}" name="Cayuga County Vote Results" totalsRowFunction="sum" dataDxfId="60" totalsRowDxfId="59"/>
    <tableColumn id="6" xr3:uid="{355186F7-C723-4428-B7D0-D18412F3DF14}" name="Onondaga County Vote Results" dataDxfId="58" totalsRowDxfId="57"/>
    <tableColumn id="3" xr3:uid="{361B2B71-0A58-42E4-8977-78EE89517964}" name="Wayne County Vote Results" dataDxfId="56" totalsRowDxfId="55"/>
    <tableColumn id="4" xr3:uid="{5C434877-BDD4-4510-ACF3-8CA6C22409DF}" name="Part of Oswego County Vote Results" totalsRowFunction="sum" dataDxfId="54" totalsRowDxfId="53"/>
    <tableColumn id="7" xr3:uid="{4315A5E6-291B-495E-9BCA-8709729E2888}" name="Total Votes by Party" dataDxfId="52"/>
    <tableColumn id="5" xr3:uid="{0417FAF6-AD4C-424F-BA9F-3C86A24E64D0}" name="Total Votes by Candidate" dataDxfId="51"/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1" xr:uid="{93E77C43-6179-4793-9ADD-584BD2F08AFF}" name="RepInCongressCongressionalDistrict25General" displayName="RepInCongressCongressionalDistrict25General" ref="A2:D13" totalsRowCount="1" headerRowDxfId="50" dataDxfId="48" headerRowBorderDxfId="49" tableBorderDxfId="47" totalsRowBorderDxfId="46">
  <autoFilter ref="A2:D12" xr:uid="{64708C82-C3FB-4629-83EE-627387BA1A7D}">
    <filterColumn colId="0" hiddenButton="1"/>
    <filterColumn colId="1" hiddenButton="1"/>
    <filterColumn colId="2" hiddenButton="1"/>
    <filterColumn colId="3" hiddenButton="1"/>
  </autoFilter>
  <tableColumns count="4">
    <tableColumn id="1" xr3:uid="{04DEFDB3-5743-4BAE-A03E-546E1D43CD0B}" name="Candidate Name (Party)" totalsRowLabel="Total Votes by County" dataDxfId="45" totalsRowDxfId="44"/>
    <tableColumn id="4" xr3:uid="{D01E3B79-4FBA-4E5E-AC4C-10F7743B2A1F}" name="Part of Monroe County Vote Results" totalsRowFunction="custom" dataDxfId="43" totalsRowDxfId="42">
      <totalsRowFormula>SUBTOTAL(109,RepInCongressCongressionalDistrict25General[Total Votes by Candidate])</totalsRowFormula>
    </tableColumn>
    <tableColumn id="3" xr3:uid="{261A85ED-C96C-4BE5-925E-61D4B4E1B249}" name="Total Votes by Party" dataDxfId="41">
      <calculatedColumnFormula>RepInCongressCongressionalDistrict25General[[#This Row],[Part of Monroe County Vote Results]]</calculatedColumnFormula>
    </tableColumn>
    <tableColumn id="2" xr3:uid="{015F276C-E4F4-4FE4-AE37-0E7107CC6789}" name="Total Votes by Candidate" dataDxfId="40"/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2" xr:uid="{2ED76ED2-DD89-4027-9405-3D982AA05D6C}" name="RepInCongressCongressionalDistrict26General" displayName="RepInCongressCongressionalDistrict26General" ref="A2:E10" totalsRowCount="1" headerRowDxfId="39" dataDxfId="37" headerRowBorderDxfId="38" tableBorderDxfId="36" totalsRowBorderDxfId="35">
  <autoFilter ref="A2:E9" xr:uid="{3936682D-ED33-46CD-BD56-5B7D602B4DE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BB70ED1-DFF1-4861-9471-9EB62ED8C005}" name="Candidate Name (Party)" totalsRowLabel="Total Votes by County" dataDxfId="34" totalsRowDxfId="33"/>
    <tableColumn id="2" xr3:uid="{744F6BC8-4266-402F-8543-1A2BD92C8C2F}" name="Part of Erie County Vote Results" totalsRowFunction="sum" dataDxfId="32" totalsRowDxfId="31"/>
    <tableColumn id="4" xr3:uid="{54463627-5A90-424A-8164-99297B9D61E7}" name="Part of Niagara County Vote Results" totalsRowFunction="sum" dataDxfId="30" totalsRowDxfId="29"/>
    <tableColumn id="3" xr3:uid="{81E47EAA-43D8-4BE9-90EC-8913E3D26071}" name="Total Votes by Party" totalsRowFunction="custom" dataDxfId="28" totalsRowDxfId="27">
      <calculatedColumnFormula>SUM(RepInCongressCongressionalDistrict26General[[#This Row],[Part of Erie County Vote Results]:[Part of Niagara County Vote Results]])</calculatedColumnFormula>
      <totalsRowFormula>RepInCongressCongressionalDistrict25General[[#This Row],[Part of Monroe County Vote Results]]</totalsRowFormula>
    </tableColumn>
    <tableColumn id="5" xr3:uid="{1B027D29-9AB8-4774-AB31-F008DB726843}" name="Total Votes by Candidate" dataDxfId="26" totalsRowDxfId="25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3" xr:uid="{65DD54A7-46C8-4997-8E41-962ECE1A7C40}" name="RepInCongressCongressionalDistrict27General" displayName="RepInCongressCongressionalDistrict27General" ref="A2:K13" totalsRowCount="1" headerRowDxfId="24" dataDxfId="22" headerRowBorderDxfId="23" tableBorderDxfId="21" totalsRowBorderDxfId="20">
  <autoFilter ref="A2:K12" xr:uid="{CC33615E-FD2B-4AF4-B459-101BAA968D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675D384-EE38-421C-A0B3-E83E0DACCBB6}" name="Candidate Name (Party)" totalsRowLabel="Total Votes by County" dataDxfId="19" totalsRowDxfId="18"/>
    <tableColumn id="2" xr3:uid="{D3F7C6C1-DA48-479C-AB85-7FC097128FCF}" name="Genesee County Vote Results" totalsRowFunction="sum" dataDxfId="17" totalsRowDxfId="16"/>
    <tableColumn id="13" xr3:uid="{4D18FB46-F4EA-400C-8E3D-DF5B11B3CBC8}" name="Livingston County Vote Results" dataDxfId="15" totalsRowDxfId="14"/>
    <tableColumn id="12" xr3:uid="{B542F8F1-5AA3-476E-94C9-A8125ACC4A44}" name="Orleans County Vote Results" dataDxfId="13" totalsRowDxfId="12"/>
    <tableColumn id="11" xr3:uid="{D77EB94B-0505-42C6-8B51-EDA576FBF1D1}" name="Wyoming County Vote Results" dataDxfId="11" totalsRowDxfId="10"/>
    <tableColumn id="10" xr3:uid="{064AB5AD-5DF8-4B9B-9F4A-A73652DA1E2D}" name="Part of Erie County Vote Results" dataDxfId="9" totalsRowDxfId="8"/>
    <tableColumn id="9" xr3:uid="{450C9B05-A670-493A-A5EF-76B024C76662}" name="Part of Monroe County Vote Results" dataDxfId="7" totalsRowDxfId="6"/>
    <tableColumn id="3" xr3:uid="{486F1ECC-5131-4749-BCEF-AE3CE5C5A809}" name="Part of Niagara County Vote Results" dataDxfId="5" totalsRowDxfId="4"/>
    <tableColumn id="4" xr3:uid="{FBC27BE9-D4AE-425C-976C-91703E035EF1}" name="Part of Ontario County Vote Results" totalsRowFunction="sum" dataDxfId="3" totalsRowDxfId="2"/>
    <tableColumn id="6" xr3:uid="{E886213C-3C74-4548-B51E-2097AFE754D5}" name="Total Votes by Party" dataDxfId="1"/>
    <tableColumn id="5" xr3:uid="{C347AAC4-B14F-4E92-9768-057C788921B5}" name="Total Votes by Candidate" dataDxfId="0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C7D3C537-F411-461A-9141-69F0EB7B37F7}" name="RepInCongressCongressionalDistrict3General" displayName="RepInCongressCongressionalDistrict3General" ref="A2:F13" totalsRowCount="1" headerRowDxfId="432" dataDxfId="430" headerRowBorderDxfId="431" tableBorderDxfId="429" totalsRowBorderDxfId="428">
  <autoFilter ref="A2:F12" xr:uid="{013F4201-9F43-4569-BC15-21711BC52D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B346004-8430-44AA-9F34-92C37645585A}" name="Candidate Name (Party)" totalsRowLabel="Total Votes by County" dataDxfId="427" totalsRowDxfId="426"/>
    <tableColumn id="2" xr3:uid="{3FFE43FB-3BCD-428F-875E-2AB03E9E6A59}" name="Part of Nassau County Vote Results" totalsRowFunction="sum" dataDxfId="425" totalsRowDxfId="424"/>
    <tableColumn id="3" xr3:uid="{A213CC25-9939-41CD-A4D2-18A1B293F9F7}" name="Part of Queens County Vote Results" dataDxfId="423" totalsRowDxfId="422"/>
    <tableColumn id="4" xr3:uid="{8B5FBB76-DF38-4273-A5E2-D2E983F8E695}" name="Part of Suffolk County Vote Results" totalsRowFunction="sum" dataDxfId="421" totalsRowDxfId="420"/>
    <tableColumn id="6" xr3:uid="{353A649F-E7C0-4046-A97D-D139F1F615C7}" name="Total Votes by Party" totalsRowFunction="custom" dataDxfId="419" totalsRowDxfId="418">
      <calculatedColumnFormula>SUM(RepInCongressCongressionalDistrict3General[[#This Row],[Part of Nassau County Vote Results]:[Part of Suffolk County Vote Results]])</calculatedColumnFormula>
      <totalsRowFormula>SUM(RepInCongressCongressionalDistrict2General[[#This Row],[Part of Nassau County Vote Results]:[Part of Suffolk County Vote Results]])</totalsRowFormula>
    </tableColumn>
    <tableColumn id="5" xr3:uid="{CE72F6BF-9C5F-45E4-8877-628105F24873}" name="Total Votes by Candidate" dataDxfId="417" totalsRowDxfId="416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0" xr:uid="{C595583A-4A9B-440E-AFC7-6842CBABCD02}" name="RepInCongressCongressionalDistrict4General" displayName="RepInCongressCongressionalDistrict4General" ref="A2:D11" totalsRowCount="1" headerRowDxfId="415" dataDxfId="413" headerRowBorderDxfId="414" tableBorderDxfId="412" totalsRowBorderDxfId="411">
  <autoFilter ref="A2:D10" xr:uid="{921EDB68-DC53-40F7-A5D9-925E119F012C}">
    <filterColumn colId="0" hiddenButton="1"/>
    <filterColumn colId="1" hiddenButton="1"/>
    <filterColumn colId="2" hiddenButton="1"/>
    <filterColumn colId="3" hiddenButton="1"/>
  </autoFilter>
  <tableColumns count="4">
    <tableColumn id="1" xr3:uid="{BC751C3F-8D6B-4C65-A0CF-5B70C18FE315}" name="Candidate Name (Party)" totalsRowLabel="Total Votes by County" dataDxfId="410" totalsRowDxfId="409"/>
    <tableColumn id="4" xr3:uid="{276626CC-9119-41D9-AFCE-313522824A3D}" name="Part of Nassau County Vote Results" totalsRowFunction="custom" dataDxfId="408" totalsRowDxfId="407">
      <totalsRowFormula>SUBTOTAL(109,RepInCongressCongressionalDistrict4General[Total Votes by Candidate])</totalsRowFormula>
    </tableColumn>
    <tableColumn id="3" xr3:uid="{6282D6F6-5532-48EB-B4CD-A9A16174B236}" name="Total Votes by Party" totalsRowFunction="custom" dataDxfId="406" totalsRowDxfId="405">
      <calculatedColumnFormula>RepInCongressCongressionalDistrict4General[[#This Row],[Part of Nassau County Vote Results]]</calculatedColumnFormula>
      <totalsRowFormula>SUM(RepInCongressCongressionalDistrict3General[[#This Row],[Part of Nassau County Vote Results]:[Part of Suffolk County Vote Results]])</totalsRowFormula>
    </tableColumn>
    <tableColumn id="2" xr3:uid="{3E5B5254-F527-4424-9254-96BCC72910BC}" name="Total Votes by Candidate" dataDxfId="404" totalsRowDxfId="403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12CE04F7-5869-41E1-99F8-1C7649AE021F}" name="RepInCongressCongressionalDistrict5General" displayName="RepInCongressCongressionalDistrict5General" ref="A2:E7" totalsRowCount="1" headerRowDxfId="402" dataDxfId="400" headerRowBorderDxfId="401" tableBorderDxfId="399" totalsRowBorderDxfId="398">
  <autoFilter ref="A2:E6" xr:uid="{B823C752-69AB-40CC-A239-F27F579B07E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6ACFFD6-CBD4-4EBC-B8D3-33C5B38B2975}" name="Candidate Name (Party)" totalsRowLabel="Total Votes by County" dataDxfId="397" totalsRowDxfId="396"/>
    <tableColumn id="2" xr3:uid="{832779FF-7A21-4D4A-927B-5C0733A8CE08}" name="Part of Nassau County Vote Results" totalsRowFunction="sum" dataDxfId="395" totalsRowDxfId="394"/>
    <tableColumn id="4" xr3:uid="{9EF5D0E6-1813-44CF-A26A-4B1C1CB6F462}" name="Part of Queens County Vote Results" totalsRowFunction="sum" dataDxfId="393" totalsRowDxfId="392"/>
    <tableColumn id="3" xr3:uid="{D29C26D6-D05C-4171-B6D3-9BB83666034A}" name="Total Votes by Party" totalsRowFunction="custom" dataDxfId="391" totalsRowDxfId="390">
      <calculatedColumnFormula>SUM(RepInCongressCongressionalDistrict5General[[#This Row],[Part of Nassau County Vote Results]:[Part of Queens County Vote Results]])</calculatedColumnFormula>
      <totalsRowFormula>RepInCongressCongressionalDistrict4General[[#This Row],[Part of Nassau County Vote Results]]</totalsRowFormula>
    </tableColumn>
    <tableColumn id="5" xr3:uid="{3611E431-9422-44C7-8856-BC736AC90C61}" name="Total Votes by Candidate" dataDxfId="389" totalsRowDxfId="388">
      <calculatedColumnFormula>RepInCongressCongressionalDistrict5General[[#This Row],[Total Votes by Party]]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09EE3C34-E00C-484E-B52C-C0362C76A10A}" name="RepInCongressCongressionalDistrict6General" displayName="RepInCongressCongressionalDistrict6General" ref="A2:D10" totalsRowCount="1" headerRowDxfId="387" dataDxfId="385" headerRowBorderDxfId="386" tableBorderDxfId="384" totalsRowBorderDxfId="383">
  <autoFilter ref="A2:D9" xr:uid="{A5D383CB-B61F-4561-ADC3-55A409D5E370}">
    <filterColumn colId="0" hiddenButton="1"/>
    <filterColumn colId="1" hiddenButton="1"/>
    <filterColumn colId="2" hiddenButton="1"/>
    <filterColumn colId="3" hiddenButton="1"/>
  </autoFilter>
  <tableColumns count="4">
    <tableColumn id="1" xr3:uid="{DB5AA337-5F7B-4275-9C0D-402F772AD411}" name="Candidate Name (Party)" totalsRowLabel="Total Votes by County" dataDxfId="382" totalsRowDxfId="381"/>
    <tableColumn id="4" xr3:uid="{8D6960C5-2AF2-48E5-8469-41DDA9CAA21C}" name="Part of Queens County Vote Results" totalsRowFunction="custom" dataDxfId="380" totalsRowDxfId="379">
      <totalsRowFormula>SUBTOTAL(109,RepInCongressCongressionalDistrict6General[Total Votes by Candidate])</totalsRowFormula>
    </tableColumn>
    <tableColumn id="3" xr3:uid="{42FD8FB8-03B9-466C-A91F-225490A89ACF}" name="Total Votes by Party" dataDxfId="378"/>
    <tableColumn id="2" xr3:uid="{2DF13FB4-15F2-4C5B-B757-58DE004F141B}" name="Total Votes by Candidate" dataDxfId="377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4EC5AF66-F56B-400A-8491-DEDC7C247A95}" name="RepInCongressCongressionalDistrict7General" displayName="RepInCongressCongressionalDistrict7General" ref="A2:F10" totalsRowCount="1" headerRowDxfId="376" dataDxfId="374" headerRowBorderDxfId="375" tableBorderDxfId="373" totalsRowBorderDxfId="372">
  <autoFilter ref="A2:F9" xr:uid="{44B01D1C-45DF-49CF-8E6C-ADBDB09A40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0F0D22D-2030-4AC9-85EA-04E2D1854B4B}" name="Candidate Name (Party)" totalsRowLabel="Total Votes by County" dataDxfId="371" totalsRowDxfId="370"/>
    <tableColumn id="2" xr3:uid="{205E90C1-B9FA-4478-A57A-BEEDA815557A}" name="Part of Kings County Vote Results" totalsRowFunction="sum" dataDxfId="369" totalsRowDxfId="368"/>
    <tableColumn id="3" xr3:uid="{52E10317-EBC0-4702-8D23-69A3D5DAFC42}" name="Part of New York County Vote Results" dataDxfId="367" totalsRowDxfId="366"/>
    <tableColumn id="4" xr3:uid="{1BD0D9D2-C1A1-4C0D-80AB-713A8EB2064F}" name="Part of Queens County Vote Results" totalsRowFunction="sum" dataDxfId="365" totalsRowDxfId="364"/>
    <tableColumn id="6" xr3:uid="{F3829902-3F45-4ECE-894B-3D723F37BAA8}" name="Total Votes by Party" dataDxfId="363">
      <calculatedColumnFormula>SUM(RepInCongressCongressionalDistrict7General[[#This Row],[Part of Kings County Vote Results]:[Part of Queens County Vote Results]])</calculatedColumnFormula>
    </tableColumn>
    <tableColumn id="5" xr3:uid="{32ABD5FB-A716-4778-B570-2DEF6D2B443B}" name="Total Votes by Candidate" dataDxfId="362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99CC535E-BAF6-4D40-A339-E7962257CFD2}" name="RepInCongressCongressionalDistrict8General" displayName="RepInCongressCongressionalDistrict8General" ref="A2:E10" totalsRowCount="1" headerRowDxfId="361" dataDxfId="359" headerRowBorderDxfId="360" tableBorderDxfId="358" totalsRowBorderDxfId="357">
  <autoFilter ref="A2:E9" xr:uid="{9F90E68D-AC1A-410B-ACBC-D9097683019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0C3BF1C-D451-4B8C-A252-C60943EC0DB7}" name="Candidate Name (Party)" totalsRowLabel="Total Votes by County" dataDxfId="356" totalsRowDxfId="355"/>
    <tableColumn id="2" xr3:uid="{F9C16063-6E9F-4235-A579-C54670157247}" name="Part of Kings County Vote Results" totalsRowFunction="sum" dataDxfId="354" totalsRowDxfId="353"/>
    <tableColumn id="4" xr3:uid="{38FB2E3D-E23E-4DB9-9D22-33060A8F5910}" name="Part of Queens County Vote Results" totalsRowFunction="sum" dataDxfId="352" totalsRowDxfId="351"/>
    <tableColumn id="3" xr3:uid="{2CB06F0A-C24C-43D5-A007-A53EF5AC9990}" name="Total Votes by Party" dataDxfId="350">
      <calculatedColumnFormula>SUM(RepInCongressCongressionalDistrict8General[[#This Row],[Part of Kings County Vote Results]:[Part of Queens County Vote Results]])</calculatedColumnFormula>
    </tableColumn>
    <tableColumn id="5" xr3:uid="{B6F65832-8A3B-482B-86EA-6B7E28105CE0}" name="Total Votes by Candidate" dataDxfId="349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89D64423-93DB-4D2A-B47C-7A84045E58E8}" name="RepInCongressCongressionalDistrict9General" displayName="RepInCongressCongressionalDistrict9General" ref="A2:D11" totalsRowCount="1" headerRowDxfId="348" dataDxfId="346" headerRowBorderDxfId="347" tableBorderDxfId="345" totalsRowBorderDxfId="344">
  <autoFilter ref="A2:D10" xr:uid="{2ABB5165-DA54-458E-948F-F67912A9FB1C}">
    <filterColumn colId="0" hiddenButton="1"/>
    <filterColumn colId="1" hiddenButton="1"/>
    <filterColumn colId="2" hiddenButton="1"/>
    <filterColumn colId="3" hiddenButton="1"/>
  </autoFilter>
  <tableColumns count="4">
    <tableColumn id="1" xr3:uid="{02F95D63-F688-4055-9A5A-6EC8BC64F083}" name="Candidate Name (Party)" totalsRowLabel="Total Votes by County" dataDxfId="343" totalsRowDxfId="342"/>
    <tableColumn id="4" xr3:uid="{B59B8BFC-66E1-40DC-878F-5E611FC673A2}" name="Part of Kings County Vote Results" totalsRowFunction="custom" dataDxfId="341" totalsRowDxfId="340">
      <totalsRowFormula>SUBTOTAL(109,RepInCongressCongressionalDistrict9General[Total Votes by Candidate])</totalsRowFormula>
    </tableColumn>
    <tableColumn id="3" xr3:uid="{2F43D2D1-4380-459F-A5B2-C3A03515658E}" name="Total Votes by Party" dataDxfId="339"/>
    <tableColumn id="2" xr3:uid="{54D10975-6EB5-447B-932C-4A4DDDABFDD1}" name="Total Votes by Candidate" dataDxfId="338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3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68</v>
      </c>
    </row>
    <row r="2" spans="1:4" ht="24.95" customHeight="1" x14ac:dyDescent="0.2">
      <c r="A2" s="7" t="s">
        <v>5</v>
      </c>
      <c r="B2" s="8" t="s">
        <v>6</v>
      </c>
      <c r="C2" s="9" t="s">
        <v>243</v>
      </c>
      <c r="D2" s="10" t="s">
        <v>4</v>
      </c>
    </row>
    <row r="3" spans="1:4" x14ac:dyDescent="0.2">
      <c r="A3" s="2" t="s">
        <v>69</v>
      </c>
      <c r="B3" s="3">
        <v>124213</v>
      </c>
      <c r="C3" s="11">
        <f>RepInCongressCongressionalDistrict1General[[#This Row],[Part of Suffolk County Vote Results]]</f>
        <v>124213</v>
      </c>
      <c r="D3" s="12">
        <f>SUM(RepInCongressCongressionalDistrict1General[[#This Row],[Total Votes by Party]],C6)</f>
        <v>127991</v>
      </c>
    </row>
    <row r="4" spans="1:4" x14ac:dyDescent="0.2">
      <c r="A4" s="2" t="s">
        <v>70</v>
      </c>
      <c r="B4" s="3">
        <v>121562</v>
      </c>
      <c r="C4" s="11">
        <f>RepInCongressCongressionalDistrict1General[[#This Row],[Part of Suffolk County Vote Results]]</f>
        <v>121562</v>
      </c>
      <c r="D4" s="12">
        <f>SUM(RepInCongressCongressionalDistrict1General[[#This Row],[Total Votes by Party]],C5,C7,C9)</f>
        <v>139027</v>
      </c>
    </row>
    <row r="5" spans="1:4" x14ac:dyDescent="0.2">
      <c r="A5" s="2" t="s">
        <v>72</v>
      </c>
      <c r="B5" s="3">
        <v>14284</v>
      </c>
      <c r="C5" s="11">
        <f>RepInCongressCongressionalDistrict1General[[#This Row],[Part of Suffolk County Vote Results]]</f>
        <v>14284</v>
      </c>
      <c r="D5" s="13"/>
    </row>
    <row r="6" spans="1:4" x14ac:dyDescent="0.2">
      <c r="A6" s="2" t="s">
        <v>245</v>
      </c>
      <c r="B6" s="3">
        <v>3778</v>
      </c>
      <c r="C6" s="11">
        <f>RepInCongressCongressionalDistrict1General[[#This Row],[Part of Suffolk County Vote Results]]</f>
        <v>3778</v>
      </c>
      <c r="D6" s="13"/>
    </row>
    <row r="7" spans="1:4" x14ac:dyDescent="0.2">
      <c r="A7" s="2" t="s">
        <v>73</v>
      </c>
      <c r="B7" s="3">
        <v>2693</v>
      </c>
      <c r="C7" s="11">
        <f>RepInCongressCongressionalDistrict1General[[#This Row],[Part of Suffolk County Vote Results]]</f>
        <v>2693</v>
      </c>
      <c r="D7" s="13"/>
    </row>
    <row r="8" spans="1:4" x14ac:dyDescent="0.2">
      <c r="A8" s="2" t="s">
        <v>71</v>
      </c>
      <c r="B8" s="3">
        <v>2988</v>
      </c>
      <c r="C8" s="11">
        <f>RepInCongressCongressionalDistrict1General[[#This Row],[Part of Suffolk County Vote Results]]</f>
        <v>2988</v>
      </c>
      <c r="D8" s="12">
        <f>RepInCongressCongressionalDistrict1General[[#This Row],[Total Votes by Party]]</f>
        <v>2988</v>
      </c>
    </row>
    <row r="9" spans="1:4" x14ac:dyDescent="0.2">
      <c r="A9" s="2" t="s">
        <v>74</v>
      </c>
      <c r="B9" s="5">
        <v>488</v>
      </c>
      <c r="C9" s="11">
        <f>RepInCongressCongressionalDistrict1General[[#This Row],[Part of Suffolk County Vote Results]]</f>
        <v>488</v>
      </c>
      <c r="D9" s="13"/>
    </row>
    <row r="10" spans="1:4" x14ac:dyDescent="0.2">
      <c r="A10" s="4" t="s">
        <v>0</v>
      </c>
      <c r="B10" s="5">
        <v>4268</v>
      </c>
      <c r="C10" s="11">
        <f>RepInCongressCongressionalDistrict1General[[#This Row],[Part of Suffolk County Vote Results]]</f>
        <v>4268</v>
      </c>
      <c r="D10" s="13"/>
    </row>
    <row r="11" spans="1:4" x14ac:dyDescent="0.2">
      <c r="A11" s="4" t="s">
        <v>1</v>
      </c>
      <c r="B11" s="5">
        <v>106</v>
      </c>
      <c r="C11" s="11">
        <f>RepInCongressCongressionalDistrict1General[[#This Row],[Part of Suffolk County Vote Results]]</f>
        <v>106</v>
      </c>
      <c r="D11" s="13"/>
    </row>
    <row r="12" spans="1:4" x14ac:dyDescent="0.2">
      <c r="A12" s="4" t="s">
        <v>2</v>
      </c>
      <c r="B12" s="5">
        <v>47</v>
      </c>
      <c r="C12" s="11">
        <f>RepInCongressCongressionalDistrict1General[[#This Row],[Part of Suffolk County Vote Results]]</f>
        <v>47</v>
      </c>
      <c r="D12" s="13"/>
    </row>
    <row r="13" spans="1:4" hidden="1" x14ac:dyDescent="0.2">
      <c r="A13" s="4" t="s">
        <v>3</v>
      </c>
      <c r="B13" s="6">
        <f>SUBTOTAL(109,RepInCongressCongressionalDistrict1General[Total Votes by Candidate])</f>
        <v>270006</v>
      </c>
      <c r="C13" s="11" t="e">
        <f>#REF!</f>
        <v>#REF!</v>
      </c>
      <c r="D13" s="13"/>
    </row>
  </sheetData>
  <phoneticPr fontId="1" type="noConversion"/>
  <pageMargins left="0.5" right="0.5" top="0.25" bottom="0.25" header="0.25" footer="0.25"/>
  <pageSetup paperSize="5" scale="81" fitToHeight="0" orientation="landscape" r:id="rId1"/>
  <headerFooter alignWithMargins="0">
    <oddFooter xml:space="preserve">&amp;RPage &amp;P of &amp;N   </oddFooter>
  </headerFooter>
  <rowBreaks count="8" manualBreakCount="8">
    <brk id="39" max="11" man="1"/>
    <brk id="82" max="11" man="1"/>
    <brk id="125" max="11" man="1"/>
    <brk id="167" max="16383" man="1"/>
    <brk id="191" max="16383" man="1"/>
    <brk id="225" max="16383" man="1"/>
    <brk id="263" max="16383" man="1"/>
    <brk id="305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225B-D692-41A9-A826-3C75EFA2A897}">
  <sheetPr>
    <pageSetUpPr fitToPage="1"/>
  </sheetPr>
  <dimension ref="A1:E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121</v>
      </c>
    </row>
    <row r="2" spans="1:5" ht="25.5" x14ac:dyDescent="0.2">
      <c r="A2" s="7" t="s">
        <v>5</v>
      </c>
      <c r="B2" s="8" t="s">
        <v>9</v>
      </c>
      <c r="C2" s="8" t="s">
        <v>10</v>
      </c>
      <c r="D2" s="9" t="s">
        <v>243</v>
      </c>
      <c r="E2" s="10" t="s">
        <v>4</v>
      </c>
    </row>
    <row r="3" spans="1:5" x14ac:dyDescent="0.2">
      <c r="A3" s="2" t="s">
        <v>122</v>
      </c>
      <c r="B3" s="3">
        <v>21925</v>
      </c>
      <c r="C3" s="3">
        <v>140206</v>
      </c>
      <c r="D3" s="11">
        <f>SUM(RepInCongressCongressionalDistrict10General[[#This Row],[Part of Kings County Vote Results]:[Part of New York County Vote Results]])</f>
        <v>162131</v>
      </c>
      <c r="E3" s="12">
        <f>SUM(RepInCongressCongressionalDistrict10General[[#This Row],[Total Votes by Party]],D6)</f>
        <v>173095</v>
      </c>
    </row>
    <row r="4" spans="1:5" x14ac:dyDescent="0.2">
      <c r="A4" s="2" t="s">
        <v>123</v>
      </c>
      <c r="B4" s="3">
        <v>17216</v>
      </c>
      <c r="C4" s="3">
        <v>16476</v>
      </c>
      <c r="D4" s="11">
        <f>SUM(RepInCongressCongressionalDistrict10General[[#This Row],[Part of Kings County Vote Results]:[Part of New York County Vote Results]])</f>
        <v>33692</v>
      </c>
      <c r="E4" s="12">
        <f>SUM(RepInCongressCongressionalDistrict10General[[#This Row],[Total Votes by Party]],D5,D7)</f>
        <v>37619</v>
      </c>
    </row>
    <row r="5" spans="1:5" x14ac:dyDescent="0.2">
      <c r="A5" s="2" t="s">
        <v>124</v>
      </c>
      <c r="B5" s="3">
        <v>1967</v>
      </c>
      <c r="C5" s="3">
        <v>1292</v>
      </c>
      <c r="D5" s="11">
        <f>SUM(RepInCongressCongressionalDistrict10General[[#This Row],[Part of Kings County Vote Results]:[Part of New York County Vote Results]])</f>
        <v>3259</v>
      </c>
      <c r="E5" s="13"/>
    </row>
    <row r="6" spans="1:5" x14ac:dyDescent="0.2">
      <c r="A6" s="2" t="s">
        <v>125</v>
      </c>
      <c r="B6" s="3">
        <v>1747</v>
      </c>
      <c r="C6" s="3">
        <v>9217</v>
      </c>
      <c r="D6" s="11">
        <f>SUM(RepInCongressCongressionalDistrict10General[[#This Row],[Part of Kings County Vote Results]:[Part of New York County Vote Results]])</f>
        <v>10964</v>
      </c>
      <c r="E6" s="13"/>
    </row>
    <row r="7" spans="1:5" x14ac:dyDescent="0.2">
      <c r="A7" s="2" t="s">
        <v>126</v>
      </c>
      <c r="B7" s="3">
        <v>212</v>
      </c>
      <c r="C7" s="3">
        <v>456</v>
      </c>
      <c r="D7" s="11">
        <f>SUM(RepInCongressCongressionalDistrict10General[[#This Row],[Part of Kings County Vote Results]:[Part of New York County Vote Results]])</f>
        <v>668</v>
      </c>
      <c r="E7" s="13"/>
    </row>
    <row r="8" spans="1:5" x14ac:dyDescent="0.2">
      <c r="A8" s="4" t="s">
        <v>0</v>
      </c>
      <c r="B8" s="3">
        <v>2557</v>
      </c>
      <c r="C8" s="3">
        <v>2757</v>
      </c>
      <c r="D8" s="11">
        <f>SUM(RepInCongressCongressionalDistrict10General[[#This Row],[Part of Kings County Vote Results]:[Part of New York County Vote Results]])</f>
        <v>5314</v>
      </c>
      <c r="E8" s="13"/>
    </row>
    <row r="9" spans="1:5" x14ac:dyDescent="0.2">
      <c r="A9" s="4" t="s">
        <v>1</v>
      </c>
      <c r="B9" s="3">
        <v>0</v>
      </c>
      <c r="C9" s="3">
        <v>0</v>
      </c>
      <c r="D9" s="11">
        <f>SUM(RepInCongressCongressionalDistrict10General[[#This Row],[Part of Kings County Vote Results]:[Part of New York County Vote Results]])</f>
        <v>0</v>
      </c>
      <c r="E9" s="13"/>
    </row>
    <row r="10" spans="1:5" x14ac:dyDescent="0.2">
      <c r="A10" s="4" t="s">
        <v>2</v>
      </c>
      <c r="B10" s="5">
        <v>93</v>
      </c>
      <c r="C10" s="5">
        <v>151</v>
      </c>
      <c r="D10" s="11">
        <f>SUM(RepInCongressCongressionalDistrict10General[[#This Row],[Part of Kings County Vote Results]:[Part of New York County Vote Results]])</f>
        <v>244</v>
      </c>
      <c r="E10" s="13"/>
    </row>
    <row r="11" spans="1:5" hidden="1" x14ac:dyDescent="0.2">
      <c r="A11" s="4" t="s">
        <v>3</v>
      </c>
      <c r="B11" s="6">
        <f>SUBTOTAL(109,RepInCongressCongressionalDistrict10General[Part of Kings County Vote Results])</f>
        <v>45717</v>
      </c>
      <c r="C11" s="6">
        <f>SUBTOTAL(109,RepInCongressCongressionalDistrict10General[Part of New York County Vote Results])</f>
        <v>170555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BDA8-A20A-4ECD-9044-D16AC07C4695}">
  <sheetPr>
    <pageSetUpPr fitToPage="1"/>
  </sheetPr>
  <dimension ref="A1:E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127</v>
      </c>
    </row>
    <row r="2" spans="1:5" ht="25.5" x14ac:dyDescent="0.2">
      <c r="A2" s="7" t="s">
        <v>5</v>
      </c>
      <c r="B2" s="8" t="s">
        <v>42</v>
      </c>
      <c r="C2" s="8" t="s">
        <v>9</v>
      </c>
      <c r="D2" s="9" t="s">
        <v>243</v>
      </c>
      <c r="E2" s="10" t="s">
        <v>4</v>
      </c>
    </row>
    <row r="3" spans="1:5" x14ac:dyDescent="0.2">
      <c r="A3" s="2" t="s">
        <v>128</v>
      </c>
      <c r="B3" s="3">
        <v>66875</v>
      </c>
      <c r="C3" s="3">
        <v>29975</v>
      </c>
      <c r="D3" s="11">
        <f>SUM(RepInCongressCongressionalDistrict11General[[#This Row],[Richmond County Vote Results]:[Part of Kings County Vote Results]])</f>
        <v>96850</v>
      </c>
      <c r="E3" s="12">
        <f>SUM(RepInCongressCongressionalDistrict11General[[#This Row],[Total Votes by Party]],D7,D9)</f>
        <v>101823</v>
      </c>
    </row>
    <row r="4" spans="1:5" x14ac:dyDescent="0.2">
      <c r="A4" s="2" t="s">
        <v>129</v>
      </c>
      <c r="B4" s="3">
        <v>61597</v>
      </c>
      <c r="C4" s="3">
        <v>18843</v>
      </c>
      <c r="D4" s="11">
        <f>SUM(RepInCongressCongressionalDistrict11General[[#This Row],[Richmond County Vote Results]:[Part of Kings County Vote Results]])</f>
        <v>80440</v>
      </c>
      <c r="E4" s="12">
        <f>SUM(RepInCongressCongressionalDistrict11General[[#This Row],[Total Votes by Party]],D5,D8,D10)</f>
        <v>89441</v>
      </c>
    </row>
    <row r="5" spans="1:5" x14ac:dyDescent="0.2">
      <c r="A5" s="2" t="s">
        <v>131</v>
      </c>
      <c r="B5" s="3">
        <v>5593</v>
      </c>
      <c r="C5" s="3">
        <v>1759</v>
      </c>
      <c r="D5" s="11">
        <f>SUM(RepInCongressCongressionalDistrict11General[[#This Row],[Richmond County Vote Results]:[Part of Kings County Vote Results]])</f>
        <v>7352</v>
      </c>
      <c r="E5" s="13"/>
    </row>
    <row r="6" spans="1:5" x14ac:dyDescent="0.2">
      <c r="A6" s="2" t="s">
        <v>130</v>
      </c>
      <c r="B6" s="3">
        <v>498</v>
      </c>
      <c r="C6" s="3">
        <v>276</v>
      </c>
      <c r="D6" s="11">
        <f>SUM(RepInCongressCongressionalDistrict11General[[#This Row],[Richmond County Vote Results]:[Part of Kings County Vote Results]])</f>
        <v>774</v>
      </c>
      <c r="E6" s="12">
        <f>RepInCongressCongressionalDistrict11General[[#This Row],[Total Votes by Party]]</f>
        <v>774</v>
      </c>
    </row>
    <row r="7" spans="1:5" x14ac:dyDescent="0.2">
      <c r="A7" s="2" t="s">
        <v>132</v>
      </c>
      <c r="B7" s="3">
        <v>2616</v>
      </c>
      <c r="C7" s="3">
        <v>1278</v>
      </c>
      <c r="D7" s="11">
        <f>SUM(RepInCongressCongressionalDistrict11General[[#This Row],[Richmond County Vote Results]:[Part of Kings County Vote Results]])</f>
        <v>3894</v>
      </c>
      <c r="E7" s="13"/>
    </row>
    <row r="8" spans="1:5" x14ac:dyDescent="0.2">
      <c r="A8" s="2" t="s">
        <v>133</v>
      </c>
      <c r="B8" s="3">
        <v>1010</v>
      </c>
      <c r="C8" s="3">
        <v>292</v>
      </c>
      <c r="D8" s="11">
        <f>SUM(RepInCongressCongressionalDistrict11General[[#This Row],[Richmond County Vote Results]:[Part of Kings County Vote Results]])</f>
        <v>1302</v>
      </c>
      <c r="E8" s="13"/>
    </row>
    <row r="9" spans="1:5" x14ac:dyDescent="0.2">
      <c r="A9" s="2" t="s">
        <v>134</v>
      </c>
      <c r="B9" s="3">
        <v>773</v>
      </c>
      <c r="C9" s="3">
        <v>306</v>
      </c>
      <c r="D9" s="11">
        <f>SUM(RepInCongressCongressionalDistrict11General[[#This Row],[Richmond County Vote Results]:[Part of Kings County Vote Results]])</f>
        <v>1079</v>
      </c>
      <c r="E9" s="13"/>
    </row>
    <row r="10" spans="1:5" x14ac:dyDescent="0.2">
      <c r="A10" s="2" t="s">
        <v>244</v>
      </c>
      <c r="B10" s="3">
        <v>258</v>
      </c>
      <c r="C10" s="3">
        <v>89</v>
      </c>
      <c r="D10" s="11">
        <f>SUM(RepInCongressCongressionalDistrict11General[[#This Row],[Richmond County Vote Results]:[Part of Kings County Vote Results]])</f>
        <v>347</v>
      </c>
      <c r="E10" s="13"/>
    </row>
    <row r="11" spans="1:5" x14ac:dyDescent="0.2">
      <c r="A11" s="4" t="s">
        <v>0</v>
      </c>
      <c r="B11" s="3">
        <v>1501</v>
      </c>
      <c r="C11" s="3">
        <v>1426</v>
      </c>
      <c r="D11" s="11">
        <f>SUM(RepInCongressCongressionalDistrict11General[[#This Row],[Richmond County Vote Results]:[Part of Kings County Vote Results]])</f>
        <v>2927</v>
      </c>
      <c r="E11" s="13"/>
    </row>
    <row r="12" spans="1:5" x14ac:dyDescent="0.2">
      <c r="A12" s="4" t="s">
        <v>1</v>
      </c>
      <c r="B12" s="3">
        <v>0</v>
      </c>
      <c r="C12" s="3">
        <v>0</v>
      </c>
      <c r="D12" s="11">
        <f>SUM(RepInCongressCongressionalDistrict11General[[#This Row],[Richmond County Vote Results]:[Part of Kings County Vote Results]])</f>
        <v>0</v>
      </c>
      <c r="E12" s="13"/>
    </row>
    <row r="13" spans="1:5" x14ac:dyDescent="0.2">
      <c r="A13" s="4" t="s">
        <v>2</v>
      </c>
      <c r="B13" s="5">
        <v>105</v>
      </c>
      <c r="C13" s="5">
        <v>30</v>
      </c>
      <c r="D13" s="11">
        <f>SUM(RepInCongressCongressionalDistrict11General[[#This Row],[Richmond County Vote Results]:[Part of Kings County Vote Results]])</f>
        <v>135</v>
      </c>
      <c r="E13" s="13"/>
    </row>
    <row r="14" spans="1:5" hidden="1" x14ac:dyDescent="0.2">
      <c r="A14" s="4" t="s">
        <v>3</v>
      </c>
      <c r="B14" s="6">
        <f>SUBTOTAL(109,RepInCongressCongressionalDistrict11General[Richmond County Vote Results])</f>
        <v>140826</v>
      </c>
      <c r="C14" s="6">
        <f>SUBTOTAL(109,RepInCongressCongressionalDistrict11General[Part of Kings County Vote Results])</f>
        <v>54274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6810-9FEC-4E0C-B513-8E2136773A96}">
  <sheetPr>
    <pageSetUpPr fitToPage="1"/>
  </sheetPr>
  <dimension ref="A1:F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135</v>
      </c>
    </row>
    <row r="2" spans="1:6" ht="25.5" x14ac:dyDescent="0.2">
      <c r="A2" s="7" t="s">
        <v>5</v>
      </c>
      <c r="B2" s="8" t="s">
        <v>9</v>
      </c>
      <c r="C2" s="8" t="s">
        <v>10</v>
      </c>
      <c r="D2" s="8" t="s">
        <v>8</v>
      </c>
      <c r="E2" s="9" t="s">
        <v>243</v>
      </c>
      <c r="F2" s="10" t="s">
        <v>4</v>
      </c>
    </row>
    <row r="3" spans="1:6" x14ac:dyDescent="0.2">
      <c r="A3" s="2" t="s">
        <v>136</v>
      </c>
      <c r="B3" s="3">
        <v>20498</v>
      </c>
      <c r="C3" s="3">
        <v>155500</v>
      </c>
      <c r="D3" s="3">
        <v>29860</v>
      </c>
      <c r="E3" s="11">
        <f>SUM(RepInCongressCongressionalDistrict12General[[#This Row],[Part of Kings County Vote Results]:[Part of Queens County Vote Results]])</f>
        <v>205858</v>
      </c>
      <c r="F3" s="12">
        <f>SUM(RepInCongressCongressionalDistrict12General[[#This Row],[Total Votes by Party]],E6,E7)</f>
        <v>217430</v>
      </c>
    </row>
    <row r="4" spans="1:6" x14ac:dyDescent="0.2">
      <c r="A4" s="2" t="s">
        <v>137</v>
      </c>
      <c r="B4" s="3">
        <v>1577</v>
      </c>
      <c r="C4" s="3">
        <v>25582</v>
      </c>
      <c r="D4" s="3">
        <v>3287</v>
      </c>
      <c r="E4" s="11">
        <f>SUM(RepInCongressCongressionalDistrict12General[[#This Row],[Part of Kings County Vote Results]:[Part of Queens County Vote Results]])</f>
        <v>30446</v>
      </c>
      <c r="F4" s="12">
        <f>RepInCongressCongressionalDistrict12General[[#This Row],[Total Votes by Party]]</f>
        <v>30446</v>
      </c>
    </row>
    <row r="5" spans="1:6" x14ac:dyDescent="0.2">
      <c r="A5" s="2" t="s">
        <v>138</v>
      </c>
      <c r="B5" s="3">
        <v>579</v>
      </c>
      <c r="C5" s="3">
        <v>2516</v>
      </c>
      <c r="D5" s="3">
        <v>633</v>
      </c>
      <c r="E5" s="11">
        <f>SUM(RepInCongressCongressionalDistrict12General[[#This Row],[Part of Kings County Vote Results]:[Part of Queens County Vote Results]])</f>
        <v>3728</v>
      </c>
      <c r="F5" s="12">
        <f>RepInCongressCongressionalDistrict12General[[#This Row],[Total Votes by Party]]</f>
        <v>3728</v>
      </c>
    </row>
    <row r="6" spans="1:6" x14ac:dyDescent="0.2">
      <c r="A6" s="2" t="s">
        <v>139</v>
      </c>
      <c r="B6" s="3">
        <v>2379</v>
      </c>
      <c r="C6" s="3">
        <v>6749</v>
      </c>
      <c r="D6" s="3">
        <v>1844</v>
      </c>
      <c r="E6" s="11">
        <f>SUM(RepInCongressCongressionalDistrict12General[[#This Row],[Part of Kings County Vote Results]:[Part of Queens County Vote Results]])</f>
        <v>10972</v>
      </c>
      <c r="F6" s="13"/>
    </row>
    <row r="7" spans="1:6" x14ac:dyDescent="0.2">
      <c r="A7" s="2" t="s">
        <v>140</v>
      </c>
      <c r="B7" s="3">
        <v>72</v>
      </c>
      <c r="C7" s="3">
        <v>424</v>
      </c>
      <c r="D7" s="3">
        <v>104</v>
      </c>
      <c r="E7" s="11">
        <f>SUM(RepInCongressCongressionalDistrict12General[[#This Row],[Part of Kings County Vote Results]:[Part of Queens County Vote Results]])</f>
        <v>600</v>
      </c>
      <c r="F7" s="13"/>
    </row>
    <row r="8" spans="1:6" x14ac:dyDescent="0.2">
      <c r="A8" s="4" t="s">
        <v>0</v>
      </c>
      <c r="B8" s="3">
        <v>425</v>
      </c>
      <c r="C8" s="3">
        <v>2859</v>
      </c>
      <c r="D8" s="3">
        <v>1078</v>
      </c>
      <c r="E8" s="11">
        <f>SUM(RepInCongressCongressionalDistrict12General[[#This Row],[Part of Kings County Vote Results]:[Part of Queens County Vote Results]])</f>
        <v>4362</v>
      </c>
      <c r="F8" s="13"/>
    </row>
    <row r="9" spans="1:6" x14ac:dyDescent="0.2">
      <c r="A9" s="4" t="s">
        <v>1</v>
      </c>
      <c r="B9" s="3">
        <v>0</v>
      </c>
      <c r="C9" s="3">
        <v>0</v>
      </c>
      <c r="D9" s="3">
        <v>0</v>
      </c>
      <c r="E9" s="11">
        <f>SUM(RepInCongressCongressionalDistrict12General[[#This Row],[Part of Kings County Vote Results]:[Part of Queens County Vote Results]])</f>
        <v>0</v>
      </c>
      <c r="F9" s="13"/>
    </row>
    <row r="10" spans="1:6" x14ac:dyDescent="0.2">
      <c r="A10" s="4" t="s">
        <v>2</v>
      </c>
      <c r="B10" s="5">
        <v>32</v>
      </c>
      <c r="C10" s="5">
        <v>190</v>
      </c>
      <c r="D10" s="5">
        <v>51</v>
      </c>
      <c r="E10" s="11">
        <f>SUM(RepInCongressCongressionalDistrict12General[[#This Row],[Part of Kings County Vote Results]:[Part of Queens County Vote Results]])</f>
        <v>273</v>
      </c>
      <c r="F10" s="13"/>
    </row>
    <row r="11" spans="1:6" hidden="1" x14ac:dyDescent="0.2">
      <c r="A11" s="4" t="s">
        <v>3</v>
      </c>
      <c r="B11" s="6">
        <f>SUBTOTAL(109,RepInCongressCongressionalDistrict12General[Part of Kings County Vote Results])</f>
        <v>25562</v>
      </c>
      <c r="C11" s="6"/>
      <c r="D11" s="6">
        <f>SUBTOTAL(109,RepInCongressCongressionalDistrict12General[Part of Queens County Vote Results])</f>
        <v>36857</v>
      </c>
      <c r="E11" s="11">
        <f>SUM(RepInCongressCongressionalDistrict11General[[#This Row],[Richmond County Vote Results]:[Part of Kings County Vote Results]])</f>
        <v>2927</v>
      </c>
      <c r="F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D071-119F-4D3B-82AF-74BF8D09625E}">
  <sheetPr>
    <pageSetUpPr fitToPage="1"/>
  </sheetPr>
  <dimension ref="A1:E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141</v>
      </c>
    </row>
    <row r="2" spans="1:5" ht="25.5" x14ac:dyDescent="0.2">
      <c r="A2" s="7" t="s">
        <v>5</v>
      </c>
      <c r="B2" s="8" t="s">
        <v>11</v>
      </c>
      <c r="C2" s="8" t="s">
        <v>10</v>
      </c>
      <c r="D2" s="9" t="s">
        <v>243</v>
      </c>
      <c r="E2" s="10" t="s">
        <v>4</v>
      </c>
    </row>
    <row r="3" spans="1:5" x14ac:dyDescent="0.2">
      <c r="A3" s="2" t="s">
        <v>142</v>
      </c>
      <c r="B3" s="3">
        <v>30207</v>
      </c>
      <c r="C3" s="3">
        <v>141134</v>
      </c>
      <c r="D3" s="11">
        <f>SUM(RepInCongressCongressionalDistrict13General[[#This Row],[Part of Bronx County Vote Results]:[Part of New York County Vote Results]])</f>
        <v>171341</v>
      </c>
      <c r="E3" s="12">
        <f>SUM(RepInCongressCongressionalDistrict13General[[#This Row],[Total Votes by Party]],D5)</f>
        <v>180035</v>
      </c>
    </row>
    <row r="4" spans="1:5" x14ac:dyDescent="0.2">
      <c r="A4" s="2" t="s">
        <v>143</v>
      </c>
      <c r="B4" s="3">
        <v>2205</v>
      </c>
      <c r="C4" s="3">
        <v>7330</v>
      </c>
      <c r="D4" s="11">
        <f>SUM(RepInCongressCongressionalDistrict13General[[#This Row],[Part of Bronx County Vote Results]:[Part of New York County Vote Results]])</f>
        <v>9535</v>
      </c>
      <c r="E4" s="12">
        <f>SUM(RepInCongressCongressionalDistrict13General[[#This Row],[Total Votes by Party]],D6)</f>
        <v>10268</v>
      </c>
    </row>
    <row r="5" spans="1:5" x14ac:dyDescent="0.2">
      <c r="A5" s="2" t="s">
        <v>144</v>
      </c>
      <c r="B5" s="3">
        <v>935</v>
      </c>
      <c r="C5" s="3">
        <v>7759</v>
      </c>
      <c r="D5" s="11">
        <f>SUM(RepInCongressCongressionalDistrict13General[[#This Row],[Part of Bronx County Vote Results]:[Part of New York County Vote Results]])</f>
        <v>8694</v>
      </c>
      <c r="E5" s="13"/>
    </row>
    <row r="6" spans="1:5" x14ac:dyDescent="0.2">
      <c r="A6" s="2" t="s">
        <v>145</v>
      </c>
      <c r="B6" s="3">
        <v>117</v>
      </c>
      <c r="C6" s="3">
        <v>616</v>
      </c>
      <c r="D6" s="11">
        <f>SUM(RepInCongressCongressionalDistrict13General[[#This Row],[Part of Bronx County Vote Results]:[Part of New York County Vote Results]])</f>
        <v>733</v>
      </c>
      <c r="E6" s="13"/>
    </row>
    <row r="7" spans="1:5" x14ac:dyDescent="0.2">
      <c r="A7" s="4" t="s">
        <v>0</v>
      </c>
      <c r="B7" s="3">
        <v>1342</v>
      </c>
      <c r="C7" s="3">
        <v>5170</v>
      </c>
      <c r="D7" s="11">
        <f>SUM(RepInCongressCongressionalDistrict13General[[#This Row],[Part of Bronx County Vote Results]:[Part of New York County Vote Results]])</f>
        <v>6512</v>
      </c>
      <c r="E7" s="13"/>
    </row>
    <row r="8" spans="1:5" x14ac:dyDescent="0.2">
      <c r="A8" s="4" t="s">
        <v>1</v>
      </c>
      <c r="B8" s="3">
        <v>0</v>
      </c>
      <c r="C8" s="3">
        <v>0</v>
      </c>
      <c r="D8" s="11">
        <f>SUM(RepInCongressCongressionalDistrict13General[[#This Row],[Part of Bronx County Vote Results]:[Part of New York County Vote Results]])</f>
        <v>0</v>
      </c>
      <c r="E8" s="13"/>
    </row>
    <row r="9" spans="1:5" x14ac:dyDescent="0.2">
      <c r="A9" s="4" t="s">
        <v>2</v>
      </c>
      <c r="B9" s="5">
        <v>57</v>
      </c>
      <c r="C9" s="5">
        <v>328</v>
      </c>
      <c r="D9" s="11">
        <f>SUM(RepInCongressCongressionalDistrict13General[[#This Row],[Part of Bronx County Vote Results]:[Part of New York County Vote Results]])</f>
        <v>385</v>
      </c>
      <c r="E9" s="13"/>
    </row>
    <row r="10" spans="1:5" hidden="1" x14ac:dyDescent="0.2">
      <c r="A10" s="4" t="s">
        <v>3</v>
      </c>
      <c r="B10" s="6">
        <f>SUBTOTAL(109,RepInCongressCongressionalDistrict13General[Part of Bronx County Vote Results])</f>
        <v>34863</v>
      </c>
      <c r="C10" s="6">
        <f>SUBTOTAL(109,RepInCongressCongressionalDistrict13General[Part of New York County Vote Results])</f>
        <v>162337</v>
      </c>
      <c r="D10" s="11">
        <f>SUM(RepInCongressCongressionalDistrict12General[[#This Row],[Part of Kings County Vote Results]:[Part of Queens County Vote Results]])</f>
        <v>273</v>
      </c>
      <c r="E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FCD1-ADA7-4FCA-80B9-C7957D633204}">
  <sheetPr>
    <pageSetUpPr fitToPage="1"/>
  </sheetPr>
  <dimension ref="A1:E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146</v>
      </c>
    </row>
    <row r="2" spans="1:5" ht="25.5" x14ac:dyDescent="0.2">
      <c r="A2" s="7" t="s">
        <v>5</v>
      </c>
      <c r="B2" s="8" t="s">
        <v>11</v>
      </c>
      <c r="C2" s="8" t="s">
        <v>8</v>
      </c>
      <c r="D2" s="9" t="s">
        <v>243</v>
      </c>
      <c r="E2" s="10" t="s">
        <v>4</v>
      </c>
    </row>
    <row r="3" spans="1:5" x14ac:dyDescent="0.2">
      <c r="A3" s="2" t="s">
        <v>147</v>
      </c>
      <c r="B3" s="3">
        <v>38587</v>
      </c>
      <c r="C3" s="3">
        <v>71731</v>
      </c>
      <c r="D3" s="11">
        <f>SUM(RepInCongressCongressionalDistrict14General[[#This Row],[Part of Bronx County Vote Results]:[Part of Queens County Vote Results]])</f>
        <v>110318</v>
      </c>
      <c r="E3" s="12">
        <f>RepInCongressCongressionalDistrict14General[[#This Row],[Total Votes by Party]]</f>
        <v>110318</v>
      </c>
    </row>
    <row r="4" spans="1:5" x14ac:dyDescent="0.2">
      <c r="A4" s="2" t="s">
        <v>148</v>
      </c>
      <c r="B4" s="3">
        <v>7941</v>
      </c>
      <c r="C4" s="3">
        <v>11261</v>
      </c>
      <c r="D4" s="11">
        <f>SUM(RepInCongressCongressionalDistrict14General[[#This Row],[Part of Bronx County Vote Results]:[Part of Queens County Vote Results]])</f>
        <v>19202</v>
      </c>
      <c r="E4" s="12">
        <f>RepInCongressCongressionalDistrict14General[[#This Row],[Total Votes by Party]]</f>
        <v>19202</v>
      </c>
    </row>
    <row r="5" spans="1:5" x14ac:dyDescent="0.2">
      <c r="A5" s="2" t="s">
        <v>149</v>
      </c>
      <c r="B5" s="3">
        <v>1021</v>
      </c>
      <c r="C5" s="3">
        <v>1233</v>
      </c>
      <c r="D5" s="11">
        <f>SUM(RepInCongressCongressionalDistrict14General[[#This Row],[Part of Bronx County Vote Results]:[Part of Queens County Vote Results]])</f>
        <v>2254</v>
      </c>
      <c r="E5" s="12">
        <f>RepInCongressCongressionalDistrict14General[[#This Row],[Total Votes by Party]]</f>
        <v>2254</v>
      </c>
    </row>
    <row r="6" spans="1:5" x14ac:dyDescent="0.2">
      <c r="A6" s="2" t="s">
        <v>150</v>
      </c>
      <c r="B6" s="3">
        <v>2993</v>
      </c>
      <c r="C6" s="3">
        <v>5082</v>
      </c>
      <c r="D6" s="11">
        <f>SUM(RepInCongressCongressionalDistrict14General[[#This Row],[Part of Bronx County Vote Results]:[Part of Queens County Vote Results]])</f>
        <v>8075</v>
      </c>
      <c r="E6" s="12">
        <f>SUM(RepInCongressCongressionalDistrict14General[[#This Row],[Total Votes by Party]],D7)</f>
        <v>9348</v>
      </c>
    </row>
    <row r="7" spans="1:5" x14ac:dyDescent="0.2">
      <c r="A7" s="2" t="s">
        <v>151</v>
      </c>
      <c r="B7" s="3">
        <v>608</v>
      </c>
      <c r="C7" s="3">
        <v>665</v>
      </c>
      <c r="D7" s="11">
        <f>SUM(RepInCongressCongressionalDistrict14General[[#This Row],[Part of Bronx County Vote Results]:[Part of Queens County Vote Results]])</f>
        <v>1273</v>
      </c>
      <c r="E7" s="13"/>
    </row>
    <row r="8" spans="1:5" x14ac:dyDescent="0.2">
      <c r="A8" s="4" t="s">
        <v>0</v>
      </c>
      <c r="B8" s="3">
        <v>1475</v>
      </c>
      <c r="C8" s="3">
        <v>3593</v>
      </c>
      <c r="D8" s="11">
        <f>SUM(RepInCongressCongressionalDistrict14General[[#This Row],[Part of Bronx County Vote Results]:[Part of Queens County Vote Results]])</f>
        <v>5068</v>
      </c>
      <c r="E8" s="13"/>
    </row>
    <row r="9" spans="1:5" x14ac:dyDescent="0.2">
      <c r="A9" s="4" t="s">
        <v>1</v>
      </c>
      <c r="B9" s="3">
        <v>0</v>
      </c>
      <c r="C9" s="3">
        <v>0</v>
      </c>
      <c r="D9" s="11">
        <f>SUM(RepInCongressCongressionalDistrict14General[[#This Row],[Part of Bronx County Vote Results]:[Part of Queens County Vote Results]])</f>
        <v>0</v>
      </c>
      <c r="E9" s="13"/>
    </row>
    <row r="10" spans="1:5" x14ac:dyDescent="0.2">
      <c r="A10" s="4" t="s">
        <v>2</v>
      </c>
      <c r="B10" s="5">
        <v>28</v>
      </c>
      <c r="C10" s="5">
        <v>54</v>
      </c>
      <c r="D10" s="11">
        <f>SUM(RepInCongressCongressionalDistrict14General[[#This Row],[Part of Bronx County Vote Results]:[Part of Queens County Vote Results]])</f>
        <v>82</v>
      </c>
      <c r="E10" s="13"/>
    </row>
    <row r="11" spans="1:5" hidden="1" x14ac:dyDescent="0.2">
      <c r="A11" s="4" t="s">
        <v>3</v>
      </c>
      <c r="B11" s="6">
        <f>SUBTOTAL(109,RepInCongressCongressionalDistrict14General[Part of Bronx County Vote Results])</f>
        <v>52653</v>
      </c>
      <c r="C11" s="6">
        <f>SUBTOTAL(109,RepInCongressCongressionalDistrict14General[Part of Queens County Vote Results])</f>
        <v>93619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164B-B12E-480E-8935-AA7D81FDB309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152</v>
      </c>
    </row>
    <row r="2" spans="1:4" ht="24.95" customHeight="1" x14ac:dyDescent="0.2">
      <c r="A2" s="7" t="s">
        <v>5</v>
      </c>
      <c r="B2" s="8" t="s">
        <v>11</v>
      </c>
      <c r="C2" s="9" t="s">
        <v>243</v>
      </c>
      <c r="D2" s="10" t="s">
        <v>4</v>
      </c>
    </row>
    <row r="3" spans="1:4" x14ac:dyDescent="0.2">
      <c r="A3" s="2" t="s">
        <v>153</v>
      </c>
      <c r="B3" s="3">
        <v>122007</v>
      </c>
      <c r="C3" s="11">
        <f>RepInCongressCongressionalDistrict15General[[#This Row],[Part of Bronx County Vote Results]]</f>
        <v>122007</v>
      </c>
      <c r="D3" s="12">
        <f>SUM(RepInCongressCongressionalDistrict15General[[#This Row],[Total Votes by Party]],C6)</f>
        <v>124469</v>
      </c>
    </row>
    <row r="4" spans="1:4" x14ac:dyDescent="0.2">
      <c r="A4" s="2" t="s">
        <v>154</v>
      </c>
      <c r="B4" s="3">
        <v>4566</v>
      </c>
      <c r="C4" s="11">
        <f>RepInCongressCongressionalDistrict15General[[#This Row],[Part of Bronx County Vote Results]]</f>
        <v>4566</v>
      </c>
      <c r="D4" s="12">
        <f>SUM(RepInCongressCongressionalDistrict15General[[#This Row],[Total Votes by Party]],C5)</f>
        <v>5205</v>
      </c>
    </row>
    <row r="5" spans="1:4" x14ac:dyDescent="0.2">
      <c r="A5" s="2" t="s">
        <v>155</v>
      </c>
      <c r="B5" s="3">
        <v>639</v>
      </c>
      <c r="C5" s="11">
        <f>RepInCongressCongressionalDistrict15General[[#This Row],[Part of Bronx County Vote Results]]</f>
        <v>639</v>
      </c>
      <c r="D5" s="13"/>
    </row>
    <row r="6" spans="1:4" x14ac:dyDescent="0.2">
      <c r="A6" s="2" t="s">
        <v>156</v>
      </c>
      <c r="B6" s="3">
        <v>2462</v>
      </c>
      <c r="C6" s="11">
        <f>RepInCongressCongressionalDistrict15General[[#This Row],[Part of Bronx County Vote Results]]</f>
        <v>2462</v>
      </c>
      <c r="D6" s="13"/>
    </row>
    <row r="7" spans="1:4" x14ac:dyDescent="0.2">
      <c r="A7" s="4" t="s">
        <v>0</v>
      </c>
      <c r="B7" s="5">
        <v>4162</v>
      </c>
      <c r="C7" s="11">
        <f>RepInCongressCongressionalDistrict15General[[#This Row],[Part of Bronx County Vote Results]]</f>
        <v>4162</v>
      </c>
      <c r="D7" s="13"/>
    </row>
    <row r="8" spans="1:4" x14ac:dyDescent="0.2">
      <c r="A8" s="4" t="s">
        <v>1</v>
      </c>
      <c r="B8" s="5">
        <v>0</v>
      </c>
      <c r="C8" s="11">
        <f>RepInCongressCongressionalDistrict15General[[#This Row],[Part of Bronx County Vote Results]]</f>
        <v>0</v>
      </c>
      <c r="D8" s="13"/>
    </row>
    <row r="9" spans="1:4" x14ac:dyDescent="0.2">
      <c r="A9" s="4" t="s">
        <v>2</v>
      </c>
      <c r="B9" s="5">
        <v>77</v>
      </c>
      <c r="C9" s="11">
        <f>RepInCongressCongressionalDistrict15General[[#This Row],[Part of Bronx County Vote Results]]</f>
        <v>77</v>
      </c>
      <c r="D9" s="13"/>
    </row>
    <row r="10" spans="1:4" hidden="1" x14ac:dyDescent="0.2">
      <c r="A10" s="4" t="s">
        <v>3</v>
      </c>
      <c r="B10" s="6">
        <f>SUBTOTAL(109,RepInCongressCongressionalDistrict15General[Total Votes by Candidate])</f>
        <v>129674</v>
      </c>
      <c r="C10" s="11">
        <f>SUM(RepInCongressCongressionalDistrict14General[[#This Row],[Part of Bronx County Vote Results]:[Part of Queens County Vote Results]])</f>
        <v>82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8681-0909-4972-9D99-267675C27B06}">
  <sheetPr>
    <pageSetUpPr fitToPage="1"/>
  </sheetPr>
  <dimension ref="A1:E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157</v>
      </c>
    </row>
    <row r="2" spans="1:5" ht="25.5" x14ac:dyDescent="0.2">
      <c r="A2" s="7" t="s">
        <v>5</v>
      </c>
      <c r="B2" s="8" t="s">
        <v>11</v>
      </c>
      <c r="C2" s="8" t="s">
        <v>12</v>
      </c>
      <c r="D2" s="9" t="s">
        <v>243</v>
      </c>
      <c r="E2" s="10" t="s">
        <v>4</v>
      </c>
    </row>
    <row r="3" spans="1:5" x14ac:dyDescent="0.2">
      <c r="A3" s="2" t="s">
        <v>158</v>
      </c>
      <c r="B3" s="3">
        <v>62621</v>
      </c>
      <c r="C3" s="3">
        <v>110194</v>
      </c>
      <c r="D3" s="11">
        <f>SUM(RepInCongressCongressionalDistrict16General[[#This Row],[Part of Bronx County Vote Results]:[Part of Westchester County Vote Results]])</f>
        <v>172815</v>
      </c>
      <c r="E3" s="12">
        <f>SUM(RepInCongressCongressionalDistrict16General[[#This Row],[Total Votes by Party]],D4,D5)</f>
        <v>182044</v>
      </c>
    </row>
    <row r="4" spans="1:5" x14ac:dyDescent="0.2">
      <c r="A4" s="2" t="s">
        <v>159</v>
      </c>
      <c r="B4" s="3">
        <v>1949</v>
      </c>
      <c r="C4" s="3">
        <v>4806</v>
      </c>
      <c r="D4" s="11">
        <f>SUM(RepInCongressCongressionalDistrict16General[[#This Row],[Part of Bronx County Vote Results]:[Part of Westchester County Vote Results]])</f>
        <v>6755</v>
      </c>
      <c r="E4" s="13"/>
    </row>
    <row r="5" spans="1:5" x14ac:dyDescent="0.2">
      <c r="A5" s="2" t="s">
        <v>160</v>
      </c>
      <c r="B5" s="3">
        <v>596</v>
      </c>
      <c r="C5" s="3">
        <v>1878</v>
      </c>
      <c r="D5" s="11">
        <f>SUM(RepInCongressCongressionalDistrict16General[[#This Row],[Part of Bronx County Vote Results]:[Part of Westchester County Vote Results]])</f>
        <v>2474</v>
      </c>
      <c r="E5" s="13"/>
    </row>
    <row r="6" spans="1:5" x14ac:dyDescent="0.2">
      <c r="A6" s="4" t="s">
        <v>0</v>
      </c>
      <c r="B6" s="3">
        <v>5737</v>
      </c>
      <c r="C6" s="3">
        <v>37245</v>
      </c>
      <c r="D6" s="11">
        <f>SUM(RepInCongressCongressionalDistrict16General[[#This Row],[Part of Bronx County Vote Results]:[Part of Westchester County Vote Results]])</f>
        <v>42982</v>
      </c>
      <c r="E6" s="13"/>
    </row>
    <row r="7" spans="1:5" x14ac:dyDescent="0.2">
      <c r="A7" s="4" t="s">
        <v>1</v>
      </c>
      <c r="B7" s="3">
        <v>0</v>
      </c>
      <c r="C7" s="3">
        <v>0</v>
      </c>
      <c r="D7" s="11">
        <f>SUM(RepInCongressCongressionalDistrict16General[[#This Row],[Part of Bronx County Vote Results]:[Part of Westchester County Vote Results]])</f>
        <v>0</v>
      </c>
      <c r="E7" s="13"/>
    </row>
    <row r="8" spans="1:5" x14ac:dyDescent="0.2">
      <c r="A8" s="4" t="s">
        <v>2</v>
      </c>
      <c r="B8" s="5">
        <v>246</v>
      </c>
      <c r="C8" s="5">
        <v>1066</v>
      </c>
      <c r="D8" s="11">
        <f>SUM(RepInCongressCongressionalDistrict16General[[#This Row],[Part of Bronx County Vote Results]:[Part of Westchester County Vote Results]])</f>
        <v>1312</v>
      </c>
      <c r="E8" s="13"/>
    </row>
    <row r="9" spans="1:5" hidden="1" x14ac:dyDescent="0.2">
      <c r="A9" s="4" t="s">
        <v>3</v>
      </c>
      <c r="B9" s="6">
        <f>SUBTOTAL(109,RepInCongressCongressionalDistrict16General[Part of Bronx County Vote Results])</f>
        <v>71149</v>
      </c>
      <c r="C9" s="6">
        <f>SUBTOTAL(109,RepInCongressCongressionalDistrict16General[Part of Westchester County Vote Results])</f>
        <v>155189</v>
      </c>
      <c r="D9" s="11">
        <f>RepInCongressCongressionalDistrict15General[[#This Row],[Part of Bronx County Vote Results]]</f>
        <v>77</v>
      </c>
      <c r="E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75DB-BB47-45B1-A0A8-557E2E88EE14}">
  <sheetPr>
    <pageSetUpPr fitToPage="1"/>
  </sheetPr>
  <dimension ref="A1:E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161</v>
      </c>
    </row>
    <row r="2" spans="1:5" ht="25.5" x14ac:dyDescent="0.2">
      <c r="A2" s="7" t="s">
        <v>5</v>
      </c>
      <c r="B2" s="8" t="s">
        <v>43</v>
      </c>
      <c r="C2" s="8" t="s">
        <v>12</v>
      </c>
      <c r="D2" s="9" t="s">
        <v>243</v>
      </c>
      <c r="E2" s="10" t="s">
        <v>4</v>
      </c>
    </row>
    <row r="3" spans="1:5" x14ac:dyDescent="0.2">
      <c r="A3" s="2" t="s">
        <v>162</v>
      </c>
      <c r="B3" s="3">
        <v>58607</v>
      </c>
      <c r="C3" s="3">
        <v>101316</v>
      </c>
      <c r="D3" s="11">
        <f>SUM(RepInCongressCongressionalDistrict17General[[#This Row],[Rockland County Vote Results]:[Part of Westchester County Vote Results]])</f>
        <v>159923</v>
      </c>
      <c r="E3" s="12">
        <f>SUM(RepInCongressCongressionalDistrict17General[[#This Row],[Total Votes by Party]],D4,D5)</f>
        <v>170168</v>
      </c>
    </row>
    <row r="4" spans="1:5" x14ac:dyDescent="0.2">
      <c r="A4" s="2" t="s">
        <v>163</v>
      </c>
      <c r="B4" s="3">
        <v>2857</v>
      </c>
      <c r="C4" s="3">
        <v>4479</v>
      </c>
      <c r="D4" s="11">
        <f>SUM(RepInCongressCongressionalDistrict17General[[#This Row],[Rockland County Vote Results]:[Part of Westchester County Vote Results]])</f>
        <v>7336</v>
      </c>
      <c r="E4" s="13"/>
    </row>
    <row r="5" spans="1:5" x14ac:dyDescent="0.2">
      <c r="A5" s="2" t="s">
        <v>164</v>
      </c>
      <c r="B5" s="3">
        <v>1213</v>
      </c>
      <c r="C5" s="3">
        <v>1696</v>
      </c>
      <c r="D5" s="11">
        <f>SUM(RepInCongressCongressionalDistrict17General[[#This Row],[Rockland County Vote Results]:[Part of Westchester County Vote Results]])</f>
        <v>2909</v>
      </c>
      <c r="E5" s="13"/>
    </row>
    <row r="6" spans="1:5" x14ac:dyDescent="0.2">
      <c r="A6" s="2" t="s">
        <v>165</v>
      </c>
      <c r="B6" s="3">
        <v>12444</v>
      </c>
      <c r="C6" s="3">
        <v>10706</v>
      </c>
      <c r="D6" s="11">
        <f>SUM(RepInCongressCongressionalDistrict17General[[#This Row],[Rockland County Vote Results]:[Part of Westchester County Vote Results]])</f>
        <v>23150</v>
      </c>
      <c r="E6" s="12">
        <f>RepInCongressCongressionalDistrict17General[[#This Row],[Total Votes by Party]]</f>
        <v>23150</v>
      </c>
    </row>
    <row r="7" spans="1:5" x14ac:dyDescent="0.2">
      <c r="A7" s="4" t="s">
        <v>0</v>
      </c>
      <c r="B7" s="3">
        <v>28712</v>
      </c>
      <c r="C7" s="3">
        <v>34637</v>
      </c>
      <c r="D7" s="11">
        <f>SUM(RepInCongressCongressionalDistrict17General[[#This Row],[Rockland County Vote Results]:[Part of Westchester County Vote Results]])</f>
        <v>63349</v>
      </c>
      <c r="E7" s="13"/>
    </row>
    <row r="8" spans="1:5" x14ac:dyDescent="0.2">
      <c r="A8" s="4" t="s">
        <v>1</v>
      </c>
      <c r="B8" s="3">
        <v>31</v>
      </c>
      <c r="C8" s="3">
        <v>0</v>
      </c>
      <c r="D8" s="11">
        <f>SUM(RepInCongressCongressionalDistrict17General[[#This Row],[Rockland County Vote Results]:[Part of Westchester County Vote Results]])</f>
        <v>31</v>
      </c>
      <c r="E8" s="13"/>
    </row>
    <row r="9" spans="1:5" x14ac:dyDescent="0.2">
      <c r="A9" s="4" t="s">
        <v>2</v>
      </c>
      <c r="B9" s="5">
        <v>189</v>
      </c>
      <c r="C9" s="5">
        <v>334</v>
      </c>
      <c r="D9" s="11">
        <f>SUM(RepInCongressCongressionalDistrict17General[[#This Row],[Rockland County Vote Results]:[Part of Westchester County Vote Results]])</f>
        <v>523</v>
      </c>
      <c r="E9" s="13"/>
    </row>
    <row r="10" spans="1:5" hidden="1" x14ac:dyDescent="0.2">
      <c r="A10" s="4" t="s">
        <v>3</v>
      </c>
      <c r="B10" s="6">
        <f>SUBTOTAL(109,RepInCongressCongressionalDistrict17General[Rockland County Vote Results])</f>
        <v>104053</v>
      </c>
      <c r="C10" s="6">
        <f>SUBTOTAL(109,RepInCongressCongressionalDistrict17General[Part of Westchester County Vote Results])</f>
        <v>153168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15AE-67CA-4C17-9207-132B2124528A}">
  <sheetPr>
    <pageSetUpPr fitToPage="1"/>
  </sheetPr>
  <dimension ref="A1:G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166</v>
      </c>
    </row>
    <row r="2" spans="1:7" ht="25.5" x14ac:dyDescent="0.2">
      <c r="A2" s="7" t="s">
        <v>5</v>
      </c>
      <c r="B2" s="8" t="s">
        <v>44</v>
      </c>
      <c r="C2" s="8" t="s">
        <v>45</v>
      </c>
      <c r="D2" s="8" t="s">
        <v>16</v>
      </c>
      <c r="E2" s="8" t="s">
        <v>12</v>
      </c>
      <c r="F2" s="9" t="s">
        <v>243</v>
      </c>
      <c r="G2" s="10" t="s">
        <v>4</v>
      </c>
    </row>
    <row r="3" spans="1:7" x14ac:dyDescent="0.2">
      <c r="A3" s="2" t="s">
        <v>167</v>
      </c>
      <c r="B3" s="3">
        <v>57413</v>
      </c>
      <c r="C3" s="3">
        <v>17242</v>
      </c>
      <c r="D3" s="3">
        <v>33202</v>
      </c>
      <c r="E3" s="3">
        <v>18511</v>
      </c>
      <c r="F3" s="11">
        <f>SUM(RepInCongressCongressionalDistrict18General[[#This Row],[Orange County Vote Results]:[Part of Westchester County Vote Results]])</f>
        <v>126368</v>
      </c>
      <c r="G3" s="12">
        <f>SUM(RepInCongressCongressionalDistrict18General[[#This Row],[Total Votes by Party]],F6,F7,F8)</f>
        <v>139564</v>
      </c>
    </row>
    <row r="4" spans="1:7" x14ac:dyDescent="0.2">
      <c r="A4" s="2" t="s">
        <v>168</v>
      </c>
      <c r="B4" s="3">
        <v>47444</v>
      </c>
      <c r="C4" s="3">
        <v>16859</v>
      </c>
      <c r="D4" s="3">
        <v>21963</v>
      </c>
      <c r="E4" s="3">
        <v>10079</v>
      </c>
      <c r="F4" s="11">
        <f>SUM(RepInCongressCongressionalDistrict18General[[#This Row],[Orange County Vote Results]:[Part of Westchester County Vote Results]])</f>
        <v>96345</v>
      </c>
      <c r="G4" s="12">
        <f>SUM(RepInCongressCongressionalDistrict18General[[#This Row],[Total Votes by Party]],F5,F9)</f>
        <v>112035</v>
      </c>
    </row>
    <row r="5" spans="1:7" x14ac:dyDescent="0.2">
      <c r="A5" s="2" t="s">
        <v>169</v>
      </c>
      <c r="B5" s="3">
        <v>6728</v>
      </c>
      <c r="C5" s="3">
        <v>2625</v>
      </c>
      <c r="D5" s="3">
        <v>3723</v>
      </c>
      <c r="E5" s="3">
        <v>1408</v>
      </c>
      <c r="F5" s="11">
        <f>SUM(RepInCongressCongressionalDistrict18General[[#This Row],[Orange County Vote Results]:[Part of Westchester County Vote Results]])</f>
        <v>14484</v>
      </c>
      <c r="G5" s="13"/>
    </row>
    <row r="6" spans="1:7" x14ac:dyDescent="0.2">
      <c r="A6" s="2" t="s">
        <v>170</v>
      </c>
      <c r="B6" s="3">
        <v>1691</v>
      </c>
      <c r="C6" s="3">
        <v>656</v>
      </c>
      <c r="D6" s="3">
        <v>1201</v>
      </c>
      <c r="E6" s="3">
        <v>381</v>
      </c>
      <c r="F6" s="11">
        <f>SUM(RepInCongressCongressionalDistrict18General[[#This Row],[Orange County Vote Results]:[Part of Westchester County Vote Results]])</f>
        <v>3929</v>
      </c>
      <c r="G6" s="13"/>
    </row>
    <row r="7" spans="1:7" x14ac:dyDescent="0.2">
      <c r="A7" s="2" t="s">
        <v>171</v>
      </c>
      <c r="B7" s="3">
        <v>5549</v>
      </c>
      <c r="C7" s="3">
        <v>707</v>
      </c>
      <c r="D7" s="3">
        <v>1030</v>
      </c>
      <c r="E7" s="3">
        <v>440</v>
      </c>
      <c r="F7" s="11">
        <f>SUM(RepInCongressCongressionalDistrict18General[[#This Row],[Orange County Vote Results]:[Part of Westchester County Vote Results]])</f>
        <v>7726</v>
      </c>
      <c r="G7" s="13"/>
    </row>
    <row r="8" spans="1:7" x14ac:dyDescent="0.2">
      <c r="A8" s="2" t="s">
        <v>172</v>
      </c>
      <c r="B8" s="3">
        <v>707</v>
      </c>
      <c r="C8" s="3">
        <v>267</v>
      </c>
      <c r="D8" s="3">
        <v>388</v>
      </c>
      <c r="E8" s="3">
        <v>179</v>
      </c>
      <c r="F8" s="11">
        <f>SUM(RepInCongressCongressionalDistrict18General[[#This Row],[Orange County Vote Results]:[Part of Westchester County Vote Results]])</f>
        <v>1541</v>
      </c>
      <c r="G8" s="13"/>
    </row>
    <row r="9" spans="1:7" x14ac:dyDescent="0.2">
      <c r="A9" s="2" t="s">
        <v>173</v>
      </c>
      <c r="B9" s="3">
        <v>774</v>
      </c>
      <c r="C9" s="3">
        <v>130</v>
      </c>
      <c r="D9" s="3">
        <v>225</v>
      </c>
      <c r="E9" s="3">
        <v>77</v>
      </c>
      <c r="F9" s="11">
        <f>SUM(RepInCongressCongressionalDistrict18General[[#This Row],[Orange County Vote Results]:[Part of Westchester County Vote Results]])</f>
        <v>1206</v>
      </c>
      <c r="G9" s="13"/>
    </row>
    <row r="10" spans="1:7" x14ac:dyDescent="0.2">
      <c r="A10" s="4" t="s">
        <v>0</v>
      </c>
      <c r="B10" s="3">
        <v>5579</v>
      </c>
      <c r="C10" s="3">
        <v>1287</v>
      </c>
      <c r="D10" s="3">
        <v>2254</v>
      </c>
      <c r="E10" s="3">
        <v>482</v>
      </c>
      <c r="F10" s="11">
        <f>SUM(RepInCongressCongressionalDistrict18General[[#This Row],[Orange County Vote Results]:[Part of Westchester County Vote Results]])</f>
        <v>9602</v>
      </c>
      <c r="G10" s="13"/>
    </row>
    <row r="11" spans="1:7" x14ac:dyDescent="0.2">
      <c r="A11" s="4" t="s">
        <v>1</v>
      </c>
      <c r="B11" s="3">
        <v>0</v>
      </c>
      <c r="C11" s="3">
        <v>0</v>
      </c>
      <c r="D11" s="3">
        <v>29</v>
      </c>
      <c r="E11" s="3">
        <v>0</v>
      </c>
      <c r="F11" s="11">
        <f>SUM(RepInCongressCongressionalDistrict18General[[#This Row],[Orange County Vote Results]:[Part of Westchester County Vote Results]])</f>
        <v>29</v>
      </c>
      <c r="G11" s="13"/>
    </row>
    <row r="12" spans="1:7" x14ac:dyDescent="0.2">
      <c r="A12" s="4" t="s">
        <v>2</v>
      </c>
      <c r="B12" s="5">
        <v>39</v>
      </c>
      <c r="C12" s="5">
        <v>11</v>
      </c>
      <c r="D12" s="5">
        <v>24</v>
      </c>
      <c r="E12" s="5">
        <v>17</v>
      </c>
      <c r="F12" s="11">
        <f>SUM(RepInCongressCongressionalDistrict18General[[#This Row],[Orange County Vote Results]:[Part of Westchester County Vote Results]])</f>
        <v>91</v>
      </c>
      <c r="G12" s="13"/>
    </row>
    <row r="13" spans="1:7" hidden="1" x14ac:dyDescent="0.2">
      <c r="A13" s="4" t="s">
        <v>3</v>
      </c>
      <c r="B13" s="6">
        <f>SUBTOTAL(109,RepInCongressCongressionalDistrict18General[Orange County Vote Results])</f>
        <v>125924</v>
      </c>
      <c r="C13" s="6"/>
      <c r="D13" s="6"/>
      <c r="E13" s="6">
        <f>SUBTOTAL(109,RepInCongressCongressionalDistrict18General[Part of Westchester County Vote Results])</f>
        <v>31574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06BE-F025-4B05-9CCF-98CBA7FDDBE2}">
  <sheetPr>
    <pageSetUpPr fitToPage="1"/>
  </sheetPr>
  <dimension ref="A1:N15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14" width="20.5703125" customWidth="1"/>
    <col min="15" max="16" width="23.5703125" customWidth="1"/>
  </cols>
  <sheetData>
    <row r="1" spans="1:14" ht="24.75" customHeight="1" x14ac:dyDescent="0.2">
      <c r="A1" s="1" t="s">
        <v>174</v>
      </c>
    </row>
    <row r="2" spans="1:14" ht="25.5" x14ac:dyDescent="0.2">
      <c r="A2" s="7" t="s">
        <v>5</v>
      </c>
      <c r="B2" s="8" t="s">
        <v>46</v>
      </c>
      <c r="C2" s="8" t="s">
        <v>47</v>
      </c>
      <c r="D2" s="8" t="s">
        <v>14</v>
      </c>
      <c r="E2" s="8" t="s">
        <v>48</v>
      </c>
      <c r="F2" s="8" t="s">
        <v>15</v>
      </c>
      <c r="G2" s="8" t="s">
        <v>49</v>
      </c>
      <c r="H2" s="8" t="s">
        <v>50</v>
      </c>
      <c r="I2" s="8" t="s">
        <v>28</v>
      </c>
      <c r="J2" s="8" t="s">
        <v>16</v>
      </c>
      <c r="K2" s="8" t="s">
        <v>51</v>
      </c>
      <c r="L2" s="8" t="s">
        <v>17</v>
      </c>
      <c r="M2" s="9" t="s">
        <v>243</v>
      </c>
      <c r="N2" s="10" t="s">
        <v>4</v>
      </c>
    </row>
    <row r="3" spans="1:14" x14ac:dyDescent="0.2">
      <c r="A3" s="2" t="s">
        <v>175</v>
      </c>
      <c r="B3" s="3">
        <v>15331</v>
      </c>
      <c r="C3" s="3">
        <v>6801</v>
      </c>
      <c r="D3" s="3">
        <v>7334</v>
      </c>
      <c r="E3" s="3">
        <v>9939</v>
      </c>
      <c r="F3" s="3">
        <v>4204</v>
      </c>
      <c r="G3" s="3">
        <v>11242</v>
      </c>
      <c r="H3" s="3">
        <v>43312</v>
      </c>
      <c r="I3" s="3">
        <v>280</v>
      </c>
      <c r="J3" s="3">
        <v>24077</v>
      </c>
      <c r="K3" s="3">
        <v>1515</v>
      </c>
      <c r="L3" s="3">
        <v>11547</v>
      </c>
      <c r="M3" s="11">
        <f>SUM(RepInCongressCongressionalDistrict19General[[#This Row],[Columbia County Vote Results]:[Part of Rensselaer County Vote Results]])</f>
        <v>135582</v>
      </c>
      <c r="N3" s="12">
        <f>SUM(RepInCongressCongressionalDistrict19General[[#This Row],[Total Votes by Party]],M7,M9)</f>
        <v>147873</v>
      </c>
    </row>
    <row r="4" spans="1:14" x14ac:dyDescent="0.2">
      <c r="A4" s="2" t="s">
        <v>176</v>
      </c>
      <c r="B4" s="3">
        <v>10012</v>
      </c>
      <c r="C4" s="3">
        <v>8522</v>
      </c>
      <c r="D4" s="3">
        <v>9187</v>
      </c>
      <c r="E4" s="3">
        <v>9462</v>
      </c>
      <c r="F4" s="3">
        <v>6046</v>
      </c>
      <c r="G4" s="3">
        <v>10653</v>
      </c>
      <c r="H4" s="3">
        <v>24031</v>
      </c>
      <c r="I4" s="3">
        <v>456</v>
      </c>
      <c r="J4" s="3">
        <v>19257</v>
      </c>
      <c r="K4" s="3">
        <v>2512</v>
      </c>
      <c r="L4" s="3">
        <v>12166</v>
      </c>
      <c r="M4" s="11">
        <f>SUM(RepInCongressCongressionalDistrict19General[[#This Row],[Columbia County Vote Results]:[Part of Rensselaer County Vote Results]])</f>
        <v>112304</v>
      </c>
      <c r="N4" s="12">
        <f>SUM(RepInCongressCongressionalDistrict19General[[#This Row],[Total Votes by Party]],M5,M8,M10)</f>
        <v>132873</v>
      </c>
    </row>
    <row r="5" spans="1:14" x14ac:dyDescent="0.2">
      <c r="A5" s="2" t="s">
        <v>178</v>
      </c>
      <c r="B5" s="3">
        <v>1729</v>
      </c>
      <c r="C5" s="3">
        <v>645</v>
      </c>
      <c r="D5" s="3">
        <v>1444</v>
      </c>
      <c r="E5" s="3">
        <v>867</v>
      </c>
      <c r="F5" s="3">
        <v>1030</v>
      </c>
      <c r="G5" s="3">
        <v>1209</v>
      </c>
      <c r="H5" s="3">
        <v>3959</v>
      </c>
      <c r="I5" s="3">
        <v>30</v>
      </c>
      <c r="J5" s="3">
        <v>3054</v>
      </c>
      <c r="K5" s="3">
        <v>333</v>
      </c>
      <c r="L5" s="3">
        <v>2606</v>
      </c>
      <c r="M5" s="11">
        <f>SUM(RepInCongressCongressionalDistrict19General[[#This Row],[Columbia County Vote Results]:[Part of Rensselaer County Vote Results]])</f>
        <v>16906</v>
      </c>
      <c r="N5" s="13"/>
    </row>
    <row r="6" spans="1:14" x14ac:dyDescent="0.2">
      <c r="A6" s="2" t="s">
        <v>177</v>
      </c>
      <c r="B6" s="3">
        <v>416</v>
      </c>
      <c r="C6" s="3">
        <v>275</v>
      </c>
      <c r="D6" s="3">
        <v>375</v>
      </c>
      <c r="E6" s="3">
        <v>332</v>
      </c>
      <c r="F6" s="3">
        <v>250</v>
      </c>
      <c r="G6" s="3">
        <v>333</v>
      </c>
      <c r="H6" s="3">
        <v>999</v>
      </c>
      <c r="I6" s="3">
        <v>9</v>
      </c>
      <c r="J6" s="3">
        <v>506</v>
      </c>
      <c r="K6" s="3">
        <v>125</v>
      </c>
      <c r="L6" s="3">
        <v>693</v>
      </c>
      <c r="M6" s="11">
        <f>SUM(RepInCongressCongressionalDistrict19General[[#This Row],[Columbia County Vote Results]:[Part of Rensselaer County Vote Results]])</f>
        <v>4313</v>
      </c>
      <c r="N6" s="12">
        <f>RepInCongressCongressionalDistrict19General[[#This Row],[Total Votes by Party]]</f>
        <v>4313</v>
      </c>
    </row>
    <row r="7" spans="1:14" x14ac:dyDescent="0.2">
      <c r="A7" s="2" t="s">
        <v>179</v>
      </c>
      <c r="B7" s="3">
        <v>1081</v>
      </c>
      <c r="C7" s="3">
        <v>377</v>
      </c>
      <c r="D7" s="3">
        <v>538</v>
      </c>
      <c r="E7" s="3">
        <v>491</v>
      </c>
      <c r="F7" s="3">
        <v>290</v>
      </c>
      <c r="G7" s="3">
        <v>598</v>
      </c>
      <c r="H7" s="3">
        <v>3820</v>
      </c>
      <c r="I7" s="3">
        <v>23</v>
      </c>
      <c r="J7" s="3">
        <v>1021</v>
      </c>
      <c r="K7" s="3">
        <v>103</v>
      </c>
      <c r="L7" s="3">
        <v>895</v>
      </c>
      <c r="M7" s="11">
        <f>SUM(RepInCongressCongressionalDistrict19General[[#This Row],[Columbia County Vote Results]:[Part of Rensselaer County Vote Results]])</f>
        <v>9237</v>
      </c>
      <c r="N7" s="13"/>
    </row>
    <row r="8" spans="1:14" x14ac:dyDescent="0.2">
      <c r="A8" s="2" t="s">
        <v>180</v>
      </c>
      <c r="B8" s="3">
        <v>323</v>
      </c>
      <c r="C8" s="3">
        <v>130</v>
      </c>
      <c r="D8" s="3">
        <v>169</v>
      </c>
      <c r="E8" s="3">
        <v>195</v>
      </c>
      <c r="F8" s="3">
        <v>121</v>
      </c>
      <c r="G8" s="3">
        <v>341</v>
      </c>
      <c r="H8" s="3">
        <v>849</v>
      </c>
      <c r="I8" s="3">
        <v>6</v>
      </c>
      <c r="J8" s="3">
        <v>402</v>
      </c>
      <c r="K8" s="3">
        <v>47</v>
      </c>
      <c r="L8" s="3">
        <v>426</v>
      </c>
      <c r="M8" s="11">
        <f>SUM(RepInCongressCongressionalDistrict19General[[#This Row],[Columbia County Vote Results]:[Part of Rensselaer County Vote Results]])</f>
        <v>3009</v>
      </c>
      <c r="N8" s="13"/>
    </row>
    <row r="9" spans="1:14" x14ac:dyDescent="0.2">
      <c r="A9" s="2" t="s">
        <v>181</v>
      </c>
      <c r="B9" s="3">
        <v>329</v>
      </c>
      <c r="C9" s="3">
        <v>160</v>
      </c>
      <c r="D9" s="3">
        <v>194</v>
      </c>
      <c r="E9" s="3">
        <v>256</v>
      </c>
      <c r="F9" s="3">
        <v>111</v>
      </c>
      <c r="G9" s="3">
        <v>228</v>
      </c>
      <c r="H9" s="3">
        <v>940</v>
      </c>
      <c r="I9" s="3">
        <v>11</v>
      </c>
      <c r="J9" s="3">
        <v>423</v>
      </c>
      <c r="K9" s="3">
        <v>36</v>
      </c>
      <c r="L9" s="3">
        <v>366</v>
      </c>
      <c r="M9" s="11">
        <f>SUM(RepInCongressCongressionalDistrict19General[[#This Row],[Columbia County Vote Results]:[Part of Rensselaer County Vote Results]])</f>
        <v>3054</v>
      </c>
      <c r="N9" s="13"/>
    </row>
    <row r="10" spans="1:14" x14ac:dyDescent="0.2">
      <c r="A10" s="2" t="s">
        <v>182</v>
      </c>
      <c r="B10" s="3">
        <v>61</v>
      </c>
      <c r="C10" s="3">
        <v>35</v>
      </c>
      <c r="D10" s="3">
        <v>34</v>
      </c>
      <c r="E10" s="3">
        <v>53</v>
      </c>
      <c r="F10" s="3">
        <v>44</v>
      </c>
      <c r="G10" s="3">
        <v>66</v>
      </c>
      <c r="H10" s="3">
        <v>181</v>
      </c>
      <c r="I10" s="3">
        <v>1</v>
      </c>
      <c r="J10" s="3">
        <v>86</v>
      </c>
      <c r="K10" s="3">
        <v>14</v>
      </c>
      <c r="L10" s="3">
        <v>79</v>
      </c>
      <c r="M10" s="11">
        <f>SUM(RepInCongressCongressionalDistrict19General[[#This Row],[Columbia County Vote Results]:[Part of Rensselaer County Vote Results]])</f>
        <v>654</v>
      </c>
      <c r="N10" s="13"/>
    </row>
    <row r="11" spans="1:14" x14ac:dyDescent="0.2">
      <c r="A11" s="2" t="s">
        <v>183</v>
      </c>
      <c r="B11" s="3">
        <v>297</v>
      </c>
      <c r="C11" s="3">
        <v>180</v>
      </c>
      <c r="D11" s="3">
        <v>298</v>
      </c>
      <c r="E11" s="3">
        <v>215</v>
      </c>
      <c r="F11" s="3">
        <v>168</v>
      </c>
      <c r="G11" s="3">
        <v>201</v>
      </c>
      <c r="H11" s="3">
        <v>609</v>
      </c>
      <c r="I11" s="3">
        <v>6</v>
      </c>
      <c r="J11" s="3">
        <v>314</v>
      </c>
      <c r="K11" s="3">
        <v>82</v>
      </c>
      <c r="L11" s="3">
        <v>465</v>
      </c>
      <c r="M11" s="11">
        <f>SUM(RepInCongressCongressionalDistrict19General[[#This Row],[Columbia County Vote Results]:[Part of Rensselaer County Vote Results]])</f>
        <v>2835</v>
      </c>
      <c r="N11" s="12">
        <f>RepInCongressCongressionalDistrict19General[[#This Row],[Total Votes by Party]]</f>
        <v>2835</v>
      </c>
    </row>
    <row r="12" spans="1:14" x14ac:dyDescent="0.2">
      <c r="A12" s="4" t="s">
        <v>0</v>
      </c>
      <c r="B12" s="3">
        <v>387</v>
      </c>
      <c r="C12" s="3">
        <v>280</v>
      </c>
      <c r="D12" s="3">
        <v>524</v>
      </c>
      <c r="E12" s="3">
        <v>514</v>
      </c>
      <c r="F12" s="3">
        <v>216</v>
      </c>
      <c r="G12" s="3">
        <v>654</v>
      </c>
      <c r="H12" s="3">
        <v>1020</v>
      </c>
      <c r="I12" s="3">
        <v>23</v>
      </c>
      <c r="J12" s="3">
        <v>1202</v>
      </c>
      <c r="K12" s="3">
        <v>133</v>
      </c>
      <c r="L12" s="3">
        <v>519</v>
      </c>
      <c r="M12" s="11">
        <f>SUM(RepInCongressCongressionalDistrict19General[[#This Row],[Columbia County Vote Results]:[Part of Rensselaer County Vote Results]])</f>
        <v>5472</v>
      </c>
      <c r="N12" s="13"/>
    </row>
    <row r="13" spans="1:14" x14ac:dyDescent="0.2">
      <c r="A13" s="4" t="s">
        <v>1</v>
      </c>
      <c r="B13" s="3">
        <v>11</v>
      </c>
      <c r="C13" s="3">
        <v>4</v>
      </c>
      <c r="D13" s="3">
        <v>7</v>
      </c>
      <c r="E13" s="3">
        <v>12</v>
      </c>
      <c r="F13" s="3">
        <v>9</v>
      </c>
      <c r="G13" s="3">
        <v>5</v>
      </c>
      <c r="H13" s="3">
        <v>45</v>
      </c>
      <c r="I13" s="3">
        <v>0</v>
      </c>
      <c r="J13" s="3">
        <v>17</v>
      </c>
      <c r="K13" s="3">
        <v>1</v>
      </c>
      <c r="L13" s="3">
        <v>1</v>
      </c>
      <c r="M13" s="11">
        <f>SUM(RepInCongressCongressionalDistrict19General[[#This Row],[Columbia County Vote Results]:[Part of Rensselaer County Vote Results]])</f>
        <v>112</v>
      </c>
      <c r="N13" s="13"/>
    </row>
    <row r="14" spans="1:14" x14ac:dyDescent="0.2">
      <c r="A14" s="4" t="s">
        <v>2</v>
      </c>
      <c r="B14" s="5">
        <v>8</v>
      </c>
      <c r="C14" s="5">
        <v>10</v>
      </c>
      <c r="D14" s="5">
        <v>7</v>
      </c>
      <c r="E14" s="5">
        <v>12</v>
      </c>
      <c r="F14" s="5">
        <v>3</v>
      </c>
      <c r="G14" s="5">
        <v>3</v>
      </c>
      <c r="H14" s="5">
        <v>25</v>
      </c>
      <c r="I14" s="5">
        <v>0</v>
      </c>
      <c r="J14" s="5">
        <v>13</v>
      </c>
      <c r="K14" s="5">
        <v>3</v>
      </c>
      <c r="L14" s="5">
        <v>8</v>
      </c>
      <c r="M14" s="11">
        <f>SUM(RepInCongressCongressionalDistrict19General[[#This Row],[Columbia County Vote Results]:[Part of Rensselaer County Vote Results]])</f>
        <v>92</v>
      </c>
      <c r="N14" s="13"/>
    </row>
    <row r="15" spans="1:14" hidden="1" x14ac:dyDescent="0.2">
      <c r="A15" s="4" t="s">
        <v>3</v>
      </c>
      <c r="B15" s="6">
        <f>SUBTOTAL(109,RepInCongressCongressionalDistrict19General[Columbia County Vote Results])</f>
        <v>29985</v>
      </c>
      <c r="C15" s="6"/>
      <c r="D15" s="6"/>
      <c r="E15" s="6"/>
      <c r="F15" s="6"/>
      <c r="G15" s="6"/>
      <c r="H15" s="6"/>
      <c r="I15" s="6"/>
      <c r="J15" s="6"/>
      <c r="K15" s="6"/>
      <c r="L15" s="6">
        <f>SUBTOTAL(109,RepInCongressCongressionalDistrict19General[Part of Rensselaer County Vote Results])</f>
        <v>29771</v>
      </c>
    </row>
  </sheetData>
  <pageMargins left="0.5" right="0.5" top="0.25" bottom="0.25" header="0.25" footer="0.25"/>
  <pageSetup paperSize="5" scale="57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1944-8E89-4B3B-8D15-4448CBA23A71}">
  <sheetPr>
    <pageSetUpPr fitToPage="1"/>
  </sheetPr>
  <dimension ref="A1:E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75</v>
      </c>
    </row>
    <row r="2" spans="1:5" ht="25.5" x14ac:dyDescent="0.2">
      <c r="A2" s="7" t="s">
        <v>5</v>
      </c>
      <c r="B2" s="8" t="s">
        <v>7</v>
      </c>
      <c r="C2" s="8" t="s">
        <v>6</v>
      </c>
      <c r="D2" s="9" t="s">
        <v>243</v>
      </c>
      <c r="E2" s="10" t="s">
        <v>4</v>
      </c>
    </row>
    <row r="3" spans="1:5" x14ac:dyDescent="0.2">
      <c r="A3" s="2" t="s">
        <v>76</v>
      </c>
      <c r="B3" s="3">
        <v>26651</v>
      </c>
      <c r="C3" s="3">
        <v>82152</v>
      </c>
      <c r="D3" s="11">
        <f>SUM(RepInCongressCongressionalDistrict2General[[#This Row],[Part of Nassau County Vote Results]:[Part of Suffolk County Vote Results]])</f>
        <v>108803</v>
      </c>
      <c r="E3" s="12">
        <f>SUM(RepInCongressCongressionalDistrict2General[[#This Row],[Total Votes by Party]],D6,D8)</f>
        <v>113074</v>
      </c>
    </row>
    <row r="4" spans="1:5" x14ac:dyDescent="0.2">
      <c r="A4" s="2" t="s">
        <v>77</v>
      </c>
      <c r="B4" s="3">
        <v>42387</v>
      </c>
      <c r="C4" s="3">
        <v>70178</v>
      </c>
      <c r="D4" s="11">
        <f>SUM(RepInCongressCongressionalDistrict2General[[#This Row],[Part of Nassau County Vote Results]:[Part of Suffolk County Vote Results]])</f>
        <v>112565</v>
      </c>
      <c r="E4" s="12">
        <f>SUM(RepInCongressCongressionalDistrict2General[[#This Row],[Total Votes by Party]],D5,D7,D9,D10)</f>
        <v>128078</v>
      </c>
    </row>
    <row r="5" spans="1:5" x14ac:dyDescent="0.2">
      <c r="A5" s="2" t="s">
        <v>78</v>
      </c>
      <c r="B5" s="3">
        <v>4499</v>
      </c>
      <c r="C5" s="3">
        <v>8005</v>
      </c>
      <c r="D5" s="11">
        <f>SUM(RepInCongressCongressionalDistrict2General[[#This Row],[Part of Nassau County Vote Results]:[Part of Suffolk County Vote Results]])</f>
        <v>12504</v>
      </c>
      <c r="E5" s="13"/>
    </row>
    <row r="6" spans="1:5" x14ac:dyDescent="0.2">
      <c r="A6" s="2" t="s">
        <v>79</v>
      </c>
      <c r="B6" s="3">
        <v>706</v>
      </c>
      <c r="C6" s="3">
        <v>2093</v>
      </c>
      <c r="D6" s="11">
        <f>SUM(RepInCongressCongressionalDistrict2General[[#This Row],[Part of Nassau County Vote Results]:[Part of Suffolk County Vote Results]])</f>
        <v>2799</v>
      </c>
      <c r="E6" s="13"/>
    </row>
    <row r="7" spans="1:5" x14ac:dyDescent="0.2">
      <c r="A7" s="2" t="s">
        <v>80</v>
      </c>
      <c r="B7" s="3">
        <v>723</v>
      </c>
      <c r="C7" s="3">
        <v>1812</v>
      </c>
      <c r="D7" s="11">
        <f>SUM(RepInCongressCongressionalDistrict2General[[#This Row],[Part of Nassau County Vote Results]:[Part of Suffolk County Vote Results]])</f>
        <v>2535</v>
      </c>
      <c r="E7" s="13"/>
    </row>
    <row r="8" spans="1:5" x14ac:dyDescent="0.2">
      <c r="A8" s="2" t="s">
        <v>81</v>
      </c>
      <c r="B8" s="3">
        <v>304</v>
      </c>
      <c r="C8" s="3">
        <v>1168</v>
      </c>
      <c r="D8" s="11">
        <f>SUM(RepInCongressCongressionalDistrict2General[[#This Row],[Part of Nassau County Vote Results]:[Part of Suffolk County Vote Results]])</f>
        <v>1472</v>
      </c>
      <c r="E8" s="13"/>
    </row>
    <row r="9" spans="1:5" x14ac:dyDescent="0.2">
      <c r="A9" s="2" t="s">
        <v>82</v>
      </c>
      <c r="B9" s="3">
        <v>139</v>
      </c>
      <c r="C9" s="3">
        <v>335</v>
      </c>
      <c r="D9" s="11">
        <f>SUM(RepInCongressCongressionalDistrict2General[[#This Row],[Part of Nassau County Vote Results]:[Part of Suffolk County Vote Results]])</f>
        <v>474</v>
      </c>
      <c r="E9" s="13"/>
    </row>
    <row r="10" spans="1:5" x14ac:dyDescent="0.2">
      <c r="A10" s="2" t="s">
        <v>83</v>
      </c>
      <c r="B10" s="3">
        <v>0</v>
      </c>
      <c r="C10" s="3">
        <v>0</v>
      </c>
      <c r="D10" s="11">
        <f>SUM(RepInCongressCongressionalDistrict2General[[#This Row],[Part of Nassau County Vote Results]:[Part of Suffolk County Vote Results]])</f>
        <v>0</v>
      </c>
      <c r="E10" s="13"/>
    </row>
    <row r="11" spans="1:5" x14ac:dyDescent="0.2">
      <c r="A11" s="4" t="s">
        <v>0</v>
      </c>
      <c r="B11" s="3">
        <v>828</v>
      </c>
      <c r="C11" s="3">
        <v>3696</v>
      </c>
      <c r="D11" s="11">
        <f>SUM(RepInCongressCongressionalDistrict2General[[#This Row],[Part of Nassau County Vote Results]:[Part of Suffolk County Vote Results]])</f>
        <v>4524</v>
      </c>
      <c r="E11" s="13"/>
    </row>
    <row r="12" spans="1:5" x14ac:dyDescent="0.2">
      <c r="A12" s="4" t="s">
        <v>1</v>
      </c>
      <c r="B12" s="3">
        <v>109</v>
      </c>
      <c r="C12" s="3">
        <v>76</v>
      </c>
      <c r="D12" s="11">
        <f>SUM(RepInCongressCongressionalDistrict2General[[#This Row],[Part of Nassau County Vote Results]:[Part of Suffolk County Vote Results]])</f>
        <v>185</v>
      </c>
      <c r="E12" s="13"/>
    </row>
    <row r="13" spans="1:5" x14ac:dyDescent="0.2">
      <c r="A13" s="4" t="s">
        <v>2</v>
      </c>
      <c r="B13" s="5">
        <v>19</v>
      </c>
      <c r="C13" s="5">
        <v>46</v>
      </c>
      <c r="D13" s="11">
        <f>SUM(RepInCongressCongressionalDistrict2General[[#This Row],[Part of Nassau County Vote Results]:[Part of Suffolk County Vote Results]])</f>
        <v>65</v>
      </c>
      <c r="E13" s="13"/>
    </row>
    <row r="14" spans="1:5" hidden="1" x14ac:dyDescent="0.2">
      <c r="A14" s="4" t="s">
        <v>3</v>
      </c>
      <c r="B14" s="6">
        <f>SUBTOTAL(109,RepInCongressCongressionalDistrict2General[Part of Nassau County Vote Results])</f>
        <v>76365</v>
      </c>
      <c r="C14" s="6">
        <f>SUBTOTAL(109,RepInCongressCongressionalDistrict2General[Part of Suffolk County Vote Results])</f>
        <v>169561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6B42-BEBB-4C4A-BAC1-766C70289916}">
  <sheetPr>
    <pageSetUpPr fitToPage="1"/>
  </sheetPr>
  <dimension ref="A1:H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75" customHeight="1" x14ac:dyDescent="0.2">
      <c r="A1" s="1" t="s">
        <v>184</v>
      </c>
    </row>
    <row r="2" spans="1:8" ht="25.5" x14ac:dyDescent="0.2">
      <c r="A2" s="7" t="s">
        <v>5</v>
      </c>
      <c r="B2" s="8" t="s">
        <v>52</v>
      </c>
      <c r="C2" s="8" t="s">
        <v>53</v>
      </c>
      <c r="D2" s="8" t="s">
        <v>51</v>
      </c>
      <c r="E2" s="8" t="s">
        <v>17</v>
      </c>
      <c r="F2" s="8" t="s">
        <v>18</v>
      </c>
      <c r="G2" s="9" t="s">
        <v>243</v>
      </c>
      <c r="H2" s="10" t="s">
        <v>4</v>
      </c>
    </row>
    <row r="3" spans="1:8" x14ac:dyDescent="0.2">
      <c r="A3" s="2" t="s">
        <v>185</v>
      </c>
      <c r="B3" s="3">
        <v>73731</v>
      </c>
      <c r="C3" s="3">
        <v>31536</v>
      </c>
      <c r="D3" s="3">
        <v>5416</v>
      </c>
      <c r="E3" s="3">
        <v>18523</v>
      </c>
      <c r="F3" s="3">
        <v>32124</v>
      </c>
      <c r="G3" s="11">
        <f>SUM(RepInCongressCongressionalDistrict20General[[#This Row],[Albany County Vote Results]:[Part of Saratoga County Vote Results]])</f>
        <v>161330</v>
      </c>
      <c r="H3" s="12">
        <f>SUM(RepInCongressCongressionalDistrict20General[[#This Row],[Total Votes by Party]],G5,G6,G7)</f>
        <v>176811</v>
      </c>
    </row>
    <row r="4" spans="1:8" x14ac:dyDescent="0.2">
      <c r="A4" s="2" t="s">
        <v>186</v>
      </c>
      <c r="B4" s="3">
        <v>32326</v>
      </c>
      <c r="C4" s="3">
        <v>19145</v>
      </c>
      <c r="D4" s="3">
        <v>4536</v>
      </c>
      <c r="E4" s="3">
        <v>10091</v>
      </c>
      <c r="F4" s="3">
        <v>22960</v>
      </c>
      <c r="G4" s="11">
        <f>SUM(RepInCongressCongressionalDistrict20General[[#This Row],[Albany County Vote Results]:[Part of Saratoga County Vote Results]])</f>
        <v>89058</v>
      </c>
      <c r="H4" s="12">
        <f>RepInCongressCongressionalDistrict20General[[#This Row],[Total Votes by Party]]</f>
        <v>89058</v>
      </c>
    </row>
    <row r="5" spans="1:8" x14ac:dyDescent="0.2">
      <c r="A5" s="2" t="s">
        <v>187</v>
      </c>
      <c r="B5" s="3">
        <v>4781</v>
      </c>
      <c r="C5" s="3">
        <v>1990</v>
      </c>
      <c r="D5" s="3">
        <v>357</v>
      </c>
      <c r="E5" s="3">
        <v>1469</v>
      </c>
      <c r="F5" s="3">
        <v>1532</v>
      </c>
      <c r="G5" s="11">
        <f>SUM(RepInCongressCongressionalDistrict20General[[#This Row],[Albany County Vote Results]:[Part of Saratoga County Vote Results]])</f>
        <v>10129</v>
      </c>
      <c r="H5" s="13"/>
    </row>
    <row r="6" spans="1:8" x14ac:dyDescent="0.2">
      <c r="A6" s="2" t="s">
        <v>188</v>
      </c>
      <c r="B6" s="3">
        <v>1640</v>
      </c>
      <c r="C6" s="3">
        <v>728</v>
      </c>
      <c r="D6" s="3">
        <v>88</v>
      </c>
      <c r="E6" s="3">
        <v>532</v>
      </c>
      <c r="F6" s="3">
        <v>724</v>
      </c>
      <c r="G6" s="11">
        <f>SUM(RepInCongressCongressionalDistrict20General[[#This Row],[Albany County Vote Results]:[Part of Saratoga County Vote Results]])</f>
        <v>3712</v>
      </c>
      <c r="H6" s="13"/>
    </row>
    <row r="7" spans="1:8" x14ac:dyDescent="0.2">
      <c r="A7" s="2" t="s">
        <v>189</v>
      </c>
      <c r="B7" s="3">
        <v>681</v>
      </c>
      <c r="C7" s="3">
        <v>334</v>
      </c>
      <c r="D7" s="3">
        <v>57</v>
      </c>
      <c r="E7" s="3">
        <v>215</v>
      </c>
      <c r="F7" s="3">
        <v>353</v>
      </c>
      <c r="G7" s="11">
        <f>SUM(RepInCongressCongressionalDistrict20General[[#This Row],[Albany County Vote Results]:[Part of Saratoga County Vote Results]])</f>
        <v>1640</v>
      </c>
      <c r="H7" s="13"/>
    </row>
    <row r="8" spans="1:8" x14ac:dyDescent="0.2">
      <c r="A8" s="4" t="s">
        <v>0</v>
      </c>
      <c r="B8" s="3">
        <v>4022</v>
      </c>
      <c r="C8" s="3">
        <v>2334</v>
      </c>
      <c r="D8" s="3">
        <v>436</v>
      </c>
      <c r="E8" s="3">
        <v>1862</v>
      </c>
      <c r="F8" s="3">
        <v>2306</v>
      </c>
      <c r="G8" s="11">
        <f>SUM(RepInCongressCongressionalDistrict20General[[#This Row],[Albany County Vote Results]:[Part of Saratoga County Vote Results]])</f>
        <v>10960</v>
      </c>
      <c r="H8" s="13"/>
    </row>
    <row r="9" spans="1:8" x14ac:dyDescent="0.2">
      <c r="A9" s="4" t="s">
        <v>1</v>
      </c>
      <c r="B9" s="3">
        <v>45</v>
      </c>
      <c r="C9" s="3">
        <v>28</v>
      </c>
      <c r="D9" s="3">
        <v>6</v>
      </c>
      <c r="E9" s="3">
        <v>2</v>
      </c>
      <c r="F9" s="3">
        <v>11</v>
      </c>
      <c r="G9" s="11">
        <f>SUM(RepInCongressCongressionalDistrict20General[[#This Row],[Albany County Vote Results]:[Part of Saratoga County Vote Results]])</f>
        <v>92</v>
      </c>
      <c r="H9" s="13"/>
    </row>
    <row r="10" spans="1:8" x14ac:dyDescent="0.2">
      <c r="A10" s="4" t="s">
        <v>2</v>
      </c>
      <c r="B10" s="5">
        <v>70</v>
      </c>
      <c r="C10" s="5">
        <v>30</v>
      </c>
      <c r="D10" s="5">
        <v>8</v>
      </c>
      <c r="E10" s="5">
        <v>14</v>
      </c>
      <c r="F10" s="5">
        <v>23</v>
      </c>
      <c r="G10" s="11">
        <f>SUM(RepInCongressCongressionalDistrict20General[[#This Row],[Albany County Vote Results]:[Part of Saratoga County Vote Results]])</f>
        <v>145</v>
      </c>
      <c r="H10" s="13"/>
    </row>
    <row r="11" spans="1:8" hidden="1" x14ac:dyDescent="0.2">
      <c r="A11" s="4" t="s">
        <v>3</v>
      </c>
      <c r="B11" s="6">
        <f>SUBTOTAL(109,RepInCongressCongressionalDistrict20General[Albany County Vote Results])</f>
        <v>117296</v>
      </c>
      <c r="C11" s="6"/>
      <c r="D11" s="6"/>
      <c r="E11" s="6"/>
      <c r="F11" s="6">
        <f>SUBTOTAL(109,RepInCongressCongressionalDistrict20General[Part of Saratoga County Vote Results])</f>
        <v>60033</v>
      </c>
      <c r="G11" s="11">
        <f>SUM(RepInCongressCongressionalDistrict18General[[#This Row],[Orange County Vote Results]:[Part of Westchester County Vote Results]])</f>
        <v>29</v>
      </c>
      <c r="H11" s="13"/>
    </row>
  </sheetData>
  <pageMargins left="0.5" right="0.5" top="0.25" bottom="0.25" header="0.25" footer="0.25"/>
  <pageSetup paperSize="5" scale="9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6032-061E-40BD-BBF8-BA73AEDB0FDD}">
  <sheetPr>
    <pageSetUpPr fitToPage="1"/>
  </sheetPr>
  <dimension ref="A1:O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15" width="20.5703125" customWidth="1"/>
    <col min="16" max="17" width="23.5703125" customWidth="1"/>
  </cols>
  <sheetData>
    <row r="1" spans="1:15" ht="24.75" customHeight="1" x14ac:dyDescent="0.2">
      <c r="A1" s="1" t="s">
        <v>190</v>
      </c>
    </row>
    <row r="2" spans="1:15" ht="25.5" x14ac:dyDescent="0.2">
      <c r="A2" s="7" t="s">
        <v>5</v>
      </c>
      <c r="B2" s="8" t="s">
        <v>21</v>
      </c>
      <c r="C2" s="8" t="s">
        <v>19</v>
      </c>
      <c r="D2" s="8" t="s">
        <v>22</v>
      </c>
      <c r="E2" s="8" t="s">
        <v>24</v>
      </c>
      <c r="F2" s="8" t="s">
        <v>25</v>
      </c>
      <c r="G2" s="8" t="s">
        <v>54</v>
      </c>
      <c r="H2" s="8" t="s">
        <v>23</v>
      </c>
      <c r="I2" s="8" t="s">
        <v>55</v>
      </c>
      <c r="J2" s="8" t="s">
        <v>20</v>
      </c>
      <c r="K2" s="8" t="s">
        <v>56</v>
      </c>
      <c r="L2" s="8" t="s">
        <v>13</v>
      </c>
      <c r="M2" s="8" t="s">
        <v>18</v>
      </c>
      <c r="N2" s="9" t="s">
        <v>243</v>
      </c>
      <c r="O2" s="10" t="s">
        <v>4</v>
      </c>
    </row>
    <row r="3" spans="1:15" x14ac:dyDescent="0.2">
      <c r="A3" s="2" t="s">
        <v>191</v>
      </c>
      <c r="B3" s="3">
        <v>12375</v>
      </c>
      <c r="C3" s="3">
        <v>6808</v>
      </c>
      <c r="D3" s="3">
        <v>6438</v>
      </c>
      <c r="E3" s="3">
        <v>5206</v>
      </c>
      <c r="F3" s="3">
        <v>841</v>
      </c>
      <c r="G3" s="3">
        <v>10223</v>
      </c>
      <c r="H3" s="3">
        <v>2413</v>
      </c>
      <c r="I3" s="3">
        <v>14069</v>
      </c>
      <c r="J3" s="3">
        <v>11660</v>
      </c>
      <c r="K3" s="3">
        <v>7792</v>
      </c>
      <c r="L3" s="3">
        <v>1004</v>
      </c>
      <c r="M3" s="3">
        <v>14565</v>
      </c>
      <c r="N3" s="11">
        <f>SUM(RepInCongressCongressionalDistrict21General[[#This Row],[Clinton County Vote Results]:[Part of Saratoga County Vote Results]])</f>
        <v>93394</v>
      </c>
      <c r="O3" s="12">
        <f>SUM(RepInCongressCongressionalDistrict21General[[#This Row],[Total Votes by Party]],N7,N9)</f>
        <v>99791</v>
      </c>
    </row>
    <row r="4" spans="1:15" x14ac:dyDescent="0.2">
      <c r="A4" s="2" t="s">
        <v>192</v>
      </c>
      <c r="B4" s="3">
        <v>11889</v>
      </c>
      <c r="C4" s="3">
        <v>6461</v>
      </c>
      <c r="D4" s="3">
        <v>6610</v>
      </c>
      <c r="E4" s="3">
        <v>10032</v>
      </c>
      <c r="F4" s="3">
        <v>1634</v>
      </c>
      <c r="G4" s="3">
        <v>16694</v>
      </c>
      <c r="H4" s="3">
        <v>5676</v>
      </c>
      <c r="I4" s="3">
        <v>15827</v>
      </c>
      <c r="J4" s="3">
        <v>11685</v>
      </c>
      <c r="K4" s="3">
        <v>10263</v>
      </c>
      <c r="L4" s="3">
        <v>2082</v>
      </c>
      <c r="M4" s="3">
        <v>17580</v>
      </c>
      <c r="N4" s="11">
        <f>SUM(RepInCongressCongressionalDistrict21General[[#This Row],[Clinton County Vote Results]:[Part of Saratoga County Vote Results]])</f>
        <v>116433</v>
      </c>
      <c r="O4" s="12">
        <f>SUM(RepInCongressCongressionalDistrict21General[[#This Row],[Total Votes by Party]],N5,N8,N10)</f>
        <v>131981</v>
      </c>
    </row>
    <row r="5" spans="1:15" x14ac:dyDescent="0.2">
      <c r="A5" s="2" t="s">
        <v>194</v>
      </c>
      <c r="B5" s="3">
        <v>775</v>
      </c>
      <c r="C5" s="3">
        <v>419</v>
      </c>
      <c r="D5" s="3">
        <v>391</v>
      </c>
      <c r="E5" s="3">
        <v>1020</v>
      </c>
      <c r="F5" s="3">
        <v>156</v>
      </c>
      <c r="G5" s="3">
        <v>1482</v>
      </c>
      <c r="H5" s="3">
        <v>487</v>
      </c>
      <c r="I5" s="3">
        <v>1462</v>
      </c>
      <c r="J5" s="3">
        <v>1240</v>
      </c>
      <c r="K5" s="3">
        <v>1270</v>
      </c>
      <c r="L5" s="3">
        <v>200</v>
      </c>
      <c r="M5" s="3">
        <v>2496</v>
      </c>
      <c r="N5" s="11">
        <f>SUM(RepInCongressCongressionalDistrict21General[[#This Row],[Clinton County Vote Results]:[Part of Saratoga County Vote Results]])</f>
        <v>11398</v>
      </c>
      <c r="O5" s="13"/>
    </row>
    <row r="6" spans="1:15" x14ac:dyDescent="0.2">
      <c r="A6" s="2" t="s">
        <v>193</v>
      </c>
      <c r="B6" s="3">
        <v>258</v>
      </c>
      <c r="C6" s="3">
        <v>173</v>
      </c>
      <c r="D6" s="3">
        <v>141</v>
      </c>
      <c r="E6" s="3">
        <v>144</v>
      </c>
      <c r="F6" s="3">
        <v>25</v>
      </c>
      <c r="G6" s="3">
        <v>713</v>
      </c>
      <c r="H6" s="3">
        <v>216</v>
      </c>
      <c r="I6" s="3">
        <v>684</v>
      </c>
      <c r="J6" s="3">
        <v>369</v>
      </c>
      <c r="K6" s="3">
        <v>272</v>
      </c>
      <c r="L6" s="3">
        <v>30</v>
      </c>
      <c r="M6" s="3">
        <v>412</v>
      </c>
      <c r="N6" s="11">
        <f>SUM(RepInCongressCongressionalDistrict21General[[#This Row],[Clinton County Vote Results]:[Part of Saratoga County Vote Results]])</f>
        <v>3437</v>
      </c>
      <c r="O6" s="12">
        <f>RepInCongressCongressionalDistrict21General[[#This Row],[Total Votes by Party]]</f>
        <v>3437</v>
      </c>
    </row>
    <row r="7" spans="1:15" x14ac:dyDescent="0.2">
      <c r="A7" s="2" t="s">
        <v>195</v>
      </c>
      <c r="B7" s="3">
        <v>705</v>
      </c>
      <c r="C7" s="3">
        <v>301</v>
      </c>
      <c r="D7" s="3">
        <v>288</v>
      </c>
      <c r="E7" s="3">
        <v>242</v>
      </c>
      <c r="F7" s="3">
        <v>38</v>
      </c>
      <c r="G7" s="3">
        <v>400</v>
      </c>
      <c r="H7" s="3">
        <v>101</v>
      </c>
      <c r="I7" s="3">
        <v>673</v>
      </c>
      <c r="J7" s="3">
        <v>534</v>
      </c>
      <c r="K7" s="3">
        <v>437</v>
      </c>
      <c r="L7" s="3">
        <v>33</v>
      </c>
      <c r="M7" s="3">
        <v>673</v>
      </c>
      <c r="N7" s="11">
        <f>SUM(RepInCongressCongressionalDistrict21General[[#This Row],[Clinton County Vote Results]:[Part of Saratoga County Vote Results]])</f>
        <v>4425</v>
      </c>
      <c r="O7" s="13"/>
    </row>
    <row r="8" spans="1:15" x14ac:dyDescent="0.2">
      <c r="A8" s="2" t="s">
        <v>196</v>
      </c>
      <c r="B8" s="3">
        <v>486</v>
      </c>
      <c r="C8" s="3">
        <v>168</v>
      </c>
      <c r="D8" s="3">
        <v>228</v>
      </c>
      <c r="E8" s="3">
        <v>192</v>
      </c>
      <c r="F8" s="3">
        <v>23</v>
      </c>
      <c r="G8" s="3">
        <v>544</v>
      </c>
      <c r="H8" s="3">
        <v>146</v>
      </c>
      <c r="I8" s="3">
        <v>438</v>
      </c>
      <c r="J8" s="3">
        <v>313</v>
      </c>
      <c r="K8" s="3">
        <v>284</v>
      </c>
      <c r="L8" s="3">
        <v>37</v>
      </c>
      <c r="M8" s="3">
        <v>510</v>
      </c>
      <c r="N8" s="11">
        <f>SUM(RepInCongressCongressionalDistrict21General[[#This Row],[Clinton County Vote Results]:[Part of Saratoga County Vote Results]])</f>
        <v>3369</v>
      </c>
      <c r="O8" s="13"/>
    </row>
    <row r="9" spans="1:15" x14ac:dyDescent="0.2">
      <c r="A9" s="2" t="s">
        <v>197</v>
      </c>
      <c r="B9" s="3">
        <v>231</v>
      </c>
      <c r="C9" s="3">
        <v>141</v>
      </c>
      <c r="D9" s="3">
        <v>115</v>
      </c>
      <c r="E9" s="3">
        <v>116</v>
      </c>
      <c r="F9" s="3">
        <v>39</v>
      </c>
      <c r="G9" s="3">
        <v>186</v>
      </c>
      <c r="H9" s="3">
        <v>52</v>
      </c>
      <c r="I9" s="3">
        <v>260</v>
      </c>
      <c r="J9" s="3">
        <v>276</v>
      </c>
      <c r="K9" s="3">
        <v>182</v>
      </c>
      <c r="L9" s="3">
        <v>24</v>
      </c>
      <c r="M9" s="3">
        <v>350</v>
      </c>
      <c r="N9" s="11">
        <f>SUM(RepInCongressCongressionalDistrict21General[[#This Row],[Clinton County Vote Results]:[Part of Saratoga County Vote Results]])</f>
        <v>1972</v>
      </c>
      <c r="O9" s="13"/>
    </row>
    <row r="10" spans="1:15" x14ac:dyDescent="0.2">
      <c r="A10" s="2" t="s">
        <v>198</v>
      </c>
      <c r="B10" s="3">
        <v>82</v>
      </c>
      <c r="C10" s="3">
        <v>41</v>
      </c>
      <c r="D10" s="3">
        <v>44</v>
      </c>
      <c r="E10" s="3">
        <v>49</v>
      </c>
      <c r="F10" s="3">
        <v>20</v>
      </c>
      <c r="G10" s="3">
        <v>90</v>
      </c>
      <c r="H10" s="3">
        <v>29</v>
      </c>
      <c r="I10" s="3">
        <v>115</v>
      </c>
      <c r="J10" s="3">
        <v>75</v>
      </c>
      <c r="K10" s="3">
        <v>75</v>
      </c>
      <c r="L10" s="3">
        <v>10</v>
      </c>
      <c r="M10" s="3">
        <v>151</v>
      </c>
      <c r="N10" s="11">
        <f>SUM(RepInCongressCongressionalDistrict21General[[#This Row],[Clinton County Vote Results]:[Part of Saratoga County Vote Results]])</f>
        <v>781</v>
      </c>
      <c r="O10" s="13"/>
    </row>
    <row r="11" spans="1:15" x14ac:dyDescent="0.2">
      <c r="A11" s="4" t="s">
        <v>0</v>
      </c>
      <c r="B11" s="3">
        <v>324</v>
      </c>
      <c r="C11" s="3">
        <v>272</v>
      </c>
      <c r="D11" s="3">
        <v>172</v>
      </c>
      <c r="E11" s="3">
        <v>478</v>
      </c>
      <c r="F11" s="3">
        <v>87</v>
      </c>
      <c r="G11" s="3">
        <v>309</v>
      </c>
      <c r="H11" s="3">
        <v>266</v>
      </c>
      <c r="I11" s="3">
        <v>567</v>
      </c>
      <c r="J11" s="3">
        <v>453</v>
      </c>
      <c r="K11" s="3">
        <v>171</v>
      </c>
      <c r="L11" s="3">
        <v>141</v>
      </c>
      <c r="M11" s="3">
        <v>566</v>
      </c>
      <c r="N11" s="11">
        <f>SUM(RepInCongressCongressionalDistrict21General[[#This Row],[Clinton County Vote Results]:[Part of Saratoga County Vote Results]])</f>
        <v>3806</v>
      </c>
      <c r="O11" s="13"/>
    </row>
    <row r="12" spans="1:15" x14ac:dyDescent="0.2">
      <c r="A12" s="4" t="s">
        <v>1</v>
      </c>
      <c r="B12" s="3">
        <v>6</v>
      </c>
      <c r="C12" s="3">
        <v>0</v>
      </c>
      <c r="D12" s="3">
        <v>3</v>
      </c>
      <c r="E12" s="3">
        <v>1</v>
      </c>
      <c r="F12" s="3">
        <v>1</v>
      </c>
      <c r="G12" s="3">
        <v>18</v>
      </c>
      <c r="H12" s="3">
        <v>0</v>
      </c>
      <c r="I12" s="3">
        <v>0</v>
      </c>
      <c r="J12" s="3">
        <v>0</v>
      </c>
      <c r="K12" s="3">
        <v>9</v>
      </c>
      <c r="L12" s="3">
        <v>0</v>
      </c>
      <c r="M12" s="3">
        <v>14</v>
      </c>
      <c r="N12" s="11">
        <f>SUM(RepInCongressCongressionalDistrict21General[[#This Row],[Clinton County Vote Results]:[Part of Saratoga County Vote Results]])</f>
        <v>52</v>
      </c>
      <c r="O12" s="13"/>
    </row>
    <row r="13" spans="1:15" x14ac:dyDescent="0.2">
      <c r="A13" s="4" t="s">
        <v>2</v>
      </c>
      <c r="B13" s="5">
        <v>3</v>
      </c>
      <c r="C13" s="5">
        <v>3</v>
      </c>
      <c r="D13" s="5">
        <v>1</v>
      </c>
      <c r="E13" s="5">
        <v>6</v>
      </c>
      <c r="F13" s="5">
        <v>0</v>
      </c>
      <c r="G13" s="5">
        <v>13</v>
      </c>
      <c r="H13" s="5">
        <v>3</v>
      </c>
      <c r="I13" s="5">
        <v>8</v>
      </c>
      <c r="J13" s="5">
        <v>10</v>
      </c>
      <c r="K13" s="5">
        <v>5</v>
      </c>
      <c r="L13" s="5">
        <v>2</v>
      </c>
      <c r="M13" s="5">
        <v>4</v>
      </c>
      <c r="N13" s="11">
        <f>SUM(RepInCongressCongressionalDistrict21General[[#This Row],[Clinton County Vote Results]:[Part of Saratoga County Vote Results]])</f>
        <v>58</v>
      </c>
      <c r="O13" s="13"/>
    </row>
    <row r="14" spans="1:15" hidden="1" x14ac:dyDescent="0.2">
      <c r="A14" s="4" t="s">
        <v>3</v>
      </c>
      <c r="B14" s="6">
        <f>SUBTOTAL(109,RepInCongressCongressionalDistrict21General[Clinton County Vote Results])</f>
        <v>27134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>
        <f>SUBTOTAL(109,RepInCongressCongressionalDistrict21General[Part of Saratoga County Vote Results])</f>
        <v>37321</v>
      </c>
    </row>
  </sheetData>
  <pageMargins left="0.5" right="0.5" top="0.25" bottom="0.25" header="0.25" footer="0.25"/>
  <pageSetup paperSize="5" scale="54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FF37-0B7D-4D5C-8DFA-567C3BEFAE80}">
  <sheetPr>
    <pageSetUpPr fitToPage="1"/>
  </sheetPr>
  <dimension ref="A1:K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24.75" customHeight="1" x14ac:dyDescent="0.2">
      <c r="A1" s="1" t="s">
        <v>199</v>
      </c>
    </row>
    <row r="2" spans="1:11" ht="25.5" x14ac:dyDescent="0.2">
      <c r="A2" s="7" t="s">
        <v>5</v>
      </c>
      <c r="B2" s="8" t="s">
        <v>57</v>
      </c>
      <c r="C2" s="8" t="s">
        <v>58</v>
      </c>
      <c r="D2" s="8" t="s">
        <v>27</v>
      </c>
      <c r="E2" s="8" t="s">
        <v>59</v>
      </c>
      <c r="F2" s="8" t="s">
        <v>28</v>
      </c>
      <c r="G2" s="8" t="s">
        <v>13</v>
      </c>
      <c r="H2" s="8" t="s">
        <v>26</v>
      </c>
      <c r="I2" s="8" t="s">
        <v>60</v>
      </c>
      <c r="J2" s="9" t="s">
        <v>243</v>
      </c>
      <c r="K2" s="10" t="s">
        <v>4</v>
      </c>
    </row>
    <row r="3" spans="1:11" x14ac:dyDescent="0.2">
      <c r="A3" s="2" t="s">
        <v>200</v>
      </c>
      <c r="B3" s="3">
        <v>6712</v>
      </c>
      <c r="C3" s="3">
        <v>8392</v>
      </c>
      <c r="D3" s="3">
        <v>11584</v>
      </c>
      <c r="E3" s="3">
        <v>37464</v>
      </c>
      <c r="F3" s="3">
        <v>37034</v>
      </c>
      <c r="G3" s="3">
        <v>7737</v>
      </c>
      <c r="H3" s="3">
        <v>5164</v>
      </c>
      <c r="I3" s="3">
        <v>1914</v>
      </c>
      <c r="J3" s="11">
        <f>SUM(RepInCongressCongressionalDistrict22General[[#This Row],[Chenago County Vote Results]:[Part of Tioga County Vote Results]])</f>
        <v>116001</v>
      </c>
      <c r="K3" s="12">
        <f>SUM(RepInCongressCongressionalDistrict22General[[#This Row],[Total Votes by Party]],J6,J7,J8)</f>
        <v>127715</v>
      </c>
    </row>
    <row r="4" spans="1:11" x14ac:dyDescent="0.2">
      <c r="A4" s="2" t="s">
        <v>201</v>
      </c>
      <c r="B4" s="3">
        <v>8607</v>
      </c>
      <c r="C4" s="3">
        <v>6550</v>
      </c>
      <c r="D4" s="3">
        <v>11449</v>
      </c>
      <c r="E4" s="3">
        <v>34812</v>
      </c>
      <c r="F4" s="3">
        <v>28540</v>
      </c>
      <c r="G4" s="3">
        <v>9350</v>
      </c>
      <c r="H4" s="3">
        <v>8442</v>
      </c>
      <c r="I4" s="3">
        <v>2375</v>
      </c>
      <c r="J4" s="11">
        <f>SUM(RepInCongressCongressionalDistrict22General[[#This Row],[Chenago County Vote Results]:[Part of Tioga County Vote Results]])</f>
        <v>110125</v>
      </c>
      <c r="K4" s="12">
        <f>SUM(RepInCongressCongressionalDistrict22General[[#This Row],[Total Votes by Party]],J5,J9)</f>
        <v>123242</v>
      </c>
    </row>
    <row r="5" spans="1:11" x14ac:dyDescent="0.2">
      <c r="A5" s="2" t="s">
        <v>202</v>
      </c>
      <c r="B5" s="3">
        <v>593</v>
      </c>
      <c r="C5" s="3">
        <v>736</v>
      </c>
      <c r="D5" s="3">
        <v>1712</v>
      </c>
      <c r="E5" s="3">
        <v>4044</v>
      </c>
      <c r="F5" s="3">
        <v>2772</v>
      </c>
      <c r="G5" s="3">
        <v>923</v>
      </c>
      <c r="H5" s="3">
        <v>1069</v>
      </c>
      <c r="I5" s="3">
        <v>212</v>
      </c>
      <c r="J5" s="11">
        <f>SUM(RepInCongressCongressionalDistrict22General[[#This Row],[Chenago County Vote Results]:[Part of Tioga County Vote Results]])</f>
        <v>12061</v>
      </c>
      <c r="K5" s="13"/>
    </row>
    <row r="6" spans="1:11" x14ac:dyDescent="0.2">
      <c r="A6" s="2" t="s">
        <v>203</v>
      </c>
      <c r="B6" s="3">
        <v>333</v>
      </c>
      <c r="C6" s="3">
        <v>339</v>
      </c>
      <c r="D6" s="3">
        <v>466</v>
      </c>
      <c r="E6" s="3">
        <v>1195</v>
      </c>
      <c r="F6" s="3">
        <v>1751</v>
      </c>
      <c r="G6" s="3">
        <v>257</v>
      </c>
      <c r="H6" s="3">
        <v>238</v>
      </c>
      <c r="I6" s="3">
        <v>72</v>
      </c>
      <c r="J6" s="11">
        <f>SUM(RepInCongressCongressionalDistrict22General[[#This Row],[Chenago County Vote Results]:[Part of Tioga County Vote Results]])</f>
        <v>4651</v>
      </c>
      <c r="K6" s="13"/>
    </row>
    <row r="7" spans="1:11" x14ac:dyDescent="0.2">
      <c r="A7" s="2" t="s">
        <v>204</v>
      </c>
      <c r="B7" s="3">
        <v>306</v>
      </c>
      <c r="C7" s="3">
        <v>376</v>
      </c>
      <c r="D7" s="3">
        <v>598</v>
      </c>
      <c r="E7" s="3">
        <v>2094</v>
      </c>
      <c r="F7" s="3">
        <v>1537</v>
      </c>
      <c r="G7" s="3">
        <v>385</v>
      </c>
      <c r="H7" s="3">
        <v>297</v>
      </c>
      <c r="I7" s="3">
        <v>80</v>
      </c>
      <c r="J7" s="11">
        <f>SUM(RepInCongressCongressionalDistrict22General[[#This Row],[Chenago County Vote Results]:[Part of Tioga County Vote Results]])</f>
        <v>5673</v>
      </c>
      <c r="K7" s="13"/>
    </row>
    <row r="8" spans="1:11" x14ac:dyDescent="0.2">
      <c r="A8" s="2" t="s">
        <v>205</v>
      </c>
      <c r="B8" s="3">
        <v>104</v>
      </c>
      <c r="C8" s="3">
        <v>139</v>
      </c>
      <c r="D8" s="3">
        <v>161</v>
      </c>
      <c r="E8" s="3">
        <v>362</v>
      </c>
      <c r="F8" s="3">
        <v>458</v>
      </c>
      <c r="G8" s="3">
        <v>72</v>
      </c>
      <c r="H8" s="3">
        <v>71</v>
      </c>
      <c r="I8" s="3">
        <v>23</v>
      </c>
      <c r="J8" s="11">
        <f>SUM(RepInCongressCongressionalDistrict22General[[#This Row],[Chenago County Vote Results]:[Part of Tioga County Vote Results]])</f>
        <v>1390</v>
      </c>
      <c r="K8" s="13"/>
    </row>
    <row r="9" spans="1:11" x14ac:dyDescent="0.2">
      <c r="A9" s="2" t="s">
        <v>206</v>
      </c>
      <c r="B9" s="3">
        <v>82</v>
      </c>
      <c r="C9" s="3">
        <v>92</v>
      </c>
      <c r="D9" s="3">
        <v>135</v>
      </c>
      <c r="E9" s="3">
        <v>336</v>
      </c>
      <c r="F9" s="3">
        <v>233</v>
      </c>
      <c r="G9" s="3">
        <v>89</v>
      </c>
      <c r="H9" s="3">
        <v>77</v>
      </c>
      <c r="I9" s="3">
        <v>12</v>
      </c>
      <c r="J9" s="11">
        <f>SUM(RepInCongressCongressionalDistrict22General[[#This Row],[Chenago County Vote Results]:[Part of Tioga County Vote Results]])</f>
        <v>1056</v>
      </c>
      <c r="K9" s="13"/>
    </row>
    <row r="10" spans="1:11" x14ac:dyDescent="0.2">
      <c r="A10" s="4" t="s">
        <v>0</v>
      </c>
      <c r="B10" s="3">
        <v>413</v>
      </c>
      <c r="C10" s="3">
        <v>224</v>
      </c>
      <c r="D10" s="3">
        <v>355</v>
      </c>
      <c r="E10" s="3">
        <v>790</v>
      </c>
      <c r="F10" s="3">
        <v>1301</v>
      </c>
      <c r="G10" s="3">
        <v>190</v>
      </c>
      <c r="H10" s="3">
        <v>454</v>
      </c>
      <c r="I10" s="3">
        <v>85</v>
      </c>
      <c r="J10" s="11">
        <f>SUM(RepInCongressCongressionalDistrict22General[[#This Row],[Chenago County Vote Results]:[Part of Tioga County Vote Results]])</f>
        <v>3812</v>
      </c>
      <c r="K10" s="13"/>
    </row>
    <row r="11" spans="1:11" x14ac:dyDescent="0.2">
      <c r="A11" s="4" t="s">
        <v>1</v>
      </c>
      <c r="B11" s="3">
        <v>6</v>
      </c>
      <c r="C11" s="3">
        <v>0</v>
      </c>
      <c r="D11" s="3">
        <v>4</v>
      </c>
      <c r="E11" s="3">
        <v>0</v>
      </c>
      <c r="F11" s="3">
        <v>43</v>
      </c>
      <c r="G11" s="3">
        <v>15</v>
      </c>
      <c r="H11" s="3">
        <v>8</v>
      </c>
      <c r="I11" s="3">
        <v>0</v>
      </c>
      <c r="J11" s="11">
        <f>SUM(RepInCongressCongressionalDistrict22General[[#This Row],[Chenago County Vote Results]:[Part of Tioga County Vote Results]])</f>
        <v>76</v>
      </c>
      <c r="K11" s="13"/>
    </row>
    <row r="12" spans="1:11" x14ac:dyDescent="0.2">
      <c r="A12" s="4" t="s">
        <v>2</v>
      </c>
      <c r="B12" s="5">
        <v>26</v>
      </c>
      <c r="C12" s="5">
        <v>15</v>
      </c>
      <c r="D12" s="5">
        <v>23</v>
      </c>
      <c r="E12" s="5">
        <v>61</v>
      </c>
      <c r="F12" s="5">
        <v>113</v>
      </c>
      <c r="G12" s="5">
        <v>10</v>
      </c>
      <c r="H12" s="5">
        <v>2</v>
      </c>
      <c r="I12" s="5">
        <v>5</v>
      </c>
      <c r="J12" s="11">
        <f>SUM(RepInCongressCongressionalDistrict22General[[#This Row],[Chenago County Vote Results]:[Part of Tioga County Vote Results]])</f>
        <v>255</v>
      </c>
      <c r="K12" s="13"/>
    </row>
    <row r="13" spans="1:11" hidden="1" x14ac:dyDescent="0.2">
      <c r="A13" s="4" t="s">
        <v>3</v>
      </c>
      <c r="B13" s="6">
        <f>SUBTOTAL(109,RepInCongressCongressionalDistrict22General[Chenago County Vote Results])</f>
        <v>17182</v>
      </c>
      <c r="C13" s="6"/>
      <c r="D13" s="6"/>
      <c r="E13" s="6"/>
      <c r="F13" s="6"/>
      <c r="G13" s="6"/>
      <c r="H13" s="6"/>
      <c r="I13" s="6">
        <f>SUBTOTAL(109,RepInCongressCongressionalDistrict22General[Part of Tioga County Vote Results])</f>
        <v>4778</v>
      </c>
    </row>
  </sheetData>
  <pageMargins left="0.5" right="0.5" top="0.25" bottom="0.25" header="0.25" footer="0.25"/>
  <pageSetup paperSize="5" scale="73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EEDB-6D97-4977-A366-FFFA79432F9A}">
  <sheetPr>
    <pageSetUpPr fitToPage="1"/>
  </sheetPr>
  <dimension ref="A1:N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14" width="20.5703125" customWidth="1"/>
    <col min="15" max="16" width="23.5703125" customWidth="1"/>
  </cols>
  <sheetData>
    <row r="1" spans="1:14" ht="24.75" customHeight="1" x14ac:dyDescent="0.2">
      <c r="A1" s="1" t="s">
        <v>207</v>
      </c>
    </row>
    <row r="2" spans="1:14" ht="25.5" x14ac:dyDescent="0.2">
      <c r="A2" s="7" t="s">
        <v>5</v>
      </c>
      <c r="B2" s="8" t="s">
        <v>39</v>
      </c>
      <c r="C2" s="8" t="s">
        <v>40</v>
      </c>
      <c r="D2" s="8" t="s">
        <v>41</v>
      </c>
      <c r="E2" s="8" t="s">
        <v>61</v>
      </c>
      <c r="F2" s="8" t="s">
        <v>31</v>
      </c>
      <c r="G2" s="8" t="s">
        <v>62</v>
      </c>
      <c r="H2" s="8" t="s">
        <v>63</v>
      </c>
      <c r="I2" s="8" t="s">
        <v>29</v>
      </c>
      <c r="J2" s="8" t="s">
        <v>32</v>
      </c>
      <c r="K2" s="8" t="s">
        <v>64</v>
      </c>
      <c r="L2" s="8" t="s">
        <v>60</v>
      </c>
      <c r="M2" s="9" t="s">
        <v>243</v>
      </c>
      <c r="N2" s="10" t="s">
        <v>4</v>
      </c>
    </row>
    <row r="3" spans="1:14" x14ac:dyDescent="0.2">
      <c r="A3" s="2" t="s">
        <v>208</v>
      </c>
      <c r="B3" s="3">
        <v>4257</v>
      </c>
      <c r="C3" s="3">
        <v>8099</v>
      </c>
      <c r="D3" s="3">
        <v>16561</v>
      </c>
      <c r="E3" s="3">
        <v>11872</v>
      </c>
      <c r="F3" s="3">
        <v>2876</v>
      </c>
      <c r="G3" s="3">
        <v>4973</v>
      </c>
      <c r="H3" s="3">
        <v>11453</v>
      </c>
      <c r="I3" s="3">
        <v>25567</v>
      </c>
      <c r="J3" s="3">
        <v>3257</v>
      </c>
      <c r="K3" s="3">
        <v>6945</v>
      </c>
      <c r="L3" s="3">
        <v>5054</v>
      </c>
      <c r="M3" s="11">
        <f>SUM(RepInCongressCongressionalDistrict23General[[#This Row],[Allegany County Vote Results]:[Part of Tioga County Vote Results]])</f>
        <v>100914</v>
      </c>
      <c r="N3" s="12">
        <f>SUM(RepInCongressCongressionalDistrict23General[[#This Row],[Total Votes by Party]],M6,M8)</f>
        <v>109932</v>
      </c>
    </row>
    <row r="4" spans="1:14" x14ac:dyDescent="0.2">
      <c r="A4" s="2" t="s">
        <v>209</v>
      </c>
      <c r="B4" s="3">
        <v>9247</v>
      </c>
      <c r="C4" s="3">
        <v>13173</v>
      </c>
      <c r="D4" s="3">
        <v>21831</v>
      </c>
      <c r="E4" s="3">
        <v>15474</v>
      </c>
      <c r="F4" s="3">
        <v>3748</v>
      </c>
      <c r="G4" s="3">
        <v>5324</v>
      </c>
      <c r="H4" s="3">
        <v>19850</v>
      </c>
      <c r="I4" s="3">
        <v>7714</v>
      </c>
      <c r="J4" s="3">
        <v>4101</v>
      </c>
      <c r="K4" s="3">
        <v>6725</v>
      </c>
      <c r="L4" s="3">
        <v>7535</v>
      </c>
      <c r="M4" s="11">
        <f>SUM(RepInCongressCongressionalDistrict23General[[#This Row],[Allegany County Vote Results]:[Part of Tioga County Vote Results]])</f>
        <v>114722</v>
      </c>
      <c r="N4" s="12">
        <f>SUM(RepInCongressCongressionalDistrict23General[[#This Row],[Total Votes by Party]],M5,M7)</f>
        <v>130323</v>
      </c>
    </row>
    <row r="5" spans="1:14" x14ac:dyDescent="0.2">
      <c r="A5" s="2" t="s">
        <v>210</v>
      </c>
      <c r="B5" s="3">
        <v>925</v>
      </c>
      <c r="C5" s="3">
        <v>1623</v>
      </c>
      <c r="D5" s="3">
        <v>2965</v>
      </c>
      <c r="E5" s="3">
        <v>1293</v>
      </c>
      <c r="F5" s="3">
        <v>412</v>
      </c>
      <c r="G5" s="3">
        <v>594</v>
      </c>
      <c r="H5" s="3">
        <v>1642</v>
      </c>
      <c r="I5" s="3">
        <v>874</v>
      </c>
      <c r="J5" s="3">
        <v>503</v>
      </c>
      <c r="K5" s="3">
        <v>884</v>
      </c>
      <c r="L5" s="3">
        <v>559</v>
      </c>
      <c r="M5" s="11">
        <f>SUM(RepInCongressCongressionalDistrict23General[[#This Row],[Allegany County Vote Results]:[Part of Tioga County Vote Results]])</f>
        <v>12274</v>
      </c>
      <c r="N5" s="13"/>
    </row>
    <row r="6" spans="1:14" x14ac:dyDescent="0.2">
      <c r="A6" s="2" t="s">
        <v>211</v>
      </c>
      <c r="B6" s="3">
        <v>201</v>
      </c>
      <c r="C6" s="3">
        <v>444</v>
      </c>
      <c r="D6" s="3">
        <v>901</v>
      </c>
      <c r="E6" s="3">
        <v>540</v>
      </c>
      <c r="F6" s="3">
        <v>219</v>
      </c>
      <c r="G6" s="3">
        <v>343</v>
      </c>
      <c r="H6" s="3">
        <v>594</v>
      </c>
      <c r="I6" s="3">
        <v>2502</v>
      </c>
      <c r="J6" s="3">
        <v>163</v>
      </c>
      <c r="K6" s="3">
        <v>310</v>
      </c>
      <c r="L6" s="3">
        <v>247</v>
      </c>
      <c r="M6" s="11">
        <f>SUM(RepInCongressCongressionalDistrict23General[[#This Row],[Allegany County Vote Results]:[Part of Tioga County Vote Results]])</f>
        <v>6464</v>
      </c>
      <c r="N6" s="13"/>
    </row>
    <row r="7" spans="1:14" x14ac:dyDescent="0.2">
      <c r="A7" s="2" t="s">
        <v>212</v>
      </c>
      <c r="B7" s="3">
        <v>168</v>
      </c>
      <c r="C7" s="3">
        <v>349</v>
      </c>
      <c r="D7" s="3">
        <v>740</v>
      </c>
      <c r="E7" s="3">
        <v>468</v>
      </c>
      <c r="F7" s="3">
        <v>90</v>
      </c>
      <c r="G7" s="3">
        <v>239</v>
      </c>
      <c r="H7" s="3">
        <v>486</v>
      </c>
      <c r="I7" s="3">
        <v>328</v>
      </c>
      <c r="J7" s="3">
        <v>75</v>
      </c>
      <c r="K7" s="3">
        <v>202</v>
      </c>
      <c r="L7" s="3">
        <v>182</v>
      </c>
      <c r="M7" s="11">
        <f>SUM(RepInCongressCongressionalDistrict23General[[#This Row],[Allegany County Vote Results]:[Part of Tioga County Vote Results]])</f>
        <v>3327</v>
      </c>
      <c r="N7" s="13"/>
    </row>
    <row r="8" spans="1:14" x14ac:dyDescent="0.2">
      <c r="A8" s="2" t="s">
        <v>213</v>
      </c>
      <c r="B8" s="3">
        <v>127</v>
      </c>
      <c r="C8" s="3">
        <v>239</v>
      </c>
      <c r="D8" s="3">
        <v>410</v>
      </c>
      <c r="E8" s="3">
        <v>225</v>
      </c>
      <c r="F8" s="3">
        <v>75</v>
      </c>
      <c r="G8" s="3">
        <v>134</v>
      </c>
      <c r="H8" s="3">
        <v>282</v>
      </c>
      <c r="I8" s="3">
        <v>693</v>
      </c>
      <c r="J8" s="3">
        <v>82</v>
      </c>
      <c r="K8" s="3">
        <v>168</v>
      </c>
      <c r="L8" s="3">
        <v>119</v>
      </c>
      <c r="M8" s="11">
        <f>SUM(RepInCongressCongressionalDistrict23General[[#This Row],[Allegany County Vote Results]:[Part of Tioga County Vote Results]])</f>
        <v>2554</v>
      </c>
      <c r="N8" s="13"/>
    </row>
    <row r="9" spans="1:14" x14ac:dyDescent="0.2">
      <c r="A9" s="4" t="s">
        <v>0</v>
      </c>
      <c r="B9" s="3">
        <v>418</v>
      </c>
      <c r="C9" s="3">
        <v>677</v>
      </c>
      <c r="D9" s="3">
        <v>1085</v>
      </c>
      <c r="E9" s="3">
        <v>619</v>
      </c>
      <c r="F9" s="3">
        <v>115</v>
      </c>
      <c r="G9" s="3">
        <v>432</v>
      </c>
      <c r="H9" s="3">
        <v>606</v>
      </c>
      <c r="I9" s="3">
        <v>500</v>
      </c>
      <c r="J9" s="3">
        <v>116</v>
      </c>
      <c r="K9" s="3">
        <v>509</v>
      </c>
      <c r="L9" s="3">
        <v>332</v>
      </c>
      <c r="M9" s="11">
        <f>SUM(RepInCongressCongressionalDistrict23General[[#This Row],[Allegany County Vote Results]:[Part of Tioga County Vote Results]])</f>
        <v>5409</v>
      </c>
      <c r="N9" s="13"/>
    </row>
    <row r="10" spans="1:14" x14ac:dyDescent="0.2">
      <c r="A10" s="4" t="s">
        <v>1</v>
      </c>
      <c r="B10" s="3">
        <v>3</v>
      </c>
      <c r="C10" s="3">
        <v>11</v>
      </c>
      <c r="D10" s="3">
        <v>55</v>
      </c>
      <c r="E10" s="3">
        <v>0</v>
      </c>
      <c r="F10" s="3">
        <v>7</v>
      </c>
      <c r="G10" s="3">
        <v>3</v>
      </c>
      <c r="H10" s="3">
        <v>16</v>
      </c>
      <c r="I10" s="3">
        <v>10</v>
      </c>
      <c r="J10" s="3">
        <v>5</v>
      </c>
      <c r="K10" s="3">
        <v>6</v>
      </c>
      <c r="L10" s="3">
        <v>0</v>
      </c>
      <c r="M10" s="11">
        <f>SUM(RepInCongressCongressionalDistrict23General[[#This Row],[Allegany County Vote Results]:[Part of Tioga County Vote Results]])</f>
        <v>116</v>
      </c>
      <c r="N10" s="13"/>
    </row>
    <row r="11" spans="1:14" x14ac:dyDescent="0.2">
      <c r="A11" s="4" t="s">
        <v>2</v>
      </c>
      <c r="B11" s="5">
        <v>7</v>
      </c>
      <c r="C11" s="5">
        <v>6</v>
      </c>
      <c r="D11" s="5">
        <v>23</v>
      </c>
      <c r="E11" s="5">
        <v>26</v>
      </c>
      <c r="F11" s="5">
        <v>1</v>
      </c>
      <c r="G11" s="5">
        <v>4</v>
      </c>
      <c r="H11" s="5">
        <v>17</v>
      </c>
      <c r="I11" s="5">
        <v>23</v>
      </c>
      <c r="J11" s="5">
        <v>2</v>
      </c>
      <c r="K11" s="5">
        <v>5</v>
      </c>
      <c r="L11" s="5">
        <v>5</v>
      </c>
      <c r="M11" s="11">
        <f>SUM(RepInCongressCongressionalDistrict23General[[#This Row],[Allegany County Vote Results]:[Part of Tioga County Vote Results]])</f>
        <v>119</v>
      </c>
      <c r="N11" s="13"/>
    </row>
    <row r="12" spans="1:14" hidden="1" x14ac:dyDescent="0.2">
      <c r="A12" s="4" t="s">
        <v>3</v>
      </c>
      <c r="B12" s="6">
        <f>SUBTOTAL(109,RepInCongressCongressionalDistrict23General[Allegany County Vote Results])</f>
        <v>15353</v>
      </c>
      <c r="C12" s="6"/>
      <c r="D12" s="6"/>
      <c r="E12" s="6"/>
      <c r="F12" s="6"/>
      <c r="G12" s="6"/>
      <c r="H12" s="6"/>
      <c r="I12" s="6"/>
      <c r="J12" s="6"/>
      <c r="K12" s="6"/>
      <c r="L12" s="6">
        <f>SUBTOTAL(109,RepInCongressCongressionalDistrict23General[Part of Tioga County Vote Results])</f>
        <v>14033</v>
      </c>
    </row>
  </sheetData>
  <pageMargins left="0.5" right="0.5" top="0.25" bottom="0.25" header="0.25" footer="0.25"/>
  <pageSetup paperSize="5" scale="57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10A-E04E-45E5-BFC2-533B20054108}">
  <sheetPr>
    <pageSetUpPr fitToPage="1"/>
  </sheetPr>
  <dimension ref="A1:G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214</v>
      </c>
    </row>
    <row r="2" spans="1:7" ht="25.5" x14ac:dyDescent="0.2">
      <c r="A2" s="7" t="s">
        <v>5</v>
      </c>
      <c r="B2" s="8" t="s">
        <v>65</v>
      </c>
      <c r="C2" s="8" t="s">
        <v>66</v>
      </c>
      <c r="D2" s="8" t="s">
        <v>30</v>
      </c>
      <c r="E2" s="8" t="s">
        <v>26</v>
      </c>
      <c r="F2" s="9" t="s">
        <v>243</v>
      </c>
      <c r="G2" s="10" t="s">
        <v>4</v>
      </c>
    </row>
    <row r="3" spans="1:7" x14ac:dyDescent="0.2">
      <c r="A3" s="2" t="s">
        <v>215</v>
      </c>
      <c r="B3" s="3">
        <v>10204</v>
      </c>
      <c r="C3" s="3">
        <v>85592</v>
      </c>
      <c r="D3" s="3">
        <v>11420</v>
      </c>
      <c r="E3" s="3">
        <v>8686</v>
      </c>
      <c r="F3" s="11">
        <f>SUM(RepInCongressCongressionalDistrict24General[[#This Row],[Cayuga County Vote Results]:[Part of Oswego County Vote Results]])</f>
        <v>115902</v>
      </c>
      <c r="G3" s="12">
        <f>SUM(RepInCongressCongressionalDistrict24General[[#This Row],[Total Votes by Party]],F6,F8)</f>
        <v>123226</v>
      </c>
    </row>
    <row r="4" spans="1:7" x14ac:dyDescent="0.2">
      <c r="A4" s="2" t="s">
        <v>216</v>
      </c>
      <c r="B4" s="3">
        <v>14154</v>
      </c>
      <c r="C4" s="3">
        <v>71311</v>
      </c>
      <c r="D4" s="3">
        <v>15918</v>
      </c>
      <c r="E4" s="3">
        <v>12155</v>
      </c>
      <c r="F4" s="11">
        <f>SUM(RepInCongressCongressionalDistrict24General[[#This Row],[Cayuga County Vote Results]:[Part of Oswego County Vote Results]])</f>
        <v>113538</v>
      </c>
      <c r="G4" s="12">
        <f>SUM(RepInCongressCongressionalDistrict24General[[#This Row],[Total Votes by Party]],F5,F7,F9)</f>
        <v>136920</v>
      </c>
    </row>
    <row r="5" spans="1:7" x14ac:dyDescent="0.2">
      <c r="A5" s="2" t="s">
        <v>217</v>
      </c>
      <c r="B5" s="3">
        <v>1848</v>
      </c>
      <c r="C5" s="3">
        <v>10871</v>
      </c>
      <c r="D5" s="3">
        <v>2734</v>
      </c>
      <c r="E5" s="3">
        <v>1519</v>
      </c>
      <c r="F5" s="11">
        <f>SUM(RepInCongressCongressionalDistrict24General[[#This Row],[Cayuga County Vote Results]:[Part of Oswego County Vote Results]])</f>
        <v>16972</v>
      </c>
      <c r="G5" s="13"/>
    </row>
    <row r="6" spans="1:7" x14ac:dyDescent="0.2">
      <c r="A6" s="2" t="s">
        <v>218</v>
      </c>
      <c r="B6" s="3">
        <v>485</v>
      </c>
      <c r="C6" s="3">
        <v>3274</v>
      </c>
      <c r="D6" s="3">
        <v>625</v>
      </c>
      <c r="E6" s="3">
        <v>400</v>
      </c>
      <c r="F6" s="11">
        <f>SUM(RepInCongressCongressionalDistrict24General[[#This Row],[Cayuga County Vote Results]:[Part of Oswego County Vote Results]])</f>
        <v>4784</v>
      </c>
      <c r="G6" s="13"/>
    </row>
    <row r="7" spans="1:7" x14ac:dyDescent="0.2">
      <c r="A7" s="2" t="s">
        <v>219</v>
      </c>
      <c r="B7" s="3">
        <v>571</v>
      </c>
      <c r="C7" s="3">
        <v>4020</v>
      </c>
      <c r="D7" s="3">
        <v>399</v>
      </c>
      <c r="E7" s="3">
        <v>464</v>
      </c>
      <c r="F7" s="11">
        <f>SUM(RepInCongressCongressionalDistrict24General[[#This Row],[Cayuga County Vote Results]:[Part of Oswego County Vote Results]])</f>
        <v>5454</v>
      </c>
      <c r="G7" s="13"/>
    </row>
    <row r="8" spans="1:7" x14ac:dyDescent="0.2">
      <c r="A8" s="2" t="s">
        <v>220</v>
      </c>
      <c r="B8" s="3">
        <v>229</v>
      </c>
      <c r="C8" s="3">
        <v>1764</v>
      </c>
      <c r="D8" s="3">
        <v>338</v>
      </c>
      <c r="E8" s="3">
        <v>209</v>
      </c>
      <c r="F8" s="11">
        <f>SUM(RepInCongressCongressionalDistrict24General[[#This Row],[Cayuga County Vote Results]:[Part of Oswego County Vote Results]])</f>
        <v>2540</v>
      </c>
      <c r="G8" s="13"/>
    </row>
    <row r="9" spans="1:7" x14ac:dyDescent="0.2">
      <c r="A9" s="2" t="s">
        <v>221</v>
      </c>
      <c r="B9" s="3">
        <v>106</v>
      </c>
      <c r="C9" s="3">
        <v>631</v>
      </c>
      <c r="D9" s="3">
        <v>137</v>
      </c>
      <c r="E9" s="3">
        <v>82</v>
      </c>
      <c r="F9" s="11">
        <f>SUM(RepInCongressCongressionalDistrict24General[[#This Row],[Cayuga County Vote Results]:[Part of Oswego County Vote Results]])</f>
        <v>956</v>
      </c>
      <c r="G9" s="13"/>
    </row>
    <row r="10" spans="1:7" x14ac:dyDescent="0.2">
      <c r="A10" s="4" t="s">
        <v>0</v>
      </c>
      <c r="B10" s="3">
        <v>537</v>
      </c>
      <c r="C10" s="3">
        <v>2675</v>
      </c>
      <c r="D10" s="3">
        <v>817</v>
      </c>
      <c r="E10" s="3">
        <v>612</v>
      </c>
      <c r="F10" s="11">
        <f>SUM(RepInCongressCongressionalDistrict24General[[#This Row],[Cayuga County Vote Results]:[Part of Oswego County Vote Results]])</f>
        <v>4641</v>
      </c>
      <c r="G10" s="13"/>
    </row>
    <row r="11" spans="1:7" x14ac:dyDescent="0.2">
      <c r="A11" s="4" t="s">
        <v>1</v>
      </c>
      <c r="B11" s="3">
        <v>12</v>
      </c>
      <c r="C11" s="3">
        <v>0</v>
      </c>
      <c r="D11" s="3">
        <v>7</v>
      </c>
      <c r="E11" s="3">
        <v>19</v>
      </c>
      <c r="F11" s="11">
        <f>SUM(RepInCongressCongressionalDistrict24General[[#This Row],[Cayuga County Vote Results]:[Part of Oswego County Vote Results]])</f>
        <v>38</v>
      </c>
      <c r="G11" s="13"/>
    </row>
    <row r="12" spans="1:7" x14ac:dyDescent="0.2">
      <c r="A12" s="4" t="s">
        <v>2</v>
      </c>
      <c r="B12" s="5">
        <v>24</v>
      </c>
      <c r="C12" s="5">
        <v>281</v>
      </c>
      <c r="D12" s="5">
        <v>7</v>
      </c>
      <c r="E12" s="5">
        <v>19</v>
      </c>
      <c r="F12" s="11">
        <f>SUM(RepInCongressCongressionalDistrict24General[[#This Row],[Cayuga County Vote Results]:[Part of Oswego County Vote Results]])</f>
        <v>331</v>
      </c>
      <c r="G12" s="13"/>
    </row>
    <row r="13" spans="1:7" hidden="1" x14ac:dyDescent="0.2">
      <c r="A13" s="4" t="s">
        <v>3</v>
      </c>
      <c r="B13" s="6">
        <f>SUBTOTAL(109,RepInCongressCongressionalDistrict24General[Cayuga County Vote Results])</f>
        <v>28170</v>
      </c>
      <c r="C13" s="6"/>
      <c r="D13" s="6"/>
      <c r="E13" s="6">
        <f>SUBTOTAL(109,RepInCongressCongressionalDistrict24General[Part of Oswego County Vote Results])</f>
        <v>24165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2975-5FAD-4DAE-88E7-95FA6F3FCB95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222</v>
      </c>
    </row>
    <row r="2" spans="1:4" ht="24.95" customHeight="1" x14ac:dyDescent="0.2">
      <c r="A2" s="7" t="s">
        <v>5</v>
      </c>
      <c r="B2" s="8" t="s">
        <v>34</v>
      </c>
      <c r="C2" s="9" t="s">
        <v>243</v>
      </c>
      <c r="D2" s="10" t="s">
        <v>4</v>
      </c>
    </row>
    <row r="3" spans="1:4" x14ac:dyDescent="0.2">
      <c r="A3" s="2" t="s">
        <v>223</v>
      </c>
      <c r="B3" s="3">
        <v>147979</v>
      </c>
      <c r="C3" s="11">
        <f>RepInCongressCongressionalDistrict25General[[#This Row],[Part of Monroe County Vote Results]]</f>
        <v>147979</v>
      </c>
      <c r="D3" s="12">
        <f>SUM(RepInCongressCongressionalDistrict25General[[#This Row],[Total Votes by Party]],C6,C7,C8)</f>
        <v>159244</v>
      </c>
    </row>
    <row r="4" spans="1:4" x14ac:dyDescent="0.2">
      <c r="A4" s="2" t="s">
        <v>224</v>
      </c>
      <c r="B4" s="3">
        <v>91342</v>
      </c>
      <c r="C4" s="11">
        <f>RepInCongressCongressionalDistrict25General[[#This Row],[Part of Monroe County Vote Results]]</f>
        <v>91342</v>
      </c>
      <c r="D4" s="12">
        <f>SUM(RepInCongressCongressionalDistrict25General[[#This Row],[Total Votes by Party]],C5,C9)</f>
        <v>110736</v>
      </c>
    </row>
    <row r="5" spans="1:4" x14ac:dyDescent="0.2">
      <c r="A5" s="2" t="s">
        <v>225</v>
      </c>
      <c r="B5" s="3">
        <v>17781</v>
      </c>
      <c r="C5" s="11">
        <f>RepInCongressCongressionalDistrict25General[[#This Row],[Part of Monroe County Vote Results]]</f>
        <v>17781</v>
      </c>
      <c r="D5" s="13"/>
    </row>
    <row r="6" spans="1:4" x14ac:dyDescent="0.2">
      <c r="A6" s="2" t="s">
        <v>226</v>
      </c>
      <c r="B6" s="3">
        <v>4575</v>
      </c>
      <c r="C6" s="11">
        <f>RepInCongressCongressionalDistrict25General[[#This Row],[Part of Monroe County Vote Results]]</f>
        <v>4575</v>
      </c>
      <c r="D6" s="13"/>
    </row>
    <row r="7" spans="1:4" x14ac:dyDescent="0.2">
      <c r="A7" s="2" t="s">
        <v>227</v>
      </c>
      <c r="B7" s="3">
        <v>4585</v>
      </c>
      <c r="C7" s="11">
        <f>RepInCongressCongressionalDistrict25General[[#This Row],[Part of Monroe County Vote Results]]</f>
        <v>4585</v>
      </c>
      <c r="D7" s="13"/>
    </row>
    <row r="8" spans="1:4" x14ac:dyDescent="0.2">
      <c r="A8" s="2" t="s">
        <v>228</v>
      </c>
      <c r="B8" s="3">
        <v>2105</v>
      </c>
      <c r="C8" s="11">
        <f>RepInCongressCongressionalDistrict25General[[#This Row],[Part of Monroe County Vote Results]]</f>
        <v>2105</v>
      </c>
      <c r="D8" s="13"/>
    </row>
    <row r="9" spans="1:4" x14ac:dyDescent="0.2">
      <c r="A9" s="2" t="s">
        <v>229</v>
      </c>
      <c r="B9" s="3">
        <v>1613</v>
      </c>
      <c r="C9" s="11">
        <f>RepInCongressCongressionalDistrict25General[[#This Row],[Part of Monroe County Vote Results]]</f>
        <v>1613</v>
      </c>
      <c r="D9" s="13"/>
    </row>
    <row r="10" spans="1:4" x14ac:dyDescent="0.2">
      <c r="A10" s="4" t="s">
        <v>0</v>
      </c>
      <c r="B10" s="5">
        <v>5389</v>
      </c>
      <c r="C10" s="11">
        <f>RepInCongressCongressionalDistrict25General[[#This Row],[Part of Monroe County Vote Results]]</f>
        <v>5389</v>
      </c>
      <c r="D10" s="13"/>
    </row>
    <row r="11" spans="1:4" x14ac:dyDescent="0.2">
      <c r="A11" s="4" t="s">
        <v>1</v>
      </c>
      <c r="B11" s="5">
        <v>132</v>
      </c>
      <c r="C11" s="11">
        <f>RepInCongressCongressionalDistrict25General[[#This Row],[Part of Monroe County Vote Results]]</f>
        <v>132</v>
      </c>
      <c r="D11" s="13"/>
    </row>
    <row r="12" spans="1:4" x14ac:dyDescent="0.2">
      <c r="A12" s="4" t="s">
        <v>2</v>
      </c>
      <c r="B12" s="5">
        <v>140</v>
      </c>
      <c r="C12" s="11">
        <f>RepInCongressCongressionalDistrict25General[[#This Row],[Part of Monroe County Vote Results]]</f>
        <v>140</v>
      </c>
      <c r="D12" s="13"/>
    </row>
    <row r="13" spans="1:4" hidden="1" x14ac:dyDescent="0.2">
      <c r="A13" s="4" t="s">
        <v>3</v>
      </c>
      <c r="B13" s="6">
        <f>SUBTOTAL(109,RepInCongressCongressionalDistrict25General[Total Votes by Candidate])</f>
        <v>269980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E2D4-38A5-4D2E-A85E-9C82874309D9}">
  <sheetPr>
    <pageSetUpPr fitToPage="1"/>
  </sheetPr>
  <dimension ref="A1:E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230</v>
      </c>
    </row>
    <row r="2" spans="1:5" ht="25.5" x14ac:dyDescent="0.2">
      <c r="A2" s="7" t="s">
        <v>5</v>
      </c>
      <c r="B2" s="8" t="s">
        <v>36</v>
      </c>
      <c r="C2" s="8" t="s">
        <v>37</v>
      </c>
      <c r="D2" s="9" t="s">
        <v>243</v>
      </c>
      <c r="E2" s="10" t="s">
        <v>4</v>
      </c>
    </row>
    <row r="3" spans="1:5" x14ac:dyDescent="0.2">
      <c r="A3" s="2" t="s">
        <v>231</v>
      </c>
      <c r="B3" s="3">
        <v>144249</v>
      </c>
      <c r="C3" s="3">
        <v>12719</v>
      </c>
      <c r="D3" s="11">
        <f>SUM(RepInCongressCongressionalDistrict26General[[#This Row],[Part of Erie County Vote Results]:[Part of Niagara County Vote Results]])</f>
        <v>156968</v>
      </c>
      <c r="E3" s="12">
        <f>SUM(RepInCongressCongressionalDistrict26General[[#This Row],[Total Votes by Party]],D5,D6)</f>
        <v>169166</v>
      </c>
    </row>
    <row r="4" spans="1:5" x14ac:dyDescent="0.2">
      <c r="A4" s="2" t="s">
        <v>232</v>
      </c>
      <c r="B4" s="3">
        <v>53186</v>
      </c>
      <c r="C4" s="3">
        <v>8302</v>
      </c>
      <c r="D4" s="11">
        <f>SUM(RepInCongressCongressionalDistrict26General[[#This Row],[Part of Erie County Vote Results]:[Part of Niagara County Vote Results]])</f>
        <v>61488</v>
      </c>
      <c r="E4" s="12">
        <f>RepInCongressCongressionalDistrict26General[[#This Row],[Total Votes by Party]]</f>
        <v>61488</v>
      </c>
    </row>
    <row r="5" spans="1:5" x14ac:dyDescent="0.2">
      <c r="A5" s="2" t="s">
        <v>233</v>
      </c>
      <c r="B5" s="3">
        <v>8302</v>
      </c>
      <c r="C5" s="3">
        <v>627</v>
      </c>
      <c r="D5" s="11">
        <f>SUM(RepInCongressCongressionalDistrict26General[[#This Row],[Part of Erie County Vote Results]:[Part of Niagara County Vote Results]])</f>
        <v>8929</v>
      </c>
      <c r="E5" s="13"/>
    </row>
    <row r="6" spans="1:5" x14ac:dyDescent="0.2">
      <c r="A6" s="2" t="s">
        <v>234</v>
      </c>
      <c r="B6" s="3">
        <v>3057</v>
      </c>
      <c r="C6" s="3">
        <v>212</v>
      </c>
      <c r="D6" s="11">
        <f>SUM(RepInCongressCongressionalDistrict26General[[#This Row],[Part of Erie County Vote Results]:[Part of Niagara County Vote Results]])</f>
        <v>3269</v>
      </c>
      <c r="E6" s="13"/>
    </row>
    <row r="7" spans="1:5" x14ac:dyDescent="0.2">
      <c r="A7" s="4" t="s">
        <v>0</v>
      </c>
      <c r="B7" s="3">
        <v>10353</v>
      </c>
      <c r="C7" s="3">
        <v>1355</v>
      </c>
      <c r="D7" s="11">
        <f>SUM(RepInCongressCongressionalDistrict26General[[#This Row],[Part of Erie County Vote Results]:[Part of Niagara County Vote Results]])</f>
        <v>11708</v>
      </c>
      <c r="E7" s="13"/>
    </row>
    <row r="8" spans="1:5" x14ac:dyDescent="0.2">
      <c r="A8" s="4" t="s">
        <v>1</v>
      </c>
      <c r="B8" s="3">
        <v>0</v>
      </c>
      <c r="C8" s="3">
        <v>0</v>
      </c>
      <c r="D8" s="11">
        <f>SUM(RepInCongressCongressionalDistrict26General[[#This Row],[Part of Erie County Vote Results]:[Part of Niagara County Vote Results]])</f>
        <v>0</v>
      </c>
      <c r="E8" s="13"/>
    </row>
    <row r="9" spans="1:5" x14ac:dyDescent="0.2">
      <c r="A9" s="4" t="s">
        <v>2</v>
      </c>
      <c r="B9" s="5">
        <v>0</v>
      </c>
      <c r="C9" s="5">
        <v>9</v>
      </c>
      <c r="D9" s="11">
        <f>SUM(RepInCongressCongressionalDistrict26General[[#This Row],[Part of Erie County Vote Results]:[Part of Niagara County Vote Results]])</f>
        <v>9</v>
      </c>
      <c r="E9" s="13"/>
    </row>
    <row r="10" spans="1:5" hidden="1" x14ac:dyDescent="0.2">
      <c r="A10" s="4" t="s">
        <v>3</v>
      </c>
      <c r="B10" s="6">
        <f>SUBTOTAL(109,RepInCongressCongressionalDistrict26General[Part of Erie County Vote Results])</f>
        <v>219147</v>
      </c>
      <c r="C10" s="6">
        <f>SUBTOTAL(109,RepInCongressCongressionalDistrict26General[Part of Niagara County Vote Results])</f>
        <v>23224</v>
      </c>
      <c r="D10" s="11">
        <f>RepInCongressCongressionalDistrict25General[[#This Row],[Part of Monroe County Vote Results]]</f>
        <v>5389</v>
      </c>
      <c r="E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F6D0-F95A-44B9-9350-CF5353CAAA89}">
  <sheetPr>
    <pageSetUpPr fitToPage="1"/>
  </sheetPr>
  <dimension ref="A1:K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24.75" customHeight="1" x14ac:dyDescent="0.2">
      <c r="A1" s="1" t="s">
        <v>235</v>
      </c>
    </row>
    <row r="2" spans="1:11" ht="25.5" x14ac:dyDescent="0.2">
      <c r="A2" s="7" t="s">
        <v>5</v>
      </c>
      <c r="B2" s="8" t="s">
        <v>35</v>
      </c>
      <c r="C2" s="8" t="s">
        <v>33</v>
      </c>
      <c r="D2" s="8" t="s">
        <v>67</v>
      </c>
      <c r="E2" s="8" t="s">
        <v>38</v>
      </c>
      <c r="F2" s="8" t="s">
        <v>36</v>
      </c>
      <c r="G2" s="8" t="s">
        <v>34</v>
      </c>
      <c r="H2" s="8" t="s">
        <v>37</v>
      </c>
      <c r="I2" s="8" t="s">
        <v>64</v>
      </c>
      <c r="J2" s="9" t="s">
        <v>243</v>
      </c>
      <c r="K2" s="10" t="s">
        <v>4</v>
      </c>
    </row>
    <row r="3" spans="1:11" x14ac:dyDescent="0.2">
      <c r="A3" s="2" t="s">
        <v>236</v>
      </c>
      <c r="B3" s="3">
        <v>7938</v>
      </c>
      <c r="C3" s="3">
        <v>10594</v>
      </c>
      <c r="D3" s="3">
        <v>4359</v>
      </c>
      <c r="E3" s="3">
        <v>4118</v>
      </c>
      <c r="F3" s="3">
        <v>59367</v>
      </c>
      <c r="G3" s="3">
        <v>5622</v>
      </c>
      <c r="H3" s="3">
        <v>21876</v>
      </c>
      <c r="I3" s="3">
        <v>14293</v>
      </c>
      <c r="J3" s="11">
        <f>SUM(RepInCongressCongressionalDistrict27General[[#This Row],[Genesee County Vote Results]:[Part of Ontario County Vote Results]])</f>
        <v>128167</v>
      </c>
      <c r="K3" s="12">
        <f>SUM(RepInCongressCongressionalDistrict27General[[#This Row],[Total Votes by Party]],J6,J8)</f>
        <v>139059</v>
      </c>
    </row>
    <row r="4" spans="1:11" x14ac:dyDescent="0.2">
      <c r="A4" s="2" t="s">
        <v>237</v>
      </c>
      <c r="B4" s="3">
        <v>9655</v>
      </c>
      <c r="C4" s="3">
        <v>10137</v>
      </c>
      <c r="D4" s="3">
        <v>6418</v>
      </c>
      <c r="E4" s="3">
        <v>7096</v>
      </c>
      <c r="F4" s="3">
        <v>45967</v>
      </c>
      <c r="G4" s="3">
        <v>4656</v>
      </c>
      <c r="H4" s="3">
        <v>19989</v>
      </c>
      <c r="I4" s="3">
        <v>10588</v>
      </c>
      <c r="J4" s="11">
        <f>SUM(RepInCongressCongressionalDistrict27General[[#This Row],[Genesee County Vote Results]:[Part of Ontario County Vote Results]])</f>
        <v>114506</v>
      </c>
      <c r="K4" s="12">
        <f>SUM(RepInCongressCongressionalDistrict27General[[#This Row],[Total Votes by Party]],J5,J7)</f>
        <v>140146</v>
      </c>
    </row>
    <row r="5" spans="1:11" x14ac:dyDescent="0.2">
      <c r="A5" s="2" t="s">
        <v>238</v>
      </c>
      <c r="B5" s="3">
        <v>1685</v>
      </c>
      <c r="C5" s="3">
        <v>1678</v>
      </c>
      <c r="D5" s="3">
        <v>1064</v>
      </c>
      <c r="E5" s="3">
        <v>1096</v>
      </c>
      <c r="F5" s="3">
        <v>11097</v>
      </c>
      <c r="G5" s="3">
        <v>1054</v>
      </c>
      <c r="H5" s="3">
        <v>4033</v>
      </c>
      <c r="I5" s="3">
        <v>1846</v>
      </c>
      <c r="J5" s="11">
        <f>SUM(RepInCongressCongressionalDistrict27General[[#This Row],[Genesee County Vote Results]:[Part of Ontario County Vote Results]])</f>
        <v>23553</v>
      </c>
      <c r="K5" s="13"/>
    </row>
    <row r="6" spans="1:11" x14ac:dyDescent="0.2">
      <c r="A6" s="2" t="s">
        <v>239</v>
      </c>
      <c r="B6" s="3">
        <v>561</v>
      </c>
      <c r="C6" s="3">
        <v>684</v>
      </c>
      <c r="D6" s="3">
        <v>312</v>
      </c>
      <c r="E6" s="3">
        <v>409</v>
      </c>
      <c r="F6" s="3">
        <v>3642</v>
      </c>
      <c r="G6" s="3">
        <v>310</v>
      </c>
      <c r="H6" s="3">
        <v>1504</v>
      </c>
      <c r="I6" s="3">
        <v>668</v>
      </c>
      <c r="J6" s="11">
        <f>SUM(RepInCongressCongressionalDistrict27General[[#This Row],[Genesee County Vote Results]:[Part of Ontario County Vote Results]])</f>
        <v>8090</v>
      </c>
      <c r="K6" s="13"/>
    </row>
    <row r="7" spans="1:11" x14ac:dyDescent="0.2">
      <c r="A7" s="2" t="s">
        <v>240</v>
      </c>
      <c r="B7" s="3">
        <v>135</v>
      </c>
      <c r="C7" s="3">
        <v>221</v>
      </c>
      <c r="D7" s="3">
        <v>97</v>
      </c>
      <c r="E7" s="3">
        <v>89</v>
      </c>
      <c r="F7" s="3">
        <v>873</v>
      </c>
      <c r="G7" s="3">
        <v>119</v>
      </c>
      <c r="H7" s="3">
        <v>323</v>
      </c>
      <c r="I7" s="3">
        <v>230</v>
      </c>
      <c r="J7" s="11">
        <f>SUM(RepInCongressCongressionalDistrict27General[[#This Row],[Genesee County Vote Results]:[Part of Ontario County Vote Results]])</f>
        <v>2087</v>
      </c>
      <c r="K7" s="13"/>
    </row>
    <row r="8" spans="1:11" x14ac:dyDescent="0.2">
      <c r="A8" s="2" t="s">
        <v>241</v>
      </c>
      <c r="B8" s="3">
        <v>207</v>
      </c>
      <c r="C8" s="3">
        <v>242</v>
      </c>
      <c r="D8" s="3">
        <v>91</v>
      </c>
      <c r="E8" s="3">
        <v>81</v>
      </c>
      <c r="F8" s="3">
        <v>1260</v>
      </c>
      <c r="G8" s="3">
        <v>148</v>
      </c>
      <c r="H8" s="3">
        <v>461</v>
      </c>
      <c r="I8" s="3">
        <v>312</v>
      </c>
      <c r="J8" s="11">
        <f>SUM(RepInCongressCongressionalDistrict27General[[#This Row],[Genesee County Vote Results]:[Part of Ontario County Vote Results]])</f>
        <v>2802</v>
      </c>
      <c r="K8" s="13"/>
    </row>
    <row r="9" spans="1:11" x14ac:dyDescent="0.2">
      <c r="A9" s="2" t="s">
        <v>242</v>
      </c>
      <c r="B9" s="3">
        <v>627</v>
      </c>
      <c r="C9" s="3">
        <v>527</v>
      </c>
      <c r="D9" s="3">
        <v>299</v>
      </c>
      <c r="E9" s="3">
        <v>348</v>
      </c>
      <c r="F9" s="3">
        <v>2451</v>
      </c>
      <c r="G9" s="3">
        <v>206</v>
      </c>
      <c r="H9" s="3">
        <v>1079</v>
      </c>
      <c r="I9" s="3">
        <v>436</v>
      </c>
      <c r="J9" s="11">
        <f>SUM(RepInCongressCongressionalDistrict27General[[#This Row],[Genesee County Vote Results]:[Part of Ontario County Vote Results]])</f>
        <v>5973</v>
      </c>
      <c r="K9" s="12">
        <f>RepInCongressCongressionalDistrict27General[[#This Row],[Total Votes by Party]]</f>
        <v>5973</v>
      </c>
    </row>
    <row r="10" spans="1:11" x14ac:dyDescent="0.2">
      <c r="A10" s="4" t="s">
        <v>0</v>
      </c>
      <c r="B10" s="3">
        <v>712</v>
      </c>
      <c r="C10" s="3">
        <v>728</v>
      </c>
      <c r="D10" s="3">
        <v>468</v>
      </c>
      <c r="E10" s="3">
        <v>287</v>
      </c>
      <c r="F10" s="3">
        <v>3097</v>
      </c>
      <c r="G10" s="3">
        <v>338</v>
      </c>
      <c r="H10" s="3">
        <v>1155</v>
      </c>
      <c r="I10" s="3">
        <v>975</v>
      </c>
      <c r="J10" s="11">
        <f>SUM(RepInCongressCongressionalDistrict27General[[#This Row],[Genesee County Vote Results]:[Part of Ontario County Vote Results]])</f>
        <v>7760</v>
      </c>
      <c r="K10" s="13"/>
    </row>
    <row r="11" spans="1:11" x14ac:dyDescent="0.2">
      <c r="A11" s="4" t="s">
        <v>1</v>
      </c>
      <c r="B11" s="3">
        <v>9</v>
      </c>
      <c r="C11" s="3">
        <v>8</v>
      </c>
      <c r="D11" s="3">
        <v>9</v>
      </c>
      <c r="E11" s="3">
        <v>2</v>
      </c>
      <c r="F11" s="3">
        <v>0</v>
      </c>
      <c r="G11" s="3">
        <v>3</v>
      </c>
      <c r="H11" s="3">
        <v>0</v>
      </c>
      <c r="I11" s="3">
        <v>4</v>
      </c>
      <c r="J11" s="11">
        <f>SUM(RepInCongressCongressionalDistrict27General[[#This Row],[Genesee County Vote Results]:[Part of Ontario County Vote Results]])</f>
        <v>35</v>
      </c>
      <c r="K11" s="13"/>
    </row>
    <row r="12" spans="1:11" x14ac:dyDescent="0.2">
      <c r="A12" s="4" t="s">
        <v>2</v>
      </c>
      <c r="B12" s="5">
        <v>28</v>
      </c>
      <c r="C12" s="5">
        <v>17</v>
      </c>
      <c r="D12" s="5">
        <v>5</v>
      </c>
      <c r="E12" s="5">
        <v>9</v>
      </c>
      <c r="F12" s="5">
        <v>0</v>
      </c>
      <c r="G12" s="5">
        <v>14</v>
      </c>
      <c r="H12" s="5">
        <v>29</v>
      </c>
      <c r="I12" s="5">
        <v>20</v>
      </c>
      <c r="J12" s="11">
        <f>SUM(RepInCongressCongressionalDistrict27General[[#This Row],[Genesee County Vote Results]:[Part of Ontario County Vote Results]])</f>
        <v>122</v>
      </c>
      <c r="K12" s="13"/>
    </row>
    <row r="13" spans="1:11" hidden="1" x14ac:dyDescent="0.2">
      <c r="A13" s="4" t="s">
        <v>3</v>
      </c>
      <c r="B13" s="6">
        <f>SUBTOTAL(109,RepInCongressCongressionalDistrict27General[Genesee County Vote Results])</f>
        <v>21557</v>
      </c>
      <c r="C13" s="6"/>
      <c r="D13" s="6"/>
      <c r="E13" s="6"/>
      <c r="F13" s="6"/>
      <c r="G13" s="6"/>
      <c r="H13" s="6"/>
      <c r="I13" s="6">
        <f>SUBTOTAL(109,RepInCongressCongressionalDistrict27General[Part of Ontario County Vote Results])</f>
        <v>29372</v>
      </c>
    </row>
  </sheetData>
  <pageMargins left="0.5" right="0.5" top="0.25" bottom="0.25" header="0.25" footer="0.25"/>
  <pageSetup paperSize="5" scale="73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C9F3-042C-4B50-80E4-1FC0CE7B648A}">
  <sheetPr>
    <pageSetUpPr fitToPage="1"/>
  </sheetPr>
  <dimension ref="A1:F15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84</v>
      </c>
    </row>
    <row r="2" spans="1:6" ht="25.5" x14ac:dyDescent="0.2">
      <c r="A2" s="7" t="s">
        <v>5</v>
      </c>
      <c r="B2" s="8" t="s">
        <v>7</v>
      </c>
      <c r="C2" s="8" t="s">
        <v>8</v>
      </c>
      <c r="D2" s="8" t="s">
        <v>6</v>
      </c>
      <c r="E2" s="9" t="s">
        <v>243</v>
      </c>
      <c r="F2" s="10" t="s">
        <v>4</v>
      </c>
    </row>
    <row r="3" spans="1:6" x14ac:dyDescent="0.2">
      <c r="A3" s="2" t="s">
        <v>85</v>
      </c>
      <c r="B3" s="3">
        <v>78188</v>
      </c>
      <c r="C3" s="3">
        <v>21741</v>
      </c>
      <c r="D3" s="3">
        <v>50008</v>
      </c>
      <c r="E3" s="11">
        <f>SUM(RepInCongressCongressionalDistrict3General[[#This Row],[Part of Nassau County Vote Results]:[Part of Suffolk County Vote Results]])</f>
        <v>149937</v>
      </c>
      <c r="F3" s="12">
        <f>SUM(RepInCongressCongressionalDistrict3General[[#This Row],[Total Votes by Party]],E6,E7,E8,E9)</f>
        <v>157456</v>
      </c>
    </row>
    <row r="4" spans="1:6" x14ac:dyDescent="0.2">
      <c r="A4" s="2" t="s">
        <v>86</v>
      </c>
      <c r="B4" s="3">
        <v>49554</v>
      </c>
      <c r="C4" s="3">
        <v>10237</v>
      </c>
      <c r="D4" s="3">
        <v>38925</v>
      </c>
      <c r="E4" s="11">
        <f>SUM(RepInCongressCongressionalDistrict3General[[#This Row],[Part of Nassau County Vote Results]:[Part of Suffolk County Vote Results]])</f>
        <v>98716</v>
      </c>
      <c r="F4" s="12">
        <f>SUM(RepInCongressCongressionalDistrict3General[[#This Row],[Total Votes by Party]],E5)</f>
        <v>109514</v>
      </c>
    </row>
    <row r="5" spans="1:6" x14ac:dyDescent="0.2">
      <c r="A5" s="2" t="s">
        <v>87</v>
      </c>
      <c r="B5" s="3">
        <v>4930</v>
      </c>
      <c r="C5" s="3">
        <v>1121</v>
      </c>
      <c r="D5" s="3">
        <v>4747</v>
      </c>
      <c r="E5" s="11">
        <f>SUM(RepInCongressCongressionalDistrict3General[[#This Row],[Part of Nassau County Vote Results]:[Part of Suffolk County Vote Results]])</f>
        <v>10798</v>
      </c>
      <c r="F5" s="13"/>
    </row>
    <row r="6" spans="1:6" x14ac:dyDescent="0.2">
      <c r="A6" s="2" t="s">
        <v>88</v>
      </c>
      <c r="B6" s="3">
        <v>1275</v>
      </c>
      <c r="C6" s="3">
        <v>561</v>
      </c>
      <c r="D6" s="3">
        <v>1002</v>
      </c>
      <c r="E6" s="11">
        <f>SUM(RepInCongressCongressionalDistrict3General[[#This Row],[Part of Nassau County Vote Results]:[Part of Suffolk County Vote Results]])</f>
        <v>2838</v>
      </c>
      <c r="F6" s="13"/>
    </row>
    <row r="7" spans="1:6" x14ac:dyDescent="0.2">
      <c r="A7" s="2" t="s">
        <v>89</v>
      </c>
      <c r="B7" s="3">
        <v>1081</v>
      </c>
      <c r="C7" s="3">
        <v>577</v>
      </c>
      <c r="D7" s="3">
        <v>1304</v>
      </c>
      <c r="E7" s="11">
        <f>SUM(RepInCongressCongressionalDistrict3General[[#This Row],[Part of Nassau County Vote Results]:[Part of Suffolk County Vote Results]])</f>
        <v>2962</v>
      </c>
      <c r="F7" s="13"/>
    </row>
    <row r="8" spans="1:6" x14ac:dyDescent="0.2">
      <c r="A8" s="2" t="s">
        <v>90</v>
      </c>
      <c r="B8" s="3">
        <v>683</v>
      </c>
      <c r="C8" s="3">
        <v>100</v>
      </c>
      <c r="D8" s="3">
        <v>593</v>
      </c>
      <c r="E8" s="11">
        <f>SUM(RepInCongressCongressionalDistrict3General[[#This Row],[Part of Nassau County Vote Results]:[Part of Suffolk County Vote Results]])</f>
        <v>1376</v>
      </c>
      <c r="F8" s="13"/>
    </row>
    <row r="9" spans="1:6" x14ac:dyDescent="0.2">
      <c r="A9" s="2" t="s">
        <v>91</v>
      </c>
      <c r="B9" s="3">
        <v>200</v>
      </c>
      <c r="C9" s="3">
        <v>35</v>
      </c>
      <c r="D9" s="3">
        <v>108</v>
      </c>
      <c r="E9" s="11">
        <f>SUM(RepInCongressCongressionalDistrict3General[[#This Row],[Part of Nassau County Vote Results]:[Part of Suffolk County Vote Results]])</f>
        <v>343</v>
      </c>
      <c r="F9" s="13"/>
    </row>
    <row r="10" spans="1:6" x14ac:dyDescent="0.2">
      <c r="A10" s="4" t="s">
        <v>0</v>
      </c>
      <c r="B10" s="3">
        <v>2538</v>
      </c>
      <c r="C10" s="3">
        <v>1310</v>
      </c>
      <c r="D10" s="3">
        <v>2081</v>
      </c>
      <c r="E10" s="11">
        <f>SUM(RepInCongressCongressionalDistrict3General[[#This Row],[Part of Nassau County Vote Results]:[Part of Suffolk County Vote Results]])</f>
        <v>5929</v>
      </c>
      <c r="F10" s="13"/>
    </row>
    <row r="11" spans="1:6" x14ac:dyDescent="0.2">
      <c r="A11" s="4" t="s">
        <v>1</v>
      </c>
      <c r="B11" s="3">
        <v>121</v>
      </c>
      <c r="C11" s="3">
        <v>0</v>
      </c>
      <c r="D11" s="3">
        <v>18</v>
      </c>
      <c r="E11" s="11">
        <f>SUM(RepInCongressCongressionalDistrict3General[[#This Row],[Part of Nassau County Vote Results]:[Part of Suffolk County Vote Results]])</f>
        <v>139</v>
      </c>
      <c r="F11" s="13"/>
    </row>
    <row r="12" spans="1:6" x14ac:dyDescent="0.2">
      <c r="A12" s="4" t="s">
        <v>2</v>
      </c>
      <c r="B12" s="5">
        <v>40</v>
      </c>
      <c r="C12" s="5">
        <v>24</v>
      </c>
      <c r="D12" s="5">
        <v>28</v>
      </c>
      <c r="E12" s="11">
        <f>SUM(RepInCongressCongressionalDistrict3General[[#This Row],[Part of Nassau County Vote Results]:[Part of Suffolk County Vote Results]])</f>
        <v>92</v>
      </c>
      <c r="F12" s="13"/>
    </row>
    <row r="13" spans="1:6" hidden="1" x14ac:dyDescent="0.2">
      <c r="A13" s="4" t="s">
        <v>3</v>
      </c>
      <c r="B13" s="6">
        <f>SUBTOTAL(109,RepInCongressCongressionalDistrict3General[Part of Nassau County Vote Results])</f>
        <v>138610</v>
      </c>
      <c r="C13" s="6"/>
      <c r="D13" s="6">
        <f>SUBTOTAL(109,RepInCongressCongressionalDistrict3General[Part of Suffolk County Vote Results])</f>
        <v>98814</v>
      </c>
      <c r="E13" s="11">
        <f>SUM(RepInCongressCongressionalDistrict2General[[#This Row],[Part of Nassau County Vote Results]:[Part of Suffolk County Vote Results]])</f>
        <v>65</v>
      </c>
      <c r="F13" s="13"/>
    </row>
    <row r="14" spans="1:6" x14ac:dyDescent="0.2">
      <c r="C14" s="14"/>
    </row>
    <row r="15" spans="1:6" x14ac:dyDescent="0.2">
      <c r="C15" s="14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27DE-15FF-4B0A-804E-0E179C27E990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92</v>
      </c>
    </row>
    <row r="2" spans="1:4" ht="24.95" customHeight="1" x14ac:dyDescent="0.2">
      <c r="A2" s="7" t="s">
        <v>5</v>
      </c>
      <c r="B2" s="8" t="s">
        <v>7</v>
      </c>
      <c r="C2" s="9" t="s">
        <v>243</v>
      </c>
      <c r="D2" s="10" t="s">
        <v>4</v>
      </c>
    </row>
    <row r="3" spans="1:4" x14ac:dyDescent="0.2">
      <c r="A3" s="2" t="s">
        <v>93</v>
      </c>
      <c r="B3" s="3">
        <v>156728</v>
      </c>
      <c r="C3" s="11">
        <f>RepInCongressCongressionalDistrict4General[[#This Row],[Part of Nassau County Vote Results]]</f>
        <v>156728</v>
      </c>
      <c r="D3" s="12">
        <f>SUM(RepInCongressCongressionalDistrict4General[[#This Row],[Total Votes by Party]],C6)</f>
        <v>159535</v>
      </c>
    </row>
    <row r="4" spans="1:4" x14ac:dyDescent="0.2">
      <c r="A4" s="2" t="s">
        <v>94</v>
      </c>
      <c r="B4" s="3">
        <v>90306</v>
      </c>
      <c r="C4" s="11">
        <f>RepInCongressCongressionalDistrict4General[[#This Row],[Part of Nassau County Vote Results]]</f>
        <v>90306</v>
      </c>
      <c r="D4" s="12">
        <f>SUM(RepInCongressCongressionalDistrict4General[[#This Row],[Total Votes by Party]],C5,C7)</f>
        <v>100571</v>
      </c>
    </row>
    <row r="5" spans="1:4" x14ac:dyDescent="0.2">
      <c r="A5" s="2" t="s">
        <v>95</v>
      </c>
      <c r="B5" s="3">
        <v>9709</v>
      </c>
      <c r="C5" s="11">
        <f>RepInCongressCongressionalDistrict4General[[#This Row],[Part of Nassau County Vote Results]]</f>
        <v>9709</v>
      </c>
      <c r="D5" s="13"/>
    </row>
    <row r="6" spans="1:4" x14ac:dyDescent="0.2">
      <c r="A6" s="2" t="s">
        <v>96</v>
      </c>
      <c r="B6" s="3">
        <v>2807</v>
      </c>
      <c r="C6" s="11">
        <f>RepInCongressCongressionalDistrict4General[[#This Row],[Part of Nassau County Vote Results]]</f>
        <v>2807</v>
      </c>
      <c r="D6" s="13"/>
    </row>
    <row r="7" spans="1:4" x14ac:dyDescent="0.2">
      <c r="A7" s="2" t="s">
        <v>97</v>
      </c>
      <c r="B7" s="5">
        <v>556</v>
      </c>
      <c r="C7" s="11">
        <f>RepInCongressCongressionalDistrict4General[[#This Row],[Part of Nassau County Vote Results]]</f>
        <v>556</v>
      </c>
      <c r="D7" s="13"/>
    </row>
    <row r="8" spans="1:4" x14ac:dyDescent="0.2">
      <c r="A8" s="4" t="s">
        <v>0</v>
      </c>
      <c r="B8" s="5">
        <v>6821</v>
      </c>
      <c r="C8" s="11">
        <f>RepInCongressCongressionalDistrict4General[[#This Row],[Part of Nassau County Vote Results]]</f>
        <v>6821</v>
      </c>
      <c r="D8" s="13"/>
    </row>
    <row r="9" spans="1:4" x14ac:dyDescent="0.2">
      <c r="A9" s="4" t="s">
        <v>1</v>
      </c>
      <c r="B9" s="5">
        <v>164</v>
      </c>
      <c r="C9" s="11">
        <f>RepInCongressCongressionalDistrict4General[[#This Row],[Part of Nassau County Vote Results]]</f>
        <v>164</v>
      </c>
      <c r="D9" s="13"/>
    </row>
    <row r="10" spans="1:4" x14ac:dyDescent="0.2">
      <c r="A10" s="4" t="s">
        <v>2</v>
      </c>
      <c r="B10" s="5">
        <v>100</v>
      </c>
      <c r="C10" s="11">
        <f>RepInCongressCongressionalDistrict4General[[#This Row],[Part of Nassau County Vote Results]]</f>
        <v>100</v>
      </c>
      <c r="D10" s="13"/>
    </row>
    <row r="11" spans="1:4" hidden="1" x14ac:dyDescent="0.2">
      <c r="A11" s="4" t="s">
        <v>3</v>
      </c>
      <c r="B11" s="6">
        <f>SUBTOTAL(109,RepInCongressCongressionalDistrict4General[Total Votes by Candidate])</f>
        <v>260106</v>
      </c>
      <c r="C11" s="11">
        <f>SUM(RepInCongressCongressionalDistrict3General[[#This Row],[Part of Nassau County Vote Results]:[Part of Suffolk County Vote Results]])</f>
        <v>139</v>
      </c>
      <c r="D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FEF1-2C5F-4932-A1EA-AB6B37DD1983}">
  <sheetPr>
    <pageSetUpPr fitToPage="1"/>
  </sheetPr>
  <dimension ref="A1:E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98</v>
      </c>
    </row>
    <row r="2" spans="1:5" ht="25.5" x14ac:dyDescent="0.2">
      <c r="A2" s="7" t="s">
        <v>5</v>
      </c>
      <c r="B2" s="8" t="s">
        <v>7</v>
      </c>
      <c r="C2" s="8" t="s">
        <v>8</v>
      </c>
      <c r="D2" s="9" t="s">
        <v>243</v>
      </c>
      <c r="E2" s="10" t="s">
        <v>4</v>
      </c>
    </row>
    <row r="3" spans="1:5" x14ac:dyDescent="0.2">
      <c r="A3" s="2" t="s">
        <v>99</v>
      </c>
      <c r="B3" s="3">
        <v>21936</v>
      </c>
      <c r="C3" s="3">
        <v>138564</v>
      </c>
      <c r="D3" s="11">
        <f>SUM(RepInCongressCongressionalDistrict5General[[#This Row],[Part of Nassau County Vote Results]:[Part of Queens County Vote Results]])</f>
        <v>160500</v>
      </c>
      <c r="E3" s="12">
        <f>RepInCongressCongressionalDistrict5General[[#This Row],[Total Votes by Party]]</f>
        <v>160500</v>
      </c>
    </row>
    <row r="4" spans="1:5" x14ac:dyDescent="0.2">
      <c r="A4" s="4" t="s">
        <v>0</v>
      </c>
      <c r="B4" s="3">
        <v>5494</v>
      </c>
      <c r="C4" s="3">
        <v>19359</v>
      </c>
      <c r="D4" s="11">
        <f>SUM(RepInCongressCongressionalDistrict5General[[#This Row],[Part of Nassau County Vote Results]:[Part of Queens County Vote Results]])</f>
        <v>24853</v>
      </c>
      <c r="E4" s="13"/>
    </row>
    <row r="5" spans="1:5" x14ac:dyDescent="0.2">
      <c r="A5" s="4" t="s">
        <v>1</v>
      </c>
      <c r="B5" s="3">
        <v>1</v>
      </c>
      <c r="C5" s="3">
        <v>0</v>
      </c>
      <c r="D5" s="11">
        <f>SUM(RepInCongressCongressionalDistrict5General[[#This Row],[Part of Nassau County Vote Results]:[Part of Queens County Vote Results]])</f>
        <v>1</v>
      </c>
      <c r="E5" s="13"/>
    </row>
    <row r="6" spans="1:5" x14ac:dyDescent="0.2">
      <c r="A6" s="4" t="s">
        <v>2</v>
      </c>
      <c r="B6" s="5">
        <v>108</v>
      </c>
      <c r="C6" s="5">
        <v>863</v>
      </c>
      <c r="D6" s="11">
        <f>SUM(RepInCongressCongressionalDistrict5General[[#This Row],[Part of Nassau County Vote Results]:[Part of Queens County Vote Results]])</f>
        <v>971</v>
      </c>
      <c r="E6" s="13"/>
    </row>
    <row r="7" spans="1:5" hidden="1" x14ac:dyDescent="0.2">
      <c r="A7" s="4" t="s">
        <v>3</v>
      </c>
      <c r="B7" s="6">
        <f>SUBTOTAL(109,RepInCongressCongressionalDistrict5General[Part of Nassau County Vote Results])</f>
        <v>27539</v>
      </c>
      <c r="C7" s="6">
        <f>SUBTOTAL(109,RepInCongressCongressionalDistrict5General[Part of Queens County Vote Results])</f>
        <v>158786</v>
      </c>
      <c r="D7" s="11">
        <f>RepInCongressCongressionalDistrict4General[[#This Row],[Part of Nassau County Vote Results]]</f>
        <v>556</v>
      </c>
      <c r="E7" s="13"/>
    </row>
    <row r="8" spans="1:5" x14ac:dyDescent="0.2">
      <c r="C8" s="14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B6DD-2481-4993-86C3-DB06F3A0D16A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100</v>
      </c>
    </row>
    <row r="2" spans="1:4" ht="24.95" customHeight="1" x14ac:dyDescent="0.2">
      <c r="A2" s="7" t="s">
        <v>5</v>
      </c>
      <c r="B2" s="8" t="s">
        <v>8</v>
      </c>
      <c r="C2" s="9" t="s">
        <v>243</v>
      </c>
      <c r="D2" s="10" t="s">
        <v>4</v>
      </c>
    </row>
    <row r="3" spans="1:4" x14ac:dyDescent="0.2">
      <c r="A3" s="2" t="s">
        <v>101</v>
      </c>
      <c r="B3" s="3">
        <v>104293</v>
      </c>
      <c r="C3" s="11">
        <f>RepInCongressCongressionalDistrict6General[[#This Row],[Part of Queens County Vote Results]]</f>
        <v>104293</v>
      </c>
      <c r="D3" s="12">
        <f>SUM(RepInCongressCongressionalDistrict6General[[#This Row],[Total Votes by Party]],C5,C6)</f>
        <v>111646</v>
      </c>
    </row>
    <row r="4" spans="1:4" x14ac:dyDescent="0.2">
      <c r="A4" s="2" t="s">
        <v>102</v>
      </c>
      <c r="B4" s="3">
        <v>11209</v>
      </c>
      <c r="C4" s="11">
        <f>RepInCongressCongressionalDistrict6General[[#This Row],[Part of Queens County Vote Results]]</f>
        <v>11209</v>
      </c>
      <c r="D4" s="12">
        <f>RepInCongressCongressionalDistrict6General[[#This Row],[Total Votes by Party]]</f>
        <v>11209</v>
      </c>
    </row>
    <row r="5" spans="1:4" x14ac:dyDescent="0.2">
      <c r="A5" s="2" t="s">
        <v>103</v>
      </c>
      <c r="B5" s="3">
        <v>6429</v>
      </c>
      <c r="C5" s="11">
        <f>RepInCongressCongressionalDistrict6General[[#This Row],[Part of Queens County Vote Results]]</f>
        <v>6429</v>
      </c>
      <c r="D5" s="13"/>
    </row>
    <row r="6" spans="1:4" x14ac:dyDescent="0.2">
      <c r="A6" s="2" t="s">
        <v>104</v>
      </c>
      <c r="B6" s="3">
        <v>924</v>
      </c>
      <c r="C6" s="11">
        <f>RepInCongressCongressionalDistrict6General[[#This Row],[Part of Queens County Vote Results]]</f>
        <v>924</v>
      </c>
      <c r="D6" s="13"/>
    </row>
    <row r="7" spans="1:4" x14ac:dyDescent="0.2">
      <c r="A7" s="4" t="s">
        <v>0</v>
      </c>
      <c r="B7" s="5">
        <v>26119</v>
      </c>
      <c r="C7" s="11">
        <f>RepInCongressCongressionalDistrict6General[[#This Row],[Part of Queens County Vote Results]]</f>
        <v>26119</v>
      </c>
      <c r="D7" s="13"/>
    </row>
    <row r="8" spans="1:4" x14ac:dyDescent="0.2">
      <c r="A8" s="4" t="s">
        <v>1</v>
      </c>
      <c r="B8" s="5">
        <v>0</v>
      </c>
      <c r="C8" s="11">
        <f>RepInCongressCongressionalDistrict6General[[#This Row],[Part of Queens County Vote Results]]</f>
        <v>0</v>
      </c>
      <c r="D8" s="13"/>
    </row>
    <row r="9" spans="1:4" x14ac:dyDescent="0.2">
      <c r="A9" s="4" t="s">
        <v>2</v>
      </c>
      <c r="B9" s="5">
        <v>566</v>
      </c>
      <c r="C9" s="11">
        <f>RepInCongressCongressionalDistrict6General[[#This Row],[Part of Queens County Vote Results]]</f>
        <v>566</v>
      </c>
      <c r="D9" s="13"/>
    </row>
    <row r="10" spans="1:4" hidden="1" x14ac:dyDescent="0.2">
      <c r="A10" s="4" t="s">
        <v>3</v>
      </c>
      <c r="B10" s="6">
        <f>SUBTOTAL(109,RepInCongressCongressionalDistrict6General[Total Votes by Candidate])</f>
        <v>122855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203-7B91-4871-8F77-A9608FDDDE30}">
  <sheetPr>
    <pageSetUpPr fitToPage="1"/>
  </sheetPr>
  <dimension ref="A1:F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105</v>
      </c>
    </row>
    <row r="2" spans="1:6" ht="25.5" x14ac:dyDescent="0.2">
      <c r="A2" s="7" t="s">
        <v>5</v>
      </c>
      <c r="B2" s="8" t="s">
        <v>9</v>
      </c>
      <c r="C2" s="8" t="s">
        <v>10</v>
      </c>
      <c r="D2" s="8" t="s">
        <v>8</v>
      </c>
      <c r="E2" s="9" t="s">
        <v>243</v>
      </c>
      <c r="F2" s="10" t="s">
        <v>4</v>
      </c>
    </row>
    <row r="3" spans="1:6" x14ac:dyDescent="0.2">
      <c r="A3" s="2" t="s">
        <v>106</v>
      </c>
      <c r="B3" s="3">
        <v>100373</v>
      </c>
      <c r="C3" s="3">
        <v>17696</v>
      </c>
      <c r="D3" s="3">
        <v>16056</v>
      </c>
      <c r="E3" s="11">
        <f>SUM(RepInCongressCongressionalDistrict7General[[#This Row],[Part of Kings County Vote Results]:[Part of Queens County Vote Results]])</f>
        <v>134125</v>
      </c>
      <c r="F3" s="12">
        <f>SUM(RepInCongressCongressionalDistrict7General[[#This Row],[Total Votes by Party]],E5)</f>
        <v>146687</v>
      </c>
    </row>
    <row r="4" spans="1:6" x14ac:dyDescent="0.2">
      <c r="A4" s="2" t="s">
        <v>107</v>
      </c>
      <c r="B4" s="3">
        <v>5523</v>
      </c>
      <c r="C4" s="3">
        <v>1319</v>
      </c>
      <c r="D4" s="3">
        <v>1828</v>
      </c>
      <c r="E4" s="11">
        <f>SUM(RepInCongressCongressionalDistrict7General[[#This Row],[Part of Kings County Vote Results]:[Part of Queens County Vote Results]])</f>
        <v>8670</v>
      </c>
      <c r="F4" s="12">
        <f>RepInCongressCongressionalDistrict7General[[#This Row],[Total Votes by Party]]</f>
        <v>8670</v>
      </c>
    </row>
    <row r="5" spans="1:6" x14ac:dyDescent="0.2">
      <c r="A5" s="2" t="s">
        <v>108</v>
      </c>
      <c r="B5" s="3">
        <v>10508</v>
      </c>
      <c r="C5" s="3">
        <v>997</v>
      </c>
      <c r="D5" s="3">
        <v>1057</v>
      </c>
      <c r="E5" s="11">
        <f>SUM(RepInCongressCongressionalDistrict7General[[#This Row],[Part of Kings County Vote Results]:[Part of Queens County Vote Results]])</f>
        <v>12562</v>
      </c>
      <c r="F5" s="13"/>
    </row>
    <row r="6" spans="1:6" x14ac:dyDescent="0.2">
      <c r="A6" s="2" t="s">
        <v>109</v>
      </c>
      <c r="B6" s="3">
        <v>1250</v>
      </c>
      <c r="C6" s="3">
        <v>289</v>
      </c>
      <c r="D6" s="3">
        <v>201</v>
      </c>
      <c r="E6" s="11">
        <f>SUM(RepInCongressCongressionalDistrict7General[[#This Row],[Part of Kings County Vote Results]:[Part of Queens County Vote Results]])</f>
        <v>1740</v>
      </c>
      <c r="F6" s="12">
        <f>RepInCongressCongressionalDistrict7General[[#This Row],[Total Votes by Party]]</f>
        <v>1740</v>
      </c>
    </row>
    <row r="7" spans="1:6" x14ac:dyDescent="0.2">
      <c r="A7" s="4" t="s">
        <v>0</v>
      </c>
      <c r="B7" s="3">
        <v>4338</v>
      </c>
      <c r="C7" s="3">
        <v>1719</v>
      </c>
      <c r="D7" s="3">
        <v>1476</v>
      </c>
      <c r="E7" s="11">
        <f>SUM(RepInCongressCongressionalDistrict7General[[#This Row],[Part of Kings County Vote Results]:[Part of Queens County Vote Results]])</f>
        <v>7533</v>
      </c>
      <c r="F7" s="13"/>
    </row>
    <row r="8" spans="1:6" x14ac:dyDescent="0.2">
      <c r="A8" s="4" t="s">
        <v>1</v>
      </c>
      <c r="B8" s="3">
        <v>0</v>
      </c>
      <c r="C8" s="3">
        <v>0</v>
      </c>
      <c r="D8" s="3">
        <v>0</v>
      </c>
      <c r="E8" s="11">
        <f>SUM(RepInCongressCongressionalDistrict7General[[#This Row],[Part of Kings County Vote Results]:[Part of Queens County Vote Results]])</f>
        <v>0</v>
      </c>
      <c r="F8" s="13"/>
    </row>
    <row r="9" spans="1:6" x14ac:dyDescent="0.2">
      <c r="A9" s="4" t="s">
        <v>2</v>
      </c>
      <c r="B9" s="5">
        <v>149</v>
      </c>
      <c r="C9" s="5">
        <v>35</v>
      </c>
      <c r="D9" s="5">
        <v>21</v>
      </c>
      <c r="E9" s="11">
        <f>SUM(RepInCongressCongressionalDistrict7General[[#This Row],[Part of Kings County Vote Results]:[Part of Queens County Vote Results]])</f>
        <v>205</v>
      </c>
      <c r="F9" s="13"/>
    </row>
    <row r="10" spans="1:6" hidden="1" x14ac:dyDescent="0.2">
      <c r="A10" s="4" t="s">
        <v>3</v>
      </c>
      <c r="B10" s="6">
        <f>SUBTOTAL(109,RepInCongressCongressionalDistrict7General[Part of Kings County Vote Results])</f>
        <v>122141</v>
      </c>
      <c r="C10" s="6"/>
      <c r="D10" s="6">
        <f>SUBTOTAL(109,RepInCongressCongressionalDistrict7General[Part of Queens County Vote Results])</f>
        <v>20639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F788-3C13-47C5-A88D-A33B2FB35EA4}">
  <sheetPr>
    <pageSetUpPr fitToPage="1"/>
  </sheetPr>
  <dimension ref="A1:E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110</v>
      </c>
    </row>
    <row r="2" spans="1:5" ht="25.5" x14ac:dyDescent="0.2">
      <c r="A2" s="7" t="s">
        <v>5</v>
      </c>
      <c r="B2" s="8" t="s">
        <v>9</v>
      </c>
      <c r="C2" s="8" t="s">
        <v>8</v>
      </c>
      <c r="D2" s="9" t="s">
        <v>243</v>
      </c>
      <c r="E2" s="10" t="s">
        <v>4</v>
      </c>
    </row>
    <row r="3" spans="1:5" x14ac:dyDescent="0.2">
      <c r="A3" s="2" t="s">
        <v>111</v>
      </c>
      <c r="B3" s="3">
        <v>164475</v>
      </c>
      <c r="C3" s="3">
        <v>6375</v>
      </c>
      <c r="D3" s="11">
        <f>SUM(RepInCongressCongressionalDistrict8General[[#This Row],[Part of Kings County Vote Results]:[Part of Queens County Vote Results]])</f>
        <v>170850</v>
      </c>
      <c r="E3" s="12">
        <f>SUM(RepInCongressCongressionalDistrict8General[[#This Row],[Total Votes by Party]],D5)</f>
        <v>180376</v>
      </c>
    </row>
    <row r="4" spans="1:5" x14ac:dyDescent="0.2">
      <c r="A4" s="2" t="s">
        <v>112</v>
      </c>
      <c r="B4" s="3">
        <v>7577</v>
      </c>
      <c r="C4" s="3">
        <v>2420</v>
      </c>
      <c r="D4" s="11">
        <f>SUM(RepInCongressCongressionalDistrict8General[[#This Row],[Part of Kings County Vote Results]:[Part of Queens County Vote Results]])</f>
        <v>9997</v>
      </c>
      <c r="E4" s="12">
        <f>RepInCongressCongressionalDistrict8General[[#This Row],[Total Votes by Party]]</f>
        <v>9997</v>
      </c>
    </row>
    <row r="5" spans="1:5" x14ac:dyDescent="0.2">
      <c r="A5" s="2" t="s">
        <v>113</v>
      </c>
      <c r="B5" s="3">
        <v>9230</v>
      </c>
      <c r="C5" s="3">
        <v>296</v>
      </c>
      <c r="D5" s="11">
        <f>SUM(RepInCongressCongressionalDistrict8General[[#This Row],[Part of Kings County Vote Results]:[Part of Queens County Vote Results]])</f>
        <v>9526</v>
      </c>
      <c r="E5" s="13"/>
    </row>
    <row r="6" spans="1:5" x14ac:dyDescent="0.2">
      <c r="A6" s="2" t="s">
        <v>114</v>
      </c>
      <c r="B6" s="3">
        <v>898</v>
      </c>
      <c r="C6" s="3">
        <v>133</v>
      </c>
      <c r="D6" s="11">
        <f>SUM(RepInCongressCongressionalDistrict8General[[#This Row],[Part of Kings County Vote Results]:[Part of Queens County Vote Results]])</f>
        <v>1031</v>
      </c>
      <c r="E6" s="12">
        <f>RepInCongressCongressionalDistrict8General[[#This Row],[Total Votes by Party]]</f>
        <v>1031</v>
      </c>
    </row>
    <row r="7" spans="1:5" x14ac:dyDescent="0.2">
      <c r="A7" s="4" t="s">
        <v>0</v>
      </c>
      <c r="B7" s="3">
        <v>10681</v>
      </c>
      <c r="C7" s="3">
        <v>2520</v>
      </c>
      <c r="D7" s="11">
        <f>SUM(RepInCongressCongressionalDistrict8General[[#This Row],[Part of Kings County Vote Results]:[Part of Queens County Vote Results]])</f>
        <v>13201</v>
      </c>
      <c r="E7" s="13"/>
    </row>
    <row r="8" spans="1:5" x14ac:dyDescent="0.2">
      <c r="A8" s="4" t="s">
        <v>1</v>
      </c>
      <c r="B8" s="3">
        <v>0</v>
      </c>
      <c r="C8" s="3">
        <v>0</v>
      </c>
      <c r="D8" s="11">
        <f>SUM(RepInCongressCongressionalDistrict8General[[#This Row],[Part of Kings County Vote Results]:[Part of Queens County Vote Results]])</f>
        <v>0</v>
      </c>
      <c r="E8" s="13"/>
    </row>
    <row r="9" spans="1:5" x14ac:dyDescent="0.2">
      <c r="A9" s="4" t="s">
        <v>2</v>
      </c>
      <c r="B9" s="5">
        <v>152</v>
      </c>
      <c r="C9" s="5">
        <v>11</v>
      </c>
      <c r="D9" s="11">
        <f>SUM(RepInCongressCongressionalDistrict8General[[#This Row],[Part of Kings County Vote Results]:[Part of Queens County Vote Results]])</f>
        <v>163</v>
      </c>
      <c r="E9" s="13"/>
    </row>
    <row r="10" spans="1:5" hidden="1" x14ac:dyDescent="0.2">
      <c r="A10" s="4" t="s">
        <v>3</v>
      </c>
      <c r="B10" s="6">
        <f>SUBTOTAL(109,RepInCongressCongressionalDistrict8General[Part of Kings County Vote Results])</f>
        <v>193013</v>
      </c>
      <c r="C10" s="6">
        <f>SUBTOTAL(109,RepInCongressCongressionalDistrict8General[Part of Queens County Vote Results])</f>
        <v>11755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B10B-F02B-48E6-9694-0A982CCEEB9E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115</v>
      </c>
    </row>
    <row r="2" spans="1:4" ht="24.95" customHeight="1" x14ac:dyDescent="0.2">
      <c r="A2" s="7" t="s">
        <v>5</v>
      </c>
      <c r="B2" s="8" t="s">
        <v>9</v>
      </c>
      <c r="C2" s="9" t="s">
        <v>243</v>
      </c>
      <c r="D2" s="10" t="s">
        <v>4</v>
      </c>
    </row>
    <row r="3" spans="1:4" x14ac:dyDescent="0.2">
      <c r="A3" s="2" t="s">
        <v>116</v>
      </c>
      <c r="B3" s="3">
        <v>167269</v>
      </c>
      <c r="C3" s="11">
        <f>RepInCongressCongressionalDistrict9General[[#This Row],[Part of Kings County Vote Results]]</f>
        <v>167269</v>
      </c>
      <c r="D3" s="12">
        <f>SUM(RepInCongressCongressionalDistrict9General[[#This Row],[Total Votes by Party]],C6)</f>
        <v>181455</v>
      </c>
    </row>
    <row r="4" spans="1:4" x14ac:dyDescent="0.2">
      <c r="A4" s="2" t="s">
        <v>117</v>
      </c>
      <c r="B4" s="3">
        <v>18702</v>
      </c>
      <c r="C4" s="11">
        <f>RepInCongressCongressionalDistrict9General[[#This Row],[Part of Kings County Vote Results]]</f>
        <v>18702</v>
      </c>
      <c r="D4" s="12">
        <f>SUM(RepInCongressCongressionalDistrict9General[[#This Row],[Total Votes by Party]],C5)</f>
        <v>20901</v>
      </c>
    </row>
    <row r="5" spans="1:4" x14ac:dyDescent="0.2">
      <c r="A5" s="2" t="s">
        <v>118</v>
      </c>
      <c r="B5" s="3">
        <v>2199</v>
      </c>
      <c r="C5" s="11">
        <f>RepInCongressCongressionalDistrict9General[[#This Row],[Part of Kings County Vote Results]]</f>
        <v>2199</v>
      </c>
      <c r="D5" s="13"/>
    </row>
    <row r="6" spans="1:4" x14ac:dyDescent="0.2">
      <c r="A6" s="2" t="s">
        <v>119</v>
      </c>
      <c r="B6" s="3">
        <v>14186</v>
      </c>
      <c r="C6" s="11">
        <f>RepInCongressCongressionalDistrict9General[[#This Row],[Part of Kings County Vote Results]]</f>
        <v>14186</v>
      </c>
      <c r="D6" s="13"/>
    </row>
    <row r="7" spans="1:4" x14ac:dyDescent="0.2">
      <c r="A7" s="2" t="s">
        <v>120</v>
      </c>
      <c r="B7" s="3">
        <v>779</v>
      </c>
      <c r="C7" s="11">
        <f>RepInCongressCongressionalDistrict9General[[#This Row],[Part of Kings County Vote Results]]</f>
        <v>779</v>
      </c>
      <c r="D7" s="12">
        <f>RepInCongressCongressionalDistrict9General[[#This Row],[Total Votes by Party]]</f>
        <v>779</v>
      </c>
    </row>
    <row r="8" spans="1:4" x14ac:dyDescent="0.2">
      <c r="A8" s="4" t="s">
        <v>0</v>
      </c>
      <c r="B8" s="5">
        <v>4421</v>
      </c>
      <c r="C8" s="11">
        <f>RepInCongressCongressionalDistrict9General[[#This Row],[Part of Kings County Vote Results]]</f>
        <v>4421</v>
      </c>
      <c r="D8" s="13"/>
    </row>
    <row r="9" spans="1:4" x14ac:dyDescent="0.2">
      <c r="A9" s="4" t="s">
        <v>1</v>
      </c>
      <c r="B9" s="5">
        <v>0</v>
      </c>
      <c r="C9" s="11">
        <f>RepInCongressCongressionalDistrict9General[[#This Row],[Part of Kings County Vote Results]]</f>
        <v>0</v>
      </c>
      <c r="D9" s="13"/>
    </row>
    <row r="10" spans="1:4" x14ac:dyDescent="0.2">
      <c r="A10" s="4" t="s">
        <v>2</v>
      </c>
      <c r="B10" s="5">
        <v>288</v>
      </c>
      <c r="C10" s="11">
        <f>RepInCongressCongressionalDistrict9General[[#This Row],[Part of Kings County Vote Results]]</f>
        <v>288</v>
      </c>
      <c r="D10" s="13"/>
    </row>
    <row r="11" spans="1:4" hidden="1" x14ac:dyDescent="0.2">
      <c r="A11" s="4" t="s">
        <v>3</v>
      </c>
      <c r="B11" s="6">
        <f>SUBTOTAL(109,RepInCongressCongressionalDistrict9General[Total Votes by Candidate])</f>
        <v>203135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1st CD</vt:lpstr>
      <vt:lpstr>2nd CD</vt:lpstr>
      <vt:lpstr>3rd CD</vt:lpstr>
      <vt:lpstr>4th CD</vt:lpstr>
      <vt:lpstr>5th CD</vt:lpstr>
      <vt:lpstr>6th CD</vt:lpstr>
      <vt:lpstr>7th CD</vt:lpstr>
      <vt:lpstr>8th CD</vt:lpstr>
      <vt:lpstr>9th CD</vt:lpstr>
      <vt:lpstr>10th CD</vt:lpstr>
      <vt:lpstr>11th CD</vt:lpstr>
      <vt:lpstr>12th CD</vt:lpstr>
      <vt:lpstr>13th CD</vt:lpstr>
      <vt:lpstr>14th CD</vt:lpstr>
      <vt:lpstr>15th CD</vt:lpstr>
      <vt:lpstr>16th CD</vt:lpstr>
      <vt:lpstr>17th CD</vt:lpstr>
      <vt:lpstr>18th CD</vt:lpstr>
      <vt:lpstr>19th CD</vt:lpstr>
      <vt:lpstr>20th CD</vt:lpstr>
      <vt:lpstr>21st CD</vt:lpstr>
      <vt:lpstr>22nd CD</vt:lpstr>
      <vt:lpstr>23rd CD</vt:lpstr>
      <vt:lpstr>24th CD</vt:lpstr>
      <vt:lpstr>25th CD</vt:lpstr>
      <vt:lpstr>26th CD</vt:lpstr>
      <vt:lpstr>27th CD</vt:lpstr>
      <vt:lpstr>'1st CD'!Print_Area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2018-12-13T16:15:41Z</cp:lastPrinted>
  <dcterms:created xsi:type="dcterms:W3CDTF">2008-10-28T18:22:21Z</dcterms:created>
  <dcterms:modified xsi:type="dcterms:W3CDTF">2018-12-14T14:25:56Z</dcterms:modified>
</cp:coreProperties>
</file>