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DC58E822-A247-40B0-B7F0-F79F329A554F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1st SD" sheetId="4" r:id="rId1"/>
    <sheet name="2nd SD" sheetId="297" r:id="rId2"/>
    <sheet name="3rd SD" sheetId="298" r:id="rId3"/>
    <sheet name="4th SD" sheetId="299" r:id="rId4"/>
    <sheet name="5th SD" sheetId="300" r:id="rId5"/>
    <sheet name="6th SD" sheetId="301" r:id="rId6"/>
    <sheet name="7th SD" sheetId="302" r:id="rId7"/>
    <sheet name="8th SD" sheetId="303" r:id="rId8"/>
    <sheet name="9th SD" sheetId="304" r:id="rId9"/>
    <sheet name="10th SD" sheetId="305" r:id="rId10"/>
    <sheet name="11th SD" sheetId="306" r:id="rId11"/>
    <sheet name="12th SD" sheetId="307" r:id="rId12"/>
    <sheet name="13th SD" sheetId="308" r:id="rId13"/>
    <sheet name="14th SD" sheetId="309" r:id="rId14"/>
    <sheet name="15th SD" sheetId="310" r:id="rId15"/>
    <sheet name="16th SD" sheetId="311" r:id="rId16"/>
    <sheet name="17th SD" sheetId="312" r:id="rId17"/>
    <sheet name="18th SD" sheetId="313" r:id="rId18"/>
    <sheet name="19th SD" sheetId="314" r:id="rId19"/>
    <sheet name="20th SD" sheetId="315" r:id="rId20"/>
    <sheet name="21st SD" sheetId="316" r:id="rId21"/>
    <sheet name="22nd SD" sheetId="317" r:id="rId22"/>
    <sheet name="23rd SD" sheetId="318" r:id="rId23"/>
    <sheet name="24th SD" sheetId="319" r:id="rId24"/>
    <sheet name="25th SD" sheetId="320" r:id="rId25"/>
    <sheet name="26th SD" sheetId="321" r:id="rId26"/>
    <sheet name="27th SD" sheetId="322" r:id="rId27"/>
    <sheet name="28th SD" sheetId="323" r:id="rId28"/>
    <sheet name="29th SD" sheetId="324" r:id="rId29"/>
    <sheet name="30th SD" sheetId="325" r:id="rId30"/>
    <sheet name="31st SD" sheetId="326" r:id="rId31"/>
    <sheet name="32nd SD" sheetId="327" r:id="rId32"/>
    <sheet name="33rd SD" sheetId="328" r:id="rId33"/>
    <sheet name="34th SD" sheetId="329" r:id="rId34"/>
    <sheet name="35th SD" sheetId="330" r:id="rId35"/>
    <sheet name="36th SD" sheetId="331" r:id="rId36"/>
    <sheet name="37th SD" sheetId="332" r:id="rId37"/>
    <sheet name="38th SD" sheetId="333" r:id="rId38"/>
    <sheet name="39th SD" sheetId="334" r:id="rId39"/>
    <sheet name="40th SD" sheetId="335" r:id="rId40"/>
    <sheet name="41st SD" sheetId="336" r:id="rId41"/>
    <sheet name="42nd SD" sheetId="337" r:id="rId42"/>
    <sheet name="43rd SD" sheetId="338" r:id="rId43"/>
    <sheet name="44th SD" sheetId="339" r:id="rId44"/>
    <sheet name="45th SD" sheetId="340" r:id="rId45"/>
    <sheet name="46th SD" sheetId="341" r:id="rId46"/>
    <sheet name="47th SD" sheetId="342" r:id="rId47"/>
    <sheet name="48th SD" sheetId="343" r:id="rId48"/>
    <sheet name="49th SD" sheetId="344" r:id="rId49"/>
    <sheet name="50th SD" sheetId="345" r:id="rId50"/>
    <sheet name="51st SD" sheetId="346" r:id="rId51"/>
    <sheet name="52nd SD" sheetId="347" r:id="rId52"/>
    <sheet name="53rd SD" sheetId="348" r:id="rId53"/>
    <sheet name="54th SD" sheetId="349" r:id="rId54"/>
    <sheet name="55th SD" sheetId="350" r:id="rId55"/>
    <sheet name="56th SD" sheetId="351" r:id="rId56"/>
    <sheet name="57th SD" sheetId="352" r:id="rId57"/>
    <sheet name="58th SD" sheetId="353" r:id="rId58"/>
    <sheet name="59th SD" sheetId="354" r:id="rId59"/>
    <sheet name="60th SD" sheetId="355" r:id="rId60"/>
    <sheet name="61st SD" sheetId="356" r:id="rId61"/>
    <sheet name="62nd SD" sheetId="357" r:id="rId62"/>
    <sheet name="63rd SD" sheetId="358" r:id="rId63"/>
  </sheets>
  <definedNames>
    <definedName name="_xlnm.Print_Area" localSheetId="0">'1st SD'!$A$1:$P$665</definedName>
  </definedNames>
  <calcPr calcId="179017"/>
</workbook>
</file>

<file path=xl/calcChain.xml><?xml version="1.0" encoding="utf-8"?>
<calcChain xmlns="http://schemas.openxmlformats.org/spreadsheetml/2006/main">
  <c r="C9" i="299" l="1"/>
  <c r="K10" i="346" l="1"/>
  <c r="K8" i="346"/>
  <c r="K6" i="346"/>
  <c r="K4" i="346"/>
  <c r="K3" i="346"/>
  <c r="E10" i="348"/>
  <c r="E8" i="348"/>
  <c r="E5" i="348"/>
  <c r="E3" i="348"/>
  <c r="C3" i="358" l="1"/>
  <c r="C4" i="358"/>
  <c r="C5" i="358"/>
  <c r="C6" i="358"/>
  <c r="C7" i="358"/>
  <c r="C8" i="358"/>
  <c r="C9" i="358"/>
  <c r="C10" i="358"/>
  <c r="E3" i="357"/>
  <c r="E4" i="357"/>
  <c r="E5" i="357"/>
  <c r="F5" i="357" s="1"/>
  <c r="E6" i="357"/>
  <c r="E7" i="357"/>
  <c r="E8" i="357"/>
  <c r="E9" i="357"/>
  <c r="E10" i="357"/>
  <c r="E11" i="357"/>
  <c r="E3" i="356"/>
  <c r="E4" i="356"/>
  <c r="E5" i="356"/>
  <c r="E6" i="356"/>
  <c r="E7" i="356"/>
  <c r="E8" i="356"/>
  <c r="E9" i="356"/>
  <c r="E10" i="356"/>
  <c r="E11" i="356"/>
  <c r="E12" i="356"/>
  <c r="C3" i="355"/>
  <c r="C4" i="355"/>
  <c r="C5" i="355"/>
  <c r="C6" i="355"/>
  <c r="C7" i="355"/>
  <c r="C8" i="355"/>
  <c r="C9" i="355"/>
  <c r="C10" i="355"/>
  <c r="C11" i="355"/>
  <c r="C12" i="355"/>
  <c r="F3" i="354"/>
  <c r="F4" i="354"/>
  <c r="F5" i="354"/>
  <c r="F6" i="354"/>
  <c r="F7" i="354"/>
  <c r="F8" i="354"/>
  <c r="F9" i="354"/>
  <c r="F10" i="354"/>
  <c r="G3" i="353"/>
  <c r="G4" i="353"/>
  <c r="G5" i="353"/>
  <c r="G6" i="353"/>
  <c r="G7" i="353"/>
  <c r="G8" i="353"/>
  <c r="G9" i="353"/>
  <c r="G10" i="353"/>
  <c r="G11" i="353"/>
  <c r="F3" i="352"/>
  <c r="F4" i="352"/>
  <c r="F5" i="352"/>
  <c r="F6" i="352"/>
  <c r="F7" i="352"/>
  <c r="F8" i="352"/>
  <c r="F9" i="352"/>
  <c r="F10" i="352"/>
  <c r="C3" i="351"/>
  <c r="C4" i="351"/>
  <c r="C5" i="351"/>
  <c r="C6" i="351"/>
  <c r="C7" i="351"/>
  <c r="C8" i="351"/>
  <c r="C9" i="351"/>
  <c r="C10" i="351"/>
  <c r="C11" i="351"/>
  <c r="C12" i="351"/>
  <c r="D3" i="350"/>
  <c r="E3" i="350" s="1"/>
  <c r="D4" i="350"/>
  <c r="D5" i="350"/>
  <c r="D6" i="350"/>
  <c r="D7" i="350"/>
  <c r="D8" i="350"/>
  <c r="D9" i="350"/>
  <c r="D10" i="350"/>
  <c r="D11" i="350"/>
  <c r="H3" i="349"/>
  <c r="H4" i="349"/>
  <c r="H5" i="349"/>
  <c r="H6" i="349"/>
  <c r="H7" i="349"/>
  <c r="H8" i="349"/>
  <c r="H9" i="349"/>
  <c r="H10" i="349"/>
  <c r="H11" i="349"/>
  <c r="H12" i="349"/>
  <c r="E4" i="348"/>
  <c r="F4" i="348" s="1"/>
  <c r="E6" i="348"/>
  <c r="E7" i="348"/>
  <c r="E9" i="348"/>
  <c r="E11" i="348"/>
  <c r="F3" i="347"/>
  <c r="F4" i="347"/>
  <c r="F5" i="347"/>
  <c r="F6" i="347"/>
  <c r="F7" i="347"/>
  <c r="F8" i="347"/>
  <c r="F9" i="347"/>
  <c r="F10" i="347"/>
  <c r="K5" i="346"/>
  <c r="K7" i="346"/>
  <c r="K9" i="346"/>
  <c r="K11" i="346"/>
  <c r="K12" i="346"/>
  <c r="D3" i="345"/>
  <c r="D4" i="345"/>
  <c r="D5" i="345"/>
  <c r="D6" i="345"/>
  <c r="D7" i="345"/>
  <c r="D8" i="345"/>
  <c r="D9" i="345"/>
  <c r="D10" i="345"/>
  <c r="D11" i="345"/>
  <c r="D12" i="345"/>
  <c r="G3" i="344"/>
  <c r="G4" i="344"/>
  <c r="G5" i="344"/>
  <c r="G6" i="344"/>
  <c r="G7" i="344"/>
  <c r="G8" i="344"/>
  <c r="G9" i="344"/>
  <c r="G10" i="344"/>
  <c r="G11" i="344"/>
  <c r="G12" i="344"/>
  <c r="E3" i="343"/>
  <c r="E4" i="343"/>
  <c r="E5" i="343"/>
  <c r="E6" i="343"/>
  <c r="E7" i="343"/>
  <c r="E8" i="343"/>
  <c r="E9" i="343"/>
  <c r="E3" i="342"/>
  <c r="E4" i="342"/>
  <c r="E5" i="342"/>
  <c r="E6" i="342"/>
  <c r="E7" i="342"/>
  <c r="E8" i="342"/>
  <c r="E9" i="342"/>
  <c r="E10" i="342"/>
  <c r="G3" i="341"/>
  <c r="G4" i="341"/>
  <c r="G5" i="341"/>
  <c r="G6" i="341"/>
  <c r="G7" i="341"/>
  <c r="G8" i="341"/>
  <c r="G9" i="341"/>
  <c r="G10" i="341"/>
  <c r="G11" i="341"/>
  <c r="G12" i="341"/>
  <c r="H3" i="340"/>
  <c r="H4" i="340"/>
  <c r="H5" i="340"/>
  <c r="H6" i="340"/>
  <c r="H7" i="340"/>
  <c r="H8" i="340"/>
  <c r="H9" i="340"/>
  <c r="H10" i="340"/>
  <c r="H11" i="340"/>
  <c r="H12" i="340"/>
  <c r="D3" i="339"/>
  <c r="D4" i="339"/>
  <c r="D5" i="339"/>
  <c r="D6" i="339"/>
  <c r="D7" i="339"/>
  <c r="D8" i="339"/>
  <c r="D9" i="339"/>
  <c r="D10" i="339"/>
  <c r="D11" i="339"/>
  <c r="D12" i="339"/>
  <c r="F3" i="338"/>
  <c r="F4" i="338"/>
  <c r="F5" i="338"/>
  <c r="F6" i="338"/>
  <c r="F7" i="338"/>
  <c r="F8" i="338"/>
  <c r="F9" i="338"/>
  <c r="F10" i="338"/>
  <c r="F11" i="338"/>
  <c r="F12" i="338"/>
  <c r="F3" i="337"/>
  <c r="F4" i="337"/>
  <c r="F5" i="337"/>
  <c r="F6" i="337"/>
  <c r="F7" i="337"/>
  <c r="F8" i="337"/>
  <c r="F9" i="337"/>
  <c r="F10" i="337"/>
  <c r="F11" i="337"/>
  <c r="F12" i="337"/>
  <c r="D3" i="336"/>
  <c r="D4" i="336"/>
  <c r="D5" i="336"/>
  <c r="D6" i="336"/>
  <c r="D7" i="336"/>
  <c r="D8" i="336"/>
  <c r="D9" i="336"/>
  <c r="D10" i="336"/>
  <c r="D11" i="336"/>
  <c r="D12" i="336"/>
  <c r="E3" i="335"/>
  <c r="E4" i="335"/>
  <c r="E5" i="335"/>
  <c r="E6" i="335"/>
  <c r="E7" i="335"/>
  <c r="E8" i="335"/>
  <c r="E9" i="335"/>
  <c r="E10" i="335"/>
  <c r="E11" i="335"/>
  <c r="E12" i="335"/>
  <c r="E3" i="334"/>
  <c r="E4" i="334"/>
  <c r="E5" i="334"/>
  <c r="E6" i="334"/>
  <c r="E7" i="334"/>
  <c r="E8" i="334"/>
  <c r="E9" i="334"/>
  <c r="E10" i="334"/>
  <c r="E11" i="334"/>
  <c r="E12" i="334"/>
  <c r="D3" i="333"/>
  <c r="D4" i="333"/>
  <c r="D5" i="333"/>
  <c r="D6" i="333"/>
  <c r="D7" i="333"/>
  <c r="D8" i="333"/>
  <c r="D9" i="333"/>
  <c r="D10" i="333"/>
  <c r="D11" i="333"/>
  <c r="C3" i="332"/>
  <c r="C9" i="332"/>
  <c r="C8" i="332"/>
  <c r="C7" i="332"/>
  <c r="C6" i="332"/>
  <c r="C5" i="332"/>
  <c r="C4" i="332"/>
  <c r="D3" i="331"/>
  <c r="D4" i="331"/>
  <c r="E4" i="331" s="1"/>
  <c r="D5" i="331"/>
  <c r="D6" i="331"/>
  <c r="D7" i="331"/>
  <c r="D8" i="331"/>
  <c r="D9" i="331"/>
  <c r="C3" i="330"/>
  <c r="C4" i="330"/>
  <c r="C5" i="330"/>
  <c r="C6" i="330"/>
  <c r="C7" i="330"/>
  <c r="C8" i="330"/>
  <c r="C9" i="330"/>
  <c r="C10" i="330"/>
  <c r="D3" i="329"/>
  <c r="D4" i="329"/>
  <c r="E4" i="329" s="1"/>
  <c r="D5" i="329"/>
  <c r="D6" i="329"/>
  <c r="D7" i="329"/>
  <c r="E7" i="329" s="1"/>
  <c r="D8" i="329"/>
  <c r="D9" i="329"/>
  <c r="D10" i="329"/>
  <c r="C3" i="328"/>
  <c r="C4" i="328"/>
  <c r="D4" i="328" s="1"/>
  <c r="C5" i="328"/>
  <c r="D5" i="328" s="1"/>
  <c r="C6" i="328"/>
  <c r="C7" i="328"/>
  <c r="C8" i="328"/>
  <c r="C9" i="328"/>
  <c r="C10" i="328"/>
  <c r="C3" i="327"/>
  <c r="C4" i="327"/>
  <c r="D4" i="327" s="1"/>
  <c r="C5" i="327"/>
  <c r="D5" i="327" s="1"/>
  <c r="C6" i="327"/>
  <c r="C7" i="327"/>
  <c r="D7" i="327" s="1"/>
  <c r="C8" i="327"/>
  <c r="C9" i="327"/>
  <c r="C10" i="327"/>
  <c r="C3" i="326"/>
  <c r="C4" i="326"/>
  <c r="C5" i="326"/>
  <c r="C6" i="326"/>
  <c r="D6" i="326" s="1"/>
  <c r="C7" i="326"/>
  <c r="C8" i="326"/>
  <c r="C9" i="326"/>
  <c r="C10" i="326"/>
  <c r="C3" i="325"/>
  <c r="C4" i="325"/>
  <c r="C5" i="325"/>
  <c r="C6" i="325"/>
  <c r="C7" i="325"/>
  <c r="C8" i="325"/>
  <c r="D3" i="324"/>
  <c r="E3" i="324" s="1"/>
  <c r="D4" i="324"/>
  <c r="E4" i="324" s="1"/>
  <c r="D5" i="324"/>
  <c r="D6" i="324"/>
  <c r="D7" i="324"/>
  <c r="D8" i="324"/>
  <c r="C3" i="323"/>
  <c r="C4" i="323"/>
  <c r="C5" i="323"/>
  <c r="C6" i="323"/>
  <c r="C7" i="323"/>
  <c r="C8" i="323"/>
  <c r="C9" i="323"/>
  <c r="C10" i="323"/>
  <c r="C11" i="323"/>
  <c r="C3" i="322"/>
  <c r="C4" i="322"/>
  <c r="C5" i="322"/>
  <c r="C6" i="322"/>
  <c r="C7" i="322"/>
  <c r="C8" i="322"/>
  <c r="D3" i="321"/>
  <c r="D4" i="321"/>
  <c r="D5" i="321"/>
  <c r="E5" i="321" s="1"/>
  <c r="D6" i="321"/>
  <c r="D7" i="321"/>
  <c r="D8" i="321"/>
  <c r="D9" i="321"/>
  <c r="D10" i="321"/>
  <c r="C3" i="320"/>
  <c r="C4" i="320"/>
  <c r="C5" i="320"/>
  <c r="C6" i="320"/>
  <c r="C7" i="320"/>
  <c r="C8" i="320"/>
  <c r="C3" i="319"/>
  <c r="C4" i="319"/>
  <c r="C5" i="319"/>
  <c r="C6" i="319"/>
  <c r="C7" i="319"/>
  <c r="C8" i="319"/>
  <c r="C9" i="319"/>
  <c r="C10" i="319"/>
  <c r="D3" i="318"/>
  <c r="D4" i="318"/>
  <c r="D5" i="318"/>
  <c r="D6" i="318"/>
  <c r="E6" i="318" s="1"/>
  <c r="D7" i="318"/>
  <c r="D8" i="318"/>
  <c r="D9" i="318"/>
  <c r="D10" i="318"/>
  <c r="D11" i="318"/>
  <c r="D12" i="318"/>
  <c r="C3" i="317"/>
  <c r="C4" i="317"/>
  <c r="C5" i="317"/>
  <c r="C6" i="317"/>
  <c r="C7" i="317"/>
  <c r="C8" i="317"/>
  <c r="C9" i="317"/>
  <c r="C10" i="317"/>
  <c r="C11" i="317"/>
  <c r="C3" i="316"/>
  <c r="C4" i="316"/>
  <c r="D4" i="316" s="1"/>
  <c r="C5" i="316"/>
  <c r="C6" i="316"/>
  <c r="C7" i="316"/>
  <c r="C8" i="316"/>
  <c r="C9" i="316"/>
  <c r="C3" i="315"/>
  <c r="C4" i="315"/>
  <c r="C5" i="315"/>
  <c r="C6" i="315"/>
  <c r="C7" i="315"/>
  <c r="C8" i="315"/>
  <c r="C9" i="315"/>
  <c r="C3" i="314"/>
  <c r="C4" i="314"/>
  <c r="C5" i="314"/>
  <c r="C6" i="314"/>
  <c r="C7" i="314"/>
  <c r="C8" i="314"/>
  <c r="C9" i="314"/>
  <c r="C3" i="313"/>
  <c r="D3" i="313" s="1"/>
  <c r="C4" i="313"/>
  <c r="C5" i="313"/>
  <c r="C6" i="313"/>
  <c r="C7" i="313"/>
  <c r="C3" i="312"/>
  <c r="C4" i="312"/>
  <c r="C5" i="312"/>
  <c r="C6" i="312"/>
  <c r="D6" i="312" s="1"/>
  <c r="C7" i="312"/>
  <c r="C8" i="312"/>
  <c r="D8" i="312" s="1"/>
  <c r="C9" i="312"/>
  <c r="C10" i="312"/>
  <c r="C11" i="312"/>
  <c r="C3" i="311"/>
  <c r="C4" i="311"/>
  <c r="C5" i="311"/>
  <c r="C6" i="311"/>
  <c r="D6" i="311" s="1"/>
  <c r="C7" i="311"/>
  <c r="C8" i="311"/>
  <c r="C9" i="311"/>
  <c r="C10" i="311"/>
  <c r="C3" i="310"/>
  <c r="C4" i="310"/>
  <c r="C5" i="310"/>
  <c r="C6" i="310"/>
  <c r="C7" i="310"/>
  <c r="C8" i="310"/>
  <c r="C9" i="310"/>
  <c r="C10" i="310"/>
  <c r="C11" i="310"/>
  <c r="C3" i="309"/>
  <c r="C4" i="309"/>
  <c r="C5" i="309"/>
  <c r="C6" i="309"/>
  <c r="C7" i="309"/>
  <c r="C8" i="309"/>
  <c r="C9" i="309"/>
  <c r="C3" i="308"/>
  <c r="C4" i="308"/>
  <c r="C5" i="308"/>
  <c r="C6" i="308"/>
  <c r="C7" i="308"/>
  <c r="C8" i="308"/>
  <c r="C9" i="308"/>
  <c r="C10" i="308"/>
  <c r="C3" i="307"/>
  <c r="C4" i="307"/>
  <c r="C5" i="307"/>
  <c r="C6" i="307"/>
  <c r="C7" i="307"/>
  <c r="C8" i="307"/>
  <c r="C10" i="306"/>
  <c r="C9" i="306"/>
  <c r="C8" i="306"/>
  <c r="C7" i="306"/>
  <c r="C6" i="306"/>
  <c r="C5" i="306"/>
  <c r="D5" i="306" s="1"/>
  <c r="C4" i="306"/>
  <c r="D4" i="306" s="1"/>
  <c r="C3" i="306"/>
  <c r="D3" i="306" s="1"/>
  <c r="C3" i="305"/>
  <c r="C4" i="305"/>
  <c r="C5" i="305"/>
  <c r="C6" i="305"/>
  <c r="C7" i="305"/>
  <c r="C8" i="305"/>
  <c r="C9" i="305"/>
  <c r="C3" i="304"/>
  <c r="C4" i="304"/>
  <c r="C5" i="304"/>
  <c r="C6" i="304"/>
  <c r="C7" i="304"/>
  <c r="C8" i="304"/>
  <c r="C9" i="304"/>
  <c r="C10" i="304"/>
  <c r="C11" i="304"/>
  <c r="C12" i="304"/>
  <c r="C13" i="304"/>
  <c r="D3" i="303"/>
  <c r="D4" i="303"/>
  <c r="D5" i="303"/>
  <c r="D6" i="303"/>
  <c r="D7" i="303"/>
  <c r="D8" i="303"/>
  <c r="D9" i="303"/>
  <c r="D10" i="303"/>
  <c r="D11" i="303"/>
  <c r="D12" i="303"/>
  <c r="C3" i="302"/>
  <c r="C4" i="302"/>
  <c r="C5" i="302"/>
  <c r="C6" i="302"/>
  <c r="C7" i="302"/>
  <c r="C8" i="302"/>
  <c r="C9" i="302"/>
  <c r="C10" i="302"/>
  <c r="C11" i="302"/>
  <c r="C12" i="302"/>
  <c r="C3" i="301"/>
  <c r="C4" i="301"/>
  <c r="C5" i="301"/>
  <c r="C6" i="301"/>
  <c r="C7" i="301"/>
  <c r="C8" i="301"/>
  <c r="C9" i="301"/>
  <c r="C10" i="301"/>
  <c r="C11" i="301"/>
  <c r="C12" i="301"/>
  <c r="D9" i="300"/>
  <c r="D3" i="300"/>
  <c r="D4" i="300"/>
  <c r="D5" i="300"/>
  <c r="D6" i="300"/>
  <c r="D7" i="300"/>
  <c r="D8" i="300"/>
  <c r="D10" i="300"/>
  <c r="D11" i="300"/>
  <c r="D12" i="300"/>
  <c r="C3" i="299"/>
  <c r="C4" i="299"/>
  <c r="C5" i="299"/>
  <c r="C6" i="299"/>
  <c r="C7" i="299"/>
  <c r="C8" i="299"/>
  <c r="C10" i="299"/>
  <c r="C11" i="299"/>
  <c r="C12" i="299"/>
  <c r="C13" i="299"/>
  <c r="C12" i="298"/>
  <c r="C11" i="298"/>
  <c r="C10" i="298"/>
  <c r="C9" i="298"/>
  <c r="C8" i="298"/>
  <c r="C7" i="298"/>
  <c r="C6" i="298"/>
  <c r="C5" i="298"/>
  <c r="C4" i="298"/>
  <c r="C3" i="298"/>
  <c r="C11" i="297"/>
  <c r="C10" i="297"/>
  <c r="C9" i="297"/>
  <c r="C8" i="297"/>
  <c r="C7" i="297"/>
  <c r="C6" i="297"/>
  <c r="C5" i="297"/>
  <c r="C4" i="297"/>
  <c r="C3" i="297"/>
  <c r="D3" i="297" s="1"/>
  <c r="C3" i="4"/>
  <c r="D3" i="4" s="1"/>
  <c r="C4" i="4"/>
  <c r="C5" i="4"/>
  <c r="C6" i="4"/>
  <c r="C7" i="4"/>
  <c r="C8" i="4"/>
  <c r="C9" i="4"/>
  <c r="C10" i="4"/>
  <c r="C11" i="4"/>
  <c r="D4" i="299" l="1"/>
  <c r="D3" i="299"/>
  <c r="D4" i="326"/>
  <c r="E4" i="318"/>
  <c r="D3" i="319"/>
  <c r="B10" i="319" s="1"/>
  <c r="D4" i="314"/>
  <c r="D3" i="305"/>
  <c r="B9" i="305" s="1"/>
  <c r="D6" i="306"/>
  <c r="B11" i="306" s="1"/>
  <c r="D3" i="308"/>
  <c r="D3" i="328"/>
  <c r="B10" i="328" s="1"/>
  <c r="D4" i="298"/>
  <c r="I3" i="340"/>
  <c r="D3" i="302"/>
  <c r="D5" i="315"/>
  <c r="D3" i="307"/>
  <c r="B8" i="307" s="1"/>
  <c r="D3" i="309"/>
  <c r="B9" i="309" s="1"/>
  <c r="D3" i="316"/>
  <c r="B9" i="316" s="1"/>
  <c r="D4" i="317"/>
  <c r="E4" i="321"/>
  <c r="D3" i="325"/>
  <c r="B8" i="325" s="1"/>
  <c r="D3" i="326"/>
  <c r="H3" i="353"/>
  <c r="D4" i="355"/>
  <c r="D3" i="314"/>
  <c r="D3" i="298"/>
  <c r="D3" i="301"/>
  <c r="D3" i="310"/>
  <c r="D3" i="311"/>
  <c r="B10" i="311" s="1"/>
  <c r="D3" i="312"/>
  <c r="B12" i="312" s="1"/>
  <c r="E3" i="329"/>
  <c r="D3" i="332"/>
  <c r="B10" i="332" s="1"/>
  <c r="F3" i="335"/>
  <c r="E4" i="336"/>
  <c r="D4" i="4"/>
  <c r="B11" i="4" s="1"/>
  <c r="D3" i="315"/>
  <c r="D3" i="351"/>
  <c r="D3" i="358"/>
  <c r="B10" i="358" s="1"/>
  <c r="E4" i="345"/>
  <c r="E3" i="303"/>
  <c r="D3" i="323"/>
  <c r="G4" i="337"/>
  <c r="H4" i="341"/>
  <c r="D5" i="308"/>
  <c r="D3" i="317"/>
  <c r="D3" i="320"/>
  <c r="B8" i="320" s="1"/>
  <c r="D4" i="323"/>
  <c r="D3" i="327"/>
  <c r="B11" i="327" s="1"/>
  <c r="E3" i="333"/>
  <c r="F7" i="348"/>
  <c r="F3" i="348"/>
  <c r="D3" i="355"/>
  <c r="F3" i="357"/>
  <c r="D4" i="302"/>
  <c r="D3" i="304"/>
  <c r="D4" i="310"/>
  <c r="G4" i="338"/>
  <c r="H4" i="344"/>
  <c r="F4" i="356"/>
  <c r="D4" i="297"/>
  <c r="B12" i="297" s="1"/>
  <c r="D4" i="304"/>
  <c r="E3" i="318"/>
  <c r="D3" i="322"/>
  <c r="B8" i="322" s="1"/>
  <c r="F3" i="334"/>
  <c r="L4" i="346"/>
  <c r="E4" i="350"/>
  <c r="F3" i="356"/>
  <c r="D4" i="301"/>
  <c r="B13" i="301" s="1"/>
  <c r="E4" i="303"/>
  <c r="D3" i="330"/>
  <c r="B11" i="330" s="1"/>
  <c r="G3" i="338"/>
  <c r="E4" i="339"/>
  <c r="D4" i="351"/>
  <c r="E3" i="331"/>
  <c r="F4" i="335"/>
  <c r="E3" i="336"/>
  <c r="H4" i="353"/>
  <c r="E3" i="321"/>
  <c r="F4" i="334"/>
  <c r="E3" i="339"/>
  <c r="L3" i="346"/>
  <c r="I4" i="349"/>
  <c r="E4" i="333"/>
  <c r="H3" i="341"/>
  <c r="F3" i="342"/>
  <c r="F3" i="343"/>
  <c r="E3" i="345"/>
  <c r="I3" i="349"/>
  <c r="G3" i="354"/>
  <c r="E3" i="300"/>
  <c r="E4" i="300"/>
  <c r="G3" i="337"/>
  <c r="I4" i="340"/>
  <c r="H3" i="344"/>
  <c r="G3" i="347"/>
  <c r="G3" i="352"/>
  <c r="E5" i="329"/>
  <c r="B7" i="313"/>
  <c r="B13" i="355" l="1"/>
  <c r="B11" i="326"/>
  <c r="B12" i="323"/>
  <c r="B12" i="310"/>
  <c r="B11" i="308"/>
  <c r="B10" i="314"/>
  <c r="B12" i="317"/>
  <c r="B10" i="315"/>
  <c r="B14" i="304"/>
  <c r="B13" i="299"/>
  <c r="B13" i="302"/>
  <c r="B13" i="298"/>
  <c r="B13" i="351"/>
  <c r="D11" i="357" l="1"/>
  <c r="B11" i="357"/>
  <c r="D13" i="356"/>
  <c r="B13" i="356"/>
  <c r="E10" i="354"/>
  <c r="B10" i="354"/>
  <c r="F12" i="353"/>
  <c r="B12" i="353"/>
  <c r="E10" i="352"/>
  <c r="B10" i="352"/>
  <c r="C11" i="350"/>
  <c r="B11" i="350"/>
  <c r="G13" i="349"/>
  <c r="B13" i="349"/>
  <c r="D12" i="348"/>
  <c r="B12" i="348"/>
  <c r="E10" i="347"/>
  <c r="B10" i="347"/>
  <c r="J12" i="346"/>
  <c r="B12" i="346"/>
  <c r="C13" i="345"/>
  <c r="B13" i="345"/>
  <c r="F13" i="344"/>
  <c r="B13" i="344"/>
  <c r="D9" i="343"/>
  <c r="B9" i="343"/>
  <c r="D10" i="342"/>
  <c r="B10" i="342"/>
  <c r="F13" i="341"/>
  <c r="B13" i="341"/>
  <c r="G12" i="340"/>
  <c r="B12" i="340"/>
  <c r="C12" i="339"/>
  <c r="B12" i="339"/>
  <c r="E13" i="338"/>
  <c r="B13" i="338"/>
  <c r="E13" i="337"/>
  <c r="B13" i="337"/>
  <c r="C13" i="336"/>
  <c r="B13" i="336"/>
  <c r="D13" i="335"/>
  <c r="B13" i="335"/>
  <c r="D13" i="334"/>
  <c r="B13" i="334"/>
  <c r="C12" i="333"/>
  <c r="B12" i="333"/>
  <c r="C9" i="331"/>
  <c r="B9" i="331"/>
  <c r="C11" i="329"/>
  <c r="B11" i="329"/>
  <c r="C8" i="324"/>
  <c r="B8" i="324"/>
  <c r="C11" i="321"/>
  <c r="B11" i="321"/>
  <c r="C13" i="318"/>
  <c r="B13" i="318"/>
  <c r="C13" i="303" l="1"/>
  <c r="B13" i="303"/>
  <c r="C13" i="300"/>
  <c r="B13" i="300"/>
</calcChain>
</file>

<file path=xl/sharedStrings.xml><?xml version="1.0" encoding="utf-8"?>
<sst xmlns="http://schemas.openxmlformats.org/spreadsheetml/2006/main" count="965" uniqueCount="459">
  <si>
    <t>Blank</t>
  </si>
  <si>
    <t>Void</t>
  </si>
  <si>
    <t>Scattering</t>
  </si>
  <si>
    <t>Total Votes by County</t>
  </si>
  <si>
    <t>Total Votes by Candidate</t>
  </si>
  <si>
    <t>Candidate Name (Party)</t>
  </si>
  <si>
    <t>Part of Suffolk County Vote Results</t>
  </si>
  <si>
    <t>Part of Nassau County Vote Results</t>
  </si>
  <si>
    <t>Part of Queens County Vote Results</t>
  </si>
  <si>
    <t>Part of Kings County Vote Results</t>
  </si>
  <si>
    <t>Part of Richmond County Vote Results</t>
  </si>
  <si>
    <t>Part of New York County Vote Results</t>
  </si>
  <si>
    <t>Part of Bronx County Vote Results</t>
  </si>
  <si>
    <t>Part of Westchester County Vote Results</t>
  </si>
  <si>
    <t>Part of Putnam County Vote Results</t>
  </si>
  <si>
    <t>Part of Rockland County Vote Results</t>
  </si>
  <si>
    <t>Part of Orange County Vote Results</t>
  </si>
  <si>
    <t>Part of Delaware County Vote Results</t>
  </si>
  <si>
    <t>Part of Herkimer County Vote Results</t>
  </si>
  <si>
    <t>Part of Oneida County Vote Results</t>
  </si>
  <si>
    <t>Part of Ulster County Vote Results</t>
  </si>
  <si>
    <t>Greene County Vote Results</t>
  </si>
  <si>
    <t>Schoharie County Vote Results</t>
  </si>
  <si>
    <t>Part of Albany County Vote Results</t>
  </si>
  <si>
    <t>Part of Dutchess County Vote Results</t>
  </si>
  <si>
    <t>Part of Rensselaer County Vote Results</t>
  </si>
  <si>
    <t>Part of Washington County Vote Results</t>
  </si>
  <si>
    <t>Part of Saratoga County Vote Results</t>
  </si>
  <si>
    <t>Part of Schenectady County Vote Results</t>
  </si>
  <si>
    <t>Montgomery County Vote Results</t>
  </si>
  <si>
    <t>Essex County Vote Results</t>
  </si>
  <si>
    <t>Warren County Vote Results</t>
  </si>
  <si>
    <t>Clinton County Vote Results</t>
  </si>
  <si>
    <t>Franklin County Vote Results</t>
  </si>
  <si>
    <t>Part of St. Lawrence County Vote Results</t>
  </si>
  <si>
    <t>Lewis County Vote Results</t>
  </si>
  <si>
    <t>Fulton County Vote Results</t>
  </si>
  <si>
    <t>Hamilton County Vote Results</t>
  </si>
  <si>
    <t>Part of Onondaga County Vote Results</t>
  </si>
  <si>
    <t>Madison County Vote Results</t>
  </si>
  <si>
    <t>Part of Chenango County Vote Results</t>
  </si>
  <si>
    <t>Tioga County Vote Results</t>
  </si>
  <si>
    <t>Part of Cayuga County Vote Results</t>
  </si>
  <si>
    <t>Wayne County Vote Results</t>
  </si>
  <si>
    <t>Schuyler County Vote Results</t>
  </si>
  <si>
    <t>Yates County Vote Results</t>
  </si>
  <si>
    <t>Part of Monroe County Vote Results</t>
  </si>
  <si>
    <t>Genesee County Vote Results</t>
  </si>
  <si>
    <t>Part of Erie County Vote Results</t>
  </si>
  <si>
    <t>Wyoming County Vote Results</t>
  </si>
  <si>
    <t>Allegany County Vote Results</t>
  </si>
  <si>
    <t>Cattaraugus County Vote Results</t>
  </si>
  <si>
    <t>Chautauqua County Vote Results</t>
  </si>
  <si>
    <t>Columbia County Vote Results</t>
  </si>
  <si>
    <t>Otsego County Vote Results</t>
  </si>
  <si>
    <t>Sullivan County Vote Results</t>
  </si>
  <si>
    <t>Jefferson County Vote Results</t>
  </si>
  <si>
    <t>Cortland County Vote Results</t>
  </si>
  <si>
    <t>Chemung County Vote Results</t>
  </si>
  <si>
    <t>Seneca County Vote Results</t>
  </si>
  <si>
    <t>Steuben County Vote Results</t>
  </si>
  <si>
    <t>Part of Ontario County Vote Results</t>
  </si>
  <si>
    <t>Orleans County Vote Results</t>
  </si>
  <si>
    <t>Oswego County Vote Results</t>
  </si>
  <si>
    <t>Part of Tompkins County Vote Results</t>
  </si>
  <si>
    <t>Broome County Vote Results</t>
  </si>
  <si>
    <t>Part of Livingston County Vote Results</t>
  </si>
  <si>
    <t>Niagara County Vote Results</t>
  </si>
  <si>
    <t>State Senator 1st Senate District - General Election - November 6, 2018</t>
  </si>
  <si>
    <t>Gregory-John Fischer (DEM)</t>
  </si>
  <si>
    <t>Kenneth P. La Valle (REP)</t>
  </si>
  <si>
    <t>Kenneth P. La Valle (CON)</t>
  </si>
  <si>
    <t>Kenneth P. La Valle (IND)</t>
  </si>
  <si>
    <t>Kenneth P. La Valle (REF)</t>
  </si>
  <si>
    <t>State Senator 2nd Senate District - General Election - November 6, 2018</t>
  </si>
  <si>
    <t>Kathleen Bradbury Cleary (DEM)</t>
  </si>
  <si>
    <t>John J. Flanagan (REP)</t>
  </si>
  <si>
    <t>John J. Flanagan (CON)</t>
  </si>
  <si>
    <t>John J. Flanagan (IND)</t>
  </si>
  <si>
    <t>Kathleen Bradbury Cleary (WEP)</t>
  </si>
  <si>
    <t>John J. Flanagan (REF)</t>
  </si>
  <si>
    <t>State Senator 3rd Senate District - General Election - November 6, 2018</t>
  </si>
  <si>
    <t>Monica R. Martinez (DEM)</t>
  </si>
  <si>
    <t>Dean Murray (REP)</t>
  </si>
  <si>
    <t>Dean Murray (CON)</t>
  </si>
  <si>
    <t>Monica R. Martinez (WOR)</t>
  </si>
  <si>
    <t>Dean Murray (IND)</t>
  </si>
  <si>
    <t>Monica R. Martinez (WEP)</t>
  </si>
  <si>
    <t>Dean Murray (REF)</t>
  </si>
  <si>
    <t>State Senator 4th Senate District - General Election - November 6, 2018</t>
  </si>
  <si>
    <t>Louis D'Amaro (DEM)</t>
  </si>
  <si>
    <t>Philip M. Boyle (REP)</t>
  </si>
  <si>
    <t>Philip M. Boyle (CON)</t>
  </si>
  <si>
    <t>Louis D'Amaro (WOR)</t>
  </si>
  <si>
    <t>Philip M. Boyle (IND)</t>
  </si>
  <si>
    <t>Louis D'Amaro (WEP)</t>
  </si>
  <si>
    <t>State Senator 5th Senate District - General Election - November 6, 2018</t>
  </si>
  <si>
    <t>James F. Gaughran (DEM)</t>
  </si>
  <si>
    <t>Carl L. Marcellino (REP)</t>
  </si>
  <si>
    <t>Carl L. Marcellino (CON)</t>
  </si>
  <si>
    <t>James F. Gaughran (WOR)</t>
  </si>
  <si>
    <t>Carl L. Marcellino (IND)</t>
  </si>
  <si>
    <t>James F. Gaughran (WEP)</t>
  </si>
  <si>
    <t>Carl L. Marcellino (REF)</t>
  </si>
  <si>
    <t>State Senator 6th Senate District - General Election - November 6, 2018</t>
  </si>
  <si>
    <t>Kevin M. Thomas (DEM)</t>
  </si>
  <si>
    <t>Kemp Hannon (REP)</t>
  </si>
  <si>
    <t>Kemp Hannon (CON)</t>
  </si>
  <si>
    <t>Kevin M. Thomas (WOR)</t>
  </si>
  <si>
    <t>Kemp Hannon (IND)</t>
  </si>
  <si>
    <t>Kevin M. Thomas (WEP)</t>
  </si>
  <si>
    <t>Kemp Hannon (REF)</t>
  </si>
  <si>
    <t>State Senator 7th Senate District - General Election - November 6, 2018</t>
  </si>
  <si>
    <t>Anna M. Kaplan (DEM)</t>
  </si>
  <si>
    <t>Elaine R. Phillips (REP)</t>
  </si>
  <si>
    <t>Elaine R. Phillips (CON)</t>
  </si>
  <si>
    <t>Anna M. Kaplan (WOR)</t>
  </si>
  <si>
    <t>Elaine R. Phillips (IND)</t>
  </si>
  <si>
    <t>Anna M. Kaplan (WEP)</t>
  </si>
  <si>
    <t>Elaine R. Phillips (REF)</t>
  </si>
  <si>
    <t>State Senator 8th Senate District - General Election - November 6, 2018</t>
  </si>
  <si>
    <t>John E. Brooks (DEM)</t>
  </si>
  <si>
    <t>Jeffrey P. Pravato (REP)</t>
  </si>
  <si>
    <t>Jeffrey P. Pravato (CON)</t>
  </si>
  <si>
    <t>John E. Brooks (WOR)</t>
  </si>
  <si>
    <t>Jeffrey P. Pravato (IND)</t>
  </si>
  <si>
    <t>John E. Brooks (WEP)</t>
  </si>
  <si>
    <t>Jeffrey P. Pravato (REF)</t>
  </si>
  <si>
    <t>State Senator 9th Senate District - General Election - November 6, 2018</t>
  </si>
  <si>
    <t>Todd D. Kaminsky (DEM)</t>
  </si>
  <si>
    <t>Francis X. Becker, Jr. (REP)</t>
  </si>
  <si>
    <t>Francis X. Becker, Jr. (CON)</t>
  </si>
  <si>
    <t>Todd D. Kaminsky (WOR)</t>
  </si>
  <si>
    <t>Todd D. Kaminsky (IND)</t>
  </si>
  <si>
    <t>Todd D. Kaminsky (WEP)</t>
  </si>
  <si>
    <t>Todd D. Kaminsky (REF)</t>
  </si>
  <si>
    <t>Francis X. Becker, Jr. (TRP)</t>
  </si>
  <si>
    <t>State Senator 10th Senate District - General Election - November 6, 2018</t>
  </si>
  <si>
    <t>James Sanders, Jr. (DEM)</t>
  </si>
  <si>
    <t>James Sanders, Jr. (WOR)</t>
  </si>
  <si>
    <t>James Sanders, Jr. (REF)</t>
  </si>
  <si>
    <t>State Senator 11th Senate District - General Election - November 6, 2018</t>
  </si>
  <si>
    <t>John Liu (DEM)</t>
  </si>
  <si>
    <t>Vickie Paladino (REP)</t>
  </si>
  <si>
    <t>Simon H. Minching (CON)</t>
  </si>
  <si>
    <t>Tony Avella (IND)</t>
  </si>
  <si>
    <t>Tony Avella (WEP)</t>
  </si>
  <si>
    <t>State Senator 12th Senate District - General Election - November 6, 2018</t>
  </si>
  <si>
    <t>Michael N. Gianaris (DEM)</t>
  </si>
  <si>
    <t>Michael N. Gianaris (WOR)</t>
  </si>
  <si>
    <t>State Senator 13th Senate District - General Election - November 6, 2018</t>
  </si>
  <si>
    <t>Jessica Ramos (DEM)</t>
  </si>
  <si>
    <t>Jessica Ramos (WOR)</t>
  </si>
  <si>
    <t>Jose R. Peralta (IND)</t>
  </si>
  <si>
    <t>Jose R. Peralta (WEP)</t>
  </si>
  <si>
    <t>Jose R. Peralta (REF)</t>
  </si>
  <si>
    <t>State Senator 14th Senate District - General Election - November 6, 2018</t>
  </si>
  <si>
    <t>Leroy G. Comrie, Jr. (DEM)</t>
  </si>
  <si>
    <t>Leroy G. Comrie, Jr. (WOR)</t>
  </si>
  <si>
    <t>Leroy G. Comrie, Jr. (REF)</t>
  </si>
  <si>
    <t>State Senator 15th Senate District - General Election - November 6, 2018</t>
  </si>
  <si>
    <t>Joseph P. Addabbo, Jr. (DEM)</t>
  </si>
  <si>
    <t>Thomas P. Sullivan (REP)</t>
  </si>
  <si>
    <t>Thomas P. Sullivan (CON)</t>
  </si>
  <si>
    <t>Joseph P. Addabbo, Jr. (WOR)</t>
  </si>
  <si>
    <t>Thomas P. Sullivan (IND)</t>
  </si>
  <si>
    <t>Thomas P. Sullivan (REF)</t>
  </si>
  <si>
    <t>State Senator 16th Senate District - General Election - November 6, 2018</t>
  </si>
  <si>
    <t>Toby Ann Stavisky (DEM)</t>
  </si>
  <si>
    <t>Toby Ann Stavisky (WOR)</t>
  </si>
  <si>
    <t>Toby Ann Stavisky (WEP)</t>
  </si>
  <si>
    <t>Vincent J. Pazienza (REF)</t>
  </si>
  <si>
    <t>State Senator 17th Senate District - General Election - November 6, 2018</t>
  </si>
  <si>
    <t>Simcha Felder (DEM)</t>
  </si>
  <si>
    <t>Simcha Felder (REP)</t>
  </si>
  <si>
    <t>Simcha Felder (CON)</t>
  </si>
  <si>
    <t>Simcha Felder (IND)</t>
  </si>
  <si>
    <t>Jumaane D. Williams (WOR)</t>
  </si>
  <si>
    <t>Luis Rivera (REF)</t>
  </si>
  <si>
    <t>State Senator 18th Senate District - General Election - November 6, 2018</t>
  </si>
  <si>
    <t>Julia Salazar (DEM)</t>
  </si>
  <si>
    <t>State Senator 19th Senate District - General Election - November 6, 2018</t>
  </si>
  <si>
    <t>Roxanne J. Persaud (DEM)</t>
  </si>
  <si>
    <t>Jeffrey J. Ferretti (REP)</t>
  </si>
  <si>
    <t>Jeffrey J. Ferretti (CON)</t>
  </si>
  <si>
    <t>Roxanne J. Persaud (WOR)</t>
  </si>
  <si>
    <t>State Senator 20th Senate District - General Election - November 6, 2018</t>
  </si>
  <si>
    <t>Zellnor Y. Myrie (DEM)</t>
  </si>
  <si>
    <t>Zellnor Y. Myrie (WOR)</t>
  </si>
  <si>
    <t>Jesse E. Hamilton (IND)</t>
  </si>
  <si>
    <t>Jesse E. Hamilton (WEP)</t>
  </si>
  <si>
    <t>State Senator 21st Senate District - General Election - November 6, 2018</t>
  </si>
  <si>
    <t>Kevin S. Parker (DEM)</t>
  </si>
  <si>
    <t>Brian W. Kelly (CON)</t>
  </si>
  <si>
    <t>Kevin S. Parker (WOR)</t>
  </si>
  <si>
    <t>State Senator 22nd Senate District - General Election - November 6, 2018</t>
  </si>
  <si>
    <t>Andrew S. Gounardes (DEM)</t>
  </si>
  <si>
    <t>Martin J. Golden (REP)</t>
  </si>
  <si>
    <t>Martin J. Golden (CON)</t>
  </si>
  <si>
    <t>Andrew S. Gounardes (WOR)</t>
  </si>
  <si>
    <t>Martin J. Golden (IND)</t>
  </si>
  <si>
    <t>Andrew S. Gounardes (REF)</t>
  </si>
  <si>
    <t>State Senator 23rd Senate District - General Election - November 6, 2018</t>
  </si>
  <si>
    <t>Diane J. Savino (DEM)</t>
  </si>
  <si>
    <t>David Krainert (REP)</t>
  </si>
  <si>
    <t>David Krainert (CON)</t>
  </si>
  <si>
    <t>Jasmine L. Robinson (WOR)</t>
  </si>
  <si>
    <t>Diane J. Savino (IND)</t>
  </si>
  <si>
    <t>Diane J. Savino (WEP)</t>
  </si>
  <si>
    <t>Diane J. Savino (REF)</t>
  </si>
  <si>
    <t>State Senator 24th Senate District - General Election - November 6, 2018</t>
  </si>
  <si>
    <t>Andrew J. Lanza (CON)</t>
  </si>
  <si>
    <t>Andrew J. Lanza (IND)</t>
  </si>
  <si>
    <t>Andrew J. Lanza (REF)</t>
  </si>
  <si>
    <t>State Senator 25th Senate District - General Election - November 6, 2018</t>
  </si>
  <si>
    <t>Velmanette Montgomery (DEM)</t>
  </si>
  <si>
    <t>Velmanette Montgomery (WOR)</t>
  </si>
  <si>
    <t>State Senator 26th Senate District - General Election - November 6, 2018</t>
  </si>
  <si>
    <t>Brian Kavanagh (DEM)</t>
  </si>
  <si>
    <t>Anthony Arias (REP)</t>
  </si>
  <si>
    <t>Stuart J. Avrick (CON)</t>
  </si>
  <si>
    <t>Brian Kavanagh (WOR)</t>
  </si>
  <si>
    <t>Anthony Arias (REF)</t>
  </si>
  <si>
    <t>State Senator 27th Senate District - General Election - November 6, 2018</t>
  </si>
  <si>
    <t>Brad M. Hoylman (DEM)</t>
  </si>
  <si>
    <t>Brad M. Hoylman (WOR)</t>
  </si>
  <si>
    <t>State Senator 28th Senate District - General Election - November 6, 2018</t>
  </si>
  <si>
    <t>Liz Krueger (DEM)</t>
  </si>
  <si>
    <t>Peter Holmberg (REP)</t>
  </si>
  <si>
    <t>Liz Krueger (WOR)</t>
  </si>
  <si>
    <t>Peter Holmberg (IND)</t>
  </si>
  <si>
    <t>Peter Holmberg (REF)</t>
  </si>
  <si>
    <t>Peter Holmberg (SDB)</t>
  </si>
  <si>
    <t>State Senator 29th Senate District - General Election - November 6, 2018</t>
  </si>
  <si>
    <t>Jose M. Serrano (DEM)</t>
  </si>
  <si>
    <t>Jose A. Colon (REP)</t>
  </si>
  <si>
    <t>State Senator 30th Senate District - General Election - November 6, 2018</t>
  </si>
  <si>
    <t>Brian A. Benjamin (DEM)</t>
  </si>
  <si>
    <t>Brian A. Benjamin (WOR)</t>
  </si>
  <si>
    <t>State Senator 31st Senate District - General Election - November 6, 2018</t>
  </si>
  <si>
    <t>Robert Jackson (DEM)</t>
  </si>
  <si>
    <t>Melinda Crump (REP)</t>
  </si>
  <si>
    <t>Robert Jackson (WOR)</t>
  </si>
  <si>
    <t>Marisol Alcantara (IND)</t>
  </si>
  <si>
    <t>Melinda Crump (REF)</t>
  </si>
  <si>
    <t>State Senator 32nd Senate District - General Election - November 6, 2018</t>
  </si>
  <si>
    <t>Luis Sepulveda (DEM)</t>
  </si>
  <si>
    <t>Patrick Delices (REP)</t>
  </si>
  <si>
    <t>Migdalia Denis (CON)</t>
  </si>
  <si>
    <t>Luis Sepulveda (WOR)</t>
  </si>
  <si>
    <t>Pamela Stewart-Martinez (REF)</t>
  </si>
  <si>
    <t>State Senator 33rd Senate District - General Election - November 6, 2018</t>
  </si>
  <si>
    <t>J. Gustavo Rivera (DEM)</t>
  </si>
  <si>
    <t>Nicole J. Torres (REP)</t>
  </si>
  <si>
    <t>Steven M. Stern (CON)</t>
  </si>
  <si>
    <t>J. Gustavo Rivera (WOR)</t>
  </si>
  <si>
    <t>State Senator 34th Senate District - General Election - November 6, 2018</t>
  </si>
  <si>
    <t>Alessandra Biaggi (DEM)</t>
  </si>
  <si>
    <t>Richard A. Ribustello (REP)</t>
  </si>
  <si>
    <t>Antonio Vitiello (CON)</t>
  </si>
  <si>
    <t>Alessandra Biaggi (WOR)</t>
  </si>
  <si>
    <t>Jeffrey D. Klein (IND)</t>
  </si>
  <si>
    <t>State Senator 35th Senate District - General Election - November 6, 2018</t>
  </si>
  <si>
    <t>Andrea Stewart-Cousins (DEM)</t>
  </si>
  <si>
    <t>Andrea Stewart-Cousins (WOR)</t>
  </si>
  <si>
    <t>Andrea Stewart-Cousins (IND)</t>
  </si>
  <si>
    <t>Andrea Stewart-Cousins (WEP)</t>
  </si>
  <si>
    <t>Andrea Stewart-Cousins (REF)</t>
  </si>
  <si>
    <t>State Senator 36th Senate District - General Election - November 6, 2018</t>
  </si>
  <si>
    <t>Jamaal T. Bailey (DEM)</t>
  </si>
  <si>
    <t>Jamaal T. Bailey (WOR)</t>
  </si>
  <si>
    <t>Robert L. Diamond (CON)</t>
  </si>
  <si>
    <t>State Senator 37th Senate District - General Election - November 6, 2018</t>
  </si>
  <si>
    <t>Shelley B. Mayer (DEM)</t>
  </si>
  <si>
    <t>Shelley B. Mayer (WOR)</t>
  </si>
  <si>
    <t>Shelley B. Mayer (IND)</t>
  </si>
  <si>
    <t>Shelley B. Mayer (WEP)</t>
  </si>
  <si>
    <t>State Senator 38th Senate District - General Election - November 6, 2018</t>
  </si>
  <si>
    <t>David Carlucci (DEM)</t>
  </si>
  <si>
    <t>C. Scott Vanderhoef (REP)</t>
  </si>
  <si>
    <t>C. Scott Vanderhoef (CON)</t>
  </si>
  <si>
    <t>C. Scott Vanderhoef (IND)</t>
  </si>
  <si>
    <t>David Carlucci (WEP)</t>
  </si>
  <si>
    <t>C. Scott Vanderhoef (REF)</t>
  </si>
  <si>
    <t>State Senator 39th Senate District - General Election - November 6, 2018</t>
  </si>
  <si>
    <t>James G. Skoufis (DEM)</t>
  </si>
  <si>
    <t>Tom Basile (REP)</t>
  </si>
  <si>
    <t>Tom Basile (CON)</t>
  </si>
  <si>
    <t>James G. Skoufis (WOR)</t>
  </si>
  <si>
    <t>Tom Basile (IND)</t>
  </si>
  <si>
    <t>James G. Skoufis (WEP)</t>
  </si>
  <si>
    <t>James G. Skoufis (REF)</t>
  </si>
  <si>
    <t>State Senator 40th Senate District - General Election - November 6, 2018</t>
  </si>
  <si>
    <t>Peter B. Harckham (DEM)</t>
  </si>
  <si>
    <t>Terrence P. Murphy (REP)</t>
  </si>
  <si>
    <t>Terrence P. Murphy (CON)</t>
  </si>
  <si>
    <t>Peter B. Harckham (WOR)</t>
  </si>
  <si>
    <t>Terrence P. Murphy (IND)</t>
  </si>
  <si>
    <t>Peter B. Harckham (WEP)</t>
  </si>
  <si>
    <t>Terrence P. Murphy (REF)</t>
  </si>
  <si>
    <t>State Senator 41st Senate District - General Election - November 6, 2018</t>
  </si>
  <si>
    <t>Karen S. Smythe (DEM)</t>
  </si>
  <si>
    <t>Susan J. Serino (REP)</t>
  </si>
  <si>
    <t>Susan J. Serino (CON)</t>
  </si>
  <si>
    <t>Karen S. Smythe (WOR)</t>
  </si>
  <si>
    <t>Susan J. Serino (IND)</t>
  </si>
  <si>
    <t>Karen S. Smythe (WEP)</t>
  </si>
  <si>
    <t>Susan J. Serino (REF)</t>
  </si>
  <si>
    <t>State Senator 42nd Senate District - General Election - November 6, 2018</t>
  </si>
  <si>
    <t>Jen Metzger (DEM)</t>
  </si>
  <si>
    <t>Ann G. Rabbitt (REP)</t>
  </si>
  <si>
    <t>Ann G. Rabbitt (CON)</t>
  </si>
  <si>
    <t>Jen Metzger (WOR)</t>
  </si>
  <si>
    <t>Ann G. Rabbitt (IND)</t>
  </si>
  <si>
    <t>Jen Metzger (WEP)</t>
  </si>
  <si>
    <t>Ann G. Rabbitt (REF)</t>
  </si>
  <si>
    <t>State Senator 43rd Senate District - General Election - November 6, 2018</t>
  </si>
  <si>
    <t>Daphne V. Jordan (REP)</t>
  </si>
  <si>
    <t>Aaron W. Gladd (DEM)</t>
  </si>
  <si>
    <t>Daphne V. Jordan (CON)</t>
  </si>
  <si>
    <t>Aaron W. Gladd (WOR)</t>
  </si>
  <si>
    <t>Daphne V. Jordan (IND)</t>
  </si>
  <si>
    <t>Aaron W. Gladd (WEP)</t>
  </si>
  <si>
    <t>Daphne V. Jordan (REF)</t>
  </si>
  <si>
    <t>State Senator 44th Senate District - General Election - November 6, 2018</t>
  </si>
  <si>
    <t>Neil D. Breslin (DEM)</t>
  </si>
  <si>
    <t>Christopher F. Davis (REP)</t>
  </si>
  <si>
    <t>Christopher F. Davis (CON)</t>
  </si>
  <si>
    <t>Neil D. Breslin (WOR)</t>
  </si>
  <si>
    <t>Neil D. Breslin (IND)</t>
  </si>
  <si>
    <t>Christopher F. Davis (REF)</t>
  </si>
  <si>
    <t>State Senator 45th Senate District - General Election - November 6, 2018</t>
  </si>
  <si>
    <t>Emily L. Martz (DEM)</t>
  </si>
  <si>
    <t>Elizabeth O'C. Little (REP)</t>
  </si>
  <si>
    <t>Elizabeth O'C. Little (CON)</t>
  </si>
  <si>
    <t>Emily L. Martz (WOR)</t>
  </si>
  <si>
    <t>Elizabeth O'C. Little (IND)</t>
  </si>
  <si>
    <t>Elizabeth O'C. Little (REF)</t>
  </si>
  <si>
    <t>State Senator 46th Senate District - General Election - November 6, 2018</t>
  </si>
  <si>
    <t>Pat Courtney Strong (DEM)</t>
  </si>
  <si>
    <t>George A. Amedore, Jr. (REP)</t>
  </si>
  <si>
    <t>George A. Amedore, Jr. (CON)</t>
  </si>
  <si>
    <t>Pat Courtney Strong (WOR)</t>
  </si>
  <si>
    <t>George A. Amedore, Jr. (IND)</t>
  </si>
  <si>
    <t>Pat Courtney Strong (WEP)</t>
  </si>
  <si>
    <t>George A. Amedore, Jr. (REF)</t>
  </si>
  <si>
    <t>State Senator 47th Senate District - General Election - November 6, 2018</t>
  </si>
  <si>
    <t>Joseph A. Griffo (REP)</t>
  </si>
  <si>
    <t>Joseph A. Griffo (CON)</t>
  </si>
  <si>
    <t>Joseph A. Griffo (IND)</t>
  </si>
  <si>
    <t>Joseph A. Griffo (REF)</t>
  </si>
  <si>
    <t>State Senator 48th Senate District - General Election - November 6, 2018</t>
  </si>
  <si>
    <t>Patricia A. Ritchie (REP)</t>
  </si>
  <si>
    <t>Patricia A. Ritchie (CON)</t>
  </si>
  <si>
    <t>Patricia A. Ritchie (IND)</t>
  </si>
  <si>
    <t>State Senator 49th Senate District - General Election - November 6, 2018</t>
  </si>
  <si>
    <t>Michelle Ostrelich (DEM)</t>
  </si>
  <si>
    <t>James N. Tedisco (REP)</t>
  </si>
  <si>
    <t>James N. Tedisco (CON)</t>
  </si>
  <si>
    <t>Michelle Ostrelich (WOR)</t>
  </si>
  <si>
    <t>James N. Tedisco (IND)</t>
  </si>
  <si>
    <t>Michelle Ostrelich (WEP)</t>
  </si>
  <si>
    <t>James N. Tedisco (REF)</t>
  </si>
  <si>
    <t>State Senator 50th Senate District - General Election - November 6, 2018</t>
  </si>
  <si>
    <t>John W. Mannion (DEM)</t>
  </si>
  <si>
    <t>Robert E. Antonacci, II (REP)</t>
  </si>
  <si>
    <t>Robert E. Antonacci, II (CON)</t>
  </si>
  <si>
    <t>John W. Mannion (WOR)</t>
  </si>
  <si>
    <t>Robert E. Antonacci, II (IND)</t>
  </si>
  <si>
    <t>John W. Mannion (WEP)</t>
  </si>
  <si>
    <t>Robert E. Antonacci, II (UPS)</t>
  </si>
  <si>
    <t>State Senator 51st Senate District - General Election - November 6, 2018</t>
  </si>
  <si>
    <t>Joyce St. George (DEM)</t>
  </si>
  <si>
    <t>James L. Seward (REP)</t>
  </si>
  <si>
    <t>State Senator 52nd Senate District - General Election - November 6, 2018</t>
  </si>
  <si>
    <t>Frederick J. Akshar, II (REP)</t>
  </si>
  <si>
    <t>Frederick J. Akshar, II (CON)</t>
  </si>
  <si>
    <t>Frederick J. Akshar, II (IND)</t>
  </si>
  <si>
    <t>Frederick J. Akshar, II (REF)</t>
  </si>
  <si>
    <t>State Senator 53rd Senate District - General Election - November 6, 2018</t>
  </si>
  <si>
    <t>Rachel May (DEM)</t>
  </si>
  <si>
    <t>Janet Berl Burman (REP)</t>
  </si>
  <si>
    <t>Janet Berl Burman (CON)</t>
  </si>
  <si>
    <t>Rachel May (WOR)</t>
  </si>
  <si>
    <t>David J. Valesky (IND)</t>
  </si>
  <si>
    <t>David J. Valesky (WEP)</t>
  </si>
  <si>
    <t>State Senator 54th Senate District - General Election - November 6, 2018</t>
  </si>
  <si>
    <t>Kenan S. Baldridge (DEM)</t>
  </si>
  <si>
    <t>Pamela A. Helming (REP)</t>
  </si>
  <si>
    <t>Pamela A. Helming (CON)</t>
  </si>
  <si>
    <t>Kenan S. Baldridge (WOR)</t>
  </si>
  <si>
    <t>Pamela A. Helming (IND)</t>
  </si>
  <si>
    <t>Kenan S. Baldridge (WEP)</t>
  </si>
  <si>
    <t>Pamela A. Helming (REF)</t>
  </si>
  <si>
    <t>State Senator 55th Senate District - General Election - November 6, 2018</t>
  </si>
  <si>
    <t>Jen Lunsford (DEM)</t>
  </si>
  <si>
    <t>Rich Funke (REP)</t>
  </si>
  <si>
    <t>Rich Funke (CON)</t>
  </si>
  <si>
    <t>Rich Funke (IND)</t>
  </si>
  <si>
    <t>Rich Funke (REF)</t>
  </si>
  <si>
    <t>State Senator 56th Senate District - General Election - November 6, 2018</t>
  </si>
  <si>
    <t>Jeremy A. Cooney (DEM)</t>
  </si>
  <si>
    <t>Joseph E. Robach (REP)</t>
  </si>
  <si>
    <t>Joseph E. Robach (CON)</t>
  </si>
  <si>
    <t>Jeremy A. Cooney (WOR)</t>
  </si>
  <si>
    <t>Joseph E. Robach (IND)</t>
  </si>
  <si>
    <t>Jeremy A. Cooney (WEP)</t>
  </si>
  <si>
    <t>Joseph E. Robach (REF)</t>
  </si>
  <si>
    <t>State Senator 57th Senate District - General Election - November 6, 2018</t>
  </si>
  <si>
    <t>Catharine M. Young (REP)</t>
  </si>
  <si>
    <t>Catharine M. Young (CON)</t>
  </si>
  <si>
    <t>Catharine M. Young (IND)</t>
  </si>
  <si>
    <t>Catharine M. Young (REF)</t>
  </si>
  <si>
    <t>State Senator 58th Senate District - General Election - November 6, 2018</t>
  </si>
  <si>
    <t>Amanda Kirchgessner (DEM)</t>
  </si>
  <si>
    <t>Thomas F. O'Mara (REP)</t>
  </si>
  <si>
    <t>Thomas F. O'Mara (CON)</t>
  </si>
  <si>
    <t>Amanda Kirchgessner (WOR)</t>
  </si>
  <si>
    <t>Thomas F. O'Mara (IND)</t>
  </si>
  <si>
    <t>Thomas F. O'Mara (REF)</t>
  </si>
  <si>
    <t>State Senator 59th Senate District - General Election - November 6, 2018</t>
  </si>
  <si>
    <t>Patrick M. Gallivan (REP)</t>
  </si>
  <si>
    <t>Patrick M. Gallivan (CON)</t>
  </si>
  <si>
    <t>Patrick M. Gallivan (IND)</t>
  </si>
  <si>
    <t>Patrick M. Gallivan (REF)</t>
  </si>
  <si>
    <t>State Senator 60th Senate District - General Election - November 6, 2018</t>
  </si>
  <si>
    <t>Carima C. El Behairy (DEM)</t>
  </si>
  <si>
    <t>Christopher L. Jacobs (REP)</t>
  </si>
  <si>
    <t>Christopher L. Jacobs (CON)</t>
  </si>
  <si>
    <t>Carima C. El Behairy (WOR)</t>
  </si>
  <si>
    <t>Christopher L. Jacobs (IND)</t>
  </si>
  <si>
    <t>Carima C. El Behairy (WEP)</t>
  </si>
  <si>
    <t>Christopher L. Jacobs (REF)</t>
  </si>
  <si>
    <t>State Senator 61st Senate District - General Election - November 6, 2018</t>
  </si>
  <si>
    <t>Joan Elizabeth Seamans (DEM)</t>
  </si>
  <si>
    <t>Michael H. Ranzenhofer (REP)</t>
  </si>
  <si>
    <t>Michael H. Ranzenhofer (CON)</t>
  </si>
  <si>
    <t>Joan Elizabeth Seamans (WOR)</t>
  </si>
  <si>
    <t>Michael H. Ranzenhofer (IND)</t>
  </si>
  <si>
    <t>Joan Elizabeth Seamans (WEP)</t>
  </si>
  <si>
    <t>Michael H. Ranzenhofer (REF)</t>
  </si>
  <si>
    <t>State Senator 62nd Senate District - General Election - November 6, 2018</t>
  </si>
  <si>
    <t>Robert G. Ortt (REP)</t>
  </si>
  <si>
    <t>Robert G. Ortt (CON)</t>
  </si>
  <si>
    <t>Peter A. Diachun (GRE)</t>
  </si>
  <si>
    <t>Robert G. Ortt (IND)</t>
  </si>
  <si>
    <t>Robert G. Ortt (REF)</t>
  </si>
  <si>
    <t>State Senator 63rd Senate District - General Election - November 6, 2018</t>
  </si>
  <si>
    <t>Timothy M. Kennedy (DEM)</t>
  </si>
  <si>
    <t>Timothy M. Kennedy (WOR)</t>
  </si>
  <si>
    <t>Timothy M. Kennedy (IND)</t>
  </si>
  <si>
    <t>Timothy M. Kennedy (WEP)</t>
  </si>
  <si>
    <t>Andrew J. Lanza (REP)</t>
  </si>
  <si>
    <t>James L. Seward (CON)</t>
  </si>
  <si>
    <t>James L. Seward (IND)</t>
  </si>
  <si>
    <t>Joyce St. George (WEP)</t>
  </si>
  <si>
    <t>James L. Seward (REF)</t>
  </si>
  <si>
    <t>Total Votes by Party</t>
  </si>
  <si>
    <t>Philip M. Boyle (REF)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</si>
</sst>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</cellXfs>
  <cellStyles count="1">
    <cellStyle name="Normal" xfId="0" builtinId="0"/>
  </cellStyles>
  <dxfs count="8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7" xr:uid="{157DCB20-D47E-4178-86CE-47FF6E9B7287}" name="StateSenatorSenateDistrict1General" displayName="StateSenatorSenateDistrict1General" ref="A2:D11" totalsRowCount="1" headerRowDxfId="886" dataDxfId="884" headerRowBorderDxfId="885" tableBorderDxfId="883" totalsRowBorderDxfId="882">
  <autoFilter ref="A2:D10" xr:uid="{46E63F8E-8A2F-421C-B164-9C94A0596A45}">
    <filterColumn colId="0" hiddenButton="1"/>
    <filterColumn colId="1" hiddenButton="1"/>
    <filterColumn colId="2" hiddenButton="1"/>
    <filterColumn colId="3" hiddenButton="1"/>
  </autoFilter>
  <tableColumns count="4">
    <tableColumn id="1" xr3:uid="{0DC13088-07B1-4484-9837-16A749E7ADCD}" name="Candidate Name (Party)" totalsRowLabel="Total Votes by County" dataDxfId="881" totalsRowDxfId="880"/>
    <tableColumn id="4" xr3:uid="{28D1396B-6422-478E-B714-2E6021CA56AB}" name="Part of Suffolk County Vote Results" totalsRowFunction="custom" dataDxfId="879" totalsRowDxfId="878">
      <totalsRowFormula>SUBTOTAL(109,StateSenatorSenateDistrict1General[Total Votes by Candidate])</totalsRowFormula>
    </tableColumn>
    <tableColumn id="3" xr3:uid="{DAC1F272-2DBE-4477-8EDF-312147E6ABDD}" name="Total Votes by Party" totalsRowFunction="custom" dataDxfId="877" totalsRowDxfId="876">
      <calculatedColumnFormula>StateSenatorSenateDistrict1General[[#This Row],[Part of Suffolk County Vote Results]]</calculatedColumnFormula>
      <totalsRowFormula>#REF!</totalsRowFormula>
    </tableColumn>
    <tableColumn id="2" xr3:uid="{5BE9899B-A094-45B7-A70A-384ECC8109FC}" name="Total Votes by Candidate" dataDxfId="875" totalsRowDxfId="874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6F3C8DE7-AB91-48E3-A42F-2C3D2EC447D5}" name="StateSenatorSenateDistrict10General" displayName="StateSenatorSenateDistrict10General" ref="A2:D9" totalsRowCount="1" headerRowDxfId="779" dataDxfId="777" headerRowBorderDxfId="778" tableBorderDxfId="776" totalsRowBorderDxfId="775">
  <autoFilter ref="A2:D8" xr:uid="{8D07F028-8319-42B9-960D-9E5BBF698127}">
    <filterColumn colId="0" hiddenButton="1"/>
    <filterColumn colId="1" hiddenButton="1"/>
    <filterColumn colId="2" hiddenButton="1"/>
    <filterColumn colId="3" hiddenButton="1"/>
  </autoFilter>
  <tableColumns count="4">
    <tableColumn id="1" xr3:uid="{4B639279-092A-407A-9346-5C7D44CEC4B8}" name="Candidate Name (Party)" totalsRowLabel="Total Votes by County" dataDxfId="774" totalsRowDxfId="773"/>
    <tableColumn id="4" xr3:uid="{9EDE2330-85B6-4962-93BA-998CEF978449}" name="Part of Queens County Vote Results" totalsRowFunction="custom" dataDxfId="772" totalsRowDxfId="771">
      <totalsRowFormula>SUBTOTAL(109,StateSenatorSenateDistrict10General[Total Votes by Candidate])</totalsRowFormula>
    </tableColumn>
    <tableColumn id="3" xr3:uid="{F7B54FDD-9A7F-4136-91C0-4B5A830E74D8}" name="Total Votes by Party" totalsRowFunction="custom" dataDxfId="770" totalsRowDxfId="769">
      <calculatedColumnFormula>StateSenatorSenateDistrict10General[[#This Row],[Part of Queens County Vote Results]]</calculatedColumnFormula>
      <totalsRowFormula>StateSenatorSenateDistrict9General[[#This Row],[Part of Nassau County Vote Results]]</totalsRowFormula>
    </tableColumn>
    <tableColumn id="2" xr3:uid="{39DD0023-7FED-4BFA-82C1-7D2EACDBB398}" name="Total Votes by Candidate" dataDxfId="768" totalsRowDxfId="767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B8880703-E815-4B88-AFB1-E8DD8D93635D}" name="StateSenatorSenateDistrict11General" displayName="StateSenatorSenateDistrict11General" ref="A2:D11" totalsRowCount="1" headerRowDxfId="766" dataDxfId="764" headerRowBorderDxfId="765" tableBorderDxfId="763" totalsRowBorderDxfId="762">
  <autoFilter ref="A2:D10" xr:uid="{86DC72B7-AC4C-460E-9130-5838C9BCBACD}">
    <filterColumn colId="0" hiddenButton="1"/>
    <filterColumn colId="1" hiddenButton="1"/>
    <filterColumn colId="2" hiddenButton="1"/>
    <filterColumn colId="3" hiddenButton="1"/>
  </autoFilter>
  <tableColumns count="4">
    <tableColumn id="1" xr3:uid="{4F7E072B-FC63-4E98-8980-51788CA9E0D8}" name="Candidate Name (Party)" totalsRowLabel="Total Votes by County" dataDxfId="761" totalsRowDxfId="760"/>
    <tableColumn id="4" xr3:uid="{D0087190-3F76-4C00-97C1-DE6F572D98DC}" name="Part of Queens County Vote Results" totalsRowFunction="custom" dataDxfId="759" totalsRowDxfId="758">
      <totalsRowFormula>SUBTOTAL(109,StateSenatorSenateDistrict11General[Total Votes by Candidate])</totalsRowFormula>
    </tableColumn>
    <tableColumn id="3" xr3:uid="{F49A81F3-D376-4E5A-B5A9-FA325676F1AE}" name="Total Votes by Party" dataDxfId="757"/>
    <tableColumn id="2" xr3:uid="{DB3FC48D-675E-4FCB-A714-1DAA2FD4ADFD}" name="Total Votes by Candidate" dataDxfId="756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8" xr:uid="{DC9A07C7-6CE0-4EA6-AE1F-15B324A697E3}" name="StateSenatorSenateDistrict12General" displayName="StateSenatorSenateDistrict12General" ref="A2:D8" totalsRowCount="1" headerRowDxfId="755" dataDxfId="753" headerRowBorderDxfId="754" tableBorderDxfId="752" totalsRowBorderDxfId="751">
  <autoFilter ref="A2:D7" xr:uid="{2CE300DD-8912-442E-850C-3B4D930DBB13}">
    <filterColumn colId="0" hiddenButton="1"/>
    <filterColumn colId="1" hiddenButton="1"/>
    <filterColumn colId="2" hiddenButton="1"/>
    <filterColumn colId="3" hiddenButton="1"/>
  </autoFilter>
  <tableColumns count="4">
    <tableColumn id="1" xr3:uid="{79F83BBF-4040-482F-9B86-F883FD487E64}" name="Candidate Name (Party)" totalsRowLabel="Total Votes by County" dataDxfId="750" totalsRowDxfId="749"/>
    <tableColumn id="4" xr3:uid="{86CCB9F8-CD23-4E82-AD9C-CAAC73CA18BD}" name="Part of Queens County Vote Results" totalsRowFunction="custom" dataDxfId="748" totalsRowDxfId="747">
      <totalsRowFormula>SUBTOTAL(109,StateSenatorSenateDistrict12General[Total Votes by Candidate])</totalsRowFormula>
    </tableColumn>
    <tableColumn id="3" xr3:uid="{70312B20-3F77-4FED-B212-C4405D88EF47}" name="Total Votes by Party" totalsRowFunction="custom" dataDxfId="746" totalsRowDxfId="745">
      <calculatedColumnFormula>StateSenatorSenateDistrict12General[[#This Row],[Part of Queens County Vote Results]]</calculatedColumnFormula>
      <totalsRowFormula>StateSenatorSenateDistrict11General[[#This Row],[Part of Queens County Vote Results]]</totalsRowFormula>
    </tableColumn>
    <tableColumn id="2" xr3:uid="{3DA2748C-7A6C-4AA3-BE57-C90D10B78F16}" name="Total Votes by Candidate" dataDxfId="744" totalsRowDxfId="743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9" xr:uid="{D0BA1610-0572-4534-A083-CBBFFFCC22FB}" name="StateSenatorSenateDistrict13General" displayName="StateSenatorSenateDistrict13General" ref="A2:D11" totalsRowCount="1" headerRowDxfId="742" dataDxfId="740" headerRowBorderDxfId="741" tableBorderDxfId="739" totalsRowBorderDxfId="738">
  <autoFilter ref="A2:D10" xr:uid="{7D329055-02FA-4249-9564-3F326CBE70EC}">
    <filterColumn colId="0" hiddenButton="1"/>
    <filterColumn colId="1" hiddenButton="1"/>
    <filterColumn colId="2" hiddenButton="1"/>
    <filterColumn colId="3" hiddenButton="1"/>
  </autoFilter>
  <tableColumns count="4">
    <tableColumn id="1" xr3:uid="{D6373A46-7753-4B08-AEBF-45947038E492}" name="Candidate Name (Party)" totalsRowLabel="Total Votes by County" dataDxfId="737" totalsRowDxfId="736"/>
    <tableColumn id="4" xr3:uid="{CCC52DE1-635B-434C-82B0-1EE2C8F90CAC}" name="Part of Queens County Vote Results" totalsRowFunction="custom" dataDxfId="735" totalsRowDxfId="734">
      <totalsRowFormula>SUBTOTAL(109,StateSenatorSenateDistrict13General[Total Votes by Candidate])</totalsRowFormula>
    </tableColumn>
    <tableColumn id="3" xr3:uid="{1E47D8C5-531A-4FB6-BD55-B2A81D4748C3}" name="Total Votes by Party" dataDxfId="733">
      <calculatedColumnFormula>StateSenatorSenateDistrict13General[[#This Row],[Part of Queens County Vote Results]]</calculatedColumnFormula>
    </tableColumn>
    <tableColumn id="2" xr3:uid="{F06C64D5-F7AB-46A7-9C43-08AF593BAC0A}" name="Total Votes by Candidate" dataDxfId="732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0" xr:uid="{2A6541E2-AF60-4DC9-8DA3-155C988991CB}" name="StateSenatorSenateDistrict14General" displayName="StateSenatorSenateDistrict14General" ref="A2:D9" totalsRowCount="1" headerRowDxfId="731" dataDxfId="729" headerRowBorderDxfId="730" tableBorderDxfId="728" totalsRowBorderDxfId="727">
  <autoFilter ref="A2:D8" xr:uid="{C9AD50FF-F416-4E1D-9F65-21BDCFC384B4}">
    <filterColumn colId="0" hiddenButton="1"/>
    <filterColumn colId="1" hiddenButton="1"/>
    <filterColumn colId="2" hiddenButton="1"/>
    <filterColumn colId="3" hiddenButton="1"/>
  </autoFilter>
  <tableColumns count="4">
    <tableColumn id="1" xr3:uid="{C13ACF98-AA85-402B-940F-DA9B57937D39}" name="Candidate Name (Party)" totalsRowLabel="Total Votes by County" dataDxfId="726" totalsRowDxfId="725"/>
    <tableColumn id="4" xr3:uid="{5FCB8EEF-877E-412A-8C6F-506D415CB591}" name="Part of Queens County Vote Results" totalsRowFunction="custom" dataDxfId="724" totalsRowDxfId="723">
      <totalsRowFormula>SUBTOTAL(109,StateSenatorSenateDistrict14General[Total Votes by Candidate])</totalsRowFormula>
    </tableColumn>
    <tableColumn id="3" xr3:uid="{BA07879A-6B54-48DA-8E34-93BE83F909B1}" name="Total Votes by Party" totalsRowFunction="custom" dataDxfId="722" totalsRowDxfId="721">
      <calculatedColumnFormula>StateSenatorSenateDistrict14General[[#This Row],[Part of Queens County Vote Results]]</calculatedColumnFormula>
      <totalsRowFormula>StateSenatorSenateDistrict13General[[#This Row],[Part of Queens County Vote Results]]</totalsRowFormula>
    </tableColumn>
    <tableColumn id="2" xr3:uid="{899656E7-60F2-4801-AF8E-A8E0FD1DB934}" name="Total Votes by Candidate" dataDxfId="720" totalsRowDxfId="719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1" xr:uid="{DC635766-EED1-4E5B-B23D-4472FACDC865}" name="StateSenatorSenateDistrict15General" displayName="StateSenatorSenateDistrict15General" ref="A2:D12" totalsRowCount="1" headerRowDxfId="718" dataDxfId="716" headerRowBorderDxfId="717" tableBorderDxfId="715" totalsRowBorderDxfId="714">
  <autoFilter ref="A2:D11" xr:uid="{631AFF6B-E30D-4A6D-A286-BC64D492E01E}">
    <filterColumn colId="0" hiddenButton="1"/>
    <filterColumn colId="1" hiddenButton="1"/>
    <filterColumn colId="2" hiddenButton="1"/>
    <filterColumn colId="3" hiddenButton="1"/>
  </autoFilter>
  <tableColumns count="4">
    <tableColumn id="1" xr3:uid="{5EE53CA9-EE49-44A0-A0A0-5D3FED53B13D}" name="Candidate Name (Party)" totalsRowLabel="Total Votes by County" dataDxfId="713" totalsRowDxfId="712"/>
    <tableColumn id="4" xr3:uid="{E10CB04F-DD26-472B-AD44-253A30685A61}" name="Part of Queens County Vote Results" totalsRowFunction="custom" dataDxfId="711" totalsRowDxfId="710">
      <totalsRowFormula>SUBTOTAL(109,StateSenatorSenateDistrict15General[Total Votes by Candidate])</totalsRowFormula>
    </tableColumn>
    <tableColumn id="3" xr3:uid="{87A509E7-C158-4152-AD57-94E746C804DF}" name="Total Votes by Party" dataDxfId="709">
      <calculatedColumnFormula>StateSenatorSenateDistrict15General[[#This Row],[Part of Queens County Vote Results]]</calculatedColumnFormula>
    </tableColumn>
    <tableColumn id="2" xr3:uid="{51AC2374-C352-493B-889E-0F994A5482EB}" name="Total Votes by Candidate" dataDxfId="708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2" xr:uid="{7925607C-87E7-4F8B-B54D-20FAB6709DCF}" name="StateSenatorSenateDistrict16General" displayName="StateSenatorSenateDistrict16General" ref="A2:D10" totalsRowCount="1" headerRowDxfId="707" dataDxfId="705" headerRowBorderDxfId="706" tableBorderDxfId="704" totalsRowBorderDxfId="703">
  <autoFilter ref="A2:D9" xr:uid="{0488B77E-D79A-4C06-8B6B-DBBE145F442E}">
    <filterColumn colId="0" hiddenButton="1"/>
    <filterColumn colId="1" hiddenButton="1"/>
    <filterColumn colId="2" hiddenButton="1"/>
    <filterColumn colId="3" hiddenButton="1"/>
  </autoFilter>
  <tableColumns count="4">
    <tableColumn id="1" xr3:uid="{916D966B-587F-422E-9021-0935EA8938DC}" name="Candidate Name (Party)" totalsRowLabel="Total Votes by County" dataDxfId="702" totalsRowDxfId="701"/>
    <tableColumn id="4" xr3:uid="{4313B6F6-DD17-4048-A34C-B3C3DB75D5BD}" name="Part of Queens County Vote Results" totalsRowFunction="custom" dataDxfId="700" totalsRowDxfId="699">
      <totalsRowFormula>SUBTOTAL(109,StateSenatorSenateDistrict16General[Total Votes by Candidate])</totalsRowFormula>
    </tableColumn>
    <tableColumn id="3" xr3:uid="{28954DF4-5A24-4403-A435-8C3F0CF51A67}" name="Total Votes by Party" totalsRowFunction="custom" dataDxfId="698" totalsRowDxfId="697">
      <calculatedColumnFormula>StateSenatorSenateDistrict16General[[#This Row],[Part of Queens County Vote Results]]</calculatedColumnFormula>
      <totalsRowFormula>StateSenatorSenateDistrict15General[[#This Row],[Part of Queens County Vote Results]]</totalsRowFormula>
    </tableColumn>
    <tableColumn id="2" xr3:uid="{5AC42F22-228A-4582-A223-107964DCD2FE}" name="Total Votes by Candidate" dataDxfId="696" totalsRowDxfId="695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3" xr:uid="{281C7EF8-7A9D-4551-B69E-5A349928E03F}" name="StateSenatorSenateDistrict17General" displayName="StateSenatorSenateDistrict17General" ref="A2:D12" totalsRowCount="1" headerRowDxfId="694" dataDxfId="692" headerRowBorderDxfId="693" tableBorderDxfId="691" totalsRowBorderDxfId="690">
  <autoFilter ref="A2:D11" xr:uid="{45F123F9-3139-434A-A980-672DFB1A6DC4}">
    <filterColumn colId="0" hiddenButton="1"/>
    <filterColumn colId="1" hiddenButton="1"/>
    <filterColumn colId="2" hiddenButton="1"/>
    <filterColumn colId="3" hiddenButton="1"/>
  </autoFilter>
  <tableColumns count="4">
    <tableColumn id="1" xr3:uid="{E7A3270F-C430-4ADC-9357-A75CD7D6B2DE}" name="Candidate Name (Party)" totalsRowLabel="Total Votes by County" dataDxfId="689" totalsRowDxfId="688"/>
    <tableColumn id="4" xr3:uid="{34A7D066-FF42-4726-A350-4154F41FC052}" name="Part of Kings County Vote Results" totalsRowFunction="custom" dataDxfId="687" totalsRowDxfId="686">
      <totalsRowFormula>SUBTOTAL(109,StateSenatorSenateDistrict17General[Total Votes by Candidate])</totalsRowFormula>
    </tableColumn>
    <tableColumn id="3" xr3:uid="{A2B2EE79-E0C6-4218-98B3-17C4569052D7}" name="Total Votes by Party" dataDxfId="685">
      <calculatedColumnFormula>StateSenatorSenateDistrict17General[[#This Row],[Part of Kings County Vote Results]]</calculatedColumnFormula>
    </tableColumn>
    <tableColumn id="2" xr3:uid="{AD770CAB-82FA-49A5-9849-003A96D235A4}" name="Total Votes by Candidate" dataDxfId="684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4" xr:uid="{82763EFC-5A3F-4059-BDD6-298C128CC7CD}" name="StateSenatorSenateDistrict18General" displayName="StateSenatorSenateDistrict18General" ref="A2:D7" totalsRowCount="1" headerRowDxfId="683" dataDxfId="681" headerRowBorderDxfId="682" tableBorderDxfId="680" totalsRowBorderDxfId="679">
  <autoFilter ref="A2:D6" xr:uid="{692F44BD-1A6E-4A38-91AF-DFC990DFB886}">
    <filterColumn colId="0" hiddenButton="1"/>
    <filterColumn colId="1" hiddenButton="1"/>
    <filterColumn colId="2" hiddenButton="1"/>
    <filterColumn colId="3" hiddenButton="1"/>
  </autoFilter>
  <tableColumns count="4">
    <tableColumn id="1" xr3:uid="{F807E9EC-A216-415B-9F08-FBCC282BF10F}" name="Candidate Name (Party)" totalsRowLabel="Total Votes by County" dataDxfId="678" totalsRowDxfId="677"/>
    <tableColumn id="4" xr3:uid="{74707177-E778-47FA-B7FD-CB86DF6626F1}" name="Part of Kings County Vote Results" totalsRowFunction="custom" dataDxfId="676" totalsRowDxfId="675">
      <totalsRowFormula>SUBTOTAL(109,StateSenatorSenateDistrict18General[Total Votes by Candidate])</totalsRowFormula>
    </tableColumn>
    <tableColumn id="3" xr3:uid="{85C951E8-08CF-4691-B845-C00EC58CF289}" name="Total Votes by Party" totalsRowFunction="custom" dataDxfId="674" totalsRowDxfId="673">
      <calculatedColumnFormula>StateSenatorSenateDistrict18General[[#This Row],[Part of Kings County Vote Results]]</calculatedColumnFormula>
      <totalsRowFormula>StateSenatorSenateDistrict17General[[#This Row],[Part of Kings County Vote Results]]</totalsRowFormula>
    </tableColumn>
    <tableColumn id="2" xr3:uid="{08FBDB7D-46B4-4302-AFF5-20738B9C7283}" name="Total Votes by Candidate" dataDxfId="672" totalsRowDxfId="671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5" xr:uid="{B8120273-68B9-4A3E-8140-0B46684F8037}" name="StateSenatorSenateDistrict19General" displayName="StateSenatorSenateDistrict19General" ref="A2:D10" totalsRowCount="1" headerRowDxfId="670" dataDxfId="668" headerRowBorderDxfId="669" tableBorderDxfId="667" totalsRowBorderDxfId="666">
  <autoFilter ref="A2:D9" xr:uid="{EAE3EA0E-DD60-4EDC-8BF9-94D731AF783C}">
    <filterColumn colId="0" hiddenButton="1"/>
    <filterColumn colId="1" hiddenButton="1"/>
    <filterColumn colId="2" hiddenButton="1"/>
    <filterColumn colId="3" hiddenButton="1"/>
  </autoFilter>
  <tableColumns count="4">
    <tableColumn id="1" xr3:uid="{AF6983F1-7AD0-4132-B368-34D5DA226627}" name="Candidate Name (Party)" totalsRowLabel="Total Votes by County" dataDxfId="665" totalsRowDxfId="664"/>
    <tableColumn id="4" xr3:uid="{9BBBF8B3-8312-4A90-8DBD-E43FDB68A3A8}" name="Part of Kings County Vote Results" totalsRowFunction="custom" dataDxfId="663" totalsRowDxfId="662">
      <totalsRowFormula>SUBTOTAL(109,StateSenatorSenateDistrict19General[Total Votes by Candidate])</totalsRowFormula>
    </tableColumn>
    <tableColumn id="3" xr3:uid="{66AB3EE7-92FE-4820-9E33-45BB0AA37FAD}" name="Total Votes by Party" dataDxfId="661">
      <calculatedColumnFormula>StateSenatorSenateDistrict19General[[#This Row],[Part of Kings County Vote Results]]</calculatedColumnFormula>
    </tableColumn>
    <tableColumn id="2" xr3:uid="{B3FC3B9F-6443-414C-B248-9BBC79DFE5F2}" name="Total Votes by Candidate" dataDxfId="66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8" xr:uid="{AB9E7FF2-8BFA-4C26-928B-4C2A22CA1188}" name="StateSenatorSenateDistrict2General" displayName="StateSenatorSenateDistrict2General" ref="A2:D12" totalsRowCount="1" headerRowDxfId="873" dataDxfId="871" headerRowBorderDxfId="872" tableBorderDxfId="870" totalsRowBorderDxfId="869">
  <autoFilter ref="A2:D11" xr:uid="{08EE2516-64DC-4852-8812-2027C5D0EC6D}">
    <filterColumn colId="0" hiddenButton="1"/>
    <filterColumn colId="1" hiddenButton="1"/>
    <filterColumn colId="2" hiddenButton="1"/>
    <filterColumn colId="3" hiddenButton="1"/>
  </autoFilter>
  <tableColumns count="4">
    <tableColumn id="1" xr3:uid="{B419B2F2-642B-4785-8C7C-58C70147674B}" name="Candidate Name (Party)" totalsRowLabel="Total Votes by County" dataDxfId="868" totalsRowDxfId="867"/>
    <tableColumn id="4" xr3:uid="{E8E7A0BD-A13B-4C62-870E-24C42A83C155}" name="Part of Suffolk County Vote Results" totalsRowFunction="custom" dataDxfId="866" totalsRowDxfId="865">
      <totalsRowFormula>SUBTOTAL(109,StateSenatorSenateDistrict2General[Total Votes by Candidate])</totalsRowFormula>
    </tableColumn>
    <tableColumn id="3" xr3:uid="{1F0A925F-66A0-46B6-B871-EC81EE22306B}" name="Total Votes by Party" dataDxfId="864"/>
    <tableColumn id="2" xr3:uid="{28EA66D1-8D77-4463-96F8-382C8B4D6386}" name="Total Votes by Candidate" dataDxfId="863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6" xr:uid="{BD029C04-F661-4E8D-A948-9C9F66108801}" name="StateSenatorSenateDistrict20General" displayName="StateSenatorSenateDistrict20General" ref="A2:D10" totalsRowCount="1" headerRowDxfId="659" dataDxfId="657" headerRowBorderDxfId="658" tableBorderDxfId="656" totalsRowBorderDxfId="655">
  <autoFilter ref="A2:D9" xr:uid="{AFA44E0C-7A77-4DA9-BCC6-62ECEEFCFD7E}">
    <filterColumn colId="0" hiddenButton="1"/>
    <filterColumn colId="1" hiddenButton="1"/>
    <filterColumn colId="2" hiddenButton="1"/>
    <filterColumn colId="3" hiddenButton="1"/>
  </autoFilter>
  <tableColumns count="4">
    <tableColumn id="1" xr3:uid="{9E2AB23F-E4CA-443B-8684-D3F53B51CCE2}" name="Candidate Name (Party)" totalsRowLabel="Total Votes by County" dataDxfId="654" totalsRowDxfId="653"/>
    <tableColumn id="4" xr3:uid="{0296B53D-5B97-466A-8158-50AE2B42F8AB}" name="Part of Kings County Vote Results" totalsRowFunction="custom" dataDxfId="652" totalsRowDxfId="651">
      <totalsRowFormula>SUBTOTAL(109,StateSenatorSenateDistrict20General[Total Votes by Candidate])</totalsRowFormula>
    </tableColumn>
    <tableColumn id="3" xr3:uid="{E3202887-99A5-4847-A0AC-5BAEA93D45A2}" name="Total Votes by Party" dataDxfId="650">
      <calculatedColumnFormula>StateSenatorSenateDistrict20General[[#This Row],[Part of Kings County Vote Results]]</calculatedColumnFormula>
    </tableColumn>
    <tableColumn id="2" xr3:uid="{412C8628-B699-4AFD-8F1B-E86BC3143FFE}" name="Total Votes by Candidate" dataDxfId="649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F3AA1D7B-B85A-4BD0-9244-46C37DD92012}" name="StateSenatorSenateDistrict21General" displayName="StateSenatorSenateDistrict21General" ref="A2:D9" totalsRowCount="1" headerRowDxfId="648" dataDxfId="646" headerRowBorderDxfId="647" tableBorderDxfId="645" totalsRowBorderDxfId="644">
  <autoFilter ref="A2:D8" xr:uid="{8BDB381A-505B-4556-9F70-C3008AC9457E}">
    <filterColumn colId="0" hiddenButton="1"/>
    <filterColumn colId="1" hiddenButton="1"/>
    <filterColumn colId="2" hiddenButton="1"/>
    <filterColumn colId="3" hiddenButton="1"/>
  </autoFilter>
  <tableColumns count="4">
    <tableColumn id="1" xr3:uid="{FCFC048E-3DA2-4459-A30C-2FC790F5EE7A}" name="Candidate Name (Party)" totalsRowLabel="Total Votes by County" dataDxfId="643" totalsRowDxfId="642"/>
    <tableColumn id="4" xr3:uid="{80E3BBF1-E97C-4F41-9382-D30A3C590F60}" name="Part of Kings County Vote Results" totalsRowFunction="custom" dataDxfId="641" totalsRowDxfId="640">
      <totalsRowFormula>SUBTOTAL(109,StateSenatorSenateDistrict21General[Total Votes by Candidate])</totalsRowFormula>
    </tableColumn>
    <tableColumn id="3" xr3:uid="{627D2382-ED99-4BA5-BE21-0FB35613A437}" name="Total Votes by Party" totalsRowFunction="custom" dataDxfId="639" totalsRowDxfId="638">
      <calculatedColumnFormula>StateSenatorSenateDistrict21General[[#This Row],[Part of Kings County Vote Results]]</calculatedColumnFormula>
      <totalsRowFormula>StateSenatorSenateDistrict20General[[#This Row],[Part of Kings County Vote Results]]</totalsRowFormula>
    </tableColumn>
    <tableColumn id="2" xr3:uid="{21BE7E47-63EB-42AA-A7F5-2468674A4B0E}" name="Total Votes by Candidate" dataDxfId="637" totalsRowDxfId="636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2221CAD1-5364-40F9-BEEC-29C34DF4E628}" name="StateSenatorSenateDistrict22General" displayName="StateSenatorSenateDistrict22General" ref="A2:D12" totalsRowCount="1" headerRowDxfId="635" dataDxfId="633" headerRowBorderDxfId="634" tableBorderDxfId="632" totalsRowBorderDxfId="631">
  <autoFilter ref="A2:D11" xr:uid="{44108E97-03E6-4A5D-A27C-003B5E8A5A04}">
    <filterColumn colId="0" hiddenButton="1"/>
    <filterColumn colId="1" hiddenButton="1"/>
    <filterColumn colId="2" hiddenButton="1"/>
    <filterColumn colId="3" hiddenButton="1"/>
  </autoFilter>
  <tableColumns count="4">
    <tableColumn id="1" xr3:uid="{4A276932-0401-4FD1-A803-6ACE8FC74144}" name="Candidate Name (Party)" totalsRowLabel="Total Votes by County" dataDxfId="630" totalsRowDxfId="629"/>
    <tableColumn id="4" xr3:uid="{5EF4017B-A5C9-4B47-A22A-8A3894A0103F}" name="Part of Kings County Vote Results" totalsRowFunction="custom" dataDxfId="628" totalsRowDxfId="627">
      <totalsRowFormula>SUBTOTAL(109,StateSenatorSenateDistrict22General[Total Votes by Candidate])</totalsRowFormula>
    </tableColumn>
    <tableColumn id="3" xr3:uid="{73035AD1-C6B7-429A-9783-6FC878B35087}" name="Total Votes by Party" dataDxfId="626">
      <calculatedColumnFormula>StateSenatorSenateDistrict22General[[#This Row],[Part of Kings County Vote Results]]</calculatedColumnFormula>
    </tableColumn>
    <tableColumn id="2" xr3:uid="{2194FF64-080E-4E02-AD41-2FAAF4881B82}" name="Total Votes by Candidate" dataDxfId="625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90E41A20-D421-4904-A634-0A025F200E6B}" name="StateSenatorSenateDistrict23General" displayName="StateSenatorSenateDistrict23General" ref="A2:E13" totalsRowCount="1" headerRowDxfId="624" dataDxfId="622" headerRowBorderDxfId="623" tableBorderDxfId="621" totalsRowBorderDxfId="620">
  <autoFilter ref="A2:E12" xr:uid="{54126B05-CA63-458B-A224-2EA9D7AFEE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967728-54BE-4F8B-BF07-775A2FF4CD27}" name="Candidate Name (Party)" totalsRowLabel="Total Votes by County" dataDxfId="619" totalsRowDxfId="618"/>
    <tableColumn id="2" xr3:uid="{E3D95C31-11C0-47C7-AE22-626994B71021}" name="Part of Kings County Vote Results" totalsRowFunction="sum" dataDxfId="617" totalsRowDxfId="616"/>
    <tableColumn id="4" xr3:uid="{B237B4F8-2565-4E73-8157-72EC53C4E5A7}" name="Part of Richmond County Vote Results" totalsRowFunction="sum" dataDxfId="615" totalsRowDxfId="614"/>
    <tableColumn id="3" xr3:uid="{B1ED71AA-BCCD-4AD7-80C2-CE04A8DBED6F}" name="Total Votes by Party" dataDxfId="613">
      <calculatedColumnFormula>SUM(StateSenatorSenateDistrict23General[[#This Row],[Part of Kings County Vote Results]:[Part of Richmond County Vote Results]])</calculatedColumnFormula>
    </tableColumn>
    <tableColumn id="5" xr3:uid="{257233A4-DB46-40D6-B3AD-018690F36DCD}" name="Total Votes by Candidate" dataDxfId="612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8C292CFE-490C-4A25-B68A-601CC269B048}" name="StateSenatorSenateDistrict24General" displayName="StateSenatorSenateDistrict24General" ref="A2:D10" totalsRowCount="1" headerRowDxfId="611" dataDxfId="609" headerRowBorderDxfId="610" tableBorderDxfId="608" totalsRowBorderDxfId="607">
  <autoFilter ref="A2:D9" xr:uid="{E197A7CC-BC9F-46C0-9F14-E8C9E98C1D89}">
    <filterColumn colId="0" hiddenButton="1"/>
    <filterColumn colId="1" hiddenButton="1"/>
    <filterColumn colId="2" hiddenButton="1"/>
    <filterColumn colId="3" hiddenButton="1"/>
  </autoFilter>
  <tableColumns count="4">
    <tableColumn id="1" xr3:uid="{C6B16D30-F24E-483F-9003-47147775065A}" name="Candidate Name (Party)" totalsRowLabel="Total Votes by County" dataDxfId="606" totalsRowDxfId="605"/>
    <tableColumn id="4" xr3:uid="{A7B4C9D8-B42A-48A3-9FB9-C53DABEC6BA5}" name="Part of Richmond County Vote Results" totalsRowFunction="custom" dataDxfId="604" totalsRowDxfId="603">
      <totalsRowFormula>SUBTOTAL(109,StateSenatorSenateDistrict24General[Total Votes by Candidate])</totalsRowFormula>
    </tableColumn>
    <tableColumn id="3" xr3:uid="{1651C4A3-49E3-47CB-88EA-1624F4EC41DF}" name="Total Votes by Party" totalsRowFunction="custom" dataDxfId="602" totalsRowDxfId="601">
      <calculatedColumnFormula>StateSenatorSenateDistrict24General[[#This Row],[Part of Richmond County Vote Results]]</calculatedColumnFormula>
      <totalsRowFormula>SUM(StateSenatorSenateDistrict23General[[#This Row],[Part of Kings County Vote Results]:[Part of Richmond County Vote Results]])</totalsRowFormula>
    </tableColumn>
    <tableColumn id="2" xr3:uid="{4224B959-75CD-4943-96C9-822E9D9A0A20}" name="Total Votes by Candidate" dataDxfId="600" totalsRowDxfId="599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8D1C574E-BD2B-41B4-9CB4-537C2DBC1A2B}" name="StateSenatorSenateDistrict25General" displayName="StateSenatorSenateDistrict25General" ref="A2:D8" totalsRowCount="1" headerRowDxfId="598" dataDxfId="596" headerRowBorderDxfId="597" tableBorderDxfId="595" totalsRowBorderDxfId="594">
  <autoFilter ref="A2:D7" xr:uid="{06ECA87C-D4FC-4637-A821-A249C3AF945C}">
    <filterColumn colId="0" hiddenButton="1"/>
    <filterColumn colId="1" hiddenButton="1"/>
    <filterColumn colId="2" hiddenButton="1"/>
    <filterColumn colId="3" hiddenButton="1"/>
  </autoFilter>
  <tableColumns count="4">
    <tableColumn id="1" xr3:uid="{2A179DFD-D1C6-4209-A57D-B1CCC272133E}" name="Candidate Name (Party)" totalsRowLabel="Total Votes by County" dataDxfId="593" totalsRowDxfId="592"/>
    <tableColumn id="4" xr3:uid="{00D725EA-B740-4593-8FBC-DEE1AD19025F}" name="Part of Kings County Vote Results" totalsRowFunction="custom" dataDxfId="591" totalsRowDxfId="590">
      <totalsRowFormula>SUBTOTAL(109,StateSenatorSenateDistrict25General[Total Votes by Candidate])</totalsRowFormula>
    </tableColumn>
    <tableColumn id="3" xr3:uid="{A5CED6C1-F723-4771-AC3A-904D8B4B43B8}" name="Total Votes by Party" totalsRowFunction="custom" dataDxfId="589" totalsRowDxfId="588">
      <calculatedColumnFormula>StateSenatorSenateDistrict25General[[#This Row],[Part of Kings County Vote Results]]</calculatedColumnFormula>
      <totalsRowFormula>StateSenatorSenateDistrict24General[[#This Row],[Part of Richmond County Vote Results]]</totalsRowFormula>
    </tableColumn>
    <tableColumn id="2" xr3:uid="{953C56E6-3151-4656-9CF8-154E952BC644}" name="Total Votes by Candidate" dataDxfId="587" totalsRowDxfId="586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1FC66BC9-C710-4CDE-8EA0-27D1F02B79CF}" name="StateSenatorSenateDistrict26General" displayName="StateSenatorSenateDistrict26General" ref="A2:E11" totalsRowCount="1" headerRowDxfId="585" dataDxfId="583" headerRowBorderDxfId="584" tableBorderDxfId="582" totalsRowBorderDxfId="581">
  <autoFilter ref="A2:E10" xr:uid="{8B8E72CF-749E-40B9-9100-BF3DC73FCED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698E86-8093-4B24-8534-51C12A50475E}" name="Candidate Name (Party)" totalsRowLabel="Total Votes by County" dataDxfId="580" totalsRowDxfId="579"/>
    <tableColumn id="2" xr3:uid="{E9DEED1B-4F96-4E35-96CA-C3C90A1680D5}" name="Part of Kings County Vote Results" totalsRowFunction="sum" dataDxfId="578" totalsRowDxfId="577"/>
    <tableColumn id="4" xr3:uid="{97F5A015-A203-4681-AD73-2DD0083CFC24}" name="Part of New York County Vote Results" totalsRowFunction="sum" dataDxfId="576" totalsRowDxfId="575"/>
    <tableColumn id="3" xr3:uid="{09D3060B-17E7-465A-A565-EBA78657DE86}" name="Total Votes by Party" dataDxfId="574">
      <calculatedColumnFormula>SUM(StateSenatorSenateDistrict26General[[#This Row],[Part of Kings County Vote Results]:[Part of New York County Vote Results]])</calculatedColumnFormula>
    </tableColumn>
    <tableColumn id="5" xr3:uid="{BF649100-9930-46CF-B7E6-F047CEDD0492}" name="Total Votes by Candidate" dataDxfId="573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20DE826B-2EC9-4572-85B7-9C8B1CAA6269}" name="StateSenatorSenateDistrict27General" displayName="StateSenatorSenateDistrict27General" ref="A2:D8" totalsRowCount="1" headerRowDxfId="572" dataDxfId="570" headerRowBorderDxfId="571" tableBorderDxfId="569" totalsRowBorderDxfId="568">
  <autoFilter ref="A2:D7" xr:uid="{62C311E0-B033-4133-8CC3-8FB9FA631EE3}">
    <filterColumn colId="0" hiddenButton="1"/>
    <filterColumn colId="1" hiddenButton="1"/>
    <filterColumn colId="2" hiddenButton="1"/>
    <filterColumn colId="3" hiddenButton="1"/>
  </autoFilter>
  <tableColumns count="4">
    <tableColumn id="1" xr3:uid="{C8C60E63-2994-4D26-AADD-778B5C1BD07B}" name="Candidate Name (Party)" totalsRowLabel="Total Votes by County" dataDxfId="567" totalsRowDxfId="566"/>
    <tableColumn id="4" xr3:uid="{9BD34521-68DB-480E-A2DC-208FD82C9B70}" name="Part of New York County Vote Results" totalsRowFunction="custom" dataDxfId="565" totalsRowDxfId="564">
      <totalsRowFormula>SUBTOTAL(109,StateSenatorSenateDistrict27General[Total Votes by Candidate])</totalsRowFormula>
    </tableColumn>
    <tableColumn id="3" xr3:uid="{681341D9-29D0-4A26-B16F-781A1E7DAB0A}" name="Total Votes by Party" totalsRowFunction="custom" dataDxfId="563" totalsRowDxfId="562">
      <calculatedColumnFormula>StateSenatorSenateDistrict27General[[#This Row],[Part of New York County Vote Results]]</calculatedColumnFormula>
      <totalsRowFormula>SUM(StateSenatorSenateDistrict26General[[#This Row],[Part of Kings County Vote Results]:[Part of New York County Vote Results]])</totalsRowFormula>
    </tableColumn>
    <tableColumn id="2" xr3:uid="{9305F792-F1AD-46DF-AE88-0F2676F342C4}" name="Total Votes by Candidate" dataDxfId="561" totalsRowDxfId="560"/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7ED97B32-94B7-4E4E-B856-6A5546C4E68E}" name="StateSenatorSenateDistrict28General" displayName="StateSenatorSenateDistrict28General" ref="A2:D12" totalsRowCount="1" headerRowDxfId="559" dataDxfId="557" headerRowBorderDxfId="558" tableBorderDxfId="556" totalsRowBorderDxfId="555">
  <autoFilter ref="A2:D11" xr:uid="{4369AD02-EED6-41FF-98B0-674AF9E33135}">
    <filterColumn colId="0" hiddenButton="1"/>
    <filterColumn colId="1" hiddenButton="1"/>
    <filterColumn colId="2" hiddenButton="1"/>
    <filterColumn colId="3" hiddenButton="1"/>
  </autoFilter>
  <tableColumns count="4">
    <tableColumn id="1" xr3:uid="{E8C054F2-AF01-4A0D-9A63-81CBDF6795D3}" name="Candidate Name (Party)" totalsRowLabel="Total Votes by County" dataDxfId="554" totalsRowDxfId="553"/>
    <tableColumn id="4" xr3:uid="{7979D094-596C-42AB-8EC7-3A29760E5F1D}" name="Part of New York County Vote Results" totalsRowFunction="custom" dataDxfId="552" totalsRowDxfId="551">
      <totalsRowFormula>SUBTOTAL(109,StateSenatorSenateDistrict28General[Total Votes by Candidate])</totalsRowFormula>
    </tableColumn>
    <tableColumn id="3" xr3:uid="{9C01749F-51EC-439C-9DEF-9ADE98E5E079}" name="Total Votes by Party" dataDxfId="550">
      <calculatedColumnFormula>StateSenatorSenateDistrict28General[[#This Row],[Part of New York County Vote Results]]</calculatedColumnFormula>
    </tableColumn>
    <tableColumn id="2" xr3:uid="{9A353C9B-F60E-48C4-9790-FD39B64B2D4C}" name="Total Votes by Candidate" dataDxfId="549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54A57BF8-9384-48EC-AADC-57FBC8E5D051}" name="StateSenatorSenateDistrict29General" displayName="StateSenatorSenateDistrict29General" ref="A2:E8" totalsRowCount="1" headerRowDxfId="548" dataDxfId="546" headerRowBorderDxfId="547" tableBorderDxfId="545" totalsRowBorderDxfId="544">
  <autoFilter ref="A2:E7" xr:uid="{391D07F9-7643-47D4-8D64-70A4F00BAF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FD055B-1C46-4A63-ACBE-B84041AB7E66}" name="Candidate Name (Party)" totalsRowLabel="Total Votes by County" dataDxfId="543" totalsRowDxfId="542"/>
    <tableColumn id="2" xr3:uid="{DFC8B4A3-16A7-4D85-8FD8-409349C8C652}" name="Part of Bronx County Vote Results" totalsRowFunction="sum" dataDxfId="541" totalsRowDxfId="540"/>
    <tableColumn id="4" xr3:uid="{C61B4064-53EE-477F-8E6D-4F0D55695925}" name="Part of New York County Vote Results" totalsRowFunction="sum" dataDxfId="539" totalsRowDxfId="538"/>
    <tableColumn id="3" xr3:uid="{18951F8C-1F2C-42EA-869B-1E1FB4739ED7}" name="Total Votes by Party" totalsRowFunction="custom" dataDxfId="537" totalsRowDxfId="536">
      <calculatedColumnFormula>SUM(StateSenatorSenateDistrict29General[[#This Row],[Part of Bronx County Vote Results]:[Part of New York County Vote Results]])</calculatedColumnFormula>
      <totalsRowFormula>StateSenatorSenateDistrict28General[[#This Row],[Part of New York County Vote Results]]</totalsRowFormula>
    </tableColumn>
    <tableColumn id="5" xr3:uid="{5F6D2622-264F-46FC-95B5-49F2542C88B7}" name="Total Votes by Candidate" dataDxfId="535" totalsRowDxfId="534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9" xr:uid="{C3B9EB99-66E7-4184-B189-228567C9B1DF}" name="StateSenatorSenateDistrict3General" displayName="StateSenatorSenateDistrict3General" ref="A2:D13" totalsRowCount="1" headerRowDxfId="862" dataDxfId="860" headerRowBorderDxfId="861" tableBorderDxfId="859" totalsRowBorderDxfId="858">
  <autoFilter ref="A2:D12" xr:uid="{E849A2E2-D466-4FEE-AC0E-07449222D724}">
    <filterColumn colId="0" hiddenButton="1"/>
    <filterColumn colId="1" hiddenButton="1"/>
    <filterColumn colId="2" hiddenButton="1"/>
    <filterColumn colId="3" hiddenButton="1"/>
  </autoFilter>
  <tableColumns count="4">
    <tableColumn id="1" xr3:uid="{47C31D8F-8820-429B-AFDC-6A1A12EC577F}" name="Candidate Name (Party)" totalsRowLabel="Total Votes by County" dataDxfId="857" totalsRowDxfId="856"/>
    <tableColumn id="4" xr3:uid="{C671D879-E29C-46B0-BBDC-CF0791FF18FC}" name="Part of Suffolk County Vote Results" totalsRowFunction="custom" dataDxfId="855" totalsRowDxfId="854">
      <totalsRowFormula>SUBTOTAL(109,StateSenatorSenateDistrict3General[Total Votes by Candidate])</totalsRowFormula>
    </tableColumn>
    <tableColumn id="3" xr3:uid="{6CC0C525-F3EA-4BDC-9BDF-0564602583EA}" name="Total Votes by Party" dataDxfId="853"/>
    <tableColumn id="2" xr3:uid="{6682A752-3D95-4654-927E-B58D06DFCA00}" name="Total Votes by Candidate" dataDxfId="852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2F0DE63B-C058-4A01-8E04-58562899E872}" name="StateSenatorSenateDistrict30General" displayName="StateSenatorSenateDistrict30General" ref="A2:D8" totalsRowCount="1" headerRowDxfId="533" dataDxfId="531" headerRowBorderDxfId="532" tableBorderDxfId="530" totalsRowBorderDxfId="529">
  <autoFilter ref="A2:D7" xr:uid="{CCCA2082-346E-4E28-81FE-E416EE035169}">
    <filterColumn colId="0" hiddenButton="1"/>
    <filterColumn colId="1" hiddenButton="1"/>
    <filterColumn colId="2" hiddenButton="1"/>
    <filterColumn colId="3" hiddenButton="1"/>
  </autoFilter>
  <tableColumns count="4">
    <tableColumn id="1" xr3:uid="{F528DD78-8E0B-4CC0-98EE-9E78A51D5B91}" name="Candidate Name (Party)" totalsRowLabel="Total Votes by County" dataDxfId="528" totalsRowDxfId="527"/>
    <tableColumn id="4" xr3:uid="{A04A1007-DF83-44DC-9FC8-35A77D90F729}" name="Part of New York County Vote Results" totalsRowFunction="custom" dataDxfId="526" totalsRowDxfId="525">
      <totalsRowFormula>SUBTOTAL(109,StateSenatorSenateDistrict30General[Total Votes by Candidate])</totalsRowFormula>
    </tableColumn>
    <tableColumn id="3" xr3:uid="{4CC4CCBB-17B9-4558-9148-E6BC2B90ED4E}" name="Total Votes by Party" totalsRowFunction="custom" dataDxfId="524" totalsRowDxfId="523">
      <calculatedColumnFormula>StateSenatorSenateDistrict30General[[#This Row],[Part of New York County Vote Results]]</calculatedColumnFormula>
      <totalsRowFormula>StateSenatorSenateDistrict28General[[#This Row],[Part of New York County Vote Results]]</totalsRowFormula>
    </tableColumn>
    <tableColumn id="2" xr3:uid="{81E6DED4-2202-4EF8-9835-00A30234F6A0}" name="Total Votes by Candidate" dataDxfId="522" totalsRowDxfId="521"/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CFFBF97E-721C-4DB8-81E1-1E73F3305097}" name="StateSenatorSenateDistrict31General" displayName="StateSenatorSenateDistrict31General" ref="A2:D11" totalsRowCount="1" headerRowDxfId="520" dataDxfId="518" headerRowBorderDxfId="519" tableBorderDxfId="517" totalsRowBorderDxfId="516">
  <autoFilter ref="A2:D10" xr:uid="{AC89B2AA-2F33-4C00-947B-3AC1042912D3}">
    <filterColumn colId="0" hiddenButton="1"/>
    <filterColumn colId="1" hiddenButton="1"/>
    <filterColumn colId="2" hiddenButton="1"/>
    <filterColumn colId="3" hiddenButton="1"/>
  </autoFilter>
  <tableColumns count="4">
    <tableColumn id="1" xr3:uid="{C2840809-0B09-474E-ABE6-7BDB5407BEEC}" name="Candidate Name (Party)" totalsRowLabel="Total Votes by County" dataDxfId="515" totalsRowDxfId="514"/>
    <tableColumn id="4" xr3:uid="{B1EF1435-B2E1-4837-8232-0536EEA8BBF1}" name="Part of New York County Vote Results" totalsRowFunction="custom" dataDxfId="513" totalsRowDxfId="512">
      <totalsRowFormula>SUBTOTAL(109,StateSenatorSenateDistrict31General[Total Votes by Candidate])</totalsRowFormula>
    </tableColumn>
    <tableColumn id="3" xr3:uid="{2C0DD2FB-F8C5-4CAF-8CF9-89D5FB7F0B19}" name="Total Votes by Party" dataDxfId="511">
      <calculatedColumnFormula>StateSenatorSenateDistrict31General[[#This Row],[Part of New York County Vote Results]]</calculatedColumnFormula>
    </tableColumn>
    <tableColumn id="2" xr3:uid="{CA1C42EF-F2BB-4198-A6FB-75B4F8D77CA7}" name="Total Votes by Candidate" dataDxfId="510"/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A0FDC0F-1ECD-48B0-AEC2-78EA6E3B5AC2}" name="StateSenatorSenateDistrict32General" displayName="StateSenatorSenateDistrict32General" ref="A2:D11" totalsRowCount="1" headerRowDxfId="509" dataDxfId="507" headerRowBorderDxfId="508" tableBorderDxfId="506" totalsRowBorderDxfId="505">
  <autoFilter ref="A2:D10" xr:uid="{66B45EA2-D6CB-4A17-AEE7-0AED9F515D9C}">
    <filterColumn colId="0" hiddenButton="1"/>
    <filterColumn colId="1" hiddenButton="1"/>
    <filterColumn colId="2" hiddenButton="1"/>
    <filterColumn colId="3" hiddenButton="1"/>
  </autoFilter>
  <tableColumns count="4">
    <tableColumn id="1" xr3:uid="{F19B2ED5-08B2-468B-8AD4-716BE9D7DC76}" name="Candidate Name (Party)" totalsRowLabel="Total Votes by County" dataDxfId="504" totalsRowDxfId="503"/>
    <tableColumn id="4" xr3:uid="{784DF38C-CBA5-44F2-937C-F914B324DE33}" name="Part of Bronx County Vote Results" totalsRowFunction="custom" dataDxfId="502" totalsRowDxfId="501">
      <totalsRowFormula>SUBTOTAL(109,StateSenatorSenateDistrict32General[Total Votes by Candidate])</totalsRowFormula>
    </tableColumn>
    <tableColumn id="3" xr3:uid="{2A3C0656-C662-49AD-B47F-C96D80A4C0DD}" name="Total Votes by Party" dataDxfId="500">
      <calculatedColumnFormula>StateSenatorSenateDistrict32General[[#This Row],[Part of Bronx County Vote Results]]</calculatedColumnFormula>
    </tableColumn>
    <tableColumn id="2" xr3:uid="{92A94245-74F7-4646-B71C-9EB8D4014AD6}" name="Total Votes by Candidate" dataDxfId="499"/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9" xr:uid="{86D04B67-DD1F-4B13-A711-EDE68035DF9C}" name="StateSenatorSenateDistrict33General" displayName="StateSenatorSenateDistrict33General" ref="A2:D10" totalsRowCount="1" headerRowDxfId="498" dataDxfId="496" headerRowBorderDxfId="497" tableBorderDxfId="495" totalsRowBorderDxfId="494">
  <autoFilter ref="A2:D9" xr:uid="{E03987BE-97E4-4885-9FB9-6ACFB481227A}">
    <filterColumn colId="0" hiddenButton="1"/>
    <filterColumn colId="1" hiddenButton="1"/>
    <filterColumn colId="2" hiddenButton="1"/>
    <filterColumn colId="3" hiddenButton="1"/>
  </autoFilter>
  <tableColumns count="4">
    <tableColumn id="1" xr3:uid="{9FEEAB08-7837-43C6-AEB4-0CAF6938AEA7}" name="Candidate Name (Party)" totalsRowLabel="Total Votes by County" dataDxfId="493" totalsRowDxfId="492"/>
    <tableColumn id="4" xr3:uid="{6FEC6351-D4FF-4EBB-9DF5-9BA722BB3D53}" name="Part of Bronx County Vote Results" totalsRowFunction="custom" dataDxfId="491" totalsRowDxfId="490">
      <totalsRowFormula>SUBTOTAL(109,StateSenatorSenateDistrict33General[Total Votes by Candidate])</totalsRowFormula>
    </tableColumn>
    <tableColumn id="3" xr3:uid="{A9588ADC-3539-472C-8BEC-E97A87067BB0}" name="Total Votes by Party" totalsRowFunction="custom" dataDxfId="489" totalsRowDxfId="488">
      <calculatedColumnFormula>StateSenatorSenateDistrict33General[[#This Row],[Part of Bronx County Vote Results]]</calculatedColumnFormula>
      <totalsRowFormula>StateSenatorSenateDistrict32General[[#This Row],[Part of Bronx County Vote Results]]</totalsRowFormula>
    </tableColumn>
    <tableColumn id="2" xr3:uid="{C44F68A2-C66E-4D65-BDD1-B091735254EB}" name="Total Votes by Candidate" dataDxfId="487" totalsRowDxfId="486"/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0" xr:uid="{46FE54D6-8E5A-4F2D-AE73-29E28DEAF028}" name="StateSenatorSenateDistrict34General" displayName="StateSenatorSenateDistrict34General" ref="A2:E11" totalsRowCount="1" headerRowDxfId="485" dataDxfId="483" headerRowBorderDxfId="484" tableBorderDxfId="482" totalsRowBorderDxfId="481">
  <autoFilter ref="A2:E10" xr:uid="{7160B362-E91B-4B57-9F7C-466B52FC771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B86591-FD6B-42F3-BC31-47B3DE235366}" name="Candidate Name (Party)" totalsRowLabel="Total Votes by County" dataDxfId="480" totalsRowDxfId="479"/>
    <tableColumn id="2" xr3:uid="{3B141CEF-CB9E-439D-A648-634F66A8F477}" name="Part of Bronx County Vote Results" totalsRowFunction="sum" dataDxfId="478" totalsRowDxfId="477"/>
    <tableColumn id="4" xr3:uid="{D8716D40-EB10-4835-A88B-9F662961DDE5}" name="Part of Westchester County Vote Results" totalsRowFunction="sum" dataDxfId="476" totalsRowDxfId="475"/>
    <tableColumn id="3" xr3:uid="{0639448B-8360-460F-9153-663D099EA138}" name="Total Votes by Party" dataDxfId="474">
      <calculatedColumnFormula>SUM(StateSenatorSenateDistrict34General[[#This Row],[Part of Bronx County Vote Results]:[Part of Westchester County Vote Results]])</calculatedColumnFormula>
    </tableColumn>
    <tableColumn id="5" xr3:uid="{5B43CF9D-0744-45DA-AD30-BC1517C63806}" name="Total Votes by Candidate" dataDxfId="473"/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1" xr:uid="{D3BDC20D-1387-47FC-B99E-08D7A4E04ECD}" name="StateSenatorSenateDistrict35General" displayName="StateSenatorSenateDistrict35General" ref="A2:D11" totalsRowCount="1" headerRowDxfId="472" dataDxfId="470" headerRowBorderDxfId="471" tableBorderDxfId="469" totalsRowBorderDxfId="468">
  <autoFilter ref="A2:D10" xr:uid="{2FE2021E-B3FC-4090-BFCF-0E5764AB8AE4}">
    <filterColumn colId="0" hiddenButton="1"/>
    <filterColumn colId="1" hiddenButton="1"/>
    <filterColumn colId="2" hiddenButton="1"/>
    <filterColumn colId="3" hiddenButton="1"/>
  </autoFilter>
  <tableColumns count="4">
    <tableColumn id="1" xr3:uid="{CC5F317C-4F11-4374-96F5-B336D7D00E73}" name="Candidate Name (Party)" totalsRowLabel="Total Votes by County" dataDxfId="467" totalsRowDxfId="466"/>
    <tableColumn id="4" xr3:uid="{67FF2FF3-DBF5-488C-971B-EB8E61C5790F}" name="Part of Westchester County Vote Results" totalsRowFunction="custom" dataDxfId="465" totalsRowDxfId="464">
      <totalsRowFormula>SUBTOTAL(109,StateSenatorSenateDistrict35General[Total Votes by Candidate])</totalsRowFormula>
    </tableColumn>
    <tableColumn id="3" xr3:uid="{E348A3EB-472C-4A68-9738-460147E09ABA}" name="Total Votes by Party" dataDxfId="463">
      <calculatedColumnFormula>StateSenatorSenateDistrict35General[[#This Row],[Part of Westchester County Vote Results]]</calculatedColumnFormula>
    </tableColumn>
    <tableColumn id="2" xr3:uid="{80331C9E-887F-447C-B816-007D189283D2}" name="Total Votes by Candidate" dataDxfId="462"/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2" xr:uid="{32FF5B61-D906-468D-97E7-F51545487C37}" name="StateSenatorSenateDistrict36General" displayName="StateSenatorSenateDistrict36General" ref="A2:E9" totalsRowCount="1" headerRowDxfId="461" dataDxfId="459" headerRowBorderDxfId="460" tableBorderDxfId="458" totalsRowBorderDxfId="457">
  <autoFilter ref="A2:E8" xr:uid="{2120EBA0-D9CB-4517-B699-FBA464EB0F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22466CA-F9FF-4C9D-BF2D-1FCABBB53A9E}" name="Candidate Name (Party)" totalsRowLabel="Total Votes by County" dataDxfId="456" totalsRowDxfId="455"/>
    <tableColumn id="2" xr3:uid="{95483D6D-E7DE-45CC-863A-3559F6634A7F}" name="Part of Bronx County Vote Results" totalsRowFunction="sum" dataDxfId="454" totalsRowDxfId="453"/>
    <tableColumn id="4" xr3:uid="{FF9D1F0F-7731-4F5C-A1FB-0B198C37B835}" name="Part of Westchester County Vote Results" totalsRowFunction="sum" dataDxfId="452" totalsRowDxfId="451"/>
    <tableColumn id="3" xr3:uid="{AFAE93E6-49C7-4796-8885-DC04356C0A0F}" name="Total Votes by Party" totalsRowFunction="custom" dataDxfId="450" totalsRowDxfId="449">
      <calculatedColumnFormula>SUM(StateSenatorSenateDistrict36General[[#This Row],[Part of Bronx County Vote Results]:[Part of Westchester County Vote Results]])</calculatedColumnFormula>
      <totalsRowFormula>StateSenatorSenateDistrict35General[[#This Row],[Part of Westchester County Vote Results]]</totalsRowFormula>
    </tableColumn>
    <tableColumn id="5" xr3:uid="{3A06EA30-72AE-4F51-976A-3989AC5F5EBF}" name="Total Votes by Candidate" dataDxfId="448" totalsRowDxfId="447"/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3" xr:uid="{A906211E-97C1-4CD9-A059-4B4825432605}" name="StateSenatorSenateDistrict37General" displayName="StateSenatorSenateDistrict37General" ref="A2:D10" totalsRowCount="1" headerRowDxfId="446" dataDxfId="444" headerRowBorderDxfId="445" tableBorderDxfId="443" totalsRowBorderDxfId="442">
  <autoFilter ref="A2:D9" xr:uid="{62B5EA22-6D1D-4FB8-A0B1-C8F214797620}">
    <filterColumn colId="0" hiddenButton="1"/>
    <filterColumn colId="1" hiddenButton="1"/>
    <filterColumn colId="2" hiddenButton="1"/>
    <filterColumn colId="3" hiddenButton="1"/>
  </autoFilter>
  <tableColumns count="4">
    <tableColumn id="1" xr3:uid="{F5842F7C-BC93-4D70-94E1-816558EEE702}" name="Candidate Name (Party)" totalsRowLabel="Total Votes by County" dataDxfId="441" totalsRowDxfId="440"/>
    <tableColumn id="4" xr3:uid="{3D79DBC5-A30F-4770-ACC2-1B68E1A2F457}" name="Part of Westchester County Vote Results" totalsRowFunction="custom" dataDxfId="439" totalsRowDxfId="438">
      <totalsRowFormula>SUBTOTAL(109,StateSenatorSenateDistrict37General[Total Votes by Candidate])</totalsRowFormula>
    </tableColumn>
    <tableColumn id="3" xr3:uid="{4E31EE23-C41B-49E3-8A91-809182843CCD}" name="Total Votes by Party" dataDxfId="437"/>
    <tableColumn id="2" xr3:uid="{C7186CF3-99B0-4321-909C-2DA7745CD681}" name="Total Votes by Candidate" dataDxfId="436">
      <calculatedColumnFormula>SUM(C3:C6)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4" xr:uid="{531F4AE2-27D5-4A71-A935-68A7A0A352EB}" name="StateSenatorSenateDistrict38General" displayName="StateSenatorSenateDistrict38General" ref="A2:E12" totalsRowCount="1" headerRowDxfId="435" dataDxfId="433" headerRowBorderDxfId="434" tableBorderDxfId="432" totalsRowBorderDxfId="431">
  <autoFilter ref="A2:E11" xr:uid="{76D11FBE-A745-483E-9F05-DF6DDFB6229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76FCDD1-88A7-4DB0-BFF4-9EEDEA78F66D}" name="Candidate Name (Party)" totalsRowLabel="Total Votes by County" dataDxfId="430" totalsRowDxfId="429"/>
    <tableColumn id="2" xr3:uid="{80B51E60-5B57-452C-AE64-EC64D6C14CDA}" name="Part of Rockland County Vote Results" totalsRowFunction="sum" dataDxfId="428" totalsRowDxfId="427"/>
    <tableColumn id="4" xr3:uid="{4D4FD794-7D5D-4F06-A3B0-7ED1EF42CC4B}" name="Part of Westchester County Vote Results" totalsRowFunction="sum" dataDxfId="426" totalsRowDxfId="425"/>
    <tableColumn id="3" xr3:uid="{C5DC5BD3-601F-4BE4-AFF3-242DF2E16A7E}" name="Total Votes by Party" dataDxfId="424">
      <calculatedColumnFormula>SUM(StateSenatorSenateDistrict38General[[#This Row],[Part of Rockland County Vote Results]:[Part of Westchester County Vote Results]])</calculatedColumnFormula>
    </tableColumn>
    <tableColumn id="5" xr3:uid="{05585993-33A2-473E-A0A2-9C85BB0470AF}" name="Total Votes by Candidate" dataDxfId="423"/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5" xr:uid="{BE0D731A-F632-4F4E-B862-E43E06E689B8}" name="StateSenatorSenateDistrict39General" displayName="StateSenatorSenateDistrict39General" ref="A2:F13" totalsRowCount="1" headerRowDxfId="422" dataDxfId="420" headerRowBorderDxfId="421" tableBorderDxfId="419" totalsRowBorderDxfId="418">
  <autoFilter ref="A2:F12" xr:uid="{DDBF1CEC-9D14-4D99-A05E-23225379C3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CE260B6-9F0D-48C9-9CF3-741A14FEE980}" name="Candidate Name (Party)" totalsRowLabel="Total Votes by County" dataDxfId="417" totalsRowDxfId="416"/>
    <tableColumn id="2" xr3:uid="{614A8E6B-9833-470D-8587-E840D19877E5}" name="Part of Orange County Vote Results" totalsRowFunction="sum" dataDxfId="415" totalsRowDxfId="414"/>
    <tableColumn id="3" xr3:uid="{617A27A9-D2B0-4EAE-ABA5-255D90B92570}" name="Part of Rockland County Vote Results" dataDxfId="413" totalsRowDxfId="412"/>
    <tableColumn id="4" xr3:uid="{BF5875B6-715D-47B5-815E-BE2F4DA9294F}" name="Part of Ulster County Vote Results" totalsRowFunction="sum" dataDxfId="411" totalsRowDxfId="410"/>
    <tableColumn id="6" xr3:uid="{55BE6566-8EFE-487E-A48D-EF8B58CABBF9}" name="Total Votes by Party" dataDxfId="409">
      <calculatedColumnFormula>SUM(StateSenatorSenateDistrict39General[[#This Row],[Part of Orange County Vote Results]:[Part of Ulster County Vote Results]])</calculatedColumnFormula>
    </tableColumn>
    <tableColumn id="5" xr3:uid="{C3B08987-1A47-4978-B7E0-C7D29601C1A2}" name="Total Votes by Candidate" dataDxfId="408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0" xr:uid="{5DA6239E-8BB3-4C22-897B-8598D74344FB}" name="StateSenatorSenateDistrict4General" displayName="StateSenatorSenateDistrict4General" ref="A2:D13" totalsRowCount="1" headerRowDxfId="851" dataDxfId="849" headerRowBorderDxfId="850" tableBorderDxfId="848" totalsRowBorderDxfId="847">
  <autoFilter ref="A2:D12" xr:uid="{C6AC5771-4768-43A8-97A4-F9B8EBA4FCE7}">
    <filterColumn colId="0" hiddenButton="1"/>
    <filterColumn colId="1" hiddenButton="1"/>
    <filterColumn colId="2" hiddenButton="1"/>
    <filterColumn colId="3" hiddenButton="1"/>
  </autoFilter>
  <tableColumns count="4">
    <tableColumn id="1" xr3:uid="{77AE50E4-79AF-406E-9C4A-865355E22289}" name="Candidate Name (Party)" totalsRowLabel="Total Votes by County" dataDxfId="846" totalsRowDxfId="845"/>
    <tableColumn id="4" xr3:uid="{CD55AAC6-39D7-45DC-BF23-299481EBD0E7}" name="Part of Suffolk County Vote Results" totalsRowFunction="custom" dataDxfId="844" totalsRowDxfId="843">
      <totalsRowFormula>SUBTOTAL(109,StateSenatorSenateDistrict4General[Total Votes by Candidate])</totalsRowFormula>
    </tableColumn>
    <tableColumn id="3" xr3:uid="{408B8A68-9B25-4451-B95C-5CA6FBB1652A}" name="Total Votes by Party" totalsRowFunction="custom" dataDxfId="842" totalsRowDxfId="841">
      <calculatedColumnFormula>StateSenatorSenateDistrict4General[[#This Row],[Part of Suffolk County Vote Results]]</calculatedColumnFormula>
      <totalsRowFormula>StateSenatorSenateDistrict3General[[#This Row],[Part of Suffolk County Vote Results]]</totalsRowFormula>
    </tableColumn>
    <tableColumn id="2" xr3:uid="{E183562C-0F8B-4BCF-AF09-2D10ABF25683}" name="Total Votes by Candidate" dataDxfId="840" totalsRowDxfId="839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7" xr:uid="{00BDC1CA-8EEE-4682-84F3-DB769FCBA443}" name="StateSenatorSenateDistrict40General" displayName="StateSenatorSenateDistrict40General" ref="A2:F13" totalsRowCount="1" headerRowDxfId="407" dataDxfId="405" headerRowBorderDxfId="406" tableBorderDxfId="404" totalsRowBorderDxfId="403">
  <autoFilter ref="A2:F12" xr:uid="{FAF896EA-0001-44EC-81FD-517FAFA42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95A3C49-C851-4CD0-B86D-41E6070285AF}" name="Candidate Name (Party)" totalsRowLabel="Total Votes by County" dataDxfId="402" totalsRowDxfId="401"/>
    <tableColumn id="2" xr3:uid="{BAC99E8A-836B-427F-BDF7-FB18D6B7D751}" name="Part of Dutchess County Vote Results" totalsRowFunction="sum" dataDxfId="400" totalsRowDxfId="399"/>
    <tableColumn id="3" xr3:uid="{41E3D645-FC3C-49EF-85B4-119616E4100A}" name="Part of Putnam County Vote Results" dataDxfId="398" totalsRowDxfId="397"/>
    <tableColumn id="4" xr3:uid="{1137FBF5-7A24-4723-B1C8-0064D9AC6B1A}" name="Part of Westchester County Vote Results" totalsRowFunction="sum" dataDxfId="396" totalsRowDxfId="395"/>
    <tableColumn id="6" xr3:uid="{7A18CDE3-1E6E-4512-968C-98705851F6DA}" name="Total Votes by Party" dataDxfId="394">
      <calculatedColumnFormula>SUM(StateSenatorSenateDistrict40General[[#This Row],[Part of Dutchess County Vote Results]:[Part of Westchester County Vote Results]])</calculatedColumnFormula>
    </tableColumn>
    <tableColumn id="5" xr3:uid="{334C5F9C-5177-4602-B3EC-451144AF0CC9}" name="Total Votes by Candidate" dataDxfId="393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8" xr:uid="{AC676C99-63D6-4348-A76F-37E7B24735CE}" name="StateSenatorSenateDistrict41General" displayName="StateSenatorSenateDistrict41General" ref="A2:E13" totalsRowCount="1" headerRowDxfId="392" dataDxfId="390" headerRowBorderDxfId="391" tableBorderDxfId="389" totalsRowBorderDxfId="388">
  <autoFilter ref="A2:E12" xr:uid="{30CCF245-9464-4C6A-A078-214F6F299B0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6DE5707-3E0C-4186-B473-98844A20DD80}" name="Candidate Name (Party)" totalsRowLabel="Total Votes by County" dataDxfId="387" totalsRowDxfId="386"/>
    <tableColumn id="2" xr3:uid="{B2A114CA-14D4-4626-B523-65AE4EFF829A}" name="Part of Dutchess County Vote Results" totalsRowFunction="sum" dataDxfId="385" totalsRowDxfId="384"/>
    <tableColumn id="4" xr3:uid="{BD095CE1-5F58-4DF8-A2D6-CDF917136C3B}" name="Part of Putnam County Vote Results" totalsRowFunction="sum" dataDxfId="383" totalsRowDxfId="382"/>
    <tableColumn id="3" xr3:uid="{BA630DAB-6F33-4072-9E66-99D72CBDD99D}" name="Total Votes by Party" dataDxfId="381">
      <calculatedColumnFormula>SUM(StateSenatorSenateDistrict41General[[#This Row],[Part of Dutchess County Vote Results]:[Part of Putnam County Vote Results]])</calculatedColumnFormula>
    </tableColumn>
    <tableColumn id="5" xr3:uid="{052FC13B-28D6-472B-B0F7-465D546031E0}" name="Total Votes by Candidate" dataDxfId="380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9" xr:uid="{7A4AE1D2-B5B1-498A-9569-EE4F8D01FCA5}" name="StateSenatorSenateDistrict42General" displayName="StateSenatorSenateDistrict42General" ref="A2:G13" totalsRowCount="1" headerRowDxfId="379" dataDxfId="377" headerRowBorderDxfId="378" tableBorderDxfId="376" totalsRowBorderDxfId="375">
  <autoFilter ref="A2:G12" xr:uid="{9CADA4D5-AD93-43D2-97C2-C1AEED7CF8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020B09B-908A-4264-8F66-5E5688D9ED6C}" name="Candidate Name (Party)" totalsRowLabel="Total Votes by County" dataDxfId="374" totalsRowDxfId="373"/>
    <tableColumn id="2" xr3:uid="{6E43AB97-BEC8-4844-8F2B-B3C4A0D8CC03}" name="Sullivan County Vote Results" totalsRowFunction="sum" dataDxfId="372" totalsRowDxfId="371"/>
    <tableColumn id="6" xr3:uid="{F9D59E5D-8533-4C60-B524-4A4C08222C93}" name="Part of Delaware County Vote Results" dataDxfId="370" totalsRowDxfId="369"/>
    <tableColumn id="3" xr3:uid="{41D4EAC7-F112-4EF0-B9E2-653206108C66}" name="Part of Orange County Vote Results" dataDxfId="368" totalsRowDxfId="367"/>
    <tableColumn id="4" xr3:uid="{A1E69A06-4038-428C-944E-D89E110AE3AC}" name="Part of Ulster County Vote Results" totalsRowFunction="sum" dataDxfId="366" totalsRowDxfId="365"/>
    <tableColumn id="7" xr3:uid="{60535B4A-1641-46C3-9CE3-CC2585730069}" name="Total Votes by Party" dataDxfId="364">
      <calculatedColumnFormula>SUM(StateSenatorSenateDistrict42General[[#This Row],[Sullivan County Vote Results]:[Part of Ulster County Vote Results]])</calculatedColumnFormula>
    </tableColumn>
    <tableColumn id="5" xr3:uid="{C7DE1502-8ED8-45D6-92B1-941566B89F64}" name="Total Votes by Candidate" dataDxfId="363"/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0" xr:uid="{5E53340D-BB54-469F-8267-5D743204725B}" name="StateSenatorSenateDistrict43General" displayName="StateSenatorSenateDistrict43General" ref="A2:G13" totalsRowCount="1" headerRowDxfId="362" dataDxfId="360" headerRowBorderDxfId="361" tableBorderDxfId="359" totalsRowBorderDxfId="358">
  <autoFilter ref="A2:G12" xr:uid="{8A98DF03-B6E6-4856-9390-45B54A5DCA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E07F7C8-554E-4B05-A4CB-C408A849D3FD}" name="Candidate Name (Party)" totalsRowLabel="Total Votes by County" dataDxfId="357" totalsRowDxfId="356"/>
    <tableColumn id="2" xr3:uid="{914948EF-2344-4771-B15D-B4C1B64153B6}" name="Columbia County Vote Results" totalsRowFunction="sum" dataDxfId="355" totalsRowDxfId="354"/>
    <tableColumn id="6" xr3:uid="{150151B4-84AD-4F5C-BDC0-93864F898D6A}" name="Part of Rensselaer County Vote Results" dataDxfId="353" totalsRowDxfId="352"/>
    <tableColumn id="3" xr3:uid="{B338C389-BF32-44C1-B36F-8A0E4A620786}" name="Part of Saratoga County Vote Results" dataDxfId="351" totalsRowDxfId="350"/>
    <tableColumn id="4" xr3:uid="{666B557F-2E00-438D-BF24-66CC27493B08}" name="Part of Washington County Vote Results" totalsRowFunction="sum" dataDxfId="349" totalsRowDxfId="348"/>
    <tableColumn id="7" xr3:uid="{9F6333CE-964F-4171-A1CC-9FB354C8F8BB}" name="Total Votes by Party" dataDxfId="347">
      <calculatedColumnFormula>SUM(StateSenatorSenateDistrict43General[[#This Row],[Columbia County Vote Results]:[Part of Washington County Vote Results]])</calculatedColumnFormula>
    </tableColumn>
    <tableColumn id="5" xr3:uid="{E70F85A0-9693-47AA-826F-476FDBF1B774}" name="Total Votes by Candidate" dataDxfId="346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1" xr:uid="{A2881752-54D6-4A1E-978A-F7AA934AB573}" name="StateSenatorSenateDistrict44General" displayName="StateSenatorSenateDistrict44General" ref="A2:E12" totalsRowCount="1" headerRowDxfId="345" dataDxfId="343" headerRowBorderDxfId="344" tableBorderDxfId="342" totalsRowBorderDxfId="341">
  <autoFilter ref="A2:E11" xr:uid="{143BF5E4-05B9-40FA-B925-7862A6C06E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D52DE95-D14A-4BCE-87F0-43DE643C2B3C}" name="Candidate Name (Party)" totalsRowLabel="Total Votes by County" dataDxfId="340" totalsRowDxfId="339"/>
    <tableColumn id="2" xr3:uid="{C5A09D23-9A37-4D39-854C-37E3A7CF5903}" name="Part of Albany County Vote Results" totalsRowFunction="sum" dataDxfId="338" totalsRowDxfId="337"/>
    <tableColumn id="4" xr3:uid="{61ABAF9C-CBF6-4900-89A1-989D5B2894CE}" name="Part of Rensselaer County Vote Results" totalsRowFunction="sum" dataDxfId="336" totalsRowDxfId="335"/>
    <tableColumn id="3" xr3:uid="{622A723C-6B7E-42AE-B054-2D8C4601F4E1}" name="Total Votes by Party" totalsRowFunction="custom" dataDxfId="334" totalsRowDxfId="333">
      <calculatedColumnFormula>SUM(StateSenatorSenateDistrict44General[[#This Row],[Part of Albany County Vote Results]:[Part of Rensselaer County Vote Results]])</calculatedColumnFormula>
      <totalsRowFormula>SUM(StateSenatorSenateDistrict43General[[#This Row],[Columbia County Vote Results]:[Part of Washington County Vote Results]])</totalsRowFormula>
    </tableColumn>
    <tableColumn id="5" xr3:uid="{E0C4FB78-1D10-4D2B-AD97-7E9602514AF4}" name="Total Votes by Candidate" dataDxfId="332" totalsRowDxfId="331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2" xr:uid="{B7D2649E-71B1-43B4-9DDF-C80A4A5EF39B}" name="StateSenatorSenateDistrict45General" displayName="StateSenatorSenateDistrict45General" ref="A2:I12" totalsRowCount="1" headerRowDxfId="330" dataDxfId="328" headerRowBorderDxfId="329" tableBorderDxfId="327" totalsRowBorderDxfId="326">
  <autoFilter ref="A2:I11" xr:uid="{77BEF245-421B-4116-930C-11876A274B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1AA374B-1EEF-4754-8BE9-48378BF72175}" name="Candidate Name (Party)" totalsRowLabel="Total Votes by County" dataDxfId="325" totalsRowDxfId="324"/>
    <tableColumn id="2" xr3:uid="{92B394E9-7914-41CC-9A11-3D7B6050D25C}" name="Clinton County Vote Results" totalsRowFunction="sum" dataDxfId="323" totalsRowDxfId="322"/>
    <tableColumn id="6" xr3:uid="{C8ED0ACF-8400-4AAD-BAF1-C091BF695085}" name="Essex County Vote Results" dataDxfId="321" totalsRowDxfId="320"/>
    <tableColumn id="8" xr3:uid="{16E4BF41-B3A5-4344-B956-C7B7E8A8F5A3}" name="Franklin County Vote Results" dataDxfId="319" totalsRowDxfId="318"/>
    <tableColumn id="7" xr3:uid="{8659C484-727E-4234-BF80-8F75731B8D7B}" name="Warren County Vote Results" dataDxfId="317" totalsRowDxfId="316"/>
    <tableColumn id="3" xr3:uid="{0BCF1CA0-D716-4661-A42F-3990D5335E12}" name="Part of St. Lawrence County Vote Results" dataDxfId="315" totalsRowDxfId="314"/>
    <tableColumn id="4" xr3:uid="{82AA9AE6-AE72-4B20-8987-1AE549E4DEA5}" name="Part of Washington County Vote Results" totalsRowFunction="sum" dataDxfId="313" totalsRowDxfId="312"/>
    <tableColumn id="9" xr3:uid="{1F2015F4-AA85-4609-A5E9-94B8115F5196}" name="Total Votes by Party" totalsRowFunction="custom" dataDxfId="311" totalsRowDxfId="310">
      <calculatedColumnFormula>SUM(StateSenatorSenateDistrict45General[[#This Row],[Clinton County Vote Results]:[Part of Washington County Vote Results]])</calculatedColumnFormula>
      <totalsRowFormula>SUM(StateSenatorSenateDistrict43General[[#This Row],[Columbia County Vote Results]:[Part of Washington County Vote Results]])</totalsRowFormula>
    </tableColumn>
    <tableColumn id="5" xr3:uid="{851BFC87-165B-4398-B98E-3F37410CA39D}" name="Total Votes by Candidate" dataDxfId="309" totalsRowDxfId="308"/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3" xr:uid="{5A9A98C1-9E45-4322-AEEB-3DD27C8E484A}" name="StateSenatorSenateDistrict46General" displayName="StateSenatorSenateDistrict46General" ref="A2:H13" totalsRowCount="1" headerRowDxfId="307" dataDxfId="305" headerRowBorderDxfId="306" tableBorderDxfId="304" totalsRowBorderDxfId="303">
  <autoFilter ref="A2:H12" xr:uid="{3D675DE8-9F3B-4D15-A9AC-A53B690048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823110-B3FD-4EBA-B877-40E394A69451}" name="Candidate Name (Party)" totalsRowLabel="Total Votes by County" dataDxfId="302" totalsRowDxfId="301"/>
    <tableColumn id="2" xr3:uid="{B12703C7-B4B9-4209-9DBF-35015CD53308}" name="Greene County Vote Results" totalsRowFunction="sum" dataDxfId="300" totalsRowDxfId="299"/>
    <tableColumn id="6" xr3:uid="{82805EA4-0F00-439C-B087-694D4A4EADAA}" name="Montgomery County Vote Results" dataDxfId="298" totalsRowDxfId="297"/>
    <tableColumn id="7" xr3:uid="{F6C77BE1-08FC-4152-8E69-1FC9AA2EF80D}" name="Part of Albany County Vote Results" dataDxfId="296" totalsRowDxfId="295"/>
    <tableColumn id="3" xr3:uid="{4D9D3544-D8EA-41FA-A022-3377A7DC65CE}" name="Part of Schenectady County Vote Results" dataDxfId="294" totalsRowDxfId="293"/>
    <tableColumn id="4" xr3:uid="{03D60C4F-0279-460D-9276-ECC9A22C8927}" name="Part of Ulster County Vote Results" totalsRowFunction="sum" dataDxfId="292" totalsRowDxfId="291"/>
    <tableColumn id="8" xr3:uid="{AD16157F-371A-43A1-8779-1549BB2BDBE7}" name="Total Votes by Party" dataDxfId="290">
      <calculatedColumnFormula>SUM(StateSenatorSenateDistrict46General[[#This Row],[Greene County Vote Results]:[Part of Ulster County Vote Results]])</calculatedColumnFormula>
    </tableColumn>
    <tableColumn id="5" xr3:uid="{49C9A80E-B308-4A46-B5D4-A599EAD37577}" name="Total Votes by Candidate" dataDxfId="289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4" xr:uid="{9D5E6B22-A737-476F-8A9E-C2EFBB9EA542}" name="StateSenatorSenateDistrict47General" displayName="StateSenatorSenateDistrict47General" ref="A2:F10" totalsRowCount="1" headerRowDxfId="288" dataDxfId="286" headerRowBorderDxfId="287" tableBorderDxfId="285" totalsRowBorderDxfId="284">
  <autoFilter ref="A2:F9" xr:uid="{F7EE7664-3FD9-4FBF-9F90-39F7212F44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2541A28-4DD6-4A26-81A8-3447556FB5A3}" name="Candidate Name (Party)" totalsRowLabel="Total Votes by County" dataDxfId="283" totalsRowDxfId="282"/>
    <tableColumn id="2" xr3:uid="{7AA29483-13C7-4008-8A4B-581B65187238}" name="Lewis County Vote Results" totalsRowFunction="sum" dataDxfId="281" totalsRowDxfId="280"/>
    <tableColumn id="3" xr3:uid="{0CBAD5B6-DDA4-438C-8D5F-967D9672BC8B}" name="Part of Oneida County Vote Results" dataDxfId="279" totalsRowDxfId="278"/>
    <tableColumn id="4" xr3:uid="{383B4255-C91E-4A69-B4CC-2B93F9218E09}" name="Part of St. Lawrence County Vote Results" totalsRowFunction="sum" dataDxfId="277" totalsRowDxfId="276"/>
    <tableColumn id="6" xr3:uid="{D7907E5C-E158-42D8-B487-9E08262D17E7}" name="Total Votes by Party" totalsRowFunction="custom" dataDxfId="275" totalsRowDxfId="274">
      <calculatedColumnFormula>SUM(StateSenatorSenateDistrict47General[[#This Row],[Lewis County Vote Results]:[Part of St. Lawrence County Vote Results]])</calculatedColumnFormula>
      <totalsRowFormula>SUM(StateSenatorSenateDistrict46General[[#This Row],[Greene County Vote Results]:[Part of Ulster County Vote Results]])</totalsRowFormula>
    </tableColumn>
    <tableColumn id="5" xr3:uid="{156F5B32-3C64-48D5-B5EA-6700AA5DF5EF}" name="Total Votes by Candidate" dataDxfId="273" totalsRowDxfId="272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5" xr:uid="{04470506-E426-4E13-9B3D-9B15D6D9D005}" name="StateSenatorSenateDistrict48General" displayName="StateSenatorSenateDistrict48General" ref="A2:F9" totalsRowCount="1" headerRowDxfId="271" dataDxfId="269" headerRowBorderDxfId="270" tableBorderDxfId="268" totalsRowBorderDxfId="267">
  <autoFilter ref="A2:F8" xr:uid="{6A6C6A5A-FFCC-4DC9-93DC-78D34A6956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744E97A-BD4E-4A46-82A5-9A6F1CD45F32}" name="Candidate Name (Party)" totalsRowLabel="Total Votes by County" dataDxfId="266" totalsRowDxfId="265"/>
    <tableColumn id="2" xr3:uid="{A36E8C7F-A651-4D9E-BF65-AEA0629A1D32}" name="Jefferson County Vote Results" totalsRowFunction="sum" dataDxfId="264" totalsRowDxfId="263"/>
    <tableColumn id="3" xr3:uid="{0930CDB6-C15A-475B-981A-91896F829B8D}" name="Oswego County Vote Results" dataDxfId="262" totalsRowDxfId="261"/>
    <tableColumn id="4" xr3:uid="{41FADCBE-6092-43B4-8878-E84E61899372}" name="Part of St. Lawrence County Vote Results" totalsRowFunction="sum" dataDxfId="260" totalsRowDxfId="259"/>
    <tableColumn id="6" xr3:uid="{BAE45BCD-AA4D-4818-B201-836838629A61}" name="Total Votes by Party" totalsRowFunction="custom" dataDxfId="258" totalsRowDxfId="257">
      <calculatedColumnFormula>SUM(StateSenatorSenateDistrict48General[[#This Row],[Jefferson County Vote Results]:[Part of St. Lawrence County Vote Results]])</calculatedColumnFormula>
      <totalsRowFormula>SUM(StateSenatorSenateDistrict47General[[#This Row],[Lewis County Vote Results]:[Part of St. Lawrence County Vote Results]])</totalsRowFormula>
    </tableColumn>
    <tableColumn id="5" xr3:uid="{277AB71B-9DC9-4E1B-B05F-1387E81F2466}" name="Total Votes by Candidate" dataDxfId="256" totalsRowDxfId="255"/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6" xr:uid="{93D4D72E-1F27-43A1-8F3D-5135884E0F70}" name="StateSenatorSenateDistrict49General" displayName="StateSenatorSenateDistrict49General" ref="A2:H13" totalsRowCount="1" headerRowDxfId="254" dataDxfId="252" headerRowBorderDxfId="253" tableBorderDxfId="251" totalsRowBorderDxfId="250">
  <autoFilter ref="A2:H12" xr:uid="{AAFD0050-A9FD-43DD-B611-087E1B9A4D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44BBA49-E916-4043-8042-EE32045FB1BF}" name="Candidate Name (Party)" totalsRowLabel="Total Votes by County" dataDxfId="249" totalsRowDxfId="248"/>
    <tableColumn id="2" xr3:uid="{95D49EB8-5E20-4307-8FC4-572E960337FF}" name="Fulton County Vote Results" totalsRowFunction="sum" dataDxfId="247" totalsRowDxfId="246"/>
    <tableColumn id="6" xr3:uid="{7F02A338-A4F0-4627-9389-D7AFCA2A8F3E}" name="Hamilton County Vote Results" dataDxfId="245" totalsRowDxfId="244"/>
    <tableColumn id="7" xr3:uid="{9437DC98-70CC-4FFA-B5C0-3B15F8525EC0}" name="Part of Herkimer County Vote Results" dataDxfId="243" totalsRowDxfId="242"/>
    <tableColumn id="3" xr3:uid="{69399258-41B6-4771-B325-2F13D5F8F74E}" name="Part of Saratoga County Vote Results" dataDxfId="241" totalsRowDxfId="240"/>
    <tableColumn id="4" xr3:uid="{296CEAEB-9064-48CE-A883-DF29E29D99A4}" name="Part of Schenectady County Vote Results" totalsRowFunction="sum" dataDxfId="239" totalsRowDxfId="238"/>
    <tableColumn id="8" xr3:uid="{13F79527-0BDB-4BD3-84FE-E4F257BDD91D}" name="Total Votes by Party" dataDxfId="237">
      <calculatedColumnFormula>SUM(StateSenatorSenateDistrict49General[[#This Row],[Fulton County Vote Results]:[Part of Schenectady County Vote Results]])</calculatedColumnFormula>
    </tableColumn>
    <tableColumn id="5" xr3:uid="{DD782F11-EAA2-4059-B2F9-A0800DCFA7C0}" name="Total Votes by Candidate" dataDxfId="236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1" xr:uid="{1A683790-F1DF-48C5-8BEA-0F224F0A6180}" name="StateSenatorSenateDistrict5General" displayName="StateSenatorSenateDistrict5General" ref="A2:E13" totalsRowCount="1" headerRowDxfId="838" dataDxfId="836" headerRowBorderDxfId="837" tableBorderDxfId="835" totalsRowBorderDxfId="834">
  <autoFilter ref="A2:E12" xr:uid="{EB34AB7F-1D7F-4375-A829-3AB182F979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A3382F2-3A8A-4A6C-9804-7C24265C6ECC}" name="Candidate Name (Party)" totalsRowLabel="Total Votes by County" dataDxfId="833" totalsRowDxfId="832"/>
    <tableColumn id="2" xr3:uid="{0458C64C-8C2F-4E58-974B-298E100F136A}" name="Part of Nassau County Vote Results" totalsRowFunction="sum" dataDxfId="831" totalsRowDxfId="830"/>
    <tableColumn id="4" xr3:uid="{A26B8FA2-C658-4FE0-A019-38821A27EB0A}" name="Part of Suffolk County Vote Results" totalsRowFunction="sum" dataDxfId="829" totalsRowDxfId="828"/>
    <tableColumn id="3" xr3:uid="{5F0E59D5-C90E-4400-A087-DD8A6023F6E7}" name="Total Votes by Party" dataDxfId="827">
      <calculatedColumnFormula>SUM(StateSenatorSenateDistrict5General[[#This Row],[Part of Nassau County Vote Results]:[Part of Suffolk County Vote Results]])</calculatedColumnFormula>
    </tableColumn>
    <tableColumn id="5" xr3:uid="{04207B01-E9FA-4F9C-B285-DD3DCBC2AAF1}" name="Total Votes by Candidate" dataDxfId="826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7" xr:uid="{89F90177-89C4-4FC1-A1AB-AE424F83C5DB}" name="StateSenatorSenateDistrict50General" displayName="StateSenatorSenateDistrict50General" ref="A2:E13" totalsRowCount="1" headerRowDxfId="235" dataDxfId="233" headerRowBorderDxfId="234" tableBorderDxfId="232" totalsRowBorderDxfId="231">
  <autoFilter ref="A2:E12" xr:uid="{551E6344-DD66-4065-BCD7-D232EA26824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2D687CE-6520-4658-B0D8-704E9CE52A2E}" name="Candidate Name (Party)" totalsRowLabel="Total Votes by County" dataDxfId="230" totalsRowDxfId="229"/>
    <tableColumn id="2" xr3:uid="{BD8851B3-7063-494C-992D-9BFFCD216439}" name="Part of Cayuga County Vote Results" totalsRowFunction="sum" dataDxfId="228" totalsRowDxfId="227"/>
    <tableColumn id="4" xr3:uid="{0CDA508C-B820-4714-8513-1251492F168F}" name="Part of Onondaga County Vote Results" totalsRowFunction="sum" dataDxfId="226" totalsRowDxfId="225"/>
    <tableColumn id="3" xr3:uid="{F97FD538-E04E-44D6-B4C1-267956767AA8}" name="Total Votes by Party" dataDxfId="224">
      <calculatedColumnFormula>SUM(StateSenatorSenateDistrict50General[[#This Row],[Part of Cayuga County Vote Results]:[Part of Onondaga County Vote Results]])</calculatedColumnFormula>
    </tableColumn>
    <tableColumn id="5" xr3:uid="{B8B5FFBC-D899-4562-82FC-C7D9E5ABE7DD}" name="Total Votes by Candidate" dataDxfId="223"/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8" xr:uid="{4963DC9F-09F7-4036-9B0F-713854D214C8}" name="StateSenatorSenateDistrict51General" displayName="StateSenatorSenateDistrict51General" ref="A2:L12" totalsRowCount="1" headerRowDxfId="222" dataDxfId="220" headerRowBorderDxfId="221" tableBorderDxfId="219" totalsRowBorderDxfId="218">
  <autoFilter ref="A2:L11" xr:uid="{2231ECA1-A582-4522-8F58-66E619336A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2648CAA-8AE9-43F6-9790-EDA2FB039EB7}" name="Candidate Name (Party)" totalsRowLabel="Total Votes by County" dataDxfId="217" totalsRowDxfId="216"/>
    <tableColumn id="2" xr3:uid="{9B326E83-DB1E-4C10-8E19-3C494D0E44CA}" name="Cortland County Vote Results" totalsRowFunction="sum" dataDxfId="215" totalsRowDxfId="214"/>
    <tableColumn id="6" xr3:uid="{C00C07E0-B059-4AF2-9AAA-F90C01DD54FD}" name="Otsego County Vote Results" dataDxfId="213" totalsRowDxfId="212"/>
    <tableColumn id="12" xr3:uid="{203C75EB-D1EE-48BC-994E-C8984567385F}" name="Schoharie County Vote Results" dataDxfId="211" totalsRowDxfId="210"/>
    <tableColumn id="11" xr3:uid="{11DAFBFE-6375-4B99-8737-B9D96B7C161C}" name="Part of Cayuga County Vote Results" dataDxfId="209" totalsRowDxfId="208"/>
    <tableColumn id="10" xr3:uid="{E3E892D4-92DC-4AAC-8409-5DDD45CFF1BD}" name="Part of Chenango County Vote Results" dataDxfId="207" totalsRowDxfId="206"/>
    <tableColumn id="9" xr3:uid="{66B71BC3-D424-4616-B42D-78948F888BEF}" name="Part of Delaware County Vote Results" dataDxfId="205" totalsRowDxfId="204"/>
    <tableColumn id="7" xr3:uid="{6436F7E8-24EC-41E3-98F7-3C78D8DDCD17}" name="Part of Herkimer County Vote Results" dataDxfId="203" totalsRowDxfId="202"/>
    <tableColumn id="3" xr3:uid="{DEFC5191-588D-46AF-BF8E-771F52AED643}" name="Part of Tompkins County Vote Results" dataDxfId="201" totalsRowDxfId="200"/>
    <tableColumn id="4" xr3:uid="{BFD55B3B-2998-4C56-B897-080EED636B15}" name="Part of Ulster County Vote Results" totalsRowFunction="sum" dataDxfId="199" totalsRowDxfId="198"/>
    <tableColumn id="8" xr3:uid="{B590FE66-ECB2-4EEF-93A7-24EED30D4139}" name="Total Votes by Party" totalsRowFunction="custom" dataDxfId="197" totalsRowDxfId="196">
      <calculatedColumnFormula>SUM(StateSenatorSenateDistrict51General[[#This Row],[Cortland County Vote Results]:[Part of Ulster County Vote Results]])</calculatedColumnFormula>
      <totalsRowFormula>SUM(StateSenatorSenateDistrict50General[[#This Row],[Part of Cayuga County Vote Results]:[Part of Onondaga County Vote Results]])</totalsRowFormula>
    </tableColumn>
    <tableColumn id="5" xr3:uid="{4850604D-CD90-4CE3-81D8-883CADFE0CF7}" name="Total Votes by Candidate" dataDxfId="195" totalsRowDxfId="194"/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9" xr:uid="{FFF25DDA-72E6-41FD-92B8-DDC23872181A}" name="StateSenatorSenateDistrict52General" displayName="StateSenatorSenateDistrict52General" ref="A2:G10" totalsRowCount="1" headerRowDxfId="193" dataDxfId="191" headerRowBorderDxfId="192" tableBorderDxfId="190" totalsRowBorderDxfId="189">
  <autoFilter ref="A2:G9" xr:uid="{97BBF5E9-9936-42E5-9F11-ABDEE8F3C8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277E028-0E9C-4A93-9E68-149DF353FB32}" name="Candidate Name (Party)" totalsRowLabel="Total Votes by County" dataDxfId="188" totalsRowDxfId="187"/>
    <tableColumn id="2" xr3:uid="{51C986C5-9735-4962-84FD-700682085D89}" name="Broome County Vote Results" totalsRowFunction="sum" dataDxfId="186" totalsRowDxfId="185"/>
    <tableColumn id="6" xr3:uid="{D3F6E5AC-3126-48A4-B3AE-A600280112FE}" name="Tioga County Vote Results" dataDxfId="184" totalsRowDxfId="183"/>
    <tableColumn id="3" xr3:uid="{F6DBD8CE-EB9A-41E9-B28B-EA2A33ABFDB8}" name="Part of Chenango County Vote Results" dataDxfId="182" totalsRowDxfId="181"/>
    <tableColumn id="4" xr3:uid="{BB58A3A3-3C74-4699-B319-E45CEFC24176}" name="Part of Delaware County Vote Results" totalsRowFunction="sum" dataDxfId="180" totalsRowDxfId="179"/>
    <tableColumn id="7" xr3:uid="{D2B2FB9A-4EED-4D75-8A60-9899BEB97B9D}" name="Total Votes by Party" totalsRowFunction="custom" dataDxfId="178" totalsRowDxfId="177">
      <calculatedColumnFormula>SUM(StateSenatorSenateDistrict52General[[#This Row],[Broome County Vote Results]:[Part of Delaware County Vote Results]])</calculatedColumnFormula>
      <totalsRowFormula>SUM(StateSenatorSenateDistrict49General[[#This Row],[Fulton County Vote Results]:[Part of Schenectady County Vote Results]])</totalsRowFormula>
    </tableColumn>
    <tableColumn id="5" xr3:uid="{40100E80-6E1B-4B23-9EEB-77655D0A8005}" name="Total Votes by Candidate" dataDxfId="176" totalsRowDxfId="175"/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0" xr:uid="{A9B595E1-5E7C-4B5C-AB19-F5C189CC4240}" name="StateSenatorSenateDistrict53General" displayName="StateSenatorSenateDistrict53General" ref="A2:F12" totalsRowCount="1" headerRowDxfId="174" dataDxfId="172" headerRowBorderDxfId="173" tableBorderDxfId="171" totalsRowBorderDxfId="170">
  <autoFilter ref="A2:F11" xr:uid="{93AF2475-4333-4CF8-9AA7-E01BBA2EA2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621F967-792F-4D4F-8980-9952E4F0F7C7}" name="Candidate Name (Party)" totalsRowLabel="Total Votes by County" dataDxfId="169" totalsRowDxfId="168"/>
    <tableColumn id="2" xr3:uid="{C492E248-D267-4115-9786-7CE8AC64A5A3}" name="Madison County Vote Results" totalsRowFunction="sum" dataDxfId="167" totalsRowDxfId="166"/>
    <tableColumn id="3" xr3:uid="{C90DF988-DE6C-431E-9D16-918CB6821AEB}" name="Part of Oneida County Vote Results" dataDxfId="165" totalsRowDxfId="164"/>
    <tableColumn id="4" xr3:uid="{89C8D545-F594-451A-85EF-8EDC7E0112BF}" name="Part of Onondaga County Vote Results" totalsRowFunction="sum" dataDxfId="163" totalsRowDxfId="162"/>
    <tableColumn id="6" xr3:uid="{974D0863-B263-4A7E-9F67-8E88BF15E12E}" name="Total Votes by Party" dataDxfId="161">
      <calculatedColumnFormula>SUM(StateSenatorSenateDistrict53General[[#This Row],[Madison County Vote Results]:[Part of Onondaga County Vote Results]])</calculatedColumnFormula>
    </tableColumn>
    <tableColumn id="5" xr3:uid="{2604A564-62D0-4B63-BEE9-92C3479A87AD}" name="Total Votes by Candidate" dataDxfId="160"/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1" xr:uid="{A88C2B1F-8706-45A6-9BAA-4A9C5EB3B092}" name="StateSenatorSenateDistrict54General" displayName="StateSenatorSenateDistrict54General" ref="A2:I13" totalsRowCount="1" headerRowDxfId="159" dataDxfId="157" headerRowBorderDxfId="158" tableBorderDxfId="156" totalsRowBorderDxfId="155">
  <autoFilter ref="A2:I12" xr:uid="{66B88628-165F-4A8E-98A1-75A20C4253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0D9E02F-ED10-4B47-8AAD-9EF5FF55906C}" name="Candidate Name (Party)" totalsRowLabel="Total Votes by County" dataDxfId="154" totalsRowDxfId="153"/>
    <tableColumn id="2" xr3:uid="{8C03D6D2-2AF6-4CA9-9018-1F176D478182}" name="Seneca County Vote Results" totalsRowFunction="sum" dataDxfId="152" totalsRowDxfId="151"/>
    <tableColumn id="6" xr3:uid="{419CBE4E-CC0D-4EC2-BC49-4DD65B2798E2}" name="Wayne County Vote Results" dataDxfId="150" totalsRowDxfId="149"/>
    <tableColumn id="10" xr3:uid="{23EA2898-F3C3-402F-80BD-E1B34DE97443}" name="Part of Cayuga County Vote Results" dataDxfId="148" totalsRowDxfId="147"/>
    <tableColumn id="9" xr3:uid="{89899117-BB11-4AA0-A632-E0AC0A52AA47}" name="Part of Monroe County Vote Results" dataDxfId="146" totalsRowDxfId="145"/>
    <tableColumn id="3" xr3:uid="{6FE869CE-0216-48B4-BA74-50A06B880CDC}" name="Part of Ontario County Vote Results" dataDxfId="144" totalsRowDxfId="143"/>
    <tableColumn id="4" xr3:uid="{4791DA94-73E8-455B-B539-9D57E94877B3}" name="Part of Tompkins County Vote Results" totalsRowFunction="sum" dataDxfId="142" totalsRowDxfId="141"/>
    <tableColumn id="7" xr3:uid="{C1620DCD-4688-4A4E-940A-F376CBEEF999}" name="Total Votes by Party" dataDxfId="140">
      <calculatedColumnFormula>SUM(StateSenatorSenateDistrict54General[[#This Row],[Seneca County Vote Results]:[Part of Tompkins County Vote Results]])</calculatedColumnFormula>
    </tableColumn>
    <tableColumn id="5" xr3:uid="{52F3F2DF-A5B6-4A82-97A2-DB16CD74A779}" name="Total Votes by Candidate" dataDxfId="139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2" xr:uid="{F890C894-FDF5-4930-9800-06CAEEB26EB3}" name="StateSenatorSenateDistrict55General" displayName="StateSenatorSenateDistrict55General" ref="A2:E11" totalsRowCount="1" headerRowDxfId="138" dataDxfId="136" headerRowBorderDxfId="137" tableBorderDxfId="135" totalsRowBorderDxfId="134">
  <autoFilter ref="A2:E10" xr:uid="{B2AE2A49-3BE3-4155-95DB-5C66CB3250C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24DEEC0-ECA2-497C-A64D-AB66686D080A}" name="Candidate Name (Party)" totalsRowLabel="Total Votes by County" dataDxfId="133" totalsRowDxfId="132"/>
    <tableColumn id="2" xr3:uid="{D61BA1EB-4BA6-40D1-94FB-02596535C3D5}" name="Part of Monroe County Vote Results" totalsRowFunction="sum" dataDxfId="131" totalsRowDxfId="130"/>
    <tableColumn id="4" xr3:uid="{CD1970C3-E7B0-41E8-ABDC-F75D6352C49D}" name="Part of Ontario County Vote Results" totalsRowFunction="sum" dataDxfId="129" totalsRowDxfId="128"/>
    <tableColumn id="3" xr3:uid="{D88C0F4E-B32B-469C-9183-DF06EE21F4C1}" name="Total Votes by Party" totalsRowFunction="custom" dataDxfId="127" totalsRowDxfId="126">
      <calculatedColumnFormula>SUM(StateSenatorSenateDistrict55General[[#This Row],[Part of Monroe County Vote Results]:[Part of Ontario County Vote Results]])</calculatedColumnFormula>
      <totalsRowFormula>SUM(StateSenatorSenateDistrict54General[[#This Row],[Seneca County Vote Results]:[Part of Tompkins County Vote Results]])</totalsRowFormula>
    </tableColumn>
    <tableColumn id="5" xr3:uid="{48F5170B-1B72-43BE-957A-9E6A6E51C02B}" name="Total Votes by Candidate" dataDxfId="125" totalsRowDxfId="124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3" xr:uid="{06DADC8B-F728-4E7A-A703-895D004E8F27}" name="StateSenatorSenateDistrict56General" displayName="StateSenatorSenateDistrict56General" ref="A2:D13" totalsRowCount="1" headerRowDxfId="123" dataDxfId="121" headerRowBorderDxfId="122" tableBorderDxfId="120" totalsRowBorderDxfId="119">
  <autoFilter ref="A2:D12" xr:uid="{67E25BD0-DCBD-4710-9F1E-1A66ED19EEA6}">
    <filterColumn colId="0" hiddenButton="1"/>
    <filterColumn colId="1" hiddenButton="1"/>
    <filterColumn colId="2" hiddenButton="1"/>
    <filterColumn colId="3" hiddenButton="1"/>
  </autoFilter>
  <tableColumns count="4">
    <tableColumn id="1" xr3:uid="{69C6176E-B797-4B30-8BBA-F6428D439693}" name="Candidate Name (Party)" totalsRowLabel="Total Votes by County" dataDxfId="118" totalsRowDxfId="117"/>
    <tableColumn id="4" xr3:uid="{D14B2B26-078C-411C-B4AF-B84DAE367389}" name="Part of Monroe County Vote Results" totalsRowFunction="custom" dataDxfId="116" totalsRowDxfId="115">
      <totalsRowFormula>SUBTOTAL(109,StateSenatorSenateDistrict56General[Total Votes by Candidate])</totalsRowFormula>
    </tableColumn>
    <tableColumn id="3" xr3:uid="{E19A5967-F85C-4BC1-BD03-B57241EF1D49}" name="Total Votes by Party" dataDxfId="114">
      <calculatedColumnFormula>StateSenatorSenateDistrict56General[[#This Row],[Part of Monroe County Vote Results]]</calculatedColumnFormula>
    </tableColumn>
    <tableColumn id="2" xr3:uid="{259CDBBD-1824-4170-ACE1-FBB88183A8BD}" name="Total Votes by Candidate" dataDxfId="113"/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4" xr:uid="{0DADCF41-2300-4DB0-AF6C-95D2C2F6CD75}" name="StateSenatorSenateDistrict57General" displayName="StateSenatorSenateDistrict57General" ref="A2:G10" totalsRowCount="1" headerRowDxfId="112" dataDxfId="110" headerRowBorderDxfId="111" tableBorderDxfId="109" totalsRowBorderDxfId="108">
  <autoFilter ref="A2:G9" xr:uid="{32882166-3D13-45FC-9A3B-3C8BE0B4C5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513E72F-1CAD-4F13-9017-1CF90AB0D62A}" name="Candidate Name (Party)" totalsRowLabel="Total Votes by County" dataDxfId="107" totalsRowDxfId="106"/>
    <tableColumn id="2" xr3:uid="{21862EED-F313-4CBB-9C3A-AC038F6E081F}" name="Allegany County Vote Results" totalsRowFunction="sum" dataDxfId="105" totalsRowDxfId="104"/>
    <tableColumn id="6" xr3:uid="{47846C02-ACA8-4C96-8927-29D71AE4EDA0}" name="Cattaraugus County Vote Results" dataDxfId="103" totalsRowDxfId="102"/>
    <tableColumn id="10" xr3:uid="{3833DC9C-C5A6-4EF5-B52B-D286CB95B71A}" name="Chautauqua County Vote Results" dataDxfId="101" totalsRowDxfId="100"/>
    <tableColumn id="4" xr3:uid="{795B7F67-A44E-4E13-BF20-FC08D4E7715A}" name="Part of Livingston County Vote Results" totalsRowFunction="sum" dataDxfId="99" totalsRowDxfId="98"/>
    <tableColumn id="3" xr3:uid="{03AEB0B5-92A7-4AC7-A52E-92B71217C149}" name="Total Votes by Party" totalsRowFunction="custom" dataDxfId="97" totalsRowDxfId="96">
      <calculatedColumnFormula>SUM(StateSenatorSenateDistrict57General[[#This Row],[Allegany County Vote Results]:[Part of Livingston County Vote Results]])</calculatedColumnFormula>
      <totalsRowFormula>StateSenatorSenateDistrict56General[[#This Row],[Part of Monroe County Vote Results]]</totalsRowFormula>
    </tableColumn>
    <tableColumn id="5" xr3:uid="{ACD29AFA-58F0-46F2-BE42-6358EE037447}" name="Total Votes by Candidate" dataDxfId="95" totalsRowDxfId="94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5" xr:uid="{6202029A-A2C5-4903-9A62-F816CE54A279}" name="StateSenatorSenateDistrict58General" displayName="StateSenatorSenateDistrict58General" ref="A2:H12" totalsRowCount="1" headerRowDxfId="93" dataDxfId="91" headerRowBorderDxfId="92" tableBorderDxfId="90" totalsRowBorderDxfId="89">
  <autoFilter ref="A2:H11" xr:uid="{0F2EF0C2-407C-425B-B319-2DE1E78852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96E7530-1138-4A4C-BA21-F5B3BF90EC75}" name="Candidate Name (Party)" totalsRowLabel="Total Votes by County" dataDxfId="88" totalsRowDxfId="87"/>
    <tableColumn id="2" xr3:uid="{CC3626E7-84C5-41B2-9F26-06AF8FD32A32}" name="Chemung County Vote Results" totalsRowFunction="sum" dataDxfId="86" totalsRowDxfId="85"/>
    <tableColumn id="6" xr3:uid="{2C4F07DC-1A70-4209-B21B-990484D6D4F4}" name="Schuyler County Vote Results" dataDxfId="84" totalsRowDxfId="83"/>
    <tableColumn id="9" xr3:uid="{AE3E6326-8899-41BD-88B8-387A1EBC4278}" name="Steuben County Vote Results" dataDxfId="82" totalsRowDxfId="81"/>
    <tableColumn id="3" xr3:uid="{D8D4CD71-ABB5-4729-8D32-307747C948D7}" name="Yates County Vote Results" dataDxfId="80" totalsRowDxfId="79"/>
    <tableColumn id="4" xr3:uid="{6908A01A-30E5-4114-874B-361652AE2E3C}" name="Part of Tompkins County Vote Results" totalsRowFunction="sum" dataDxfId="78" totalsRowDxfId="77"/>
    <tableColumn id="7" xr3:uid="{521B7142-0FE4-42E0-9398-2BAC015623DB}" name="Total Votes by Party" dataDxfId="76">
      <calculatedColumnFormula>SUM(StateSenatorSenateDistrict58General[[#This Row],[Chemung County Vote Results]:[Part of Tompkins County Vote Results]])</calculatedColumnFormula>
    </tableColumn>
    <tableColumn id="5" xr3:uid="{6F623C62-CDB1-4F97-AFEB-45A112EFBB7A}" name="Total Votes by Candidate" dataDxfId="75"/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6" xr:uid="{D585AB45-4867-4A59-9F40-CA90478B4EEF}" name="StateSenatorSenateDistrict59General" displayName="StateSenatorSenateDistrict59General" ref="A2:G10" totalsRowCount="1" headerRowDxfId="74" dataDxfId="72" headerRowBorderDxfId="73" tableBorderDxfId="71" totalsRowBorderDxfId="70">
  <autoFilter ref="A2:G9" xr:uid="{5A837237-3F93-4C1E-BC67-ACAD0D1021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D563676-8E72-4DD4-BCDF-8691E239DFA6}" name="Candidate Name (Party)" totalsRowLabel="Total Votes by County" dataDxfId="69" totalsRowDxfId="68"/>
    <tableColumn id="2" xr3:uid="{E8A9D0C8-D843-41B3-B675-525C80FE69CF}" name="Wyoming County Vote Results" totalsRowFunction="sum" dataDxfId="67" totalsRowDxfId="66"/>
    <tableColumn id="6" xr3:uid="{8F0A107A-8C67-43E5-B34F-2BDB859D94D3}" name="Part of Erie County Vote Results" dataDxfId="65" totalsRowDxfId="64"/>
    <tableColumn id="10" xr3:uid="{02D432AB-F9B2-4F84-A436-2F03E5C7CF5A}" name="Part of Livingston County Vote Results" dataDxfId="63" totalsRowDxfId="62"/>
    <tableColumn id="4" xr3:uid="{7AB59877-DC12-4097-8732-97F00ADFDEFF}" name="Part of Monroe County Vote Results" totalsRowFunction="sum" dataDxfId="61" totalsRowDxfId="60"/>
    <tableColumn id="3" xr3:uid="{159EEBEE-BC0D-4D0F-A359-C076CD9DD3BC}" name="Total Votes by Party" totalsRowFunction="custom" dataDxfId="59" totalsRowDxfId="58">
      <calculatedColumnFormula>SUM(StateSenatorSenateDistrict59General[[#This Row],[Wyoming County Vote Results]:[Part of Monroe County Vote Results]])</calculatedColumnFormula>
      <totalsRowFormula>SUM(StateSenatorSenateDistrict58General[[#This Row],[Chemung County Vote Results]:[Part of Tompkins County Vote Results]])</totalsRowFormula>
    </tableColumn>
    <tableColumn id="5" xr3:uid="{6E4DB5A0-D3FD-43E6-B6DC-364B66AD1A47}" name="Total Votes by Candidate" dataDxfId="57" totalsRowDxfId="5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14B6D34D-E335-4391-9E4D-7CBA0DF84EEC}" name="StateSenatorSenateDistrict6General" displayName="StateSenatorSenateDistrict6General" ref="A2:D13" totalsRowCount="1" headerRowDxfId="825" dataDxfId="823" headerRowBorderDxfId="824" tableBorderDxfId="822" totalsRowBorderDxfId="821">
  <autoFilter ref="A2:D12" xr:uid="{0E535243-4216-4E18-AC3D-5955FEAC22E7}">
    <filterColumn colId="0" hiddenButton="1"/>
    <filterColumn colId="1" hiddenButton="1"/>
    <filterColumn colId="2" hiddenButton="1"/>
    <filterColumn colId="3" hiddenButton="1"/>
  </autoFilter>
  <tableColumns count="4">
    <tableColumn id="1" xr3:uid="{C28AE0A0-F1EC-46D6-8B71-9882AD4EDD04}" name="Candidate Name (Party)" totalsRowLabel="Total Votes by County" dataDxfId="820" totalsRowDxfId="819"/>
    <tableColumn id="4" xr3:uid="{08908D80-3A3E-49EA-A608-D3EF4345F4CE}" name="Part of Nassau County Vote Results" totalsRowFunction="custom" dataDxfId="818" totalsRowDxfId="817">
      <totalsRowFormula>SUBTOTAL(109,StateSenatorSenateDistrict6General[Total Votes by Candidate])</totalsRowFormula>
    </tableColumn>
    <tableColumn id="3" xr3:uid="{64FFFE41-4D6F-4B8A-9F40-0FED20793887}" name="Total Votes by Party" dataDxfId="816">
      <calculatedColumnFormula>StateSenatorSenateDistrict6General[[#This Row],[Part of Nassau County Vote Results]]</calculatedColumnFormula>
    </tableColumn>
    <tableColumn id="2" xr3:uid="{1697BE14-1FE7-4B16-A9E5-79D46C432982}" name="Total Votes by Candidate" dataDxfId="815"/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7" xr:uid="{A73827E4-6069-4176-85C4-4818C3AC7EFF}" name="StateSenatorSenateDistrict60General" displayName="StateSenatorSenateDistrict60General" ref="A2:D13" totalsRowCount="1" headerRowDxfId="55" dataDxfId="53" headerRowBorderDxfId="54" tableBorderDxfId="52" totalsRowBorderDxfId="51">
  <autoFilter ref="A2:D12" xr:uid="{8C82612D-DA72-406A-8B98-AE42A15CF515}">
    <filterColumn colId="0" hiddenButton="1"/>
    <filterColumn colId="1" hiddenButton="1"/>
    <filterColumn colId="2" hiddenButton="1"/>
    <filterColumn colId="3" hiddenButton="1"/>
  </autoFilter>
  <tableColumns count="4">
    <tableColumn id="1" xr3:uid="{3ADC0AFF-7462-468C-B559-653A0225FC44}" name="Candidate Name (Party)" totalsRowLabel="Total Votes by County" dataDxfId="50" totalsRowDxfId="49"/>
    <tableColumn id="4" xr3:uid="{2B5F0E59-C5C3-456E-98F8-700E13EF5845}" name="Part of Erie County Vote Results" totalsRowFunction="custom" dataDxfId="48" totalsRowDxfId="47">
      <totalsRowFormula>SUBTOTAL(109,StateSenatorSenateDistrict60General[Total Votes by Candidate])</totalsRowFormula>
    </tableColumn>
    <tableColumn id="3" xr3:uid="{08125405-3809-4D82-B338-3B521D58B602}" name="Total Votes by Party" dataDxfId="46">
      <calculatedColumnFormula>StateSenatorSenateDistrict60General[[#This Row],[Part of Erie County Vote Results]]</calculatedColumnFormula>
    </tableColumn>
    <tableColumn id="2" xr3:uid="{A5378744-701E-44A1-9184-F8D2321455E4}" name="Total Votes by Candidate" dataDxfId="45"/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8" xr:uid="{BE723E85-6FCF-4608-A796-A9520ED98625}" name="StateSenatorSenateDistrict61General" displayName="StateSenatorSenateDistrict61General" ref="A2:F13" totalsRowCount="1" headerRowDxfId="44" dataDxfId="42" headerRowBorderDxfId="43" tableBorderDxfId="41" totalsRowBorderDxfId="40">
  <autoFilter ref="A2:F12" xr:uid="{6B00269E-69EC-4DA7-9D15-C087191207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0930882-F2D6-43F8-BA1C-C5E0AD1B3F01}" name="Candidate Name (Party)" totalsRowLabel="Total Votes by County" dataDxfId="39" totalsRowDxfId="38"/>
    <tableColumn id="2" xr3:uid="{17714B9C-497A-48DB-B8B8-23D746C93A13}" name="Genesee County Vote Results" totalsRowFunction="sum" dataDxfId="37" totalsRowDxfId="36"/>
    <tableColumn id="3" xr3:uid="{D9A483EB-ED8A-4841-8DEC-38E23225B4B9}" name="Part of Erie County Vote Results" dataDxfId="35" totalsRowDxfId="34"/>
    <tableColumn id="4" xr3:uid="{143956BD-CA0D-4CAC-843E-AE8214BB89BD}" name="Part of Monroe County Vote Results" totalsRowFunction="sum" dataDxfId="33" totalsRowDxfId="32"/>
    <tableColumn id="6" xr3:uid="{A7127AA0-589F-48D1-B9DE-CB2E1E0CDA70}" name="Total Votes by Party" dataDxfId="31">
      <calculatedColumnFormula>SUM(StateSenatorSenateDistrict61General[[#This Row],[Genesee County Vote Results]:[Part of Monroe County Vote Results]])</calculatedColumnFormula>
    </tableColumn>
    <tableColumn id="5" xr3:uid="{F826F438-92A0-428F-AC24-8ED1B5040F78}" name="Total Votes by Candidate" dataDxfId="30"/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9" xr:uid="{67BA07F4-AB0B-49F6-AC34-E8EE615017DD}" name="StateSenatorSenateDistrict62General" displayName="StateSenatorSenateDistrict62General" ref="A2:F11" totalsRowCount="1" headerRowDxfId="29" dataDxfId="27" headerRowBorderDxfId="28" tableBorderDxfId="26" totalsRowBorderDxfId="25">
  <autoFilter ref="A2:F10" xr:uid="{625A54BC-7619-41F1-B12B-E5CECB8E46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744D90-4A84-4C37-8AD5-8A1BA3C55C21}" name="Candidate Name (Party)" totalsRowLabel="Total Votes by County" dataDxfId="24" totalsRowDxfId="23"/>
    <tableColumn id="2" xr3:uid="{17C3EED4-22C9-452C-9A3F-CFF00D33B50D}" name="Niagara County Vote Results" totalsRowFunction="sum" dataDxfId="22" totalsRowDxfId="21"/>
    <tableColumn id="3" xr3:uid="{5048E2F2-B508-4641-BFAB-AB824ECC6EE0}" name="Orleans County Vote Results" dataDxfId="20" totalsRowDxfId="19"/>
    <tableColumn id="4" xr3:uid="{0CCF227D-FC7C-4B63-997B-FB2007D08BAB}" name="Part of Monroe County Vote Results" totalsRowFunction="sum" dataDxfId="18" totalsRowDxfId="17"/>
    <tableColumn id="6" xr3:uid="{CC2361C0-86FB-4E90-B5D2-220D4600F934}" name="Total Votes by Party" totalsRowFunction="custom" dataDxfId="16" totalsRowDxfId="15">
      <calculatedColumnFormula>SUM(StateSenatorSenateDistrict62General[[#This Row],[Niagara County Vote Results]:[Part of Monroe County Vote Results]])</calculatedColumnFormula>
      <totalsRowFormula>SUM(StateSenatorSenateDistrict61General[[#This Row],[Genesee County Vote Results]:[Part of Monroe County Vote Results]])</totalsRowFormula>
    </tableColumn>
    <tableColumn id="5" xr3:uid="{5E3CD73A-E0DF-4C5A-83AE-EDE417FABD03}" name="Total Votes by Candidate" dataDxfId="14" totalsRowDxfId="13"/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0" xr:uid="{174EBD90-78ED-4593-907A-D0D3819B6934}" name="StateSenatorSenateDistrict63General" displayName="StateSenatorSenateDistrict63General" ref="A2:D10" totalsRowCount="1" headerRowDxfId="12" dataDxfId="10" headerRowBorderDxfId="11" tableBorderDxfId="9" totalsRowBorderDxfId="8">
  <autoFilter ref="A2:D9" xr:uid="{F0C7570A-FCF2-4D7A-9847-44E748CDEC87}">
    <filterColumn colId="0" hiddenButton="1"/>
    <filterColumn colId="1" hiddenButton="1"/>
    <filterColumn colId="2" hiddenButton="1"/>
    <filterColumn colId="3" hiddenButton="1"/>
  </autoFilter>
  <tableColumns count="4">
    <tableColumn id="1" xr3:uid="{45D34531-8A3E-4ED3-980C-74B67A823570}" name="Candidate Name (Party)" totalsRowLabel="Total Votes by County" dataDxfId="7" totalsRowDxfId="6"/>
    <tableColumn id="4" xr3:uid="{FF9EE2C1-D64B-463E-8481-A4E000AF27B1}" name="Part of Erie County Vote Results" totalsRowFunction="custom" dataDxfId="5" totalsRowDxfId="4">
      <totalsRowFormula>SUBTOTAL(109,StateSenatorSenateDistrict63General[Total Votes by Candidate])</totalsRowFormula>
    </tableColumn>
    <tableColumn id="3" xr3:uid="{CD252345-FAD5-412B-AABE-D09E96C1704D}" name="Total Votes by Party" totalsRowFunction="custom" dataDxfId="3" totalsRowDxfId="2">
      <calculatedColumnFormula>StateSenatorSenateDistrict63General[[#This Row],[Part of Erie County Vote Results]]</calculatedColumnFormula>
      <totalsRowFormula>SUM(StateSenatorSenateDistrict62General[[#This Row],[Niagara County Vote Results]:[Part of Monroe County Vote Results]])</totalsRowFormula>
    </tableColumn>
    <tableColumn id="2" xr3:uid="{C79A2BBD-8E86-4F8C-AF8F-25395F2C75F1}" name="Total Votes by Candidate" dataDxfId="1" totalsRowDxfId="0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0A277339-A3F1-44F3-AE19-C0642EA66279}" name="StateSenatorSenateDistrict7General" displayName="StateSenatorSenateDistrict7General" ref="A2:D13" totalsRowCount="1" headerRowDxfId="814" dataDxfId="812" headerRowBorderDxfId="813" tableBorderDxfId="811" totalsRowBorderDxfId="810">
  <autoFilter ref="A2:D12" xr:uid="{0468737E-A287-4E35-A99A-23695F38BF57}">
    <filterColumn colId="0" hiddenButton="1"/>
    <filterColumn colId="1" hiddenButton="1"/>
    <filterColumn colId="2" hiddenButton="1"/>
    <filterColumn colId="3" hiddenButton="1"/>
  </autoFilter>
  <tableColumns count="4">
    <tableColumn id="1" xr3:uid="{4ADFC5B1-0595-428A-98D4-5F11DCFB748A}" name="Candidate Name (Party)" totalsRowLabel="Total Votes by County" dataDxfId="809" totalsRowDxfId="808"/>
    <tableColumn id="4" xr3:uid="{C4BC0DC4-BF91-498F-9858-11DB087B8BC2}" name="Part of Nassau County Vote Results" totalsRowFunction="custom" dataDxfId="807" totalsRowDxfId="806">
      <totalsRowFormula>SUBTOTAL(109,StateSenatorSenateDistrict7General[Total Votes by Candidate])</totalsRowFormula>
    </tableColumn>
    <tableColumn id="3" xr3:uid="{EB90F89A-9104-4F26-A1DC-CB5C5E825AE4}" name="Total Votes by Party" dataDxfId="805">
      <calculatedColumnFormula>StateSenatorSenateDistrict7General[[#This Row],[Part of Nassau County Vote Results]]</calculatedColumnFormula>
    </tableColumn>
    <tableColumn id="2" xr3:uid="{D31F16CE-A4FF-45C5-A8B1-7A2F504A488D}" name="Total Votes by Candidate" dataDxfId="804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4" xr:uid="{88DB4EA3-0D51-4A62-80C3-487833CA44A0}" name="StateSenatorSenateDistrict8General" displayName="StateSenatorSenateDistrict8General" ref="A2:E13" totalsRowCount="1" headerRowDxfId="803" dataDxfId="801" headerRowBorderDxfId="802" tableBorderDxfId="800" totalsRowBorderDxfId="799">
  <autoFilter ref="A2:E12" xr:uid="{1637A7CF-1158-471A-A38D-CD274C172F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AB9A5F-239D-4838-9DA2-AB0EC9935B62}" name="Candidate Name (Party)" totalsRowLabel="Total Votes by County" dataDxfId="798" totalsRowDxfId="797"/>
    <tableColumn id="2" xr3:uid="{93552FF3-96B2-4F97-8195-AFF672E889EF}" name="Part of Nassau County Vote Results" totalsRowFunction="sum" dataDxfId="796" totalsRowDxfId="795"/>
    <tableColumn id="4" xr3:uid="{BD4421D9-9260-456A-9F2D-6F8A9CE09440}" name="Part of Suffolk County Vote Results" totalsRowFunction="sum" dataDxfId="794" totalsRowDxfId="793"/>
    <tableColumn id="3" xr3:uid="{D4C50676-ACA7-4130-B4DF-0BDCE156F7E0}" name="Total Votes by Party" dataDxfId="792">
      <calculatedColumnFormula>SUM(StateSenatorSenateDistrict8General[[#This Row],[Part of Nassau County Vote Results]:[Part of Suffolk County Vote Results]])</calculatedColumnFormula>
    </tableColumn>
    <tableColumn id="5" xr3:uid="{5EAFD5CE-E3C4-45EE-A3AB-A0F184D4FA1E}" name="Total Votes by Candidate" dataDxfId="791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5" xr:uid="{E3BFDF46-E182-4680-8030-9C8D1709ED30}" name="StateSenatorSenateDistrict9General" displayName="StateSenatorSenateDistrict9General" ref="A2:D14" totalsRowCount="1" headerRowDxfId="790" dataDxfId="788" headerRowBorderDxfId="789" tableBorderDxfId="787" totalsRowBorderDxfId="786">
  <autoFilter ref="A2:D13" xr:uid="{2C1ADD2C-0BB0-4F59-9862-A474FDE8F8EB}">
    <filterColumn colId="0" hiddenButton="1"/>
    <filterColumn colId="1" hiddenButton="1"/>
    <filterColumn colId="2" hiddenButton="1"/>
    <filterColumn colId="3" hiddenButton="1"/>
  </autoFilter>
  <tableColumns count="4">
    <tableColumn id="1" xr3:uid="{C744232C-2211-4D41-A8C0-B1E2F42C9BF0}" name="Candidate Name (Party)" totalsRowLabel="Total Votes by County" dataDxfId="785" totalsRowDxfId="784"/>
    <tableColumn id="4" xr3:uid="{F0CC9C7B-61BA-4871-907F-E7D0C679E9E6}" name="Part of Nassau County Vote Results" totalsRowFunction="custom" dataDxfId="783" totalsRowDxfId="782">
      <totalsRowFormula>SUBTOTAL(109,StateSenatorSenateDistrict9General[Total Votes by Candidate])</totalsRowFormula>
    </tableColumn>
    <tableColumn id="3" xr3:uid="{007803ED-E984-42D5-854A-F83BE860331B}" name="Total Votes by Party" dataDxfId="781">
      <calculatedColumnFormula>StateSenatorSenateDistrict9General[[#This Row],[Part of Nassau County Vote Results]]</calculatedColumnFormula>
    </tableColumn>
    <tableColumn id="2" xr3:uid="{FD84D463-5651-45E7-AA9D-4ABC78F448E3}" name="Total Votes by Candidate" dataDxfId="78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"/>
  <sheetViews>
    <sheetView tabSelected="1"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68</v>
      </c>
    </row>
    <row r="2" spans="1:4" ht="24.95" customHeight="1" x14ac:dyDescent="0.2">
      <c r="A2" s="7" t="s">
        <v>5</v>
      </c>
      <c r="B2" s="8" t="s">
        <v>6</v>
      </c>
      <c r="C2" s="9" t="s">
        <v>457</v>
      </c>
      <c r="D2" s="10" t="s">
        <v>4</v>
      </c>
    </row>
    <row r="3" spans="1:4" x14ac:dyDescent="0.2">
      <c r="A3" s="2" t="s">
        <v>69</v>
      </c>
      <c r="B3" s="3">
        <v>53790</v>
      </c>
      <c r="C3" s="11">
        <f>StateSenatorSenateDistrict1General[[#This Row],[Part of Suffolk County Vote Results]]</f>
        <v>53790</v>
      </c>
      <c r="D3" s="12">
        <f>StateSenatorSenateDistrict1General[[#This Row],[Total Votes by Party]]</f>
        <v>53790</v>
      </c>
    </row>
    <row r="4" spans="1:4" x14ac:dyDescent="0.2">
      <c r="A4" s="2" t="s">
        <v>70</v>
      </c>
      <c r="B4" s="3">
        <v>60586</v>
      </c>
      <c r="C4" s="11">
        <f>StateSenatorSenateDistrict1General[[#This Row],[Part of Suffolk County Vote Results]]</f>
        <v>60586</v>
      </c>
      <c r="D4" s="12">
        <f>SUM(StateSenatorSenateDistrict1General[[#This Row],[Total Votes by Party]],C5,C6,C7)</f>
        <v>71017</v>
      </c>
    </row>
    <row r="5" spans="1:4" x14ac:dyDescent="0.2">
      <c r="A5" s="2" t="s">
        <v>71</v>
      </c>
      <c r="B5" s="3">
        <v>6920</v>
      </c>
      <c r="C5" s="11">
        <f>StateSenatorSenateDistrict1General[[#This Row],[Part of Suffolk County Vote Results]]</f>
        <v>6920</v>
      </c>
      <c r="D5" s="13"/>
    </row>
    <row r="6" spans="1:4" x14ac:dyDescent="0.2">
      <c r="A6" s="2" t="s">
        <v>72</v>
      </c>
      <c r="B6" s="3">
        <v>3150</v>
      </c>
      <c r="C6" s="11">
        <f>StateSenatorSenateDistrict1General[[#This Row],[Part of Suffolk County Vote Results]]</f>
        <v>3150</v>
      </c>
      <c r="D6" s="13"/>
    </row>
    <row r="7" spans="1:4" x14ac:dyDescent="0.2">
      <c r="A7" s="2" t="s">
        <v>73</v>
      </c>
      <c r="B7" s="3">
        <v>361</v>
      </c>
      <c r="C7" s="11">
        <f>StateSenatorSenateDistrict1General[[#This Row],[Part of Suffolk County Vote Results]]</f>
        <v>361</v>
      </c>
      <c r="D7" s="13"/>
    </row>
    <row r="8" spans="1:4" x14ac:dyDescent="0.2">
      <c r="A8" s="4" t="s">
        <v>0</v>
      </c>
      <c r="B8" s="5">
        <v>4076</v>
      </c>
      <c r="C8" s="11">
        <f>StateSenatorSenateDistrict1General[[#This Row],[Part of Suffolk County Vote Results]]</f>
        <v>4076</v>
      </c>
      <c r="D8" s="13"/>
    </row>
    <row r="9" spans="1:4" x14ac:dyDescent="0.2">
      <c r="A9" s="4" t="s">
        <v>1</v>
      </c>
      <c r="B9" s="5">
        <v>51</v>
      </c>
      <c r="C9" s="11">
        <f>StateSenatorSenateDistrict1General[[#This Row],[Part of Suffolk County Vote Results]]</f>
        <v>51</v>
      </c>
      <c r="D9" s="13"/>
    </row>
    <row r="10" spans="1:4" x14ac:dyDescent="0.2">
      <c r="A10" s="4" t="s">
        <v>2</v>
      </c>
      <c r="B10" s="5">
        <v>54</v>
      </c>
      <c r="C10" s="11">
        <f>StateSenatorSenateDistrict1General[[#This Row],[Part of Suffolk County Vote Results]]</f>
        <v>54</v>
      </c>
      <c r="D10" s="13"/>
    </row>
    <row r="11" spans="1:4" hidden="1" x14ac:dyDescent="0.2">
      <c r="A11" s="4" t="s">
        <v>3</v>
      </c>
      <c r="B11" s="6">
        <f>SUBTOTAL(109,StateSenatorSenateDistrict1General[Total Votes by Candidate])</f>
        <v>124807</v>
      </c>
      <c r="C11" s="11" t="e">
        <f>#REF!</f>
        <v>#REF!</v>
      </c>
      <c r="D11" s="13"/>
    </row>
  </sheetData>
  <phoneticPr fontId="1" type="noConversion"/>
  <pageMargins left="0.5" right="0.5" top="0.25" bottom="0.25" header="0.25" footer="0.25"/>
  <pageSetup paperSize="5" scale="74" fitToHeight="0" orientation="landscape" r:id="rId1"/>
  <headerFooter alignWithMargins="0">
    <oddFooter xml:space="preserve">&amp;RPage &amp;P of &amp;N   </oddFooter>
  </headerFooter>
  <rowBreaks count="13" manualBreakCount="13">
    <brk id="43" max="16383" man="1"/>
    <brk id="90" max="16383" man="1"/>
    <brk id="144" max="16383" man="1"/>
    <brk id="198" max="16383" man="1"/>
    <brk id="247" max="16383" man="1"/>
    <brk id="294" max="16383" man="1"/>
    <brk id="343" max="16383" man="1"/>
    <brk id="389" max="16383" man="1"/>
    <brk id="441" max="16383" man="1"/>
    <brk id="494" max="16383" man="1"/>
    <brk id="548" max="16383" man="1"/>
    <brk id="596" max="16383" man="1"/>
    <brk id="632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1F4B-BC27-457C-B931-05425D6C8099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137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138</v>
      </c>
      <c r="B3" s="3">
        <v>62095</v>
      </c>
      <c r="C3" s="11">
        <f>StateSenatorSenateDistrict10General[[#This Row],[Part of Queens County Vote Results]]</f>
        <v>62095</v>
      </c>
      <c r="D3" s="12">
        <f>SUM(StateSenatorSenateDistrict10General[[#This Row],[Total Votes by Party]],C4,C5)</f>
        <v>63704</v>
      </c>
    </row>
    <row r="4" spans="1:4" x14ac:dyDescent="0.2">
      <c r="A4" s="2" t="s">
        <v>139</v>
      </c>
      <c r="B4" s="3">
        <v>1461</v>
      </c>
      <c r="C4" s="11">
        <f>StateSenatorSenateDistrict10General[[#This Row],[Part of Queens County Vote Results]]</f>
        <v>1461</v>
      </c>
      <c r="D4" s="13"/>
    </row>
    <row r="5" spans="1:4" x14ac:dyDescent="0.2">
      <c r="A5" s="2" t="s">
        <v>140</v>
      </c>
      <c r="B5" s="3">
        <v>148</v>
      </c>
      <c r="C5" s="11">
        <f>StateSenatorSenateDistrict10General[[#This Row],[Part of Queens County Vote Results]]</f>
        <v>148</v>
      </c>
      <c r="D5" s="13"/>
    </row>
    <row r="6" spans="1:4" x14ac:dyDescent="0.2">
      <c r="A6" s="4" t="s">
        <v>0</v>
      </c>
      <c r="B6" s="5">
        <v>6270</v>
      </c>
      <c r="C6" s="11">
        <f>StateSenatorSenateDistrict10General[[#This Row],[Part of Queens County Vote Results]]</f>
        <v>6270</v>
      </c>
      <c r="D6" s="13"/>
    </row>
    <row r="7" spans="1:4" x14ac:dyDescent="0.2">
      <c r="A7" s="4" t="s">
        <v>1</v>
      </c>
      <c r="B7" s="5">
        <v>0</v>
      </c>
      <c r="C7" s="11">
        <f>StateSenatorSenateDistrict10General[[#This Row],[Part of Queens County Vote Results]]</f>
        <v>0</v>
      </c>
      <c r="D7" s="13"/>
    </row>
    <row r="8" spans="1:4" x14ac:dyDescent="0.2">
      <c r="A8" s="4" t="s">
        <v>2</v>
      </c>
      <c r="B8" s="5">
        <v>214</v>
      </c>
      <c r="C8" s="11">
        <f>StateSenatorSenateDistrict10General[[#This Row],[Part of Queens County Vote Results]]</f>
        <v>214</v>
      </c>
      <c r="D8" s="13"/>
    </row>
    <row r="9" spans="1:4" hidden="1" x14ac:dyDescent="0.2">
      <c r="A9" s="4" t="s">
        <v>3</v>
      </c>
      <c r="B9" s="6">
        <f>SUBTOTAL(109,StateSenatorSenateDistrict10General[Total Votes by Candidate])</f>
        <v>63704</v>
      </c>
      <c r="C9" s="11">
        <f>StateSenatorSenateDistrict9General[[#This Row],[Part of Nassau County Vote Results]]</f>
        <v>153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1ADE-710E-4520-A350-7ACE9716282D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141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142</v>
      </c>
      <c r="B3" s="3">
        <v>42047</v>
      </c>
      <c r="C3" s="11">
        <f>StateSenatorSenateDistrict11General[[#This Row],[Part of Queens County Vote Results]]</f>
        <v>42047</v>
      </c>
      <c r="D3" s="12">
        <f>StateSenatorSenateDistrict11General[[#This Row],[Total Votes by Party]]</f>
        <v>42047</v>
      </c>
    </row>
    <row r="4" spans="1:4" x14ac:dyDescent="0.2">
      <c r="A4" s="2" t="s">
        <v>143</v>
      </c>
      <c r="B4" s="3">
        <v>19062</v>
      </c>
      <c r="C4" s="11">
        <f>StateSenatorSenateDistrict11General[[#This Row],[Part of Queens County Vote Results]]</f>
        <v>19062</v>
      </c>
      <c r="D4" s="12">
        <f>StateSenatorSenateDistrict11General[[#This Row],[Total Votes by Party]]</f>
        <v>19062</v>
      </c>
    </row>
    <row r="5" spans="1:4" x14ac:dyDescent="0.2">
      <c r="A5" s="2" t="s">
        <v>144</v>
      </c>
      <c r="B5" s="3">
        <v>1123</v>
      </c>
      <c r="C5" s="11">
        <f>StateSenatorSenateDistrict11General[[#This Row],[Part of Queens County Vote Results]]</f>
        <v>1123</v>
      </c>
      <c r="D5" s="12">
        <f>StateSenatorSenateDistrict11General[[#This Row],[Total Votes by Party]]</f>
        <v>1123</v>
      </c>
    </row>
    <row r="6" spans="1:4" x14ac:dyDescent="0.2">
      <c r="A6" s="2" t="s">
        <v>145</v>
      </c>
      <c r="B6" s="3">
        <v>15528</v>
      </c>
      <c r="C6" s="11">
        <f>StateSenatorSenateDistrict11General[[#This Row],[Part of Queens County Vote Results]]</f>
        <v>15528</v>
      </c>
      <c r="D6" s="12">
        <f>SUM(StateSenatorSenateDistrict11General[[#This Row],[Total Votes by Party]],C7)</f>
        <v>16241</v>
      </c>
    </row>
    <row r="7" spans="1:4" x14ac:dyDescent="0.2">
      <c r="A7" s="2" t="s">
        <v>146</v>
      </c>
      <c r="B7" s="3">
        <v>713</v>
      </c>
      <c r="C7" s="11">
        <f>StateSenatorSenateDistrict11General[[#This Row],[Part of Queens County Vote Results]]</f>
        <v>713</v>
      </c>
      <c r="D7" s="13"/>
    </row>
    <row r="8" spans="1:4" x14ac:dyDescent="0.2">
      <c r="A8" s="4" t="s">
        <v>0</v>
      </c>
      <c r="B8" s="5">
        <v>2827</v>
      </c>
      <c r="C8" s="11">
        <f>StateSenatorSenateDistrict11General[[#This Row],[Part of Queens County Vote Results]]</f>
        <v>2827</v>
      </c>
      <c r="D8" s="13"/>
    </row>
    <row r="9" spans="1:4" x14ac:dyDescent="0.2">
      <c r="A9" s="4" t="s">
        <v>1</v>
      </c>
      <c r="B9" s="5">
        <v>0</v>
      </c>
      <c r="C9" s="11">
        <f>StateSenatorSenateDistrict11General[[#This Row],[Part of Queens County Vote Results]]</f>
        <v>0</v>
      </c>
      <c r="D9" s="13"/>
    </row>
    <row r="10" spans="1:4" x14ac:dyDescent="0.2">
      <c r="A10" s="4" t="s">
        <v>2</v>
      </c>
      <c r="B10" s="5">
        <v>41</v>
      </c>
      <c r="C10" s="11">
        <f>StateSenatorSenateDistrict11General[[#This Row],[Part of Queens County Vote Results]]</f>
        <v>41</v>
      </c>
      <c r="D10" s="13"/>
    </row>
    <row r="11" spans="1:4" hidden="1" x14ac:dyDescent="0.2">
      <c r="A11" s="4" t="s">
        <v>3</v>
      </c>
      <c r="B11" s="6">
        <f>SUBTOTAL(109,StateSenatorSenateDistrict11General[Total Votes by Candidate])</f>
        <v>78473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D2BD-46FC-458C-8BA0-FD1303489BAE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147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148</v>
      </c>
      <c r="B3" s="3">
        <v>65892</v>
      </c>
      <c r="C3" s="11">
        <f>StateSenatorSenateDistrict12General[[#This Row],[Part of Queens County Vote Results]]</f>
        <v>65892</v>
      </c>
      <c r="D3" s="12">
        <f>SUM(StateSenatorSenateDistrict12General[[#This Row],[Total Votes by Party]],C4)</f>
        <v>71968</v>
      </c>
    </row>
    <row r="4" spans="1:4" x14ac:dyDescent="0.2">
      <c r="A4" s="2" t="s">
        <v>149</v>
      </c>
      <c r="B4" s="3">
        <v>6076</v>
      </c>
      <c r="C4" s="11">
        <f>StateSenatorSenateDistrict12General[[#This Row],[Part of Queens County Vote Results]]</f>
        <v>6076</v>
      </c>
      <c r="D4" s="13"/>
    </row>
    <row r="5" spans="1:4" x14ac:dyDescent="0.2">
      <c r="A5" s="4" t="s">
        <v>0</v>
      </c>
      <c r="B5" s="5">
        <v>9995</v>
      </c>
      <c r="C5" s="11">
        <f>StateSenatorSenateDistrict12General[[#This Row],[Part of Queens County Vote Results]]</f>
        <v>9995</v>
      </c>
      <c r="D5" s="13"/>
    </row>
    <row r="6" spans="1:4" x14ac:dyDescent="0.2">
      <c r="A6" s="4" t="s">
        <v>1</v>
      </c>
      <c r="B6" s="5">
        <v>0</v>
      </c>
      <c r="C6" s="11">
        <f>StateSenatorSenateDistrict12General[[#This Row],[Part of Queens County Vote Results]]</f>
        <v>0</v>
      </c>
      <c r="D6" s="13"/>
    </row>
    <row r="7" spans="1:4" x14ac:dyDescent="0.2">
      <c r="A7" s="4" t="s">
        <v>2</v>
      </c>
      <c r="B7" s="5">
        <v>417</v>
      </c>
      <c r="C7" s="11">
        <f>StateSenatorSenateDistrict12General[[#This Row],[Part of Queens County Vote Results]]</f>
        <v>417</v>
      </c>
      <c r="D7" s="13"/>
    </row>
    <row r="8" spans="1:4" hidden="1" x14ac:dyDescent="0.2">
      <c r="A8" s="4" t="s">
        <v>3</v>
      </c>
      <c r="B8" s="6">
        <f>SUBTOTAL(109,StateSenatorSenateDistrict12General[Total Votes by Candidate])</f>
        <v>71968</v>
      </c>
      <c r="C8" s="11">
        <f>StateSenatorSenateDistrict11General[[#This Row],[Part of Queens County Vote Results]]</f>
        <v>2827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7533-E781-423C-A985-93823C7225EC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150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151</v>
      </c>
      <c r="B3" s="3">
        <v>41573</v>
      </c>
      <c r="C3" s="11">
        <f>StateSenatorSenateDistrict13General[[#This Row],[Part of Queens County Vote Results]]</f>
        <v>41573</v>
      </c>
      <c r="D3" s="12">
        <f>SUM(StateSenatorSenateDistrict13General[[#This Row],[Total Votes by Party]],C4)</f>
        <v>43459</v>
      </c>
    </row>
    <row r="4" spans="1:4" x14ac:dyDescent="0.2">
      <c r="A4" s="2" t="s">
        <v>152</v>
      </c>
      <c r="B4" s="3">
        <v>1886</v>
      </c>
      <c r="C4" s="11">
        <f>StateSenatorSenateDistrict13General[[#This Row],[Part of Queens County Vote Results]]</f>
        <v>1886</v>
      </c>
      <c r="D4" s="13"/>
    </row>
    <row r="5" spans="1:4" x14ac:dyDescent="0.2">
      <c r="A5" s="2" t="s">
        <v>153</v>
      </c>
      <c r="B5" s="3">
        <v>3769</v>
      </c>
      <c r="C5" s="11">
        <f>StateSenatorSenateDistrict13General[[#This Row],[Part of Queens County Vote Results]]</f>
        <v>3769</v>
      </c>
      <c r="D5" s="12">
        <f>SUM(StateSenatorSenateDistrict13General[[#This Row],[Total Votes by Party]],C6,C7)</f>
        <v>4939</v>
      </c>
    </row>
    <row r="6" spans="1:4" x14ac:dyDescent="0.2">
      <c r="A6" s="2" t="s">
        <v>154</v>
      </c>
      <c r="B6" s="3">
        <v>404</v>
      </c>
      <c r="C6" s="11">
        <f>StateSenatorSenateDistrict13General[[#This Row],[Part of Queens County Vote Results]]</f>
        <v>404</v>
      </c>
      <c r="D6" s="13"/>
    </row>
    <row r="7" spans="1:4" x14ac:dyDescent="0.2">
      <c r="A7" s="2" t="s">
        <v>155</v>
      </c>
      <c r="B7" s="3">
        <v>766</v>
      </c>
      <c r="C7" s="11">
        <f>StateSenatorSenateDistrict13General[[#This Row],[Part of Queens County Vote Results]]</f>
        <v>766</v>
      </c>
      <c r="D7" s="13"/>
    </row>
    <row r="8" spans="1:4" x14ac:dyDescent="0.2">
      <c r="A8" s="4" t="s">
        <v>0</v>
      </c>
      <c r="B8" s="5">
        <v>5786</v>
      </c>
      <c r="C8" s="11">
        <f>StateSenatorSenateDistrict13General[[#This Row],[Part of Queens County Vote Results]]</f>
        <v>5786</v>
      </c>
      <c r="D8" s="13"/>
    </row>
    <row r="9" spans="1:4" x14ac:dyDescent="0.2">
      <c r="A9" s="4" t="s">
        <v>1</v>
      </c>
      <c r="B9" s="5">
        <v>0</v>
      </c>
      <c r="C9" s="11">
        <f>StateSenatorSenateDistrict13General[[#This Row],[Part of Queens County Vote Results]]</f>
        <v>0</v>
      </c>
      <c r="D9" s="13"/>
    </row>
    <row r="10" spans="1:4" x14ac:dyDescent="0.2">
      <c r="A10" s="4" t="s">
        <v>2</v>
      </c>
      <c r="B10" s="5">
        <v>105</v>
      </c>
      <c r="C10" s="11">
        <f>StateSenatorSenateDistrict13General[[#This Row],[Part of Queens County Vote Results]]</f>
        <v>105</v>
      </c>
      <c r="D10" s="13"/>
    </row>
    <row r="11" spans="1:4" hidden="1" x14ac:dyDescent="0.2">
      <c r="A11" s="4" t="s">
        <v>3</v>
      </c>
      <c r="B11" s="6">
        <f>SUBTOTAL(109,StateSenatorSenateDistrict13General[Total Votes by Candidate])</f>
        <v>48398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8B73-F098-499E-86E7-BD0877FE1B27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156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157</v>
      </c>
      <c r="B3" s="3">
        <v>76188</v>
      </c>
      <c r="C3" s="11">
        <f>StateSenatorSenateDistrict14General[[#This Row],[Part of Queens County Vote Results]]</f>
        <v>76188</v>
      </c>
      <c r="D3" s="12">
        <f>SUM(StateSenatorSenateDistrict14General[[#This Row],[Total Votes by Party]],C4,C5)</f>
        <v>78377</v>
      </c>
    </row>
    <row r="4" spans="1:4" x14ac:dyDescent="0.2">
      <c r="A4" s="2" t="s">
        <v>158</v>
      </c>
      <c r="B4" s="3">
        <v>1972</v>
      </c>
      <c r="C4" s="11">
        <f>StateSenatorSenateDistrict14General[[#This Row],[Part of Queens County Vote Results]]</f>
        <v>1972</v>
      </c>
      <c r="D4" s="13"/>
    </row>
    <row r="5" spans="1:4" x14ac:dyDescent="0.2">
      <c r="A5" s="2" t="s">
        <v>159</v>
      </c>
      <c r="B5" s="3">
        <v>217</v>
      </c>
      <c r="C5" s="11">
        <f>StateSenatorSenateDistrict14General[[#This Row],[Part of Queens County Vote Results]]</f>
        <v>217</v>
      </c>
      <c r="D5" s="13"/>
    </row>
    <row r="6" spans="1:4" x14ac:dyDescent="0.2">
      <c r="A6" s="4" t="s">
        <v>0</v>
      </c>
      <c r="B6" s="5">
        <v>7412</v>
      </c>
      <c r="C6" s="11">
        <f>StateSenatorSenateDistrict14General[[#This Row],[Part of Queens County Vote Results]]</f>
        <v>7412</v>
      </c>
      <c r="D6" s="13"/>
    </row>
    <row r="7" spans="1:4" x14ac:dyDescent="0.2">
      <c r="A7" s="4" t="s">
        <v>1</v>
      </c>
      <c r="B7" s="5">
        <v>0</v>
      </c>
      <c r="C7" s="11">
        <f>StateSenatorSenateDistrict14General[[#This Row],[Part of Queens County Vote Results]]</f>
        <v>0</v>
      </c>
      <c r="D7" s="13"/>
    </row>
    <row r="8" spans="1:4" x14ac:dyDescent="0.2">
      <c r="A8" s="4" t="s">
        <v>2</v>
      </c>
      <c r="B8" s="5">
        <v>218</v>
      </c>
      <c r="C8" s="11">
        <f>StateSenatorSenateDistrict14General[[#This Row],[Part of Queens County Vote Results]]</f>
        <v>218</v>
      </c>
      <c r="D8" s="13"/>
    </row>
    <row r="9" spans="1:4" hidden="1" x14ac:dyDescent="0.2">
      <c r="A9" s="4" t="s">
        <v>3</v>
      </c>
      <c r="B9" s="6">
        <f>SUBTOTAL(109,StateSenatorSenateDistrict14General[Total Votes by Candidate])</f>
        <v>78377</v>
      </c>
      <c r="C9" s="11">
        <f>StateSenatorSenateDistrict13General[[#This Row],[Part of Queens County Vote Results]]</f>
        <v>0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0565-6B28-4716-8482-88A7B023030B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160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161</v>
      </c>
      <c r="B3" s="3">
        <v>44706</v>
      </c>
      <c r="C3" s="11">
        <f>StateSenatorSenateDistrict15General[[#This Row],[Part of Queens County Vote Results]]</f>
        <v>44706</v>
      </c>
      <c r="D3" s="12">
        <f>SUM(StateSenatorSenateDistrict15General[[#This Row],[Total Votes by Party]],C6)</f>
        <v>46968</v>
      </c>
    </row>
    <row r="4" spans="1:4" x14ac:dyDescent="0.2">
      <c r="A4" s="2" t="s">
        <v>162</v>
      </c>
      <c r="B4" s="3">
        <v>22729</v>
      </c>
      <c r="C4" s="11">
        <f>StateSenatorSenateDistrict15General[[#This Row],[Part of Queens County Vote Results]]</f>
        <v>22729</v>
      </c>
      <c r="D4" s="12">
        <f>SUM(StateSenatorSenateDistrict15General[[#This Row],[Total Votes by Party]],C5,C7,C8)</f>
        <v>26281</v>
      </c>
    </row>
    <row r="5" spans="1:4" x14ac:dyDescent="0.2">
      <c r="A5" s="2" t="s">
        <v>163</v>
      </c>
      <c r="B5" s="3">
        <v>2762</v>
      </c>
      <c r="C5" s="11">
        <f>StateSenatorSenateDistrict15General[[#This Row],[Part of Queens County Vote Results]]</f>
        <v>2762</v>
      </c>
      <c r="D5" s="13"/>
    </row>
    <row r="6" spans="1:4" x14ac:dyDescent="0.2">
      <c r="A6" s="2" t="s">
        <v>164</v>
      </c>
      <c r="B6" s="3">
        <v>2262</v>
      </c>
      <c r="C6" s="11">
        <f>StateSenatorSenateDistrict15General[[#This Row],[Part of Queens County Vote Results]]</f>
        <v>2262</v>
      </c>
      <c r="D6" s="13"/>
    </row>
    <row r="7" spans="1:4" x14ac:dyDescent="0.2">
      <c r="A7" s="2" t="s">
        <v>165</v>
      </c>
      <c r="B7" s="3">
        <v>611</v>
      </c>
      <c r="C7" s="11">
        <f>StateSenatorSenateDistrict15General[[#This Row],[Part of Queens County Vote Results]]</f>
        <v>611</v>
      </c>
      <c r="D7" s="13"/>
    </row>
    <row r="8" spans="1:4" x14ac:dyDescent="0.2">
      <c r="A8" s="2" t="s">
        <v>166</v>
      </c>
      <c r="B8" s="3">
        <v>179</v>
      </c>
      <c r="C8" s="11">
        <f>StateSenatorSenateDistrict15General[[#This Row],[Part of Queens County Vote Results]]</f>
        <v>179</v>
      </c>
      <c r="D8" s="13"/>
    </row>
    <row r="9" spans="1:4" x14ac:dyDescent="0.2">
      <c r="A9" s="4" t="s">
        <v>0</v>
      </c>
      <c r="B9" s="5">
        <v>2703</v>
      </c>
      <c r="C9" s="11">
        <f>StateSenatorSenateDistrict15General[[#This Row],[Part of Queens County Vote Results]]</f>
        <v>2703</v>
      </c>
      <c r="D9" s="13"/>
    </row>
    <row r="10" spans="1:4" x14ac:dyDescent="0.2">
      <c r="A10" s="4" t="s">
        <v>1</v>
      </c>
      <c r="B10" s="5">
        <v>0</v>
      </c>
      <c r="C10" s="11">
        <f>StateSenatorSenateDistrict15General[[#This Row],[Part of Queens County Vote Results]]</f>
        <v>0</v>
      </c>
      <c r="D10" s="13"/>
    </row>
    <row r="11" spans="1:4" x14ac:dyDescent="0.2">
      <c r="A11" s="4" t="s">
        <v>2</v>
      </c>
      <c r="B11" s="5">
        <v>60</v>
      </c>
      <c r="C11" s="11">
        <f>StateSenatorSenateDistrict15General[[#This Row],[Part of Queens County Vote Results]]</f>
        <v>60</v>
      </c>
      <c r="D11" s="13"/>
    </row>
    <row r="12" spans="1:4" hidden="1" x14ac:dyDescent="0.2">
      <c r="A12" s="4" t="s">
        <v>3</v>
      </c>
      <c r="B12" s="6">
        <f>SUBTOTAL(109,StateSenatorSenateDistrict15General[Total Votes by Candidate])</f>
        <v>73249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AA5F-8CF8-4112-A892-B8FB9F77B723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167</v>
      </c>
    </row>
    <row r="2" spans="1:4" ht="24.95" customHeight="1" x14ac:dyDescent="0.2">
      <c r="A2" s="7" t="s">
        <v>5</v>
      </c>
      <c r="B2" s="8" t="s">
        <v>8</v>
      </c>
      <c r="C2" s="9" t="s">
        <v>457</v>
      </c>
      <c r="D2" s="10" t="s">
        <v>4</v>
      </c>
    </row>
    <row r="3" spans="1:4" x14ac:dyDescent="0.2">
      <c r="A3" s="2" t="s">
        <v>168</v>
      </c>
      <c r="B3" s="3">
        <v>39951</v>
      </c>
      <c r="C3" s="11">
        <f>StateSenatorSenateDistrict16General[[#This Row],[Part of Queens County Vote Results]]</f>
        <v>39951</v>
      </c>
      <c r="D3" s="12">
        <f>SUM(StateSenatorSenateDistrict16General[[#This Row],[Total Votes by Party]],C4,C5)</f>
        <v>42816</v>
      </c>
    </row>
    <row r="4" spans="1:4" x14ac:dyDescent="0.2">
      <c r="A4" s="2" t="s">
        <v>169</v>
      </c>
      <c r="B4" s="3">
        <v>2201</v>
      </c>
      <c r="C4" s="11">
        <f>StateSenatorSenateDistrict16General[[#This Row],[Part of Queens County Vote Results]]</f>
        <v>2201</v>
      </c>
      <c r="D4" s="13"/>
    </row>
    <row r="5" spans="1:4" x14ac:dyDescent="0.2">
      <c r="A5" s="2" t="s">
        <v>170</v>
      </c>
      <c r="B5" s="3">
        <v>664</v>
      </c>
      <c r="C5" s="11">
        <f>StateSenatorSenateDistrict16General[[#This Row],[Part of Queens County Vote Results]]</f>
        <v>664</v>
      </c>
      <c r="D5" s="13"/>
    </row>
    <row r="6" spans="1:4" x14ac:dyDescent="0.2">
      <c r="A6" s="2" t="s">
        <v>171</v>
      </c>
      <c r="B6" s="3">
        <v>2053</v>
      </c>
      <c r="C6" s="11">
        <f>StateSenatorSenateDistrict16General[[#This Row],[Part of Queens County Vote Results]]</f>
        <v>2053</v>
      </c>
      <c r="D6" s="12">
        <f>StateSenatorSenateDistrict16General[[#This Row],[Total Votes by Party]]</f>
        <v>2053</v>
      </c>
    </row>
    <row r="7" spans="1:4" x14ac:dyDescent="0.2">
      <c r="A7" s="4" t="s">
        <v>0</v>
      </c>
      <c r="B7" s="5">
        <v>9010</v>
      </c>
      <c r="C7" s="11">
        <f>StateSenatorSenateDistrict16General[[#This Row],[Part of Queens County Vote Results]]</f>
        <v>9010</v>
      </c>
      <c r="D7" s="13"/>
    </row>
    <row r="8" spans="1:4" x14ac:dyDescent="0.2">
      <c r="A8" s="4" t="s">
        <v>1</v>
      </c>
      <c r="B8" s="5">
        <v>0</v>
      </c>
      <c r="C8" s="11">
        <f>StateSenatorSenateDistrict16General[[#This Row],[Part of Queens County Vote Results]]</f>
        <v>0</v>
      </c>
      <c r="D8" s="13"/>
    </row>
    <row r="9" spans="1:4" x14ac:dyDescent="0.2">
      <c r="A9" s="4" t="s">
        <v>2</v>
      </c>
      <c r="B9" s="5">
        <v>213</v>
      </c>
      <c r="C9" s="11">
        <f>StateSenatorSenateDistrict16General[[#This Row],[Part of Queens County Vote Results]]</f>
        <v>213</v>
      </c>
      <c r="D9" s="13"/>
    </row>
    <row r="10" spans="1:4" hidden="1" x14ac:dyDescent="0.2">
      <c r="A10" s="4" t="s">
        <v>3</v>
      </c>
      <c r="B10" s="6">
        <f>SUBTOTAL(109,StateSenatorSenateDistrict16General[Total Votes by Candidate])</f>
        <v>44869</v>
      </c>
      <c r="C10" s="11">
        <f>StateSenatorSenateDistrict15General[[#This Row],[Part of Queens County Vote Results]]</f>
        <v>0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7DE8-F1B6-48A2-A9BA-CA89150DA64C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172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173</v>
      </c>
      <c r="B3" s="3">
        <v>20585</v>
      </c>
      <c r="C3" s="11">
        <f>StateSenatorSenateDistrict17General[[#This Row],[Part of Kings County Vote Results]]</f>
        <v>20585</v>
      </c>
      <c r="D3" s="12">
        <f>SUM(StateSenatorSenateDistrict17General[[#This Row],[Total Votes by Party]],C4,C5,C7)</f>
        <v>41544</v>
      </c>
    </row>
    <row r="4" spans="1:4" x14ac:dyDescent="0.2">
      <c r="A4" s="2" t="s">
        <v>174</v>
      </c>
      <c r="B4" s="3">
        <v>18152</v>
      </c>
      <c r="C4" s="11">
        <f>StateSenatorSenateDistrict17General[[#This Row],[Part of Kings County Vote Results]]</f>
        <v>18152</v>
      </c>
      <c r="D4" s="13"/>
    </row>
    <row r="5" spans="1:4" x14ac:dyDescent="0.2">
      <c r="A5" s="2" t="s">
        <v>175</v>
      </c>
      <c r="B5" s="3">
        <v>2283</v>
      </c>
      <c r="C5" s="11">
        <f>StateSenatorSenateDistrict17General[[#This Row],[Part of Kings County Vote Results]]</f>
        <v>2283</v>
      </c>
      <c r="D5" s="13"/>
    </row>
    <row r="6" spans="1:4" x14ac:dyDescent="0.2">
      <c r="A6" s="2" t="s">
        <v>177</v>
      </c>
      <c r="B6" s="3">
        <v>6611</v>
      </c>
      <c r="C6" s="11">
        <f>StateSenatorSenateDistrict17General[[#This Row],[Part of Kings County Vote Results]]</f>
        <v>6611</v>
      </c>
      <c r="D6" s="12">
        <f>StateSenatorSenateDistrict17General[[#This Row],[Total Votes by Party]]</f>
        <v>6611</v>
      </c>
    </row>
    <row r="7" spans="1:4" x14ac:dyDescent="0.2">
      <c r="A7" s="2" t="s">
        <v>176</v>
      </c>
      <c r="B7" s="3">
        <v>524</v>
      </c>
      <c r="C7" s="11">
        <f>StateSenatorSenateDistrict17General[[#This Row],[Part of Kings County Vote Results]]</f>
        <v>524</v>
      </c>
      <c r="D7" s="13"/>
    </row>
    <row r="8" spans="1:4" x14ac:dyDescent="0.2">
      <c r="A8" s="2" t="s">
        <v>178</v>
      </c>
      <c r="B8" s="3">
        <v>733</v>
      </c>
      <c r="C8" s="11">
        <f>StateSenatorSenateDistrict17General[[#This Row],[Part of Kings County Vote Results]]</f>
        <v>733</v>
      </c>
      <c r="D8" s="12">
        <f>StateSenatorSenateDistrict17General[[#This Row],[Total Votes by Party]]</f>
        <v>733</v>
      </c>
    </row>
    <row r="9" spans="1:4" x14ac:dyDescent="0.2">
      <c r="A9" s="4" t="s">
        <v>0</v>
      </c>
      <c r="B9" s="5">
        <v>1781</v>
      </c>
      <c r="C9" s="11">
        <f>StateSenatorSenateDistrict17General[[#This Row],[Part of Kings County Vote Results]]</f>
        <v>1781</v>
      </c>
      <c r="D9" s="13"/>
    </row>
    <row r="10" spans="1:4" x14ac:dyDescent="0.2">
      <c r="A10" s="4" t="s">
        <v>1</v>
      </c>
      <c r="B10" s="5">
        <v>0</v>
      </c>
      <c r="C10" s="11">
        <f>StateSenatorSenateDistrict17General[[#This Row],[Part of Kings County Vote Results]]</f>
        <v>0</v>
      </c>
      <c r="D10" s="13"/>
    </row>
    <row r="11" spans="1:4" x14ac:dyDescent="0.2">
      <c r="A11" s="4" t="s">
        <v>2</v>
      </c>
      <c r="B11" s="5">
        <v>395</v>
      </c>
      <c r="C11" s="11">
        <f>StateSenatorSenateDistrict17General[[#This Row],[Part of Kings County Vote Results]]</f>
        <v>395</v>
      </c>
      <c r="D11" s="13"/>
    </row>
    <row r="12" spans="1:4" hidden="1" x14ac:dyDescent="0.2">
      <c r="A12" s="4" t="s">
        <v>3</v>
      </c>
      <c r="B12" s="6">
        <f>SUBTOTAL(109,StateSenatorSenateDistrict17General[Total Votes by Candidate])</f>
        <v>48888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4187-CC39-4C59-A5A9-4162D1705322}">
  <sheetPr>
    <pageSetUpPr fitToPage="1"/>
  </sheetPr>
  <dimension ref="A1:D7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179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180</v>
      </c>
      <c r="B3" s="3">
        <v>71329</v>
      </c>
      <c r="C3" s="11">
        <f>StateSenatorSenateDistrict18General[[#This Row],[Part of Kings County Vote Results]]</f>
        <v>71329</v>
      </c>
      <c r="D3" s="12">
        <f>StateSenatorSenateDistrict18General[[#This Row],[Total Votes by Party]]</f>
        <v>71329</v>
      </c>
    </row>
    <row r="4" spans="1:4" x14ac:dyDescent="0.2">
      <c r="A4" s="4" t="s">
        <v>0</v>
      </c>
      <c r="B4" s="5">
        <v>6610</v>
      </c>
      <c r="C4" s="11">
        <f>StateSenatorSenateDistrict18General[[#This Row],[Part of Kings County Vote Results]]</f>
        <v>6610</v>
      </c>
      <c r="D4" s="13"/>
    </row>
    <row r="5" spans="1:4" x14ac:dyDescent="0.2">
      <c r="A5" s="4" t="s">
        <v>1</v>
      </c>
      <c r="B5" s="5">
        <v>0</v>
      </c>
      <c r="C5" s="11">
        <f>StateSenatorSenateDistrict18General[[#This Row],[Part of Kings County Vote Results]]</f>
        <v>0</v>
      </c>
      <c r="D5" s="13"/>
    </row>
    <row r="6" spans="1:4" x14ac:dyDescent="0.2">
      <c r="A6" s="4" t="s">
        <v>2</v>
      </c>
      <c r="B6" s="5">
        <v>594</v>
      </c>
      <c r="C6" s="11">
        <f>StateSenatorSenateDistrict18General[[#This Row],[Part of Kings County Vote Results]]</f>
        <v>594</v>
      </c>
      <c r="D6" s="13"/>
    </row>
    <row r="7" spans="1:4" hidden="1" x14ac:dyDescent="0.2">
      <c r="A7" s="4" t="s">
        <v>3</v>
      </c>
      <c r="B7" s="6">
        <f>SUBTOTAL(109,StateSenatorSenateDistrict18General[Total Votes by Candidate])</f>
        <v>71329</v>
      </c>
      <c r="C7" s="11">
        <f>StateSenatorSenateDistrict17General[[#This Row],[Part of Kings County Vote Results]]</f>
        <v>524</v>
      </c>
      <c r="D7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FFAC-3318-4593-B434-10D96525573E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181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182</v>
      </c>
      <c r="B3" s="3">
        <v>68041</v>
      </c>
      <c r="C3" s="11">
        <f>StateSenatorSenateDistrict19General[[#This Row],[Part of Kings County Vote Results]]</f>
        <v>68041</v>
      </c>
      <c r="D3" s="12">
        <f>SUM(StateSenatorSenateDistrict19General[[#This Row],[Total Votes by Party]],C6)</f>
        <v>69320</v>
      </c>
    </row>
    <row r="4" spans="1:4" x14ac:dyDescent="0.2">
      <c r="A4" s="2" t="s">
        <v>183</v>
      </c>
      <c r="B4" s="3">
        <v>7117</v>
      </c>
      <c r="C4" s="11">
        <f>StateSenatorSenateDistrict19General[[#This Row],[Part of Kings County Vote Results]]</f>
        <v>7117</v>
      </c>
      <c r="D4" s="12">
        <f>SUM(StateSenatorSenateDistrict19General[[#This Row],[Total Votes by Party]],C5)</f>
        <v>7820</v>
      </c>
    </row>
    <row r="5" spans="1:4" x14ac:dyDescent="0.2">
      <c r="A5" s="2" t="s">
        <v>184</v>
      </c>
      <c r="B5" s="3">
        <v>703</v>
      </c>
      <c r="C5" s="11">
        <f>StateSenatorSenateDistrict19General[[#This Row],[Part of Kings County Vote Results]]</f>
        <v>703</v>
      </c>
      <c r="D5" s="13"/>
    </row>
    <row r="6" spans="1:4" x14ac:dyDescent="0.2">
      <c r="A6" s="2" t="s">
        <v>185</v>
      </c>
      <c r="B6" s="3">
        <v>1279</v>
      </c>
      <c r="C6" s="11">
        <f>StateSenatorSenateDistrict19General[[#This Row],[Part of Kings County Vote Results]]</f>
        <v>1279</v>
      </c>
      <c r="D6" s="13"/>
    </row>
    <row r="7" spans="1:4" x14ac:dyDescent="0.2">
      <c r="A7" s="4" t="s">
        <v>0</v>
      </c>
      <c r="B7" s="5">
        <v>2641</v>
      </c>
      <c r="C7" s="11">
        <f>StateSenatorSenateDistrict19General[[#This Row],[Part of Kings County Vote Results]]</f>
        <v>2641</v>
      </c>
      <c r="D7" s="13"/>
    </row>
    <row r="8" spans="1:4" x14ac:dyDescent="0.2">
      <c r="A8" s="4" t="s">
        <v>1</v>
      </c>
      <c r="B8" s="5">
        <v>0</v>
      </c>
      <c r="C8" s="11">
        <f>StateSenatorSenateDistrict19General[[#This Row],[Part of Kings County Vote Results]]</f>
        <v>0</v>
      </c>
      <c r="D8" s="13"/>
    </row>
    <row r="9" spans="1:4" x14ac:dyDescent="0.2">
      <c r="A9" s="4" t="s">
        <v>2</v>
      </c>
      <c r="B9" s="5">
        <v>56</v>
      </c>
      <c r="C9" s="11">
        <f>StateSenatorSenateDistrict19General[[#This Row],[Part of Kings County Vote Results]]</f>
        <v>56</v>
      </c>
      <c r="D9" s="13"/>
    </row>
    <row r="10" spans="1:4" hidden="1" x14ac:dyDescent="0.2">
      <c r="A10" s="4" t="s">
        <v>3</v>
      </c>
      <c r="B10" s="6">
        <f>SUBTOTAL(109,StateSenatorSenateDistrict19General[Total Votes by Candidate])</f>
        <v>77140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3E1A-3C60-4A1E-B0F8-0EA63F6FACEE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74</v>
      </c>
    </row>
    <row r="2" spans="1:4" ht="24.95" customHeight="1" x14ac:dyDescent="0.2">
      <c r="A2" s="7" t="s">
        <v>5</v>
      </c>
      <c r="B2" s="8" t="s">
        <v>6</v>
      </c>
      <c r="C2" s="9" t="s">
        <v>457</v>
      </c>
      <c r="D2" s="10" t="s">
        <v>4</v>
      </c>
    </row>
    <row r="3" spans="1:4" x14ac:dyDescent="0.2">
      <c r="A3" s="2" t="s">
        <v>75</v>
      </c>
      <c r="B3" s="3">
        <v>52861</v>
      </c>
      <c r="C3" s="11">
        <f>StateSenatorSenateDistrict2General[[#This Row],[Part of Suffolk County Vote Results]]</f>
        <v>52861</v>
      </c>
      <c r="D3" s="12">
        <f>SUM(StateSenatorSenateDistrict2General[[#This Row],[Total Votes by Party]],C7)</f>
        <v>54152</v>
      </c>
    </row>
    <row r="4" spans="1:4" x14ac:dyDescent="0.2">
      <c r="A4" s="2" t="s">
        <v>76</v>
      </c>
      <c r="B4" s="3">
        <v>57621</v>
      </c>
      <c r="C4" s="11">
        <f>StateSenatorSenateDistrict2General[[#This Row],[Part of Suffolk County Vote Results]]</f>
        <v>57621</v>
      </c>
      <c r="D4" s="12">
        <f>SUM(StateSenatorSenateDistrict2General[[#This Row],[Total Votes by Party]],C5,C6,C8)</f>
        <v>66054</v>
      </c>
    </row>
    <row r="5" spans="1:4" x14ac:dyDescent="0.2">
      <c r="A5" s="2" t="s">
        <v>77</v>
      </c>
      <c r="B5" s="3">
        <v>6682</v>
      </c>
      <c r="C5" s="11">
        <f>StateSenatorSenateDistrict2General[[#This Row],[Part of Suffolk County Vote Results]]</f>
        <v>6682</v>
      </c>
      <c r="D5" s="13"/>
    </row>
    <row r="6" spans="1:4" x14ac:dyDescent="0.2">
      <c r="A6" s="2" t="s">
        <v>78</v>
      </c>
      <c r="B6" s="3">
        <v>1524</v>
      </c>
      <c r="C6" s="11">
        <f>StateSenatorSenateDistrict2General[[#This Row],[Part of Suffolk County Vote Results]]</f>
        <v>1524</v>
      </c>
      <c r="D6" s="13"/>
    </row>
    <row r="7" spans="1:4" x14ac:dyDescent="0.2">
      <c r="A7" s="2" t="s">
        <v>79</v>
      </c>
      <c r="B7" s="3">
        <v>1291</v>
      </c>
      <c r="C7" s="11">
        <f>StateSenatorSenateDistrict2General[[#This Row],[Part of Suffolk County Vote Results]]</f>
        <v>1291</v>
      </c>
      <c r="D7" s="13"/>
    </row>
    <row r="8" spans="1:4" x14ac:dyDescent="0.2">
      <c r="A8" s="2" t="s">
        <v>80</v>
      </c>
      <c r="B8" s="3">
        <v>227</v>
      </c>
      <c r="C8" s="11">
        <f>StateSenatorSenateDistrict2General[[#This Row],[Part of Suffolk County Vote Results]]</f>
        <v>227</v>
      </c>
      <c r="D8" s="13"/>
    </row>
    <row r="9" spans="1:4" x14ac:dyDescent="0.2">
      <c r="A9" s="4" t="s">
        <v>0</v>
      </c>
      <c r="B9" s="5">
        <v>3215</v>
      </c>
      <c r="C9" s="11">
        <f>StateSenatorSenateDistrict2General[[#This Row],[Part of Suffolk County Vote Results]]</f>
        <v>3215</v>
      </c>
      <c r="D9" s="13"/>
    </row>
    <row r="10" spans="1:4" x14ac:dyDescent="0.2">
      <c r="A10" s="4" t="s">
        <v>1</v>
      </c>
      <c r="B10" s="5">
        <v>34</v>
      </c>
      <c r="C10" s="11">
        <f>StateSenatorSenateDistrict2General[[#This Row],[Part of Suffolk County Vote Results]]</f>
        <v>34</v>
      </c>
      <c r="D10" s="13"/>
    </row>
    <row r="11" spans="1:4" x14ac:dyDescent="0.2">
      <c r="A11" s="4" t="s">
        <v>2</v>
      </c>
      <c r="B11" s="5">
        <v>14</v>
      </c>
      <c r="C11" s="11">
        <f>StateSenatorSenateDistrict2General[[#This Row],[Part of Suffolk County Vote Results]]</f>
        <v>14</v>
      </c>
      <c r="D11" s="13"/>
    </row>
    <row r="12" spans="1:4" hidden="1" x14ac:dyDescent="0.2">
      <c r="A12" s="4" t="s">
        <v>3</v>
      </c>
      <c r="B12" s="6">
        <f>SUBTOTAL(109,StateSenatorSenateDistrict2General[Total Votes by Candidate])</f>
        <v>120206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509F-8569-406C-AAD5-EF0ABAFF12E2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186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187</v>
      </c>
      <c r="B3" s="3">
        <v>67683</v>
      </c>
      <c r="C3" s="11">
        <f>StateSenatorSenateDistrict20General[[#This Row],[Part of Kings County Vote Results]]</f>
        <v>67683</v>
      </c>
      <c r="D3" s="12">
        <f>SUM(StateSenatorSenateDistrict20General[[#This Row],[Total Votes by Party]],C4)</f>
        <v>73174</v>
      </c>
    </row>
    <row r="4" spans="1:4" x14ac:dyDescent="0.2">
      <c r="A4" s="2" t="s">
        <v>188</v>
      </c>
      <c r="B4" s="3">
        <v>5491</v>
      </c>
      <c r="C4" s="11">
        <f>StateSenatorSenateDistrict20General[[#This Row],[Part of Kings County Vote Results]]</f>
        <v>5491</v>
      </c>
      <c r="D4" s="13"/>
    </row>
    <row r="5" spans="1:4" x14ac:dyDescent="0.2">
      <c r="A5" s="2" t="s">
        <v>189</v>
      </c>
      <c r="B5" s="3">
        <v>4983</v>
      </c>
      <c r="C5" s="11">
        <f>StateSenatorSenateDistrict20General[[#This Row],[Part of Kings County Vote Results]]</f>
        <v>4983</v>
      </c>
      <c r="D5" s="12">
        <f>SUM(StateSenatorSenateDistrict20General[[#This Row],[Total Votes by Party]],C6)</f>
        <v>5728</v>
      </c>
    </row>
    <row r="6" spans="1:4" x14ac:dyDescent="0.2">
      <c r="A6" s="2" t="s">
        <v>190</v>
      </c>
      <c r="B6" s="3">
        <v>745</v>
      </c>
      <c r="C6" s="11">
        <f>StateSenatorSenateDistrict20General[[#This Row],[Part of Kings County Vote Results]]</f>
        <v>745</v>
      </c>
      <c r="D6" s="13"/>
    </row>
    <row r="7" spans="1:4" x14ac:dyDescent="0.2">
      <c r="A7" s="4" t="s">
        <v>0</v>
      </c>
      <c r="B7" s="5">
        <v>4328</v>
      </c>
      <c r="C7" s="11">
        <f>StateSenatorSenateDistrict20General[[#This Row],[Part of Kings County Vote Results]]</f>
        <v>4328</v>
      </c>
      <c r="D7" s="13"/>
    </row>
    <row r="8" spans="1:4" x14ac:dyDescent="0.2">
      <c r="A8" s="4" t="s">
        <v>1</v>
      </c>
      <c r="B8" s="5">
        <v>0</v>
      </c>
      <c r="C8" s="11">
        <f>StateSenatorSenateDistrict20General[[#This Row],[Part of Kings County Vote Results]]</f>
        <v>0</v>
      </c>
      <c r="D8" s="13"/>
    </row>
    <row r="9" spans="1:4" x14ac:dyDescent="0.2">
      <c r="A9" s="4" t="s">
        <v>2</v>
      </c>
      <c r="B9" s="5">
        <v>101</v>
      </c>
      <c r="C9" s="11">
        <f>StateSenatorSenateDistrict20General[[#This Row],[Part of Kings County Vote Results]]</f>
        <v>101</v>
      </c>
      <c r="D9" s="13"/>
    </row>
    <row r="10" spans="1:4" hidden="1" x14ac:dyDescent="0.2">
      <c r="A10" s="4" t="s">
        <v>3</v>
      </c>
      <c r="B10" s="6">
        <f>SUBTOTAL(109,StateSenatorSenateDistrict20General[Total Votes by Candidate])</f>
        <v>78902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51E8-5C57-4D28-BE5B-8BF645D5A246}">
  <sheetPr>
    <pageSetUpPr fitToPage="1"/>
  </sheetPr>
  <dimension ref="A1:D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191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192</v>
      </c>
      <c r="B3" s="3">
        <v>85830</v>
      </c>
      <c r="C3" s="11">
        <f>StateSenatorSenateDistrict21General[[#This Row],[Part of Kings County Vote Results]]</f>
        <v>85830</v>
      </c>
      <c r="D3" s="12">
        <f>SUM(StateSenatorSenateDistrict21General[[#This Row],[Total Votes by Party]],C5)</f>
        <v>94457</v>
      </c>
    </row>
    <row r="4" spans="1:4" x14ac:dyDescent="0.2">
      <c r="A4" s="2" t="s">
        <v>193</v>
      </c>
      <c r="B4" s="3">
        <v>2893</v>
      </c>
      <c r="C4" s="11">
        <f>StateSenatorSenateDistrict21General[[#This Row],[Part of Kings County Vote Results]]</f>
        <v>2893</v>
      </c>
      <c r="D4" s="12">
        <f>StateSenatorSenateDistrict21General[[#This Row],[Total Votes by Party]]</f>
        <v>2893</v>
      </c>
    </row>
    <row r="5" spans="1:4" x14ac:dyDescent="0.2">
      <c r="A5" s="2" t="s">
        <v>194</v>
      </c>
      <c r="B5" s="3">
        <v>8627</v>
      </c>
      <c r="C5" s="11">
        <f>StateSenatorSenateDistrict21General[[#This Row],[Part of Kings County Vote Results]]</f>
        <v>8627</v>
      </c>
      <c r="D5" s="13"/>
    </row>
    <row r="6" spans="1:4" x14ac:dyDescent="0.2">
      <c r="A6" s="4" t="s">
        <v>0</v>
      </c>
      <c r="B6" s="5">
        <v>3815</v>
      </c>
      <c r="C6" s="11">
        <f>StateSenatorSenateDistrict21General[[#This Row],[Part of Kings County Vote Results]]</f>
        <v>3815</v>
      </c>
      <c r="D6" s="13"/>
    </row>
    <row r="7" spans="1:4" x14ac:dyDescent="0.2">
      <c r="A7" s="4" t="s">
        <v>1</v>
      </c>
      <c r="B7" s="5">
        <v>0</v>
      </c>
      <c r="C7" s="11">
        <f>StateSenatorSenateDistrict21General[[#This Row],[Part of Kings County Vote Results]]</f>
        <v>0</v>
      </c>
      <c r="D7" s="13"/>
    </row>
    <row r="8" spans="1:4" x14ac:dyDescent="0.2">
      <c r="A8" s="4" t="s">
        <v>2</v>
      </c>
      <c r="B8" s="5">
        <v>132</v>
      </c>
      <c r="C8" s="11">
        <f>StateSenatorSenateDistrict21General[[#This Row],[Part of Kings County Vote Results]]</f>
        <v>132</v>
      </c>
      <c r="D8" s="13"/>
    </row>
    <row r="9" spans="1:4" hidden="1" x14ac:dyDescent="0.2">
      <c r="A9" s="4" t="s">
        <v>3</v>
      </c>
      <c r="B9" s="6">
        <f>SUBTOTAL(109,StateSenatorSenateDistrict21General[Total Votes by Candidate])</f>
        <v>97350</v>
      </c>
      <c r="C9" s="11">
        <f>StateSenatorSenateDistrict20General[[#This Row],[Part of Kings County Vote Results]]</f>
        <v>101</v>
      </c>
      <c r="D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79CB-C0A8-4394-A05C-AA6C1773FFF1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195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196</v>
      </c>
      <c r="B3" s="3">
        <v>31736</v>
      </c>
      <c r="C3" s="11">
        <f>StateSenatorSenateDistrict22General[[#This Row],[Part of Kings County Vote Results]]</f>
        <v>31736</v>
      </c>
      <c r="D3" s="12">
        <f>SUM(StateSenatorSenateDistrict22General[[#This Row],[Total Votes by Party]],C6,C8)</f>
        <v>33507</v>
      </c>
    </row>
    <row r="4" spans="1:4" x14ac:dyDescent="0.2">
      <c r="A4" s="2" t="s">
        <v>197</v>
      </c>
      <c r="B4" s="3">
        <v>28453</v>
      </c>
      <c r="C4" s="11">
        <f>StateSenatorSenateDistrict22General[[#This Row],[Part of Kings County Vote Results]]</f>
        <v>28453</v>
      </c>
      <c r="D4" s="12">
        <f>SUM(StateSenatorSenateDistrict22General[[#This Row],[Total Votes by Party]],C5,C7)</f>
        <v>32236</v>
      </c>
    </row>
    <row r="5" spans="1:4" x14ac:dyDescent="0.2">
      <c r="A5" s="2" t="s">
        <v>198</v>
      </c>
      <c r="B5" s="3">
        <v>2885</v>
      </c>
      <c r="C5" s="11">
        <f>StateSenatorSenateDistrict22General[[#This Row],[Part of Kings County Vote Results]]</f>
        <v>2885</v>
      </c>
      <c r="D5" s="13"/>
    </row>
    <row r="6" spans="1:4" x14ac:dyDescent="0.2">
      <c r="A6" s="2" t="s">
        <v>199</v>
      </c>
      <c r="B6" s="3">
        <v>1599</v>
      </c>
      <c r="C6" s="11">
        <f>StateSenatorSenateDistrict22General[[#This Row],[Part of Kings County Vote Results]]</f>
        <v>1599</v>
      </c>
      <c r="D6" s="13"/>
    </row>
    <row r="7" spans="1:4" x14ac:dyDescent="0.2">
      <c r="A7" s="2" t="s">
        <v>200</v>
      </c>
      <c r="B7" s="3">
        <v>898</v>
      </c>
      <c r="C7" s="11">
        <f>StateSenatorSenateDistrict22General[[#This Row],[Part of Kings County Vote Results]]</f>
        <v>898</v>
      </c>
      <c r="D7" s="13"/>
    </row>
    <row r="8" spans="1:4" x14ac:dyDescent="0.2">
      <c r="A8" s="2" t="s">
        <v>201</v>
      </c>
      <c r="B8" s="3">
        <v>172</v>
      </c>
      <c r="C8" s="11">
        <f>StateSenatorSenateDistrict22General[[#This Row],[Part of Kings County Vote Results]]</f>
        <v>172</v>
      </c>
      <c r="D8" s="13"/>
    </row>
    <row r="9" spans="1:4" x14ac:dyDescent="0.2">
      <c r="A9" s="4" t="s">
        <v>0</v>
      </c>
      <c r="B9" s="5">
        <v>1635</v>
      </c>
      <c r="C9" s="11">
        <f>StateSenatorSenateDistrict22General[[#This Row],[Part of Kings County Vote Results]]</f>
        <v>1635</v>
      </c>
      <c r="D9" s="13"/>
    </row>
    <row r="10" spans="1:4" x14ac:dyDescent="0.2">
      <c r="A10" s="4" t="s">
        <v>1</v>
      </c>
      <c r="B10" s="5">
        <v>0</v>
      </c>
      <c r="C10" s="11">
        <f>StateSenatorSenateDistrict22General[[#This Row],[Part of Kings County Vote Results]]</f>
        <v>0</v>
      </c>
      <c r="D10" s="13"/>
    </row>
    <row r="11" spans="1:4" x14ac:dyDescent="0.2">
      <c r="A11" s="4" t="s">
        <v>2</v>
      </c>
      <c r="B11" s="5">
        <v>61</v>
      </c>
      <c r="C11" s="11">
        <f>StateSenatorSenateDistrict22General[[#This Row],[Part of Kings County Vote Results]]</f>
        <v>61</v>
      </c>
      <c r="D11" s="13"/>
    </row>
    <row r="12" spans="1:4" hidden="1" x14ac:dyDescent="0.2">
      <c r="A12" s="4" t="s">
        <v>3</v>
      </c>
      <c r="B12" s="6">
        <f>SUBTOTAL(109,StateSenatorSenateDistrict22General[Total Votes by Candidate])</f>
        <v>65743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F96E-04FE-4EE3-A12F-3B23AECB1917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202</v>
      </c>
    </row>
    <row r="2" spans="1:5" ht="25.5" x14ac:dyDescent="0.2">
      <c r="A2" s="7" t="s">
        <v>5</v>
      </c>
      <c r="B2" s="8" t="s">
        <v>9</v>
      </c>
      <c r="C2" s="8" t="s">
        <v>10</v>
      </c>
      <c r="D2" s="9" t="s">
        <v>457</v>
      </c>
      <c r="E2" s="10" t="s">
        <v>4</v>
      </c>
    </row>
    <row r="3" spans="1:5" x14ac:dyDescent="0.2">
      <c r="A3" s="2" t="s">
        <v>203</v>
      </c>
      <c r="B3" s="3">
        <v>15835</v>
      </c>
      <c r="C3" s="3">
        <v>27594</v>
      </c>
      <c r="D3" s="11">
        <f>SUM(StateSenatorSenateDistrict23General[[#This Row],[Part of Kings County Vote Results]:[Part of Richmond County Vote Results]])</f>
        <v>43429</v>
      </c>
      <c r="E3" s="12">
        <f>SUM(StateSenatorSenateDistrict23General[[#This Row],[Total Votes by Party]],D7,D8,D9)</f>
        <v>44995</v>
      </c>
    </row>
    <row r="4" spans="1:5" x14ac:dyDescent="0.2">
      <c r="A4" s="2" t="s">
        <v>204</v>
      </c>
      <c r="B4" s="3">
        <v>10464</v>
      </c>
      <c r="C4" s="3">
        <v>6397</v>
      </c>
      <c r="D4" s="11">
        <f>SUM(StateSenatorSenateDistrict23General[[#This Row],[Part of Kings County Vote Results]:[Part of Richmond County Vote Results]])</f>
        <v>16861</v>
      </c>
      <c r="E4" s="12">
        <f>SUM(StateSenatorSenateDistrict23General[[#This Row],[Total Votes by Party]],D5)</f>
        <v>18084</v>
      </c>
    </row>
    <row r="5" spans="1:5" x14ac:dyDescent="0.2">
      <c r="A5" s="2" t="s">
        <v>205</v>
      </c>
      <c r="B5" s="3">
        <v>531</v>
      </c>
      <c r="C5" s="3">
        <v>692</v>
      </c>
      <c r="D5" s="11">
        <f>SUM(StateSenatorSenateDistrict23General[[#This Row],[Part of Kings County Vote Results]:[Part of Richmond County Vote Results]])</f>
        <v>1223</v>
      </c>
      <c r="E5" s="13"/>
    </row>
    <row r="6" spans="1:5" x14ac:dyDescent="0.2">
      <c r="A6" s="2" t="s">
        <v>206</v>
      </c>
      <c r="B6" s="3">
        <v>697</v>
      </c>
      <c r="C6" s="3">
        <v>1499</v>
      </c>
      <c r="D6" s="11">
        <f>SUM(StateSenatorSenateDistrict23General[[#This Row],[Part of Kings County Vote Results]:[Part of Richmond County Vote Results]])</f>
        <v>2196</v>
      </c>
      <c r="E6" s="12">
        <f>StateSenatorSenateDistrict23General[[#This Row],[Total Votes by Party]]</f>
        <v>2196</v>
      </c>
    </row>
    <row r="7" spans="1:5" x14ac:dyDescent="0.2">
      <c r="A7" s="2" t="s">
        <v>207</v>
      </c>
      <c r="B7" s="3">
        <v>340</v>
      </c>
      <c r="C7" s="3">
        <v>679</v>
      </c>
      <c r="D7" s="11">
        <f>SUM(StateSenatorSenateDistrict23General[[#This Row],[Part of Kings County Vote Results]:[Part of Richmond County Vote Results]])</f>
        <v>1019</v>
      </c>
      <c r="E7" s="13"/>
    </row>
    <row r="8" spans="1:5" x14ac:dyDescent="0.2">
      <c r="A8" s="2" t="s">
        <v>208</v>
      </c>
      <c r="B8" s="3">
        <v>114</v>
      </c>
      <c r="C8" s="3">
        <v>168</v>
      </c>
      <c r="D8" s="11">
        <f>SUM(StateSenatorSenateDistrict23General[[#This Row],[Part of Kings County Vote Results]:[Part of Richmond County Vote Results]])</f>
        <v>282</v>
      </c>
      <c r="E8" s="13"/>
    </row>
    <row r="9" spans="1:5" x14ac:dyDescent="0.2">
      <c r="A9" s="2" t="s">
        <v>209</v>
      </c>
      <c r="B9" s="3">
        <v>67</v>
      </c>
      <c r="C9" s="3">
        <v>198</v>
      </c>
      <c r="D9" s="11">
        <f>SUM(StateSenatorSenateDistrict23General[[#This Row],[Part of Kings County Vote Results]:[Part of Richmond County Vote Results]])</f>
        <v>265</v>
      </c>
      <c r="E9" s="13"/>
    </row>
    <row r="10" spans="1:5" x14ac:dyDescent="0.2">
      <c r="A10" s="4" t="s">
        <v>0</v>
      </c>
      <c r="B10" s="3">
        <v>1380</v>
      </c>
      <c r="C10" s="3">
        <v>1095</v>
      </c>
      <c r="D10" s="11">
        <f>SUM(StateSenatorSenateDistrict23General[[#This Row],[Part of Kings County Vote Results]:[Part of Richmond County Vote Results]])</f>
        <v>2475</v>
      </c>
      <c r="E10" s="13"/>
    </row>
    <row r="11" spans="1:5" x14ac:dyDescent="0.2">
      <c r="A11" s="4" t="s">
        <v>1</v>
      </c>
      <c r="B11" s="3">
        <v>0</v>
      </c>
      <c r="C11" s="3">
        <v>0</v>
      </c>
      <c r="D11" s="11">
        <f>SUM(StateSenatorSenateDistrict23General[[#This Row],[Part of Kings County Vote Results]:[Part of Richmond County Vote Results]])</f>
        <v>0</v>
      </c>
      <c r="E11" s="13"/>
    </row>
    <row r="12" spans="1:5" x14ac:dyDescent="0.2">
      <c r="A12" s="4" t="s">
        <v>2</v>
      </c>
      <c r="B12" s="5">
        <v>32</v>
      </c>
      <c r="C12" s="5">
        <v>43</v>
      </c>
      <c r="D12" s="11">
        <f>SUM(StateSenatorSenateDistrict23General[[#This Row],[Part of Kings County Vote Results]:[Part of Richmond County Vote Results]])</f>
        <v>75</v>
      </c>
      <c r="E12" s="13"/>
    </row>
    <row r="13" spans="1:5" hidden="1" x14ac:dyDescent="0.2">
      <c r="A13" s="4" t="s">
        <v>3</v>
      </c>
      <c r="B13" s="6">
        <f>SUBTOTAL(109,StateSenatorSenateDistrict23General[Part of Kings County Vote Results])</f>
        <v>29460</v>
      </c>
      <c r="C13" s="6">
        <f>SUBTOTAL(109,StateSenatorSenateDistrict23General[Part of Richmond County Vote Results])</f>
        <v>38365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E8A4-CC6A-427A-BA53-26F601D432E9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210</v>
      </c>
    </row>
    <row r="2" spans="1:4" ht="25.5" x14ac:dyDescent="0.2">
      <c r="A2" s="7" t="s">
        <v>5</v>
      </c>
      <c r="B2" s="8" t="s">
        <v>10</v>
      </c>
      <c r="C2" s="9" t="s">
        <v>457</v>
      </c>
      <c r="D2" s="10" t="s">
        <v>4</v>
      </c>
    </row>
    <row r="3" spans="1:4" x14ac:dyDescent="0.2">
      <c r="A3" s="2" t="s">
        <v>452</v>
      </c>
      <c r="B3" s="3">
        <v>65185</v>
      </c>
      <c r="C3" s="11">
        <f>StateSenatorSenateDistrict24General[[#This Row],[Part of Richmond County Vote Results]]</f>
        <v>65185</v>
      </c>
      <c r="D3" s="12">
        <f>SUM(StateSenatorSenateDistrict24General[[#This Row],[Total Votes by Party]],C4,C5,C6)</f>
        <v>80153</v>
      </c>
    </row>
    <row r="4" spans="1:4" x14ac:dyDescent="0.2">
      <c r="A4" s="2" t="s">
        <v>211</v>
      </c>
      <c r="B4" s="3">
        <v>6561</v>
      </c>
      <c r="C4" s="11">
        <f>StateSenatorSenateDistrict24General[[#This Row],[Part of Richmond County Vote Results]]</f>
        <v>6561</v>
      </c>
      <c r="D4" s="13"/>
    </row>
    <row r="5" spans="1:4" x14ac:dyDescent="0.2">
      <c r="A5" s="2" t="s">
        <v>212</v>
      </c>
      <c r="B5" s="3">
        <v>6238</v>
      </c>
      <c r="C5" s="11">
        <f>StateSenatorSenateDistrict24General[[#This Row],[Part of Richmond County Vote Results]]</f>
        <v>6238</v>
      </c>
      <c r="D5" s="13"/>
    </row>
    <row r="6" spans="1:4" x14ac:dyDescent="0.2">
      <c r="A6" s="2" t="s">
        <v>213</v>
      </c>
      <c r="B6" s="3">
        <v>2169</v>
      </c>
      <c r="C6" s="11">
        <f>StateSenatorSenateDistrict24General[[#This Row],[Part of Richmond County Vote Results]]</f>
        <v>2169</v>
      </c>
      <c r="D6" s="13"/>
    </row>
    <row r="7" spans="1:4" x14ac:dyDescent="0.2">
      <c r="A7" s="4" t="s">
        <v>0</v>
      </c>
      <c r="B7" s="5">
        <v>20817</v>
      </c>
      <c r="C7" s="11">
        <f>StateSenatorSenateDistrict24General[[#This Row],[Part of Richmond County Vote Results]]</f>
        <v>20817</v>
      </c>
      <c r="D7" s="13"/>
    </row>
    <row r="8" spans="1:4" x14ac:dyDescent="0.2">
      <c r="A8" s="4" t="s">
        <v>1</v>
      </c>
      <c r="B8" s="5">
        <v>0</v>
      </c>
      <c r="C8" s="11">
        <f>StateSenatorSenateDistrict24General[[#This Row],[Part of Richmond County Vote Results]]</f>
        <v>0</v>
      </c>
      <c r="D8" s="13"/>
    </row>
    <row r="9" spans="1:4" x14ac:dyDescent="0.2">
      <c r="A9" s="4" t="s">
        <v>2</v>
      </c>
      <c r="B9" s="5">
        <v>1183</v>
      </c>
      <c r="C9" s="11">
        <f>StateSenatorSenateDistrict24General[[#This Row],[Part of Richmond County Vote Results]]</f>
        <v>1183</v>
      </c>
      <c r="D9" s="13"/>
    </row>
    <row r="10" spans="1:4" hidden="1" x14ac:dyDescent="0.2">
      <c r="A10" s="4" t="s">
        <v>3</v>
      </c>
      <c r="B10" s="6">
        <f>SUBTOTAL(109,StateSenatorSenateDistrict24General[Total Votes by Candidate])</f>
        <v>80153</v>
      </c>
      <c r="C10" s="11">
        <f>SUM(StateSenatorSenateDistrict23General[[#This Row],[Part of Kings County Vote Results]:[Part of Richmond County Vote Results]])</f>
        <v>2475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3C20-63D5-45B8-942D-5D76C413439D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6.42578125" customWidth="1"/>
    <col min="2" max="4" width="20.5703125" customWidth="1"/>
    <col min="5" max="6" width="23.5703125" customWidth="1"/>
  </cols>
  <sheetData>
    <row r="1" spans="1:4" ht="18.75" x14ac:dyDescent="0.2">
      <c r="A1" s="1" t="s">
        <v>214</v>
      </c>
    </row>
    <row r="2" spans="1:4" ht="25.5" x14ac:dyDescent="0.2">
      <c r="A2" s="7" t="s">
        <v>5</v>
      </c>
      <c r="B2" s="8" t="s">
        <v>9</v>
      </c>
      <c r="C2" s="9" t="s">
        <v>457</v>
      </c>
      <c r="D2" s="10" t="s">
        <v>4</v>
      </c>
    </row>
    <row r="3" spans="1:4" x14ac:dyDescent="0.2">
      <c r="A3" s="2" t="s">
        <v>215</v>
      </c>
      <c r="B3" s="3">
        <v>99071</v>
      </c>
      <c r="C3" s="11">
        <f>StateSenatorSenateDistrict25General[[#This Row],[Part of Kings County Vote Results]]</f>
        <v>99071</v>
      </c>
      <c r="D3" s="12">
        <f>SUM(StateSenatorSenateDistrict25General[[#This Row],[Total Votes by Party]],C4)</f>
        <v>110175</v>
      </c>
    </row>
    <row r="4" spans="1:4" x14ac:dyDescent="0.2">
      <c r="A4" s="2" t="s">
        <v>216</v>
      </c>
      <c r="B4" s="3">
        <v>11104</v>
      </c>
      <c r="C4" s="11">
        <f>StateSenatorSenateDistrict25General[[#This Row],[Part of Kings County Vote Results]]</f>
        <v>11104</v>
      </c>
      <c r="D4" s="13"/>
    </row>
    <row r="5" spans="1:4" x14ac:dyDescent="0.2">
      <c r="A5" s="4" t="s">
        <v>0</v>
      </c>
      <c r="B5" s="5">
        <v>5589</v>
      </c>
      <c r="C5" s="11">
        <f>StateSenatorSenateDistrict25General[[#This Row],[Part of Kings County Vote Results]]</f>
        <v>5589</v>
      </c>
      <c r="D5" s="13"/>
    </row>
    <row r="6" spans="1:4" x14ac:dyDescent="0.2">
      <c r="A6" s="4" t="s">
        <v>1</v>
      </c>
      <c r="B6" s="5">
        <v>0</v>
      </c>
      <c r="C6" s="11">
        <f>StateSenatorSenateDistrict25General[[#This Row],[Part of Kings County Vote Results]]</f>
        <v>0</v>
      </c>
      <c r="D6" s="13"/>
    </row>
    <row r="7" spans="1:4" x14ac:dyDescent="0.2">
      <c r="A7" s="4" t="s">
        <v>2</v>
      </c>
      <c r="B7" s="5">
        <v>343</v>
      </c>
      <c r="C7" s="11">
        <f>StateSenatorSenateDistrict25General[[#This Row],[Part of Kings County Vote Results]]</f>
        <v>343</v>
      </c>
      <c r="D7" s="13"/>
    </row>
    <row r="8" spans="1:4" hidden="1" x14ac:dyDescent="0.2">
      <c r="A8" s="4" t="s">
        <v>3</v>
      </c>
      <c r="B8" s="6">
        <f>SUBTOTAL(109,StateSenatorSenateDistrict25General[Total Votes by Candidate])</f>
        <v>110175</v>
      </c>
      <c r="C8" s="11">
        <f>StateSenatorSenateDistrict24General[[#This Row],[Part of Richmond County Vote Results]]</f>
        <v>0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120F-CA5B-47E1-99FD-3A9433FC757B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217</v>
      </c>
    </row>
    <row r="2" spans="1:5" ht="25.5" x14ac:dyDescent="0.2">
      <c r="A2" s="7" t="s">
        <v>5</v>
      </c>
      <c r="B2" s="8" t="s">
        <v>9</v>
      </c>
      <c r="C2" s="8" t="s">
        <v>11</v>
      </c>
      <c r="D2" s="9" t="s">
        <v>457</v>
      </c>
      <c r="E2" s="10" t="s">
        <v>4</v>
      </c>
    </row>
    <row r="3" spans="1:5" x14ac:dyDescent="0.2">
      <c r="A3" s="2" t="s">
        <v>218</v>
      </c>
      <c r="B3" s="3">
        <v>29536</v>
      </c>
      <c r="C3" s="3">
        <v>44204</v>
      </c>
      <c r="D3" s="11">
        <f>SUM(StateSenatorSenateDistrict26General[[#This Row],[Part of Kings County Vote Results]:[Part of New York County Vote Results]])</f>
        <v>73740</v>
      </c>
      <c r="E3" s="12">
        <f>SUM(StateSenatorSenateDistrict26General[[#This Row],[Total Votes by Party]],D6)</f>
        <v>80113</v>
      </c>
    </row>
    <row r="4" spans="1:5" x14ac:dyDescent="0.2">
      <c r="A4" s="2" t="s">
        <v>219</v>
      </c>
      <c r="B4" s="3">
        <v>3008</v>
      </c>
      <c r="C4" s="3">
        <v>6607</v>
      </c>
      <c r="D4" s="11">
        <f>SUM(StateSenatorSenateDistrict26General[[#This Row],[Part of Kings County Vote Results]:[Part of New York County Vote Results]])</f>
        <v>9615</v>
      </c>
      <c r="E4" s="12">
        <f>SUM(StateSenatorSenateDistrict26General[[#This Row],[Total Votes by Party]],D7)</f>
        <v>10145</v>
      </c>
    </row>
    <row r="5" spans="1:5" x14ac:dyDescent="0.2">
      <c r="A5" s="2" t="s">
        <v>220</v>
      </c>
      <c r="B5" s="3">
        <v>375</v>
      </c>
      <c r="C5" s="3">
        <v>538</v>
      </c>
      <c r="D5" s="11">
        <f>SUM(StateSenatorSenateDistrict26General[[#This Row],[Part of Kings County Vote Results]:[Part of New York County Vote Results]])</f>
        <v>913</v>
      </c>
      <c r="E5" s="12">
        <f>StateSenatorSenateDistrict26General[[#This Row],[Total Votes by Party]]</f>
        <v>913</v>
      </c>
    </row>
    <row r="6" spans="1:5" x14ac:dyDescent="0.2">
      <c r="A6" s="2" t="s">
        <v>221</v>
      </c>
      <c r="B6" s="3">
        <v>3647</v>
      </c>
      <c r="C6" s="3">
        <v>2726</v>
      </c>
      <c r="D6" s="11">
        <f>SUM(StateSenatorSenateDistrict26General[[#This Row],[Part of Kings County Vote Results]:[Part of New York County Vote Results]])</f>
        <v>6373</v>
      </c>
      <c r="E6" s="13"/>
    </row>
    <row r="7" spans="1:5" x14ac:dyDescent="0.2">
      <c r="A7" s="2" t="s">
        <v>222</v>
      </c>
      <c r="B7" s="3">
        <v>186</v>
      </c>
      <c r="C7" s="3">
        <v>344</v>
      </c>
      <c r="D7" s="11">
        <f>SUM(StateSenatorSenateDistrict26General[[#This Row],[Part of Kings County Vote Results]:[Part of New York County Vote Results]])</f>
        <v>530</v>
      </c>
      <c r="E7" s="13"/>
    </row>
    <row r="8" spans="1:5" x14ac:dyDescent="0.2">
      <c r="A8" s="4" t="s">
        <v>0</v>
      </c>
      <c r="B8" s="3">
        <v>1228</v>
      </c>
      <c r="C8" s="3">
        <v>2841</v>
      </c>
      <c r="D8" s="11">
        <f>SUM(StateSenatorSenateDistrict26General[[#This Row],[Part of Kings County Vote Results]:[Part of New York County Vote Results]])</f>
        <v>4069</v>
      </c>
      <c r="E8" s="13"/>
    </row>
    <row r="9" spans="1:5" x14ac:dyDescent="0.2">
      <c r="A9" s="4" t="s">
        <v>1</v>
      </c>
      <c r="B9" s="3">
        <v>0</v>
      </c>
      <c r="C9" s="3">
        <v>0</v>
      </c>
      <c r="D9" s="11">
        <f>SUM(StateSenatorSenateDistrict26General[[#This Row],[Part of Kings County Vote Results]:[Part of New York County Vote Results]])</f>
        <v>0</v>
      </c>
      <c r="E9" s="13"/>
    </row>
    <row r="10" spans="1:5" x14ac:dyDescent="0.2">
      <c r="A10" s="4" t="s">
        <v>2</v>
      </c>
      <c r="B10" s="5">
        <v>48</v>
      </c>
      <c r="C10" s="5">
        <v>91</v>
      </c>
      <c r="D10" s="11">
        <f>SUM(StateSenatorSenateDistrict26General[[#This Row],[Part of Kings County Vote Results]:[Part of New York County Vote Results]])</f>
        <v>139</v>
      </c>
      <c r="E10" s="13"/>
    </row>
    <row r="11" spans="1:5" hidden="1" x14ac:dyDescent="0.2">
      <c r="A11" s="4" t="s">
        <v>3</v>
      </c>
      <c r="B11" s="6">
        <f>SUBTOTAL(109,StateSenatorSenateDistrict26General[Part of Kings County Vote Results])</f>
        <v>38028</v>
      </c>
      <c r="C11" s="6">
        <f>SUBTOTAL(109,StateSenatorSenateDistrict26General[Part of New York County Vote Results])</f>
        <v>57351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8EEA-5405-4776-9D74-2DA344643538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223</v>
      </c>
    </row>
    <row r="2" spans="1:4" ht="25.5" x14ac:dyDescent="0.2">
      <c r="A2" s="7" t="s">
        <v>5</v>
      </c>
      <c r="B2" s="8" t="s">
        <v>11</v>
      </c>
      <c r="C2" s="9" t="s">
        <v>457</v>
      </c>
      <c r="D2" s="10" t="s">
        <v>4</v>
      </c>
    </row>
    <row r="3" spans="1:4" x14ac:dyDescent="0.2">
      <c r="A3" s="2" t="s">
        <v>224</v>
      </c>
      <c r="B3" s="3">
        <v>99229</v>
      </c>
      <c r="C3" s="11">
        <f>StateSenatorSenateDistrict27General[[#This Row],[Part of New York County Vote Results]]</f>
        <v>99229</v>
      </c>
      <c r="D3" s="12">
        <f>SUM(StateSenatorSenateDistrict27General[[#This Row],[Total Votes by Party]],C4)</f>
        <v>107233</v>
      </c>
    </row>
    <row r="4" spans="1:4" x14ac:dyDescent="0.2">
      <c r="A4" s="2" t="s">
        <v>225</v>
      </c>
      <c r="B4" s="3">
        <v>8004</v>
      </c>
      <c r="C4" s="11">
        <f>StateSenatorSenateDistrict27General[[#This Row],[Part of New York County Vote Results]]</f>
        <v>8004</v>
      </c>
      <c r="D4" s="13"/>
    </row>
    <row r="5" spans="1:4" x14ac:dyDescent="0.2">
      <c r="A5" s="4" t="s">
        <v>0</v>
      </c>
      <c r="B5" s="5">
        <v>11376</v>
      </c>
      <c r="C5" s="11">
        <f>StateSenatorSenateDistrict27General[[#This Row],[Part of New York County Vote Results]]</f>
        <v>11376</v>
      </c>
      <c r="D5" s="13"/>
    </row>
    <row r="6" spans="1:4" x14ac:dyDescent="0.2">
      <c r="A6" s="4" t="s">
        <v>1</v>
      </c>
      <c r="B6" s="5">
        <v>0</v>
      </c>
      <c r="C6" s="11">
        <f>StateSenatorSenateDistrict27General[[#This Row],[Part of New York County Vote Results]]</f>
        <v>0</v>
      </c>
      <c r="D6" s="13"/>
    </row>
    <row r="7" spans="1:4" x14ac:dyDescent="0.2">
      <c r="A7" s="4" t="s">
        <v>2</v>
      </c>
      <c r="B7" s="5">
        <v>887</v>
      </c>
      <c r="C7" s="11">
        <f>StateSenatorSenateDistrict27General[[#This Row],[Part of New York County Vote Results]]</f>
        <v>887</v>
      </c>
      <c r="D7" s="13"/>
    </row>
    <row r="8" spans="1:4" hidden="1" x14ac:dyDescent="0.2">
      <c r="A8" s="4" t="s">
        <v>3</v>
      </c>
      <c r="B8" s="6">
        <f>SUBTOTAL(109,StateSenatorSenateDistrict27General[Total Votes by Candidate])</f>
        <v>107233</v>
      </c>
      <c r="C8" s="11">
        <f>SUM(StateSenatorSenateDistrict26General[[#This Row],[Part of Kings County Vote Results]:[Part of New York County Vote Results]])</f>
        <v>4069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F8F5-A8BB-4BAD-89F8-1E401B8DEC53}">
  <sheetPr>
    <pageSetUpPr fitToPage="1"/>
  </sheetPr>
  <dimension ref="A1:D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226</v>
      </c>
    </row>
    <row r="2" spans="1:4" ht="25.5" x14ac:dyDescent="0.2">
      <c r="A2" s="7" t="s">
        <v>5</v>
      </c>
      <c r="B2" s="8" t="s">
        <v>11</v>
      </c>
      <c r="C2" s="9" t="s">
        <v>457</v>
      </c>
      <c r="D2" s="10" t="s">
        <v>4</v>
      </c>
    </row>
    <row r="3" spans="1:4" x14ac:dyDescent="0.2">
      <c r="A3" s="2" t="s">
        <v>227</v>
      </c>
      <c r="B3" s="3">
        <v>90487</v>
      </c>
      <c r="C3" s="11">
        <f>StateSenatorSenateDistrict28General[[#This Row],[Part of New York County Vote Results]]</f>
        <v>90487</v>
      </c>
      <c r="D3" s="12">
        <f>SUM(StateSenatorSenateDistrict28General[[#This Row],[Total Votes by Party]],C5)</f>
        <v>93280</v>
      </c>
    </row>
    <row r="4" spans="1:4" x14ac:dyDescent="0.2">
      <c r="A4" s="2" t="s">
        <v>228</v>
      </c>
      <c r="B4" s="3">
        <v>19551</v>
      </c>
      <c r="C4" s="11">
        <f>StateSenatorSenateDistrict28General[[#This Row],[Part of New York County Vote Results]]</f>
        <v>19551</v>
      </c>
      <c r="D4" s="12">
        <f>SUM(StateSenatorSenateDistrict28General[[#This Row],[Total Votes by Party]],C6,C7,C8)</f>
        <v>20763</v>
      </c>
    </row>
    <row r="5" spans="1:4" x14ac:dyDescent="0.2">
      <c r="A5" s="2" t="s">
        <v>229</v>
      </c>
      <c r="B5" s="3">
        <v>2793</v>
      </c>
      <c r="C5" s="11">
        <f>StateSenatorSenateDistrict28General[[#This Row],[Part of New York County Vote Results]]</f>
        <v>2793</v>
      </c>
      <c r="D5" s="13"/>
    </row>
    <row r="6" spans="1:4" x14ac:dyDescent="0.2">
      <c r="A6" s="2" t="s">
        <v>230</v>
      </c>
      <c r="B6" s="3">
        <v>703</v>
      </c>
      <c r="C6" s="11">
        <f>StateSenatorSenateDistrict28General[[#This Row],[Part of New York County Vote Results]]</f>
        <v>703</v>
      </c>
      <c r="D6" s="13"/>
    </row>
    <row r="7" spans="1:4" x14ac:dyDescent="0.2">
      <c r="A7" s="2" t="s">
        <v>231</v>
      </c>
      <c r="B7" s="3">
        <v>94</v>
      </c>
      <c r="C7" s="11">
        <f>StateSenatorSenateDistrict28General[[#This Row],[Part of New York County Vote Results]]</f>
        <v>94</v>
      </c>
      <c r="D7" s="13"/>
    </row>
    <row r="8" spans="1:4" x14ac:dyDescent="0.2">
      <c r="A8" s="2" t="s">
        <v>232</v>
      </c>
      <c r="B8" s="3">
        <v>415</v>
      </c>
      <c r="C8" s="11">
        <f>StateSenatorSenateDistrict28General[[#This Row],[Part of New York County Vote Results]]</f>
        <v>415</v>
      </c>
      <c r="D8" s="13"/>
    </row>
    <row r="9" spans="1:4" x14ac:dyDescent="0.2">
      <c r="A9" s="4" t="s">
        <v>0</v>
      </c>
      <c r="B9" s="5">
        <v>2689</v>
      </c>
      <c r="C9" s="11">
        <f>StateSenatorSenateDistrict28General[[#This Row],[Part of New York County Vote Results]]</f>
        <v>2689</v>
      </c>
      <c r="D9" s="13"/>
    </row>
    <row r="10" spans="1:4" x14ac:dyDescent="0.2">
      <c r="A10" s="4" t="s">
        <v>1</v>
      </c>
      <c r="B10" s="5">
        <v>0</v>
      </c>
      <c r="C10" s="11">
        <f>StateSenatorSenateDistrict28General[[#This Row],[Part of New York County Vote Results]]</f>
        <v>0</v>
      </c>
      <c r="D10" s="13"/>
    </row>
    <row r="11" spans="1:4" x14ac:dyDescent="0.2">
      <c r="A11" s="4" t="s">
        <v>2</v>
      </c>
      <c r="B11" s="5">
        <v>57</v>
      </c>
      <c r="C11" s="11">
        <f>StateSenatorSenateDistrict28General[[#This Row],[Part of New York County Vote Results]]</f>
        <v>57</v>
      </c>
      <c r="D11" s="13"/>
    </row>
    <row r="12" spans="1:4" hidden="1" x14ac:dyDescent="0.2">
      <c r="A12" s="4" t="s">
        <v>3</v>
      </c>
      <c r="B12" s="6">
        <f>SUBTOTAL(109,StateSenatorSenateDistrict28General[Total Votes by Candidate])</f>
        <v>114043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8B74-B379-48B1-8E3C-2F2CFAB9475D}">
  <sheetPr>
    <pageSetUpPr fitToPage="1"/>
  </sheetPr>
  <dimension ref="A1:E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233</v>
      </c>
    </row>
    <row r="2" spans="1:5" ht="25.5" x14ac:dyDescent="0.2">
      <c r="A2" s="7" t="s">
        <v>5</v>
      </c>
      <c r="B2" s="8" t="s">
        <v>12</v>
      </c>
      <c r="C2" s="8" t="s">
        <v>11</v>
      </c>
      <c r="D2" s="9" t="s">
        <v>457</v>
      </c>
      <c r="E2" s="10" t="s">
        <v>4</v>
      </c>
    </row>
    <row r="3" spans="1:5" x14ac:dyDescent="0.2">
      <c r="A3" s="2" t="s">
        <v>234</v>
      </c>
      <c r="B3" s="3">
        <v>33709</v>
      </c>
      <c r="C3" s="3">
        <v>34972</v>
      </c>
      <c r="D3" s="11">
        <f>SUM(StateSenatorSenateDistrict29General[[#This Row],[Part of Bronx County Vote Results]:[Part of New York County Vote Results]])</f>
        <v>68681</v>
      </c>
      <c r="E3" s="12">
        <f>StateSenatorSenateDistrict29General[[#This Row],[Total Votes by Party]]</f>
        <v>68681</v>
      </c>
    </row>
    <row r="4" spans="1:5" x14ac:dyDescent="0.2">
      <c r="A4" s="2" t="s">
        <v>235</v>
      </c>
      <c r="B4" s="3">
        <v>1370</v>
      </c>
      <c r="C4" s="3">
        <v>3867</v>
      </c>
      <c r="D4" s="11">
        <f>SUM(StateSenatorSenateDistrict29General[[#This Row],[Part of Bronx County Vote Results]:[Part of New York County Vote Results]])</f>
        <v>5237</v>
      </c>
      <c r="E4" s="12">
        <f>StateSenatorSenateDistrict29General[[#This Row],[Total Votes by Party]]</f>
        <v>5237</v>
      </c>
    </row>
    <row r="5" spans="1:5" x14ac:dyDescent="0.2">
      <c r="A5" s="4" t="s">
        <v>0</v>
      </c>
      <c r="B5" s="3">
        <v>2129</v>
      </c>
      <c r="C5" s="3">
        <v>1545</v>
      </c>
      <c r="D5" s="11">
        <f>SUM(StateSenatorSenateDistrict29General[[#This Row],[Part of Bronx County Vote Results]:[Part of New York County Vote Results]])</f>
        <v>3674</v>
      </c>
      <c r="E5" s="13"/>
    </row>
    <row r="6" spans="1:5" x14ac:dyDescent="0.2">
      <c r="A6" s="4" t="s">
        <v>1</v>
      </c>
      <c r="B6" s="3">
        <v>0</v>
      </c>
      <c r="C6" s="3">
        <v>0</v>
      </c>
      <c r="D6" s="11">
        <f>SUM(StateSenatorSenateDistrict29General[[#This Row],[Part of Bronx County Vote Results]:[Part of New York County Vote Results]])</f>
        <v>0</v>
      </c>
      <c r="E6" s="13"/>
    </row>
    <row r="7" spans="1:5" x14ac:dyDescent="0.2">
      <c r="A7" s="4" t="s">
        <v>2</v>
      </c>
      <c r="B7" s="5">
        <v>24</v>
      </c>
      <c r="C7" s="5">
        <v>54</v>
      </c>
      <c r="D7" s="11">
        <f>SUM(StateSenatorSenateDistrict29General[[#This Row],[Part of Bronx County Vote Results]:[Part of New York County Vote Results]])</f>
        <v>78</v>
      </c>
      <c r="E7" s="13"/>
    </row>
    <row r="8" spans="1:5" hidden="1" x14ac:dyDescent="0.2">
      <c r="A8" s="4" t="s">
        <v>3</v>
      </c>
      <c r="B8" s="6">
        <f>SUBTOTAL(109,StateSenatorSenateDistrict29General[Part of Bronx County Vote Results])</f>
        <v>37232</v>
      </c>
      <c r="C8" s="6">
        <f>SUBTOTAL(109,StateSenatorSenateDistrict29General[Part of New York County Vote Results])</f>
        <v>40438</v>
      </c>
      <c r="D8" s="11">
        <f>StateSenatorSenateDistrict28General[[#This Row],[Part of New York County Vote Results]]</f>
        <v>415</v>
      </c>
      <c r="E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25C8-2E9E-483E-AB53-755406BC8019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81</v>
      </c>
    </row>
    <row r="2" spans="1:4" ht="24.95" customHeight="1" x14ac:dyDescent="0.2">
      <c r="A2" s="7" t="s">
        <v>5</v>
      </c>
      <c r="B2" s="8" t="s">
        <v>6</v>
      </c>
      <c r="C2" s="9" t="s">
        <v>457</v>
      </c>
      <c r="D2" s="10" t="s">
        <v>4</v>
      </c>
    </row>
    <row r="3" spans="1:4" x14ac:dyDescent="0.2">
      <c r="A3" s="2" t="s">
        <v>82</v>
      </c>
      <c r="B3" s="3">
        <v>46967</v>
      </c>
      <c r="C3" s="11">
        <f>StateSenatorSenateDistrict3General[[#This Row],[Part of Suffolk County Vote Results]]</f>
        <v>46967</v>
      </c>
      <c r="D3" s="12">
        <f>SUM(StateSenatorSenateDistrict3General[[#This Row],[Total Votes by Party]],C6,C8)</f>
        <v>49160</v>
      </c>
    </row>
    <row r="4" spans="1:4" x14ac:dyDescent="0.2">
      <c r="A4" s="2" t="s">
        <v>83</v>
      </c>
      <c r="B4" s="3">
        <v>40195</v>
      </c>
      <c r="C4" s="11">
        <f>StateSenatorSenateDistrict3General[[#This Row],[Part of Suffolk County Vote Results]]</f>
        <v>40195</v>
      </c>
      <c r="D4" s="12">
        <f>SUM(StateSenatorSenateDistrict3General[[#This Row],[Total Votes by Party]],C5,C7,C9)</f>
        <v>46164</v>
      </c>
    </row>
    <row r="5" spans="1:4" x14ac:dyDescent="0.2">
      <c r="A5" s="2" t="s">
        <v>84</v>
      </c>
      <c r="B5" s="3">
        <v>4798</v>
      </c>
      <c r="C5" s="11">
        <f>StateSenatorSenateDistrict3General[[#This Row],[Part of Suffolk County Vote Results]]</f>
        <v>4798</v>
      </c>
      <c r="D5" s="13"/>
    </row>
    <row r="6" spans="1:4" x14ac:dyDescent="0.2">
      <c r="A6" s="2" t="s">
        <v>85</v>
      </c>
      <c r="B6" s="3">
        <v>1428</v>
      </c>
      <c r="C6" s="11">
        <f>StateSenatorSenateDistrict3General[[#This Row],[Part of Suffolk County Vote Results]]</f>
        <v>1428</v>
      </c>
      <c r="D6" s="13"/>
    </row>
    <row r="7" spans="1:4" x14ac:dyDescent="0.2">
      <c r="A7" s="2" t="s">
        <v>86</v>
      </c>
      <c r="B7" s="3">
        <v>960</v>
      </c>
      <c r="C7" s="11">
        <f>StateSenatorSenateDistrict3General[[#This Row],[Part of Suffolk County Vote Results]]</f>
        <v>960</v>
      </c>
      <c r="D7" s="13"/>
    </row>
    <row r="8" spans="1:4" x14ac:dyDescent="0.2">
      <c r="A8" s="2" t="s">
        <v>87</v>
      </c>
      <c r="B8" s="3">
        <v>765</v>
      </c>
      <c r="C8" s="11">
        <f>StateSenatorSenateDistrict3General[[#This Row],[Part of Suffolk County Vote Results]]</f>
        <v>765</v>
      </c>
      <c r="D8" s="13"/>
    </row>
    <row r="9" spans="1:4" x14ac:dyDescent="0.2">
      <c r="A9" s="2" t="s">
        <v>88</v>
      </c>
      <c r="B9" s="3">
        <v>211</v>
      </c>
      <c r="C9" s="11">
        <f>StateSenatorSenateDistrict3General[[#This Row],[Part of Suffolk County Vote Results]]</f>
        <v>211</v>
      </c>
      <c r="D9" s="13"/>
    </row>
    <row r="10" spans="1:4" x14ac:dyDescent="0.2">
      <c r="A10" s="4" t="s">
        <v>0</v>
      </c>
      <c r="B10" s="5">
        <v>2237</v>
      </c>
      <c r="C10" s="11">
        <f>StateSenatorSenateDistrict3General[[#This Row],[Part of Suffolk County Vote Results]]</f>
        <v>2237</v>
      </c>
      <c r="D10" s="13"/>
    </row>
    <row r="11" spans="1:4" x14ac:dyDescent="0.2">
      <c r="A11" s="4" t="s">
        <v>1</v>
      </c>
      <c r="B11" s="5">
        <v>17</v>
      </c>
      <c r="C11" s="11">
        <f>StateSenatorSenateDistrict3General[[#This Row],[Part of Suffolk County Vote Results]]</f>
        <v>17</v>
      </c>
      <c r="D11" s="13"/>
    </row>
    <row r="12" spans="1:4" x14ac:dyDescent="0.2">
      <c r="A12" s="4" t="s">
        <v>2</v>
      </c>
      <c r="B12" s="5">
        <v>13</v>
      </c>
      <c r="C12" s="11">
        <f>StateSenatorSenateDistrict3General[[#This Row],[Part of Suffolk County Vote Results]]</f>
        <v>13</v>
      </c>
      <c r="D12" s="13"/>
    </row>
    <row r="13" spans="1:4" hidden="1" x14ac:dyDescent="0.2">
      <c r="A13" s="4" t="s">
        <v>3</v>
      </c>
      <c r="B13" s="6">
        <f>SUBTOTAL(109,StateSenatorSenateDistrict3General[Total Votes by Candidate])</f>
        <v>95324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EB51-B2C4-4F99-9ABC-4CACAFB4817F}">
  <sheetPr>
    <pageSetUpPr fitToPage="1"/>
  </sheetPr>
  <dimension ref="A1:D8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236</v>
      </c>
    </row>
    <row r="2" spans="1:4" ht="25.5" x14ac:dyDescent="0.2">
      <c r="A2" s="7" t="s">
        <v>5</v>
      </c>
      <c r="B2" s="8" t="s">
        <v>11</v>
      </c>
      <c r="C2" s="9" t="s">
        <v>457</v>
      </c>
      <c r="D2" s="10" t="s">
        <v>4</v>
      </c>
    </row>
    <row r="3" spans="1:4" x14ac:dyDescent="0.2">
      <c r="A3" s="2" t="s">
        <v>237</v>
      </c>
      <c r="B3" s="3">
        <v>90746</v>
      </c>
      <c r="C3" s="11">
        <f>StateSenatorSenateDistrict30General[[#This Row],[Part of New York County Vote Results]]</f>
        <v>90746</v>
      </c>
      <c r="D3" s="12">
        <f>SUM(StateSenatorSenateDistrict30General[[#This Row],[Total Votes by Party]],C4)</f>
        <v>96528</v>
      </c>
    </row>
    <row r="4" spans="1:4" x14ac:dyDescent="0.2">
      <c r="A4" s="2" t="s">
        <v>238</v>
      </c>
      <c r="B4" s="3">
        <v>5782</v>
      </c>
      <c r="C4" s="11">
        <f>StateSenatorSenateDistrict30General[[#This Row],[Part of New York County Vote Results]]</f>
        <v>5782</v>
      </c>
      <c r="D4" s="13"/>
    </row>
    <row r="5" spans="1:4" x14ac:dyDescent="0.2">
      <c r="A5" s="4" t="s">
        <v>0</v>
      </c>
      <c r="B5" s="5">
        <v>8071</v>
      </c>
      <c r="C5" s="11">
        <f>StateSenatorSenateDistrict30General[[#This Row],[Part of New York County Vote Results]]</f>
        <v>8071</v>
      </c>
      <c r="D5" s="13"/>
    </row>
    <row r="6" spans="1:4" x14ac:dyDescent="0.2">
      <c r="A6" s="4" t="s">
        <v>1</v>
      </c>
      <c r="B6" s="5">
        <v>0</v>
      </c>
      <c r="C6" s="11">
        <f>StateSenatorSenateDistrict30General[[#This Row],[Part of New York County Vote Results]]</f>
        <v>0</v>
      </c>
      <c r="D6" s="13"/>
    </row>
    <row r="7" spans="1:4" x14ac:dyDescent="0.2">
      <c r="A7" s="4" t="s">
        <v>2</v>
      </c>
      <c r="B7" s="5">
        <v>368</v>
      </c>
      <c r="C7" s="11">
        <f>StateSenatorSenateDistrict30General[[#This Row],[Part of New York County Vote Results]]</f>
        <v>368</v>
      </c>
      <c r="D7" s="13"/>
    </row>
    <row r="8" spans="1:4" hidden="1" x14ac:dyDescent="0.2">
      <c r="A8" s="4" t="s">
        <v>3</v>
      </c>
      <c r="B8" s="6">
        <f>SUBTOTAL(109,StateSenatorSenateDistrict30General[Total Votes by Candidate])</f>
        <v>96528</v>
      </c>
      <c r="C8" s="11">
        <f>StateSenatorSenateDistrict28General[[#This Row],[Part of New York County Vote Results]]</f>
        <v>415</v>
      </c>
      <c r="D8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21E1-BA0B-42C1-8E7B-5CF82C5F5F4C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239</v>
      </c>
    </row>
    <row r="2" spans="1:4" ht="25.5" x14ac:dyDescent="0.2">
      <c r="A2" s="7" t="s">
        <v>5</v>
      </c>
      <c r="B2" s="8" t="s">
        <v>11</v>
      </c>
      <c r="C2" s="9" t="s">
        <v>457</v>
      </c>
      <c r="D2" s="10" t="s">
        <v>4</v>
      </c>
    </row>
    <row r="3" spans="1:4" x14ac:dyDescent="0.2">
      <c r="A3" s="2" t="s">
        <v>240</v>
      </c>
      <c r="B3" s="3">
        <v>81821</v>
      </c>
      <c r="C3" s="11">
        <f>StateSenatorSenateDistrict31General[[#This Row],[Part of New York County Vote Results]]</f>
        <v>81821</v>
      </c>
      <c r="D3" s="12">
        <f>SUM(StateSenatorSenateDistrict31General[[#This Row],[Total Votes by Party]],C5)</f>
        <v>86966</v>
      </c>
    </row>
    <row r="4" spans="1:4" x14ac:dyDescent="0.2">
      <c r="A4" s="2" t="s">
        <v>241</v>
      </c>
      <c r="B4" s="3">
        <v>6067</v>
      </c>
      <c r="C4" s="11">
        <f>StateSenatorSenateDistrict31General[[#This Row],[Part of New York County Vote Results]]</f>
        <v>6067</v>
      </c>
      <c r="D4" s="12">
        <f>SUM(StateSenatorSenateDistrict31General[[#This Row],[Total Votes by Party]],C7)</f>
        <v>6235</v>
      </c>
    </row>
    <row r="5" spans="1:4" x14ac:dyDescent="0.2">
      <c r="A5" s="2" t="s">
        <v>242</v>
      </c>
      <c r="B5" s="3">
        <v>5145</v>
      </c>
      <c r="C5" s="11">
        <f>StateSenatorSenateDistrict31General[[#This Row],[Part of New York County Vote Results]]</f>
        <v>5145</v>
      </c>
      <c r="D5" s="13"/>
    </row>
    <row r="6" spans="1:4" x14ac:dyDescent="0.2">
      <c r="A6" s="2" t="s">
        <v>243</v>
      </c>
      <c r="B6" s="3">
        <v>4660</v>
      </c>
      <c r="C6" s="11">
        <f>StateSenatorSenateDistrict31General[[#This Row],[Part of New York County Vote Results]]</f>
        <v>4660</v>
      </c>
      <c r="D6" s="12">
        <f>StateSenatorSenateDistrict31General[[#This Row],[Total Votes by Party]]</f>
        <v>4660</v>
      </c>
    </row>
    <row r="7" spans="1:4" x14ac:dyDescent="0.2">
      <c r="A7" s="2" t="s">
        <v>244</v>
      </c>
      <c r="B7" s="3">
        <v>168</v>
      </c>
      <c r="C7" s="11">
        <f>StateSenatorSenateDistrict31General[[#This Row],[Part of New York County Vote Results]]</f>
        <v>168</v>
      </c>
      <c r="D7" s="13"/>
    </row>
    <row r="8" spans="1:4" x14ac:dyDescent="0.2">
      <c r="A8" s="4" t="s">
        <v>0</v>
      </c>
      <c r="B8" s="5">
        <v>3458</v>
      </c>
      <c r="C8" s="11">
        <f>StateSenatorSenateDistrict31General[[#This Row],[Part of New York County Vote Results]]</f>
        <v>3458</v>
      </c>
      <c r="D8" s="13"/>
    </row>
    <row r="9" spans="1:4" x14ac:dyDescent="0.2">
      <c r="A9" s="4" t="s">
        <v>1</v>
      </c>
      <c r="B9" s="5">
        <v>0</v>
      </c>
      <c r="C9" s="11">
        <f>StateSenatorSenateDistrict31General[[#This Row],[Part of New York County Vote Results]]</f>
        <v>0</v>
      </c>
      <c r="D9" s="13"/>
    </row>
    <row r="10" spans="1:4" x14ac:dyDescent="0.2">
      <c r="A10" s="4" t="s">
        <v>2</v>
      </c>
      <c r="B10" s="5">
        <v>85</v>
      </c>
      <c r="C10" s="11">
        <f>StateSenatorSenateDistrict31General[[#This Row],[Part of New York County Vote Results]]</f>
        <v>85</v>
      </c>
      <c r="D10" s="13"/>
    </row>
    <row r="11" spans="1:4" hidden="1" x14ac:dyDescent="0.2">
      <c r="A11" s="4" t="s">
        <v>3</v>
      </c>
      <c r="B11" s="6">
        <f>SUBTOTAL(109,StateSenatorSenateDistrict31General[Total Votes by Candidate])</f>
        <v>97861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3F0D-37B2-4565-A9BD-BBAB3CD0F4A8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245</v>
      </c>
    </row>
    <row r="2" spans="1:4" ht="25.5" x14ac:dyDescent="0.2">
      <c r="A2" s="7" t="s">
        <v>5</v>
      </c>
      <c r="B2" s="8" t="s">
        <v>12</v>
      </c>
      <c r="C2" s="9" t="s">
        <v>457</v>
      </c>
      <c r="D2" s="10" t="s">
        <v>4</v>
      </c>
    </row>
    <row r="3" spans="1:4" x14ac:dyDescent="0.2">
      <c r="A3" s="2" t="s">
        <v>246</v>
      </c>
      <c r="B3" s="3">
        <v>58019</v>
      </c>
      <c r="C3" s="11">
        <f>StateSenatorSenateDistrict32General[[#This Row],[Part of Bronx County Vote Results]]</f>
        <v>58019</v>
      </c>
      <c r="D3" s="12">
        <f>SUM(StateSenatorSenateDistrict32General[[#This Row],[Total Votes by Party]],C6)</f>
        <v>59149</v>
      </c>
    </row>
    <row r="4" spans="1:4" x14ac:dyDescent="0.2">
      <c r="A4" s="2" t="s">
        <v>247</v>
      </c>
      <c r="B4" s="3">
        <v>2183</v>
      </c>
      <c r="C4" s="11">
        <f>StateSenatorSenateDistrict32General[[#This Row],[Part of Bronx County Vote Results]]</f>
        <v>2183</v>
      </c>
      <c r="D4" s="12">
        <f>StateSenatorSenateDistrict32General[[#This Row],[Total Votes by Party]]</f>
        <v>2183</v>
      </c>
    </row>
    <row r="5" spans="1:4" x14ac:dyDescent="0.2">
      <c r="A5" s="2" t="s">
        <v>248</v>
      </c>
      <c r="B5" s="3">
        <v>415</v>
      </c>
      <c r="C5" s="11">
        <f>StateSenatorSenateDistrict32General[[#This Row],[Part of Bronx County Vote Results]]</f>
        <v>415</v>
      </c>
      <c r="D5" s="12">
        <f>StateSenatorSenateDistrict32General[[#This Row],[Total Votes by Party]]</f>
        <v>415</v>
      </c>
    </row>
    <row r="6" spans="1:4" x14ac:dyDescent="0.2">
      <c r="A6" s="2" t="s">
        <v>249</v>
      </c>
      <c r="B6" s="3">
        <v>1130</v>
      </c>
      <c r="C6" s="11">
        <f>StateSenatorSenateDistrict32General[[#This Row],[Part of Bronx County Vote Results]]</f>
        <v>1130</v>
      </c>
      <c r="D6" s="13"/>
    </row>
    <row r="7" spans="1:4" x14ac:dyDescent="0.2">
      <c r="A7" s="2" t="s">
        <v>250</v>
      </c>
      <c r="B7" s="3">
        <v>566</v>
      </c>
      <c r="C7" s="11">
        <f>StateSenatorSenateDistrict32General[[#This Row],[Part of Bronx County Vote Results]]</f>
        <v>566</v>
      </c>
      <c r="D7" s="12">
        <f>StateSenatorSenateDistrict32General[[#This Row],[Total Votes by Party]]</f>
        <v>566</v>
      </c>
    </row>
    <row r="8" spans="1:4" x14ac:dyDescent="0.2">
      <c r="A8" s="4" t="s">
        <v>0</v>
      </c>
      <c r="B8" s="5">
        <v>3049</v>
      </c>
      <c r="C8" s="11">
        <f>StateSenatorSenateDistrict32General[[#This Row],[Part of Bronx County Vote Results]]</f>
        <v>3049</v>
      </c>
      <c r="D8" s="13"/>
    </row>
    <row r="9" spans="1:4" x14ac:dyDescent="0.2">
      <c r="A9" s="4" t="s">
        <v>1</v>
      </c>
      <c r="B9" s="5">
        <v>0</v>
      </c>
      <c r="C9" s="11">
        <f>StateSenatorSenateDistrict32General[[#This Row],[Part of Bronx County Vote Results]]</f>
        <v>0</v>
      </c>
      <c r="D9" s="13"/>
    </row>
    <row r="10" spans="1:4" x14ac:dyDescent="0.2">
      <c r="A10" s="4" t="s">
        <v>2</v>
      </c>
      <c r="B10" s="5">
        <v>30</v>
      </c>
      <c r="C10" s="11">
        <f>StateSenatorSenateDistrict32General[[#This Row],[Part of Bronx County Vote Results]]</f>
        <v>30</v>
      </c>
      <c r="D10" s="13"/>
    </row>
    <row r="11" spans="1:4" hidden="1" x14ac:dyDescent="0.2">
      <c r="A11" s="4" t="s">
        <v>3</v>
      </c>
      <c r="B11" s="6">
        <f>SUBTOTAL(109,StateSenatorSenateDistrict32General[Total Votes by Candidate])</f>
        <v>62313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07A0-949D-41F4-9558-ACAF63081139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251</v>
      </c>
    </row>
    <row r="2" spans="1:4" ht="25.5" x14ac:dyDescent="0.2">
      <c r="A2" s="7" t="s">
        <v>5</v>
      </c>
      <c r="B2" s="8" t="s">
        <v>12</v>
      </c>
      <c r="C2" s="9" t="s">
        <v>457</v>
      </c>
      <c r="D2" s="10" t="s">
        <v>4</v>
      </c>
    </row>
    <row r="3" spans="1:4" x14ac:dyDescent="0.2">
      <c r="A3" s="2" t="s">
        <v>252</v>
      </c>
      <c r="B3" s="3">
        <v>45627</v>
      </c>
      <c r="C3" s="11">
        <f>StateSenatorSenateDistrict33General[[#This Row],[Part of Bronx County Vote Results]]</f>
        <v>45627</v>
      </c>
      <c r="D3" s="12">
        <f>SUM(StateSenatorSenateDistrict33General[[#This Row],[Total Votes by Party]],C6)</f>
        <v>46533</v>
      </c>
    </row>
    <row r="4" spans="1:4" x14ac:dyDescent="0.2">
      <c r="A4" s="2" t="s">
        <v>253</v>
      </c>
      <c r="B4" s="3">
        <v>2099</v>
      </c>
      <c r="C4" s="11">
        <f>StateSenatorSenateDistrict33General[[#This Row],[Part of Bronx County Vote Results]]</f>
        <v>2099</v>
      </c>
      <c r="D4" s="12">
        <f>StateSenatorSenateDistrict33General[[#This Row],[Total Votes by Party]]</f>
        <v>2099</v>
      </c>
    </row>
    <row r="5" spans="1:4" x14ac:dyDescent="0.2">
      <c r="A5" s="2" t="s">
        <v>254</v>
      </c>
      <c r="B5" s="3">
        <v>302</v>
      </c>
      <c r="C5" s="11">
        <f>StateSenatorSenateDistrict33General[[#This Row],[Part of Bronx County Vote Results]]</f>
        <v>302</v>
      </c>
      <c r="D5" s="12">
        <f>StateSenatorSenateDistrict33General[[#This Row],[Total Votes by Party]]</f>
        <v>302</v>
      </c>
    </row>
    <row r="6" spans="1:4" x14ac:dyDescent="0.2">
      <c r="A6" s="2" t="s">
        <v>255</v>
      </c>
      <c r="B6" s="3">
        <v>906</v>
      </c>
      <c r="C6" s="11">
        <f>StateSenatorSenateDistrict33General[[#This Row],[Part of Bronx County Vote Results]]</f>
        <v>906</v>
      </c>
      <c r="D6" s="13"/>
    </row>
    <row r="7" spans="1:4" x14ac:dyDescent="0.2">
      <c r="A7" s="4" t="s">
        <v>0</v>
      </c>
      <c r="B7" s="5">
        <v>2379</v>
      </c>
      <c r="C7" s="11">
        <f>StateSenatorSenateDistrict33General[[#This Row],[Part of Bronx County Vote Results]]</f>
        <v>2379</v>
      </c>
      <c r="D7" s="13"/>
    </row>
    <row r="8" spans="1:4" x14ac:dyDescent="0.2">
      <c r="A8" s="4" t="s">
        <v>1</v>
      </c>
      <c r="B8" s="5">
        <v>0</v>
      </c>
      <c r="C8" s="11">
        <f>StateSenatorSenateDistrict33General[[#This Row],[Part of Bronx County Vote Results]]</f>
        <v>0</v>
      </c>
      <c r="D8" s="13"/>
    </row>
    <row r="9" spans="1:4" x14ac:dyDescent="0.2">
      <c r="A9" s="4" t="s">
        <v>2</v>
      </c>
      <c r="B9" s="5">
        <v>23</v>
      </c>
      <c r="C9" s="11">
        <f>StateSenatorSenateDistrict33General[[#This Row],[Part of Bronx County Vote Results]]</f>
        <v>23</v>
      </c>
      <c r="D9" s="13"/>
    </row>
    <row r="10" spans="1:4" hidden="1" x14ac:dyDescent="0.2">
      <c r="A10" s="4" t="s">
        <v>3</v>
      </c>
      <c r="B10" s="6">
        <f>SUBTOTAL(109,StateSenatorSenateDistrict33General[Total Votes by Candidate])</f>
        <v>48934</v>
      </c>
      <c r="C10" s="11">
        <f>StateSenatorSenateDistrict32General[[#This Row],[Part of Bronx County Vote Results]]</f>
        <v>30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B000-1301-473C-B8D7-F92F3B3AC003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256</v>
      </c>
    </row>
    <row r="2" spans="1:5" ht="25.5" x14ac:dyDescent="0.2">
      <c r="A2" s="7" t="s">
        <v>5</v>
      </c>
      <c r="B2" s="8" t="s">
        <v>12</v>
      </c>
      <c r="C2" s="8" t="s">
        <v>13</v>
      </c>
      <c r="D2" s="9" t="s">
        <v>457</v>
      </c>
      <c r="E2" s="10" t="s">
        <v>4</v>
      </c>
    </row>
    <row r="3" spans="1:5" x14ac:dyDescent="0.2">
      <c r="A3" s="2" t="s">
        <v>257</v>
      </c>
      <c r="B3" s="3">
        <v>52964</v>
      </c>
      <c r="C3" s="3">
        <v>5148</v>
      </c>
      <c r="D3" s="11">
        <f>SUM(StateSenatorSenateDistrict34General[[#This Row],[Part of Bronx County Vote Results]:[Part of Westchester County Vote Results]])</f>
        <v>58112</v>
      </c>
      <c r="E3" s="12">
        <f>SUM(StateSenatorSenateDistrict34General[[#This Row],[Total Votes by Party]],D6)</f>
        <v>60582</v>
      </c>
    </row>
    <row r="4" spans="1:5" x14ac:dyDescent="0.2">
      <c r="A4" s="2" t="s">
        <v>258</v>
      </c>
      <c r="B4" s="3">
        <v>10335</v>
      </c>
      <c r="C4" s="3">
        <v>1540</v>
      </c>
      <c r="D4" s="11">
        <f>SUM(StateSenatorSenateDistrict34General[[#This Row],[Part of Bronx County Vote Results]:[Part of Westchester County Vote Results]])</f>
        <v>11875</v>
      </c>
      <c r="E4" s="12">
        <f>StateSenatorSenateDistrict34General[[#This Row],[Total Votes by Party]]</f>
        <v>11875</v>
      </c>
    </row>
    <row r="5" spans="1:5" x14ac:dyDescent="0.2">
      <c r="A5" s="2" t="s">
        <v>259</v>
      </c>
      <c r="B5" s="3">
        <v>1237</v>
      </c>
      <c r="C5" s="3">
        <v>193</v>
      </c>
      <c r="D5" s="11">
        <f>SUM(StateSenatorSenateDistrict34General[[#This Row],[Part of Bronx County Vote Results]:[Part of Westchester County Vote Results]])</f>
        <v>1430</v>
      </c>
      <c r="E5" s="12">
        <f>StateSenatorSenateDistrict34General[[#This Row],[Total Votes by Party]]</f>
        <v>1430</v>
      </c>
    </row>
    <row r="6" spans="1:5" x14ac:dyDescent="0.2">
      <c r="A6" s="2" t="s">
        <v>260</v>
      </c>
      <c r="B6" s="3">
        <v>2264</v>
      </c>
      <c r="C6" s="3">
        <v>206</v>
      </c>
      <c r="D6" s="11">
        <f>SUM(StateSenatorSenateDistrict34General[[#This Row],[Part of Bronx County Vote Results]:[Part of Westchester County Vote Results]])</f>
        <v>2470</v>
      </c>
      <c r="E6" s="13"/>
    </row>
    <row r="7" spans="1:5" x14ac:dyDescent="0.2">
      <c r="A7" s="2" t="s">
        <v>261</v>
      </c>
      <c r="B7" s="3">
        <v>5265</v>
      </c>
      <c r="C7" s="3">
        <v>471</v>
      </c>
      <c r="D7" s="11">
        <f>SUM(StateSenatorSenateDistrict34General[[#This Row],[Part of Bronx County Vote Results]:[Part of Westchester County Vote Results]])</f>
        <v>5736</v>
      </c>
      <c r="E7" s="12">
        <f>StateSenatorSenateDistrict34General[[#This Row],[Total Votes by Party]]</f>
        <v>5736</v>
      </c>
    </row>
    <row r="8" spans="1:5" x14ac:dyDescent="0.2">
      <c r="A8" s="4" t="s">
        <v>0</v>
      </c>
      <c r="B8" s="3">
        <v>2694</v>
      </c>
      <c r="C8" s="3">
        <v>220</v>
      </c>
      <c r="D8" s="11">
        <f>SUM(StateSenatorSenateDistrict34General[[#This Row],[Part of Bronx County Vote Results]:[Part of Westchester County Vote Results]])</f>
        <v>2914</v>
      </c>
      <c r="E8" s="13"/>
    </row>
    <row r="9" spans="1:5" x14ac:dyDescent="0.2">
      <c r="A9" s="4" t="s">
        <v>1</v>
      </c>
      <c r="B9" s="3">
        <v>0</v>
      </c>
      <c r="C9" s="3">
        <v>0</v>
      </c>
      <c r="D9" s="11">
        <f>SUM(StateSenatorSenateDistrict34General[[#This Row],[Part of Bronx County Vote Results]:[Part of Westchester County Vote Results]])</f>
        <v>0</v>
      </c>
      <c r="E9" s="13"/>
    </row>
    <row r="10" spans="1:5" x14ac:dyDescent="0.2">
      <c r="A10" s="4" t="s">
        <v>2</v>
      </c>
      <c r="B10" s="5">
        <v>41</v>
      </c>
      <c r="C10" s="5">
        <v>1</v>
      </c>
      <c r="D10" s="11">
        <f>SUM(StateSenatorSenateDistrict34General[[#This Row],[Part of Bronx County Vote Results]:[Part of Westchester County Vote Results]])</f>
        <v>42</v>
      </c>
      <c r="E10" s="13"/>
    </row>
    <row r="11" spans="1:5" hidden="1" x14ac:dyDescent="0.2">
      <c r="A11" s="4" t="s">
        <v>3</v>
      </c>
      <c r="B11" s="6">
        <f>SUBTOTAL(109,StateSenatorSenateDistrict34General[Part of Bronx County Vote Results])</f>
        <v>74800</v>
      </c>
      <c r="C11" s="6">
        <f>SUBTOTAL(109,StateSenatorSenateDistrict34General[Part of Westchester County Vote Results])</f>
        <v>7779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0FF6-A34B-40FE-A963-A8A569F9F44C}">
  <sheetPr>
    <pageSetUpPr fitToPage="1"/>
  </sheetPr>
  <dimension ref="A1:D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262</v>
      </c>
    </row>
    <row r="2" spans="1:4" ht="25.5" x14ac:dyDescent="0.2">
      <c r="A2" s="7" t="s">
        <v>5</v>
      </c>
      <c r="B2" s="8" t="s">
        <v>13</v>
      </c>
      <c r="C2" s="9" t="s">
        <v>457</v>
      </c>
      <c r="D2" s="10" t="s">
        <v>4</v>
      </c>
    </row>
    <row r="3" spans="1:4" x14ac:dyDescent="0.2">
      <c r="A3" s="2" t="s">
        <v>263</v>
      </c>
      <c r="B3" s="3">
        <v>74393</v>
      </c>
      <c r="C3" s="11">
        <f>StateSenatorSenateDistrict35General[[#This Row],[Part of Westchester County Vote Results]]</f>
        <v>74393</v>
      </c>
      <c r="D3" s="12">
        <f>SUM(StateSenatorSenateDistrict35General[[#This Row],[Total Votes by Party]],C4,C5,C6,C7)</f>
        <v>80074</v>
      </c>
    </row>
    <row r="4" spans="1:4" x14ac:dyDescent="0.2">
      <c r="A4" s="2" t="s">
        <v>264</v>
      </c>
      <c r="B4" s="3">
        <v>2630</v>
      </c>
      <c r="C4" s="11">
        <f>StateSenatorSenateDistrict35General[[#This Row],[Part of Westchester County Vote Results]]</f>
        <v>2630</v>
      </c>
      <c r="D4" s="13"/>
    </row>
    <row r="5" spans="1:4" x14ac:dyDescent="0.2">
      <c r="A5" s="2" t="s">
        <v>265</v>
      </c>
      <c r="B5" s="3">
        <v>1594</v>
      </c>
      <c r="C5" s="11">
        <f>StateSenatorSenateDistrict35General[[#This Row],[Part of Westchester County Vote Results]]</f>
        <v>1594</v>
      </c>
      <c r="D5" s="13"/>
    </row>
    <row r="6" spans="1:4" x14ac:dyDescent="0.2">
      <c r="A6" s="2" t="s">
        <v>266</v>
      </c>
      <c r="B6" s="3">
        <v>885</v>
      </c>
      <c r="C6" s="11">
        <f>StateSenatorSenateDistrict35General[[#This Row],[Part of Westchester County Vote Results]]</f>
        <v>885</v>
      </c>
      <c r="D6" s="13"/>
    </row>
    <row r="7" spans="1:4" x14ac:dyDescent="0.2">
      <c r="A7" s="2" t="s">
        <v>267</v>
      </c>
      <c r="B7" s="3">
        <v>572</v>
      </c>
      <c r="C7" s="11">
        <f>StateSenatorSenateDistrict35General[[#This Row],[Part of Westchester County Vote Results]]</f>
        <v>572</v>
      </c>
      <c r="D7" s="13"/>
    </row>
    <row r="8" spans="1:4" x14ac:dyDescent="0.2">
      <c r="A8" s="4" t="s">
        <v>0</v>
      </c>
      <c r="B8" s="5">
        <v>18034</v>
      </c>
      <c r="C8" s="11">
        <f>StateSenatorSenateDistrict35General[[#This Row],[Part of Westchester County Vote Results]]</f>
        <v>18034</v>
      </c>
      <c r="D8" s="13"/>
    </row>
    <row r="9" spans="1:4" x14ac:dyDescent="0.2">
      <c r="A9" s="4" t="s">
        <v>1</v>
      </c>
      <c r="B9" s="5">
        <v>0</v>
      </c>
      <c r="C9" s="11">
        <f>StateSenatorSenateDistrict35General[[#This Row],[Part of Westchester County Vote Results]]</f>
        <v>0</v>
      </c>
      <c r="D9" s="13"/>
    </row>
    <row r="10" spans="1:4" x14ac:dyDescent="0.2">
      <c r="A10" s="4" t="s">
        <v>2</v>
      </c>
      <c r="B10" s="5">
        <v>475</v>
      </c>
      <c r="C10" s="11">
        <f>StateSenatorSenateDistrict35General[[#This Row],[Part of Westchester County Vote Results]]</f>
        <v>475</v>
      </c>
      <c r="D10" s="13"/>
    </row>
    <row r="11" spans="1:4" hidden="1" x14ac:dyDescent="0.2">
      <c r="A11" s="4" t="s">
        <v>3</v>
      </c>
      <c r="B11" s="6">
        <f>SUBTOTAL(109,StateSenatorSenateDistrict35General[Total Votes by Candidate])</f>
        <v>80074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4B92-4BD0-464E-9F77-10CCEE7C455A}">
  <sheetPr>
    <pageSetUpPr fitToPage="1"/>
  </sheetPr>
  <dimension ref="A1:E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268</v>
      </c>
    </row>
    <row r="2" spans="1:5" ht="25.5" x14ac:dyDescent="0.2">
      <c r="A2" s="7" t="s">
        <v>5</v>
      </c>
      <c r="B2" s="8" t="s">
        <v>12</v>
      </c>
      <c r="C2" s="8" t="s">
        <v>13</v>
      </c>
      <c r="D2" s="9" t="s">
        <v>457</v>
      </c>
      <c r="E2" s="10" t="s">
        <v>4</v>
      </c>
    </row>
    <row r="3" spans="1:5" x14ac:dyDescent="0.2">
      <c r="A3" s="2" t="s">
        <v>269</v>
      </c>
      <c r="B3" s="3">
        <v>57908</v>
      </c>
      <c r="C3" s="3">
        <v>15281</v>
      </c>
      <c r="D3" s="11">
        <f>SUM(StateSenatorSenateDistrict36General[[#This Row],[Part of Bronx County Vote Results]:[Part of Westchester County Vote Results]])</f>
        <v>73189</v>
      </c>
      <c r="E3" s="12">
        <f>SUM(StateSenatorSenateDistrict36General[[#This Row],[Total Votes by Party]],D5)</f>
        <v>74705</v>
      </c>
    </row>
    <row r="4" spans="1:5" x14ac:dyDescent="0.2">
      <c r="A4" s="2" t="s">
        <v>271</v>
      </c>
      <c r="B4" s="3">
        <v>1151</v>
      </c>
      <c r="C4" s="3">
        <v>537</v>
      </c>
      <c r="D4" s="11">
        <f>SUM(StateSenatorSenateDistrict36General[[#This Row],[Part of Bronx County Vote Results]:[Part of Westchester County Vote Results]])</f>
        <v>1688</v>
      </c>
      <c r="E4" s="12">
        <f>StateSenatorSenateDistrict36General[[#This Row],[Total Votes by Party]]</f>
        <v>1688</v>
      </c>
    </row>
    <row r="5" spans="1:5" x14ac:dyDescent="0.2">
      <c r="A5" s="2" t="s">
        <v>270</v>
      </c>
      <c r="B5" s="3">
        <v>1233</v>
      </c>
      <c r="C5" s="3">
        <v>283</v>
      </c>
      <c r="D5" s="11">
        <f>SUM(StateSenatorSenateDistrict36General[[#This Row],[Part of Bronx County Vote Results]:[Part of Westchester County Vote Results]])</f>
        <v>1516</v>
      </c>
      <c r="E5" s="13"/>
    </row>
    <row r="6" spans="1:5" x14ac:dyDescent="0.2">
      <c r="A6" s="4" t="s">
        <v>0</v>
      </c>
      <c r="B6" s="3">
        <v>3497</v>
      </c>
      <c r="C6" s="3">
        <v>1470</v>
      </c>
      <c r="D6" s="11">
        <f>SUM(StateSenatorSenateDistrict36General[[#This Row],[Part of Bronx County Vote Results]:[Part of Westchester County Vote Results]])</f>
        <v>4967</v>
      </c>
      <c r="E6" s="13"/>
    </row>
    <row r="7" spans="1:5" x14ac:dyDescent="0.2">
      <c r="A7" s="4" t="s">
        <v>1</v>
      </c>
      <c r="B7" s="3">
        <v>0</v>
      </c>
      <c r="C7" s="3">
        <v>0</v>
      </c>
      <c r="D7" s="11">
        <f>SUM(StateSenatorSenateDistrict36General[[#This Row],[Part of Bronx County Vote Results]:[Part of Westchester County Vote Results]])</f>
        <v>0</v>
      </c>
      <c r="E7" s="13"/>
    </row>
    <row r="8" spans="1:5" x14ac:dyDescent="0.2">
      <c r="A8" s="4" t="s">
        <v>2</v>
      </c>
      <c r="B8" s="5">
        <v>16</v>
      </c>
      <c r="C8" s="5">
        <v>7</v>
      </c>
      <c r="D8" s="11">
        <f>SUM(StateSenatorSenateDistrict36General[[#This Row],[Part of Bronx County Vote Results]:[Part of Westchester County Vote Results]])</f>
        <v>23</v>
      </c>
      <c r="E8" s="13"/>
    </row>
    <row r="9" spans="1:5" hidden="1" x14ac:dyDescent="0.2">
      <c r="A9" s="4" t="s">
        <v>3</v>
      </c>
      <c r="B9" s="6">
        <f>SUBTOTAL(109,StateSenatorSenateDistrict36General[Part of Bronx County Vote Results])</f>
        <v>63805</v>
      </c>
      <c r="C9" s="6">
        <f>SUBTOTAL(109,StateSenatorSenateDistrict36General[Part of Westchester County Vote Results])</f>
        <v>17578</v>
      </c>
      <c r="D9" s="11">
        <f>StateSenatorSenateDistrict35General[[#This Row],[Part of Westchester County Vote Results]]</f>
        <v>0</v>
      </c>
      <c r="E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74FF-C5DB-4D2A-B03B-40292FD8DAF8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272</v>
      </c>
    </row>
    <row r="2" spans="1:4" ht="25.5" x14ac:dyDescent="0.2">
      <c r="A2" s="7" t="s">
        <v>5</v>
      </c>
      <c r="B2" s="8" t="s">
        <v>13</v>
      </c>
      <c r="C2" s="9" t="s">
        <v>457</v>
      </c>
      <c r="D2" s="10" t="s">
        <v>4</v>
      </c>
    </row>
    <row r="3" spans="1:4" x14ac:dyDescent="0.2">
      <c r="A3" s="2" t="s">
        <v>273</v>
      </c>
      <c r="B3" s="3">
        <v>70011</v>
      </c>
      <c r="C3" s="11">
        <f>StateSenatorSenateDistrict37General[[#This Row],[Part of Westchester County Vote Results]]</f>
        <v>70011</v>
      </c>
      <c r="D3" s="12">
        <f>SUM(C3:C6)</f>
        <v>78182</v>
      </c>
    </row>
    <row r="4" spans="1:4" x14ac:dyDescent="0.2">
      <c r="A4" s="2" t="s">
        <v>274</v>
      </c>
      <c r="B4" s="3">
        <v>3120</v>
      </c>
      <c r="C4" s="11">
        <f>SUM(StateSenatorSenateDistrict36General[[#This Row],[Part of Bronx County Vote Results]:[Part of Westchester County Vote Results]])</f>
        <v>1688</v>
      </c>
      <c r="D4" s="13"/>
    </row>
    <row r="5" spans="1:4" x14ac:dyDescent="0.2">
      <c r="A5" s="2" t="s">
        <v>275</v>
      </c>
      <c r="B5" s="3">
        <v>2501</v>
      </c>
      <c r="C5" s="11">
        <f>SUM(StateSenatorSenateDistrict36General[[#This Row],[Part of Bronx County Vote Results]:[Part of Westchester County Vote Results]])</f>
        <v>1516</v>
      </c>
      <c r="D5" s="13"/>
    </row>
    <row r="6" spans="1:4" x14ac:dyDescent="0.2">
      <c r="A6" s="2" t="s">
        <v>276</v>
      </c>
      <c r="B6" s="3">
        <v>1207</v>
      </c>
      <c r="C6" s="11">
        <f>SUM(StateSenatorSenateDistrict36General[[#This Row],[Part of Bronx County Vote Results]:[Part of Westchester County Vote Results]])</f>
        <v>4967</v>
      </c>
      <c r="D6" s="13"/>
    </row>
    <row r="7" spans="1:4" x14ac:dyDescent="0.2">
      <c r="A7" s="4" t="s">
        <v>0</v>
      </c>
      <c r="B7" s="5">
        <v>34981</v>
      </c>
      <c r="C7" s="11">
        <f>SUM(StateSenatorSenateDistrict36General[[#This Row],[Part of Bronx County Vote Results]:[Part of Westchester County Vote Results]])</f>
        <v>0</v>
      </c>
      <c r="D7" s="13"/>
    </row>
    <row r="8" spans="1:4" x14ac:dyDescent="0.2">
      <c r="A8" s="4" t="s">
        <v>1</v>
      </c>
      <c r="B8" s="5">
        <v>0</v>
      </c>
      <c r="C8" s="11">
        <f>SUM(StateSenatorSenateDistrict36General[[#This Row],[Part of Bronx County Vote Results]:[Part of Westchester County Vote Results]])</f>
        <v>23</v>
      </c>
      <c r="D8" s="13"/>
    </row>
    <row r="9" spans="1:4" x14ac:dyDescent="0.2">
      <c r="A9" s="4" t="s">
        <v>2</v>
      </c>
      <c r="B9" s="5">
        <v>682</v>
      </c>
      <c r="C9" s="11">
        <f>StateSenatorSenateDistrict35General[[#This Row],[Part of Westchester County Vote Results]]</f>
        <v>0</v>
      </c>
      <c r="D9" s="13"/>
    </row>
    <row r="10" spans="1:4" hidden="1" x14ac:dyDescent="0.2">
      <c r="A10" s="4" t="s">
        <v>3</v>
      </c>
      <c r="B10" s="6">
        <f>SUBTOTAL(109,StateSenatorSenateDistrict37General[Total Votes by Candidate])</f>
        <v>78182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C8E9-9CD1-4D39-BD06-948589B3E5D2}">
  <sheetPr>
    <pageSetUpPr fitToPage="1"/>
  </sheetPr>
  <dimension ref="A1:E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277</v>
      </c>
    </row>
    <row r="2" spans="1:5" ht="25.5" x14ac:dyDescent="0.2">
      <c r="A2" s="7" t="s">
        <v>5</v>
      </c>
      <c r="B2" s="8" t="s">
        <v>15</v>
      </c>
      <c r="C2" s="8" t="s">
        <v>13</v>
      </c>
      <c r="D2" s="9" t="s">
        <v>457</v>
      </c>
      <c r="E2" s="10" t="s">
        <v>4</v>
      </c>
    </row>
    <row r="3" spans="1:5" x14ac:dyDescent="0.2">
      <c r="A3" s="2" t="s">
        <v>278</v>
      </c>
      <c r="B3" s="3">
        <v>51988</v>
      </c>
      <c r="C3" s="3">
        <v>9002</v>
      </c>
      <c r="D3" s="11">
        <f>SUM(StateSenatorSenateDistrict38General[[#This Row],[Part of Rockland County Vote Results]:[Part of Westchester County Vote Results]])</f>
        <v>60990</v>
      </c>
      <c r="E3" s="12">
        <f>SUM(StateSenatorSenateDistrict38General[[#This Row],[Total Votes by Party]],D7)</f>
        <v>63009</v>
      </c>
    </row>
    <row r="4" spans="1:5" x14ac:dyDescent="0.2">
      <c r="A4" s="2" t="s">
        <v>279</v>
      </c>
      <c r="B4" s="3">
        <v>23519</v>
      </c>
      <c r="C4" s="3">
        <v>2746</v>
      </c>
      <c r="D4" s="11">
        <f>SUM(StateSenatorSenateDistrict38General[[#This Row],[Part of Rockland County Vote Results]:[Part of Westchester County Vote Results]])</f>
        <v>26265</v>
      </c>
      <c r="E4" s="12">
        <f>SUM(StateSenatorSenateDistrict38General[[#This Row],[Total Votes by Party]],D5,D6,D8)</f>
        <v>33327</v>
      </c>
    </row>
    <row r="5" spans="1:5" x14ac:dyDescent="0.2">
      <c r="A5" s="2" t="s">
        <v>280</v>
      </c>
      <c r="B5" s="3">
        <v>3869</v>
      </c>
      <c r="C5" s="3">
        <v>373</v>
      </c>
      <c r="D5" s="11">
        <f>SUM(StateSenatorSenateDistrict38General[[#This Row],[Part of Rockland County Vote Results]:[Part of Westchester County Vote Results]])</f>
        <v>4242</v>
      </c>
      <c r="E5" s="13"/>
    </row>
    <row r="6" spans="1:5" x14ac:dyDescent="0.2">
      <c r="A6" s="2" t="s">
        <v>281</v>
      </c>
      <c r="B6" s="3">
        <v>613</v>
      </c>
      <c r="C6" s="3">
        <v>110</v>
      </c>
      <c r="D6" s="11">
        <f>SUM(StateSenatorSenateDistrict38General[[#This Row],[Part of Rockland County Vote Results]:[Part of Westchester County Vote Results]])</f>
        <v>723</v>
      </c>
      <c r="E6" s="13"/>
    </row>
    <row r="7" spans="1:5" x14ac:dyDescent="0.2">
      <c r="A7" s="2" t="s">
        <v>282</v>
      </c>
      <c r="B7" s="3">
        <v>1776</v>
      </c>
      <c r="C7" s="3">
        <v>243</v>
      </c>
      <c r="D7" s="11">
        <f>SUM(StateSenatorSenateDistrict38General[[#This Row],[Part of Rockland County Vote Results]:[Part of Westchester County Vote Results]])</f>
        <v>2019</v>
      </c>
      <c r="E7" s="13"/>
    </row>
    <row r="8" spans="1:5" x14ac:dyDescent="0.2">
      <c r="A8" s="2" t="s">
        <v>283</v>
      </c>
      <c r="B8" s="3">
        <v>2047</v>
      </c>
      <c r="C8" s="3">
        <v>50</v>
      </c>
      <c r="D8" s="11">
        <f>SUM(StateSenatorSenateDistrict38General[[#This Row],[Part of Rockland County Vote Results]:[Part of Westchester County Vote Results]])</f>
        <v>2097</v>
      </c>
      <c r="E8" s="13"/>
    </row>
    <row r="9" spans="1:5" x14ac:dyDescent="0.2">
      <c r="A9" s="4" t="s">
        <v>0</v>
      </c>
      <c r="B9" s="3">
        <v>2850</v>
      </c>
      <c r="C9" s="3">
        <v>630</v>
      </c>
      <c r="D9" s="11">
        <f>SUM(StateSenatorSenateDistrict38General[[#This Row],[Part of Rockland County Vote Results]:[Part of Westchester County Vote Results]])</f>
        <v>3480</v>
      </c>
      <c r="E9" s="13"/>
    </row>
    <row r="10" spans="1:5" x14ac:dyDescent="0.2">
      <c r="A10" s="4" t="s">
        <v>1</v>
      </c>
      <c r="B10" s="3">
        <v>97</v>
      </c>
      <c r="C10" s="3">
        <v>0</v>
      </c>
      <c r="D10" s="11">
        <f>SUM(StateSenatorSenateDistrict38General[[#This Row],[Part of Rockland County Vote Results]:[Part of Westchester County Vote Results]])</f>
        <v>97</v>
      </c>
      <c r="E10" s="13"/>
    </row>
    <row r="11" spans="1:5" x14ac:dyDescent="0.2">
      <c r="A11" s="4" t="s">
        <v>2</v>
      </c>
      <c r="B11" s="5">
        <v>113</v>
      </c>
      <c r="C11" s="5">
        <v>12</v>
      </c>
      <c r="D11" s="11">
        <f>SUM(StateSenatorSenateDistrict38General[[#This Row],[Part of Rockland County Vote Results]:[Part of Westchester County Vote Results]])</f>
        <v>125</v>
      </c>
      <c r="E11" s="13"/>
    </row>
    <row r="12" spans="1:5" hidden="1" x14ac:dyDescent="0.2">
      <c r="A12" s="4" t="s">
        <v>3</v>
      </c>
      <c r="B12" s="6">
        <f>SUBTOTAL(109,StateSenatorSenateDistrict38General[Part of Rockland County Vote Results])</f>
        <v>86872</v>
      </c>
      <c r="C12" s="6">
        <f>SUBTOTAL(109,StateSenatorSenateDistrict38General[Part of Westchester County Vote Results])</f>
        <v>13166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7AF9-FA7A-4357-A288-1A5AA645A615}">
  <sheetPr>
    <pageSetUpPr fitToPage="1"/>
  </sheetPr>
  <dimension ref="A1:F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284</v>
      </c>
    </row>
    <row r="2" spans="1:6" ht="25.5" x14ac:dyDescent="0.2">
      <c r="A2" s="7" t="s">
        <v>5</v>
      </c>
      <c r="B2" s="8" t="s">
        <v>16</v>
      </c>
      <c r="C2" s="8" t="s">
        <v>15</v>
      </c>
      <c r="D2" s="8" t="s">
        <v>20</v>
      </c>
      <c r="E2" s="9" t="s">
        <v>457</v>
      </c>
      <c r="F2" s="10" t="s">
        <v>4</v>
      </c>
    </row>
    <row r="3" spans="1:6" x14ac:dyDescent="0.2">
      <c r="A3" s="2" t="s">
        <v>285</v>
      </c>
      <c r="B3" s="3">
        <v>36077</v>
      </c>
      <c r="C3" s="3">
        <v>9340</v>
      </c>
      <c r="D3" s="3">
        <v>2850</v>
      </c>
      <c r="E3" s="11">
        <f>SUM(StateSenatorSenateDistrict39General[[#This Row],[Part of Orange County Vote Results]:[Part of Ulster County Vote Results]])</f>
        <v>48267</v>
      </c>
      <c r="F3" s="12">
        <f>SUM(StateSenatorSenateDistrict39General[[#This Row],[Total Votes by Party]],E6,E8,E9)</f>
        <v>51548</v>
      </c>
    </row>
    <row r="4" spans="1:6" x14ac:dyDescent="0.2">
      <c r="A4" s="2" t="s">
        <v>286</v>
      </c>
      <c r="B4" s="3">
        <v>25447</v>
      </c>
      <c r="C4" s="3">
        <v>5421</v>
      </c>
      <c r="D4" s="3">
        <v>3327</v>
      </c>
      <c r="E4" s="11">
        <f>SUM(StateSenatorSenateDistrict39General[[#This Row],[Part of Orange County Vote Results]:[Part of Ulster County Vote Results]])</f>
        <v>34195</v>
      </c>
      <c r="F4" s="12">
        <f>SUM(StateSenatorSenateDistrict39General[[#This Row],[Total Votes by Party]],E5,E7)</f>
        <v>43988</v>
      </c>
    </row>
    <row r="5" spans="1:6" x14ac:dyDescent="0.2">
      <c r="A5" s="2" t="s">
        <v>287</v>
      </c>
      <c r="B5" s="3">
        <v>3588</v>
      </c>
      <c r="C5" s="3">
        <v>1020</v>
      </c>
      <c r="D5" s="3">
        <v>472</v>
      </c>
      <c r="E5" s="11">
        <f>SUM(StateSenatorSenateDistrict39General[[#This Row],[Part of Orange County Vote Results]:[Part of Ulster County Vote Results]])</f>
        <v>5080</v>
      </c>
      <c r="F5" s="13"/>
    </row>
    <row r="6" spans="1:6" x14ac:dyDescent="0.2">
      <c r="A6" s="2" t="s">
        <v>288</v>
      </c>
      <c r="B6" s="3">
        <v>1416</v>
      </c>
      <c r="C6" s="3">
        <v>294</v>
      </c>
      <c r="D6" s="3">
        <v>152</v>
      </c>
      <c r="E6" s="11">
        <f>SUM(StateSenatorSenateDistrict39General[[#This Row],[Part of Orange County Vote Results]:[Part of Ulster County Vote Results]])</f>
        <v>1862</v>
      </c>
      <c r="F6" s="13"/>
    </row>
    <row r="7" spans="1:6" x14ac:dyDescent="0.2">
      <c r="A7" s="2" t="s">
        <v>289</v>
      </c>
      <c r="B7" s="3">
        <v>4444</v>
      </c>
      <c r="C7" s="3">
        <v>154</v>
      </c>
      <c r="D7" s="3">
        <v>115</v>
      </c>
      <c r="E7" s="11">
        <f>SUM(StateSenatorSenateDistrict39General[[#This Row],[Part of Orange County Vote Results]:[Part of Ulster County Vote Results]])</f>
        <v>4713</v>
      </c>
      <c r="F7" s="13"/>
    </row>
    <row r="8" spans="1:6" x14ac:dyDescent="0.2">
      <c r="A8" s="2" t="s">
        <v>290</v>
      </c>
      <c r="B8" s="3">
        <v>536</v>
      </c>
      <c r="C8" s="3">
        <v>126</v>
      </c>
      <c r="D8" s="3">
        <v>45</v>
      </c>
      <c r="E8" s="11">
        <f>SUM(StateSenatorSenateDistrict39General[[#This Row],[Part of Orange County Vote Results]:[Part of Ulster County Vote Results]])</f>
        <v>707</v>
      </c>
      <c r="F8" s="13"/>
    </row>
    <row r="9" spans="1:6" x14ac:dyDescent="0.2">
      <c r="A9" s="2" t="s">
        <v>291</v>
      </c>
      <c r="B9" s="3">
        <v>545</v>
      </c>
      <c r="C9" s="3">
        <v>151</v>
      </c>
      <c r="D9" s="3">
        <v>16</v>
      </c>
      <c r="E9" s="11">
        <f>SUM(StateSenatorSenateDistrict39General[[#This Row],[Part of Orange County Vote Results]:[Part of Ulster County Vote Results]])</f>
        <v>712</v>
      </c>
      <c r="F9" s="13"/>
    </row>
    <row r="10" spans="1:6" x14ac:dyDescent="0.2">
      <c r="A10" s="4" t="s">
        <v>0</v>
      </c>
      <c r="B10" s="3">
        <v>2194</v>
      </c>
      <c r="C10" s="3">
        <v>643</v>
      </c>
      <c r="D10" s="3">
        <v>179</v>
      </c>
      <c r="E10" s="11">
        <f>SUM(StateSenatorSenateDistrict39General[[#This Row],[Part of Orange County Vote Results]:[Part of Ulster County Vote Results]])</f>
        <v>3016</v>
      </c>
      <c r="F10" s="13"/>
    </row>
    <row r="11" spans="1:6" x14ac:dyDescent="0.2">
      <c r="A11" s="4" t="s">
        <v>1</v>
      </c>
      <c r="B11" s="3">
        <v>0</v>
      </c>
      <c r="C11" s="3">
        <v>21</v>
      </c>
      <c r="D11" s="3">
        <v>3</v>
      </c>
      <c r="E11" s="11">
        <f>SUM(StateSenatorSenateDistrict39General[[#This Row],[Part of Orange County Vote Results]:[Part of Ulster County Vote Results]])</f>
        <v>24</v>
      </c>
      <c r="F11" s="13"/>
    </row>
    <row r="12" spans="1:6" x14ac:dyDescent="0.2">
      <c r="A12" s="4" t="s">
        <v>2</v>
      </c>
      <c r="B12" s="5">
        <v>23</v>
      </c>
      <c r="C12" s="5">
        <v>11</v>
      </c>
      <c r="D12" s="5">
        <v>2</v>
      </c>
      <c r="E12" s="11">
        <f>SUM(StateSenatorSenateDistrict39General[[#This Row],[Part of Orange County Vote Results]:[Part of Ulster County Vote Results]])</f>
        <v>36</v>
      </c>
      <c r="F12" s="13"/>
    </row>
    <row r="13" spans="1:6" hidden="1" x14ac:dyDescent="0.2">
      <c r="A13" s="4" t="s">
        <v>3</v>
      </c>
      <c r="B13" s="6">
        <f>SUBTOTAL(109,StateSenatorSenateDistrict39General[Part of Orange County Vote Results])</f>
        <v>74270</v>
      </c>
      <c r="C13" s="6"/>
      <c r="D13" s="6">
        <f>SUBTOTAL(109,StateSenatorSenateDistrict39General[Part of Ulster County Vote Results])</f>
        <v>7161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5AD0-83FB-42E4-AE99-7A8E40CEC53B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89</v>
      </c>
    </row>
    <row r="2" spans="1:4" ht="24.95" customHeight="1" x14ac:dyDescent="0.2">
      <c r="A2" s="7" t="s">
        <v>5</v>
      </c>
      <c r="B2" s="8" t="s">
        <v>6</v>
      </c>
      <c r="C2" s="9" t="s">
        <v>457</v>
      </c>
      <c r="D2" s="10" t="s">
        <v>4</v>
      </c>
    </row>
    <row r="3" spans="1:4" x14ac:dyDescent="0.2">
      <c r="A3" s="2" t="s">
        <v>90</v>
      </c>
      <c r="B3" s="3">
        <v>47294</v>
      </c>
      <c r="C3" s="11">
        <f>StateSenatorSenateDistrict4General[[#This Row],[Part of Suffolk County Vote Results]]</f>
        <v>47294</v>
      </c>
      <c r="D3" s="12">
        <f>SUM(StateSenatorSenateDistrict4General[[#This Row],[Total Votes by Party]],C6,C8)</f>
        <v>49131</v>
      </c>
    </row>
    <row r="4" spans="1:4" x14ac:dyDescent="0.2">
      <c r="A4" s="2" t="s">
        <v>91</v>
      </c>
      <c r="B4" s="3">
        <v>46143</v>
      </c>
      <c r="C4" s="11">
        <f>StateSenatorSenateDistrict4General[[#This Row],[Part of Suffolk County Vote Results]]</f>
        <v>46143</v>
      </c>
      <c r="D4" s="12">
        <f>SUM(StateSenatorSenateDistrict4General[[#This Row],[Total Votes by Party]],C5,C7,C9)</f>
        <v>52767</v>
      </c>
    </row>
    <row r="5" spans="1:4" x14ac:dyDescent="0.2">
      <c r="A5" s="2" t="s">
        <v>92</v>
      </c>
      <c r="B5" s="3">
        <v>5172</v>
      </c>
      <c r="C5" s="11">
        <f>StateSenatorSenateDistrict4General[[#This Row],[Part of Suffolk County Vote Results]]</f>
        <v>5172</v>
      </c>
      <c r="D5" s="13"/>
    </row>
    <row r="6" spans="1:4" x14ac:dyDescent="0.2">
      <c r="A6" s="2" t="s">
        <v>93</v>
      </c>
      <c r="B6" s="3">
        <v>1194</v>
      </c>
      <c r="C6" s="11">
        <f>StateSenatorSenateDistrict4General[[#This Row],[Part of Suffolk County Vote Results]]</f>
        <v>1194</v>
      </c>
      <c r="D6" s="13"/>
    </row>
    <row r="7" spans="1:4" x14ac:dyDescent="0.2">
      <c r="A7" s="2" t="s">
        <v>94</v>
      </c>
      <c r="B7" s="3">
        <v>1247</v>
      </c>
      <c r="C7" s="11">
        <f>StateSenatorSenateDistrict4General[[#This Row],[Part of Suffolk County Vote Results]]</f>
        <v>1247</v>
      </c>
      <c r="D7" s="13"/>
    </row>
    <row r="8" spans="1:4" x14ac:dyDescent="0.2">
      <c r="A8" s="2" t="s">
        <v>95</v>
      </c>
      <c r="B8" s="3">
        <v>643</v>
      </c>
      <c r="C8" s="11">
        <f>StateSenatorSenateDistrict4General[[#This Row],[Part of Suffolk County Vote Results]]</f>
        <v>643</v>
      </c>
      <c r="D8" s="13"/>
    </row>
    <row r="9" spans="1:4" x14ac:dyDescent="0.2">
      <c r="A9" s="2" t="s">
        <v>458</v>
      </c>
      <c r="B9" s="3">
        <v>205</v>
      </c>
      <c r="C9" s="11">
        <f>StateSenatorSenateDistrict4General[[#This Row],[Part of Suffolk County Vote Results]]</f>
        <v>205</v>
      </c>
      <c r="D9" s="13"/>
    </row>
    <row r="10" spans="1:4" x14ac:dyDescent="0.2">
      <c r="A10" s="4" t="s">
        <v>0</v>
      </c>
      <c r="B10" s="5">
        <v>3098</v>
      </c>
      <c r="C10" s="11">
        <f>StateSenatorSenateDistrict4General[[#This Row],[Part of Suffolk County Vote Results]]</f>
        <v>3098</v>
      </c>
      <c r="D10" s="13"/>
    </row>
    <row r="11" spans="1:4" x14ac:dyDescent="0.2">
      <c r="A11" s="4" t="s">
        <v>1</v>
      </c>
      <c r="B11" s="5">
        <v>31</v>
      </c>
      <c r="C11" s="11">
        <f>StateSenatorSenateDistrict4General[[#This Row],[Part of Suffolk County Vote Results]]</f>
        <v>31</v>
      </c>
      <c r="D11" s="13"/>
    </row>
    <row r="12" spans="1:4" x14ac:dyDescent="0.2">
      <c r="A12" s="4" t="s">
        <v>2</v>
      </c>
      <c r="B12" s="5">
        <v>25</v>
      </c>
      <c r="C12" s="11">
        <f>StateSenatorSenateDistrict4General[[#This Row],[Part of Suffolk County Vote Results]]</f>
        <v>25</v>
      </c>
      <c r="D12" s="13"/>
    </row>
    <row r="13" spans="1:4" hidden="1" x14ac:dyDescent="0.2">
      <c r="A13" s="4" t="s">
        <v>3</v>
      </c>
      <c r="B13" s="6">
        <f>SUBTOTAL(109,StateSenatorSenateDistrict4General[Total Votes by Candidate])</f>
        <v>101898</v>
      </c>
      <c r="C13" s="11" t="e">
        <f>StateSenatorSenateDistrict3General[[#This Row],[Part of Suffolk County Vote Results]]</f>
        <v>#VALUE!</v>
      </c>
      <c r="D13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0E4D-3E0A-4649-8257-820F3DA386FB}">
  <sheetPr>
    <pageSetUpPr fitToPage="1"/>
  </sheetPr>
  <dimension ref="A1:F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292</v>
      </c>
    </row>
    <row r="2" spans="1:6" ht="25.5" x14ac:dyDescent="0.2">
      <c r="A2" s="7" t="s">
        <v>5</v>
      </c>
      <c r="B2" s="8" t="s">
        <v>24</v>
      </c>
      <c r="C2" s="8" t="s">
        <v>14</v>
      </c>
      <c r="D2" s="8" t="s">
        <v>13</v>
      </c>
      <c r="E2" s="9" t="s">
        <v>457</v>
      </c>
      <c r="F2" s="10" t="s">
        <v>4</v>
      </c>
    </row>
    <row r="3" spans="1:6" x14ac:dyDescent="0.2">
      <c r="A3" s="2" t="s">
        <v>293</v>
      </c>
      <c r="B3" s="3">
        <v>3103</v>
      </c>
      <c r="C3" s="3">
        <v>8309</v>
      </c>
      <c r="D3" s="3">
        <v>48148</v>
      </c>
      <c r="E3" s="11">
        <f>SUM(StateSenatorSenateDistrict40General[[#This Row],[Part of Dutchess County Vote Results]:[Part of Westchester County Vote Results]])</f>
        <v>59560</v>
      </c>
      <c r="F3" s="12">
        <f>SUM(StateSenatorSenateDistrict40General[[#This Row],[Total Votes by Party]],E6,E8)</f>
        <v>62155</v>
      </c>
    </row>
    <row r="4" spans="1:6" x14ac:dyDescent="0.2">
      <c r="A4" s="2" t="s">
        <v>294</v>
      </c>
      <c r="B4" s="3">
        <v>4400</v>
      </c>
      <c r="C4" s="3">
        <v>12807</v>
      </c>
      <c r="D4" s="3">
        <v>32523</v>
      </c>
      <c r="E4" s="11">
        <f>SUM(StateSenatorSenateDistrict40General[[#This Row],[Part of Dutchess County Vote Results]:[Part of Westchester County Vote Results]])</f>
        <v>49730</v>
      </c>
      <c r="F4" s="12">
        <f>SUM(StateSenatorSenateDistrict40General[[#This Row],[Total Votes by Party]],E5,E7,E9)</f>
        <v>58321</v>
      </c>
    </row>
    <row r="5" spans="1:6" x14ac:dyDescent="0.2">
      <c r="A5" s="2" t="s">
        <v>295</v>
      </c>
      <c r="B5" s="3">
        <v>637</v>
      </c>
      <c r="C5" s="3">
        <v>1728</v>
      </c>
      <c r="D5" s="3">
        <v>4185</v>
      </c>
      <c r="E5" s="11">
        <f>SUM(StateSenatorSenateDistrict40General[[#This Row],[Part of Dutchess County Vote Results]:[Part of Westchester County Vote Results]])</f>
        <v>6550</v>
      </c>
      <c r="F5" s="13"/>
    </row>
    <row r="6" spans="1:6" x14ac:dyDescent="0.2">
      <c r="A6" s="2" t="s">
        <v>296</v>
      </c>
      <c r="B6" s="3">
        <v>93</v>
      </c>
      <c r="C6" s="3">
        <v>262</v>
      </c>
      <c r="D6" s="3">
        <v>1422</v>
      </c>
      <c r="E6" s="11">
        <f>SUM(StateSenatorSenateDistrict40General[[#This Row],[Part of Dutchess County Vote Results]:[Part of Westchester County Vote Results]])</f>
        <v>1777</v>
      </c>
      <c r="F6" s="13"/>
    </row>
    <row r="7" spans="1:6" x14ac:dyDescent="0.2">
      <c r="A7" s="2" t="s">
        <v>297</v>
      </c>
      <c r="B7" s="3">
        <v>156</v>
      </c>
      <c r="C7" s="3">
        <v>420</v>
      </c>
      <c r="D7" s="3">
        <v>1105</v>
      </c>
      <c r="E7" s="11">
        <f>SUM(StateSenatorSenateDistrict40General[[#This Row],[Part of Dutchess County Vote Results]:[Part of Westchester County Vote Results]])</f>
        <v>1681</v>
      </c>
      <c r="F7" s="13"/>
    </row>
    <row r="8" spans="1:6" x14ac:dyDescent="0.2">
      <c r="A8" s="2" t="s">
        <v>298</v>
      </c>
      <c r="B8" s="3">
        <v>52</v>
      </c>
      <c r="C8" s="3">
        <v>153</v>
      </c>
      <c r="D8" s="3">
        <v>613</v>
      </c>
      <c r="E8" s="11">
        <f>SUM(StateSenatorSenateDistrict40General[[#This Row],[Part of Dutchess County Vote Results]:[Part of Westchester County Vote Results]])</f>
        <v>818</v>
      </c>
      <c r="F8" s="13"/>
    </row>
    <row r="9" spans="1:6" x14ac:dyDescent="0.2">
      <c r="A9" s="2" t="s">
        <v>299</v>
      </c>
      <c r="B9" s="3">
        <v>23</v>
      </c>
      <c r="C9" s="3">
        <v>61</v>
      </c>
      <c r="D9" s="3">
        <v>276</v>
      </c>
      <c r="E9" s="11">
        <f>SUM(StateSenatorSenateDistrict40General[[#This Row],[Part of Dutchess County Vote Results]:[Part of Westchester County Vote Results]])</f>
        <v>360</v>
      </c>
      <c r="F9" s="13"/>
    </row>
    <row r="10" spans="1:6" x14ac:dyDescent="0.2">
      <c r="A10" s="4" t="s">
        <v>0</v>
      </c>
      <c r="B10" s="3">
        <v>296</v>
      </c>
      <c r="C10" s="3">
        <v>701</v>
      </c>
      <c r="D10" s="3">
        <v>2020</v>
      </c>
      <c r="E10" s="11">
        <f>SUM(StateSenatorSenateDistrict40General[[#This Row],[Part of Dutchess County Vote Results]:[Part of Westchester County Vote Results]])</f>
        <v>3017</v>
      </c>
      <c r="F10" s="13"/>
    </row>
    <row r="11" spans="1:6" x14ac:dyDescent="0.2">
      <c r="A11" s="4" t="s">
        <v>1</v>
      </c>
      <c r="B11" s="3">
        <v>4</v>
      </c>
      <c r="C11" s="3">
        <v>0</v>
      </c>
      <c r="D11" s="3">
        <v>0</v>
      </c>
      <c r="E11" s="11">
        <f>SUM(StateSenatorSenateDistrict40General[[#This Row],[Part of Dutchess County Vote Results]:[Part of Westchester County Vote Results]])</f>
        <v>4</v>
      </c>
      <c r="F11" s="13"/>
    </row>
    <row r="12" spans="1:6" x14ac:dyDescent="0.2">
      <c r="A12" s="4" t="s">
        <v>2</v>
      </c>
      <c r="B12" s="5">
        <v>3</v>
      </c>
      <c r="C12" s="5">
        <v>8</v>
      </c>
      <c r="D12" s="5">
        <v>31</v>
      </c>
      <c r="E12" s="11">
        <f>SUM(StateSenatorSenateDistrict40General[[#This Row],[Part of Dutchess County Vote Results]:[Part of Westchester County Vote Results]])</f>
        <v>42</v>
      </c>
      <c r="F12" s="13"/>
    </row>
    <row r="13" spans="1:6" hidden="1" x14ac:dyDescent="0.2">
      <c r="A13" s="4" t="s">
        <v>3</v>
      </c>
      <c r="B13" s="6">
        <f>SUBTOTAL(109,StateSenatorSenateDistrict40General[Part of Dutchess County Vote Results])</f>
        <v>8767</v>
      </c>
      <c r="C13" s="6"/>
      <c r="D13" s="6">
        <f>SUBTOTAL(109,StateSenatorSenateDistrict40General[Part of Westchester County Vote Results])</f>
        <v>90323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A331-D29B-458D-A54F-8E867523E0C6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300</v>
      </c>
    </row>
    <row r="2" spans="1:5" ht="25.5" x14ac:dyDescent="0.2">
      <c r="A2" s="7" t="s">
        <v>5</v>
      </c>
      <c r="B2" s="8" t="s">
        <v>24</v>
      </c>
      <c r="C2" s="8" t="s">
        <v>14</v>
      </c>
      <c r="D2" s="9" t="s">
        <v>457</v>
      </c>
      <c r="E2" s="10" t="s">
        <v>4</v>
      </c>
    </row>
    <row r="3" spans="1:5" x14ac:dyDescent="0.2">
      <c r="A3" s="2" t="s">
        <v>301</v>
      </c>
      <c r="B3" s="3">
        <v>48663</v>
      </c>
      <c r="C3" s="3">
        <v>6919</v>
      </c>
      <c r="D3" s="11">
        <f>SUM(StateSenatorSenateDistrict41General[[#This Row],[Part of Dutchess County Vote Results]:[Part of Putnam County Vote Results]])</f>
        <v>55582</v>
      </c>
      <c r="E3" s="12">
        <f>SUM(StateSenatorSenateDistrict41General[[#This Row],[Total Votes by Party]],D6,D8)</f>
        <v>58746</v>
      </c>
    </row>
    <row r="4" spans="1:5" x14ac:dyDescent="0.2">
      <c r="A4" s="2" t="s">
        <v>302</v>
      </c>
      <c r="B4" s="3">
        <v>43513</v>
      </c>
      <c r="C4" s="3">
        <v>6172</v>
      </c>
      <c r="D4" s="11">
        <f>SUM(StateSenatorSenateDistrict41General[[#This Row],[Part of Dutchess County Vote Results]:[Part of Putnam County Vote Results]])</f>
        <v>49685</v>
      </c>
      <c r="E4" s="12">
        <f>SUM(StateSenatorSenateDistrict41General[[#This Row],[Total Votes by Party]],D5,D7,D9)</f>
        <v>59434</v>
      </c>
    </row>
    <row r="5" spans="1:5" x14ac:dyDescent="0.2">
      <c r="A5" s="2" t="s">
        <v>303</v>
      </c>
      <c r="B5" s="3">
        <v>6626</v>
      </c>
      <c r="C5" s="3">
        <v>1057</v>
      </c>
      <c r="D5" s="11">
        <f>SUM(StateSenatorSenateDistrict41General[[#This Row],[Part of Dutchess County Vote Results]:[Part of Putnam County Vote Results]])</f>
        <v>7683</v>
      </c>
      <c r="E5" s="13"/>
    </row>
    <row r="6" spans="1:5" x14ac:dyDescent="0.2">
      <c r="A6" s="2" t="s">
        <v>304</v>
      </c>
      <c r="B6" s="3">
        <v>1959</v>
      </c>
      <c r="C6" s="3">
        <v>315</v>
      </c>
      <c r="D6" s="11">
        <f>SUM(StateSenatorSenateDistrict41General[[#This Row],[Part of Dutchess County Vote Results]:[Part of Putnam County Vote Results]])</f>
        <v>2274</v>
      </c>
      <c r="E6" s="13"/>
    </row>
    <row r="7" spans="1:5" x14ac:dyDescent="0.2">
      <c r="A7" s="2" t="s">
        <v>305</v>
      </c>
      <c r="B7" s="3">
        <v>1500</v>
      </c>
      <c r="C7" s="3">
        <v>198</v>
      </c>
      <c r="D7" s="11">
        <f>SUM(StateSenatorSenateDistrict41General[[#This Row],[Part of Dutchess County Vote Results]:[Part of Putnam County Vote Results]])</f>
        <v>1698</v>
      </c>
      <c r="E7" s="13"/>
    </row>
    <row r="8" spans="1:5" x14ac:dyDescent="0.2">
      <c r="A8" s="2" t="s">
        <v>306</v>
      </c>
      <c r="B8" s="3">
        <v>746</v>
      </c>
      <c r="C8" s="3">
        <v>144</v>
      </c>
      <c r="D8" s="11">
        <f>SUM(StateSenatorSenateDistrict41General[[#This Row],[Part of Dutchess County Vote Results]:[Part of Putnam County Vote Results]])</f>
        <v>890</v>
      </c>
      <c r="E8" s="13"/>
    </row>
    <row r="9" spans="1:5" x14ac:dyDescent="0.2">
      <c r="A9" s="2" t="s">
        <v>307</v>
      </c>
      <c r="B9" s="3">
        <v>329</v>
      </c>
      <c r="C9" s="3">
        <v>39</v>
      </c>
      <c r="D9" s="11">
        <f>SUM(StateSenatorSenateDistrict41General[[#This Row],[Part of Dutchess County Vote Results]:[Part of Putnam County Vote Results]])</f>
        <v>368</v>
      </c>
      <c r="E9" s="13"/>
    </row>
    <row r="10" spans="1:5" x14ac:dyDescent="0.2">
      <c r="A10" s="4" t="s">
        <v>0</v>
      </c>
      <c r="B10" s="3">
        <v>1999</v>
      </c>
      <c r="C10" s="3">
        <v>489</v>
      </c>
      <c r="D10" s="11">
        <f>SUM(StateSenatorSenateDistrict41General[[#This Row],[Part of Dutchess County Vote Results]:[Part of Putnam County Vote Results]])</f>
        <v>2488</v>
      </c>
      <c r="E10" s="13"/>
    </row>
    <row r="11" spans="1:5" x14ac:dyDescent="0.2">
      <c r="A11" s="4" t="s">
        <v>1</v>
      </c>
      <c r="B11" s="3">
        <v>51</v>
      </c>
      <c r="C11" s="3">
        <v>0</v>
      </c>
      <c r="D11" s="11">
        <f>SUM(StateSenatorSenateDistrict41General[[#This Row],[Part of Dutchess County Vote Results]:[Part of Putnam County Vote Results]])</f>
        <v>51</v>
      </c>
      <c r="E11" s="13"/>
    </row>
    <row r="12" spans="1:5" x14ac:dyDescent="0.2">
      <c r="A12" s="4" t="s">
        <v>2</v>
      </c>
      <c r="B12" s="5">
        <v>29</v>
      </c>
      <c r="C12" s="5">
        <v>2</v>
      </c>
      <c r="D12" s="11">
        <f>SUM(StateSenatorSenateDistrict41General[[#This Row],[Part of Dutchess County Vote Results]:[Part of Putnam County Vote Results]])</f>
        <v>31</v>
      </c>
      <c r="E12" s="13"/>
    </row>
    <row r="13" spans="1:5" hidden="1" x14ac:dyDescent="0.2">
      <c r="A13" s="4" t="s">
        <v>3</v>
      </c>
      <c r="B13" s="6">
        <f>SUBTOTAL(109,StateSenatorSenateDistrict41General[Part of Dutchess County Vote Results])</f>
        <v>105415</v>
      </c>
      <c r="C13" s="6">
        <f>SUBTOTAL(109,StateSenatorSenateDistrict41General[Part of Putnam County Vote Results])</f>
        <v>15335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C08F-1F4F-4BFB-884B-E68AA7FD2E07}">
  <sheetPr>
    <pageSetUpPr fitToPage="1"/>
  </sheetPr>
  <dimension ref="A1:G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308</v>
      </c>
    </row>
    <row r="2" spans="1:7" ht="25.5" x14ac:dyDescent="0.2">
      <c r="A2" s="7" t="s">
        <v>5</v>
      </c>
      <c r="B2" s="8" t="s">
        <v>55</v>
      </c>
      <c r="C2" s="8" t="s">
        <v>17</v>
      </c>
      <c r="D2" s="8" t="s">
        <v>16</v>
      </c>
      <c r="E2" s="8" t="s">
        <v>20</v>
      </c>
      <c r="F2" s="9" t="s">
        <v>457</v>
      </c>
      <c r="G2" s="10" t="s">
        <v>4</v>
      </c>
    </row>
    <row r="3" spans="1:7" x14ac:dyDescent="0.2">
      <c r="A3" s="2" t="s">
        <v>309</v>
      </c>
      <c r="B3" s="3">
        <v>10859</v>
      </c>
      <c r="C3" s="3">
        <v>1907</v>
      </c>
      <c r="D3" s="3">
        <v>23969</v>
      </c>
      <c r="E3" s="3">
        <v>11821</v>
      </c>
      <c r="F3" s="11">
        <f>SUM(StateSenatorSenateDistrict42General[[#This Row],[Sullivan County Vote Results]:[Part of Ulster County Vote Results]])</f>
        <v>48556</v>
      </c>
      <c r="G3" s="12">
        <f>SUM(StateSenatorSenateDistrict42General[[#This Row],[Total Votes by Party]],F6,F8)</f>
        <v>52292</v>
      </c>
    </row>
    <row r="4" spans="1:7" x14ac:dyDescent="0.2">
      <c r="A4" s="2" t="s">
        <v>310</v>
      </c>
      <c r="B4" s="3">
        <v>10991</v>
      </c>
      <c r="C4" s="3">
        <v>2976</v>
      </c>
      <c r="D4" s="3">
        <v>21444</v>
      </c>
      <c r="E4" s="3">
        <v>6237</v>
      </c>
      <c r="F4" s="11">
        <f>SUM(StateSenatorSenateDistrict42General[[#This Row],[Sullivan County Vote Results]:[Part of Ulster County Vote Results]])</f>
        <v>41648</v>
      </c>
      <c r="G4" s="12">
        <f>SUM(StateSenatorSenateDistrict42General[[#This Row],[Total Votes by Party]],F5,F7,F9)</f>
        <v>48572</v>
      </c>
    </row>
    <row r="5" spans="1:7" x14ac:dyDescent="0.2">
      <c r="A5" s="2" t="s">
        <v>311</v>
      </c>
      <c r="B5" s="3">
        <v>1279</v>
      </c>
      <c r="C5" s="3">
        <v>232</v>
      </c>
      <c r="D5" s="3">
        <v>2922</v>
      </c>
      <c r="E5" s="3">
        <v>929</v>
      </c>
      <c r="F5" s="11">
        <f>SUM(StateSenatorSenateDistrict42General[[#This Row],[Sullivan County Vote Results]:[Part of Ulster County Vote Results]])</f>
        <v>5362</v>
      </c>
      <c r="G5" s="13"/>
    </row>
    <row r="6" spans="1:7" x14ac:dyDescent="0.2">
      <c r="A6" s="2" t="s">
        <v>312</v>
      </c>
      <c r="B6" s="3">
        <v>653</v>
      </c>
      <c r="C6" s="3">
        <v>104</v>
      </c>
      <c r="D6" s="3">
        <v>827</v>
      </c>
      <c r="E6" s="3">
        <v>1146</v>
      </c>
      <c r="F6" s="11">
        <f>SUM(StateSenatorSenateDistrict42General[[#This Row],[Sullivan County Vote Results]:[Part of Ulster County Vote Results]])</f>
        <v>2730</v>
      </c>
      <c r="G6" s="13"/>
    </row>
    <row r="7" spans="1:7" x14ac:dyDescent="0.2">
      <c r="A7" s="2" t="s">
        <v>313</v>
      </c>
      <c r="B7" s="3">
        <v>438</v>
      </c>
      <c r="C7" s="3">
        <v>59</v>
      </c>
      <c r="D7" s="3">
        <v>504</v>
      </c>
      <c r="E7" s="3">
        <v>224</v>
      </c>
      <c r="F7" s="11">
        <f>SUM(StateSenatorSenateDistrict42General[[#This Row],[Sullivan County Vote Results]:[Part of Ulster County Vote Results]])</f>
        <v>1225</v>
      </c>
      <c r="G7" s="13"/>
    </row>
    <row r="8" spans="1:7" x14ac:dyDescent="0.2">
      <c r="A8" s="2" t="s">
        <v>314</v>
      </c>
      <c r="B8" s="3">
        <v>242</v>
      </c>
      <c r="C8" s="3">
        <v>52</v>
      </c>
      <c r="D8" s="3">
        <v>402</v>
      </c>
      <c r="E8" s="3">
        <v>310</v>
      </c>
      <c r="F8" s="11">
        <f>SUM(StateSenatorSenateDistrict42General[[#This Row],[Sullivan County Vote Results]:[Part of Ulster County Vote Results]])</f>
        <v>1006</v>
      </c>
      <c r="G8" s="13"/>
    </row>
    <row r="9" spans="1:7" x14ac:dyDescent="0.2">
      <c r="A9" s="2" t="s">
        <v>315</v>
      </c>
      <c r="B9" s="3">
        <v>86</v>
      </c>
      <c r="C9" s="3">
        <v>23</v>
      </c>
      <c r="D9" s="3">
        <v>169</v>
      </c>
      <c r="E9" s="3">
        <v>59</v>
      </c>
      <c r="F9" s="11">
        <f>SUM(StateSenatorSenateDistrict42General[[#This Row],[Sullivan County Vote Results]:[Part of Ulster County Vote Results]])</f>
        <v>337</v>
      </c>
      <c r="G9" s="13"/>
    </row>
    <row r="10" spans="1:7" x14ac:dyDescent="0.2">
      <c r="A10" s="4" t="s">
        <v>0</v>
      </c>
      <c r="B10" s="3">
        <v>969</v>
      </c>
      <c r="C10" s="3">
        <v>157</v>
      </c>
      <c r="D10" s="3">
        <v>1386</v>
      </c>
      <c r="E10" s="3">
        <v>386</v>
      </c>
      <c r="F10" s="11">
        <f>SUM(StateSenatorSenateDistrict42General[[#This Row],[Sullivan County Vote Results]:[Part of Ulster County Vote Results]])</f>
        <v>2898</v>
      </c>
      <c r="G10" s="13"/>
    </row>
    <row r="11" spans="1:7" x14ac:dyDescent="0.2">
      <c r="A11" s="4" t="s">
        <v>1</v>
      </c>
      <c r="B11" s="3">
        <v>5</v>
      </c>
      <c r="C11" s="3">
        <v>2</v>
      </c>
      <c r="D11" s="3">
        <v>0</v>
      </c>
      <c r="E11" s="3">
        <v>14</v>
      </c>
      <c r="F11" s="11">
        <f>SUM(StateSenatorSenateDistrict42General[[#This Row],[Sullivan County Vote Results]:[Part of Ulster County Vote Results]])</f>
        <v>21</v>
      </c>
      <c r="G11" s="13"/>
    </row>
    <row r="12" spans="1:7" x14ac:dyDescent="0.2">
      <c r="A12" s="4" t="s">
        <v>2</v>
      </c>
      <c r="B12" s="5">
        <v>11</v>
      </c>
      <c r="C12" s="5">
        <v>2</v>
      </c>
      <c r="D12" s="5">
        <v>31</v>
      </c>
      <c r="E12" s="5">
        <v>8</v>
      </c>
      <c r="F12" s="11">
        <f>SUM(StateSenatorSenateDistrict42General[[#This Row],[Sullivan County Vote Results]:[Part of Ulster County Vote Results]])</f>
        <v>52</v>
      </c>
      <c r="G12" s="13"/>
    </row>
    <row r="13" spans="1:7" hidden="1" x14ac:dyDescent="0.2">
      <c r="A13" s="4" t="s">
        <v>3</v>
      </c>
      <c r="B13" s="6">
        <f>SUBTOTAL(109,StateSenatorSenateDistrict42General[Sullivan County Vote Results])</f>
        <v>25533</v>
      </c>
      <c r="C13" s="6"/>
      <c r="D13" s="6"/>
      <c r="E13" s="6">
        <f>SUBTOTAL(109,StateSenatorSenateDistrict42General[Part of Ulster County Vote Results])</f>
        <v>21134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9863-715F-4E93-BC8B-85BAF2062171}">
  <sheetPr>
    <pageSetUpPr fitToPage="1"/>
  </sheetPr>
  <dimension ref="A1:G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316</v>
      </c>
    </row>
    <row r="2" spans="1:7" ht="25.5" x14ac:dyDescent="0.2">
      <c r="A2" s="7" t="s">
        <v>5</v>
      </c>
      <c r="B2" s="8" t="s">
        <v>53</v>
      </c>
      <c r="C2" s="8" t="s">
        <v>25</v>
      </c>
      <c r="D2" s="8" t="s">
        <v>27</v>
      </c>
      <c r="E2" s="8" t="s">
        <v>26</v>
      </c>
      <c r="F2" s="9" t="s">
        <v>457</v>
      </c>
      <c r="G2" s="10" t="s">
        <v>4</v>
      </c>
    </row>
    <row r="3" spans="1:7" x14ac:dyDescent="0.2">
      <c r="A3" s="2" t="s">
        <v>318</v>
      </c>
      <c r="B3" s="3">
        <v>13923</v>
      </c>
      <c r="C3" s="3">
        <v>18765</v>
      </c>
      <c r="D3" s="3">
        <v>21381</v>
      </c>
      <c r="E3" s="3">
        <v>715</v>
      </c>
      <c r="F3" s="11">
        <f>SUM(StateSenatorSenateDistrict43General[[#This Row],[Columbia County Vote Results]:[Part of Washington County Vote Results]])</f>
        <v>54784</v>
      </c>
      <c r="G3" s="12">
        <f>SUM(StateSenatorSenateDistrict43General[[#This Row],[Total Votes by Party]],F6,F8)</f>
        <v>59615</v>
      </c>
    </row>
    <row r="4" spans="1:7" x14ac:dyDescent="0.2">
      <c r="A4" s="2" t="s">
        <v>317</v>
      </c>
      <c r="B4" s="3">
        <v>10741</v>
      </c>
      <c r="C4" s="3">
        <v>21426</v>
      </c>
      <c r="D4" s="3">
        <v>21429</v>
      </c>
      <c r="E4" s="3">
        <v>980</v>
      </c>
      <c r="F4" s="11">
        <f>SUM(StateSenatorSenateDistrict43General[[#This Row],[Columbia County Vote Results]:[Part of Washington County Vote Results]])</f>
        <v>54576</v>
      </c>
      <c r="G4" s="12">
        <f>SUM(StateSenatorSenateDistrict43General[[#This Row],[Total Votes by Party]],F5,F7,F9)</f>
        <v>67377</v>
      </c>
    </row>
    <row r="5" spans="1:7" x14ac:dyDescent="0.2">
      <c r="A5" s="2" t="s">
        <v>319</v>
      </c>
      <c r="B5" s="3">
        <v>1825</v>
      </c>
      <c r="C5" s="3">
        <v>4237</v>
      </c>
      <c r="D5" s="3">
        <v>2972</v>
      </c>
      <c r="E5" s="3">
        <v>206</v>
      </c>
      <c r="F5" s="11">
        <f>SUM(StateSenatorSenateDistrict43General[[#This Row],[Columbia County Vote Results]:[Part of Washington County Vote Results]])</f>
        <v>9240</v>
      </c>
      <c r="G5" s="13"/>
    </row>
    <row r="6" spans="1:7" x14ac:dyDescent="0.2">
      <c r="A6" s="2" t="s">
        <v>320</v>
      </c>
      <c r="B6" s="3">
        <v>1040</v>
      </c>
      <c r="C6" s="3">
        <v>1356</v>
      </c>
      <c r="D6" s="3">
        <v>983</v>
      </c>
      <c r="E6" s="3">
        <v>54</v>
      </c>
      <c r="F6" s="11">
        <f>SUM(StateSenatorSenateDistrict43General[[#This Row],[Columbia County Vote Results]:[Part of Washington County Vote Results]])</f>
        <v>3433</v>
      </c>
      <c r="G6" s="13"/>
    </row>
    <row r="7" spans="1:7" x14ac:dyDescent="0.2">
      <c r="A7" s="2" t="s">
        <v>321</v>
      </c>
      <c r="B7" s="3">
        <v>562</v>
      </c>
      <c r="C7" s="3">
        <v>1482</v>
      </c>
      <c r="D7" s="3">
        <v>876</v>
      </c>
      <c r="E7" s="3">
        <v>23</v>
      </c>
      <c r="F7" s="11">
        <f>SUM(StateSenatorSenateDistrict43General[[#This Row],[Columbia County Vote Results]:[Part of Washington County Vote Results]])</f>
        <v>2943</v>
      </c>
      <c r="G7" s="13"/>
    </row>
    <row r="8" spans="1:7" x14ac:dyDescent="0.2">
      <c r="A8" s="2" t="s">
        <v>322</v>
      </c>
      <c r="B8" s="3">
        <v>311</v>
      </c>
      <c r="C8" s="3">
        <v>569</v>
      </c>
      <c r="D8" s="3">
        <v>503</v>
      </c>
      <c r="E8" s="3">
        <v>15</v>
      </c>
      <c r="F8" s="11">
        <f>SUM(StateSenatorSenateDistrict43General[[#This Row],[Columbia County Vote Results]:[Part of Washington County Vote Results]])</f>
        <v>1398</v>
      </c>
      <c r="G8" s="13"/>
    </row>
    <row r="9" spans="1:7" x14ac:dyDescent="0.2">
      <c r="A9" s="2" t="s">
        <v>323</v>
      </c>
      <c r="B9" s="3">
        <v>116</v>
      </c>
      <c r="C9" s="3">
        <v>260</v>
      </c>
      <c r="D9" s="3">
        <v>233</v>
      </c>
      <c r="E9" s="3">
        <v>9</v>
      </c>
      <c r="F9" s="11">
        <f>SUM(StateSenatorSenateDistrict43General[[#This Row],[Columbia County Vote Results]:[Part of Washington County Vote Results]])</f>
        <v>618</v>
      </c>
      <c r="G9" s="13"/>
    </row>
    <row r="10" spans="1:7" x14ac:dyDescent="0.2">
      <c r="A10" s="4" t="s">
        <v>0</v>
      </c>
      <c r="B10" s="3">
        <v>1370</v>
      </c>
      <c r="C10" s="3">
        <v>2172</v>
      </c>
      <c r="D10" s="3">
        <v>1290</v>
      </c>
      <c r="E10" s="3">
        <v>40</v>
      </c>
      <c r="F10" s="11">
        <f>SUM(StateSenatorSenateDistrict43General[[#This Row],[Columbia County Vote Results]:[Part of Washington County Vote Results]])</f>
        <v>4872</v>
      </c>
      <c r="G10" s="13"/>
    </row>
    <row r="11" spans="1:7" x14ac:dyDescent="0.2">
      <c r="A11" s="4" t="s">
        <v>1</v>
      </c>
      <c r="B11" s="3">
        <v>6</v>
      </c>
      <c r="C11" s="3">
        <v>1</v>
      </c>
      <c r="D11" s="3">
        <v>6</v>
      </c>
      <c r="E11" s="3">
        <v>0</v>
      </c>
      <c r="F11" s="11">
        <f>SUM(StateSenatorSenateDistrict43General[[#This Row],[Columbia County Vote Results]:[Part of Washington County Vote Results]])</f>
        <v>13</v>
      </c>
      <c r="G11" s="13"/>
    </row>
    <row r="12" spans="1:7" x14ac:dyDescent="0.2">
      <c r="A12" s="4" t="s">
        <v>2</v>
      </c>
      <c r="B12" s="5">
        <v>6</v>
      </c>
      <c r="C12" s="5">
        <v>16</v>
      </c>
      <c r="D12" s="5">
        <v>13</v>
      </c>
      <c r="E12" s="5">
        <v>1</v>
      </c>
      <c r="F12" s="11">
        <f>SUM(StateSenatorSenateDistrict43General[[#This Row],[Columbia County Vote Results]:[Part of Washington County Vote Results]])</f>
        <v>36</v>
      </c>
      <c r="G12" s="13"/>
    </row>
    <row r="13" spans="1:7" hidden="1" x14ac:dyDescent="0.2">
      <c r="A13" s="4" t="s">
        <v>3</v>
      </c>
      <c r="B13" s="6">
        <f>SUBTOTAL(109,StateSenatorSenateDistrict43General[Columbia County Vote Results])</f>
        <v>29900</v>
      </c>
      <c r="C13" s="6"/>
      <c r="D13" s="6"/>
      <c r="E13" s="6">
        <f>SUBTOTAL(109,StateSenatorSenateDistrict43General[Part of Washington County Vote Results])</f>
        <v>2043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6441-5099-45F9-812B-DFB0DBD329A8}">
  <sheetPr>
    <pageSetUpPr fitToPage="1"/>
  </sheetPr>
  <dimension ref="A1:E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324</v>
      </c>
    </row>
    <row r="2" spans="1:5" ht="25.5" x14ac:dyDescent="0.2">
      <c r="A2" s="7" t="s">
        <v>5</v>
      </c>
      <c r="B2" s="8" t="s">
        <v>23</v>
      </c>
      <c r="C2" s="8" t="s">
        <v>25</v>
      </c>
      <c r="D2" s="9" t="s">
        <v>457</v>
      </c>
      <c r="E2" s="10" t="s">
        <v>4</v>
      </c>
    </row>
    <row r="3" spans="1:5" x14ac:dyDescent="0.2">
      <c r="A3" s="2" t="s">
        <v>325</v>
      </c>
      <c r="B3" s="3">
        <v>54733</v>
      </c>
      <c r="C3" s="3">
        <v>7147</v>
      </c>
      <c r="D3" s="11">
        <f>SUM(StateSenatorSenateDistrict44General[[#This Row],[Part of Albany County Vote Results]:[Part of Rensselaer County Vote Results]])</f>
        <v>61880</v>
      </c>
      <c r="E3" s="12">
        <f>SUM(StateSenatorSenateDistrict44General[[#This Row],[Total Votes by Party]],D6,D7)</f>
        <v>68730</v>
      </c>
    </row>
    <row r="4" spans="1:5" x14ac:dyDescent="0.2">
      <c r="A4" s="2" t="s">
        <v>326</v>
      </c>
      <c r="B4" s="3">
        <v>20914</v>
      </c>
      <c r="C4" s="3">
        <v>2733</v>
      </c>
      <c r="D4" s="11">
        <f>SUM(StateSenatorSenateDistrict44General[[#This Row],[Part of Albany County Vote Results]:[Part of Rensselaer County Vote Results]])</f>
        <v>23647</v>
      </c>
      <c r="E4" s="12">
        <f>SUM(StateSenatorSenateDistrict44General[[#This Row],[Total Votes by Party]],D5,D8)</f>
        <v>28534</v>
      </c>
    </row>
    <row r="5" spans="1:5" x14ac:dyDescent="0.2">
      <c r="A5" s="2" t="s">
        <v>327</v>
      </c>
      <c r="B5" s="3">
        <v>3633</v>
      </c>
      <c r="C5" s="3">
        <v>571</v>
      </c>
      <c r="D5" s="11">
        <f>SUM(StateSenatorSenateDistrict44General[[#This Row],[Part of Albany County Vote Results]:[Part of Rensselaer County Vote Results]])</f>
        <v>4204</v>
      </c>
      <c r="E5" s="13"/>
    </row>
    <row r="6" spans="1:5" x14ac:dyDescent="0.2">
      <c r="A6" s="2" t="s">
        <v>328</v>
      </c>
      <c r="B6" s="3">
        <v>3689</v>
      </c>
      <c r="C6" s="3">
        <v>586</v>
      </c>
      <c r="D6" s="11">
        <f>SUM(StateSenatorSenateDistrict44General[[#This Row],[Part of Albany County Vote Results]:[Part of Rensselaer County Vote Results]])</f>
        <v>4275</v>
      </c>
      <c r="E6" s="13"/>
    </row>
    <row r="7" spans="1:5" x14ac:dyDescent="0.2">
      <c r="A7" s="2" t="s">
        <v>329</v>
      </c>
      <c r="B7" s="3">
        <v>2197</v>
      </c>
      <c r="C7" s="3">
        <v>378</v>
      </c>
      <c r="D7" s="11">
        <f>SUM(StateSenatorSenateDistrict44General[[#This Row],[Part of Albany County Vote Results]:[Part of Rensselaer County Vote Results]])</f>
        <v>2575</v>
      </c>
      <c r="E7" s="13"/>
    </row>
    <row r="8" spans="1:5" x14ac:dyDescent="0.2">
      <c r="A8" s="2" t="s">
        <v>330</v>
      </c>
      <c r="B8" s="3">
        <v>596</v>
      </c>
      <c r="C8" s="3">
        <v>87</v>
      </c>
      <c r="D8" s="11">
        <f>SUM(StateSenatorSenateDistrict44General[[#This Row],[Part of Albany County Vote Results]:[Part of Rensselaer County Vote Results]])</f>
        <v>683</v>
      </c>
      <c r="E8" s="13"/>
    </row>
    <row r="9" spans="1:5" x14ac:dyDescent="0.2">
      <c r="A9" s="4" t="s">
        <v>0</v>
      </c>
      <c r="B9" s="3">
        <v>2674</v>
      </c>
      <c r="C9" s="3">
        <v>689</v>
      </c>
      <c r="D9" s="11">
        <f>SUM(StateSenatorSenateDistrict44General[[#This Row],[Part of Albany County Vote Results]:[Part of Rensselaer County Vote Results]])</f>
        <v>3363</v>
      </c>
      <c r="E9" s="13"/>
    </row>
    <row r="10" spans="1:5" x14ac:dyDescent="0.2">
      <c r="A10" s="4" t="s">
        <v>1</v>
      </c>
      <c r="B10" s="3">
        <v>42</v>
      </c>
      <c r="C10" s="3">
        <v>1</v>
      </c>
      <c r="D10" s="11">
        <f>SUM(StateSenatorSenateDistrict44General[[#This Row],[Part of Albany County Vote Results]:[Part of Rensselaer County Vote Results]])</f>
        <v>43</v>
      </c>
      <c r="E10" s="13"/>
    </row>
    <row r="11" spans="1:5" x14ac:dyDescent="0.2">
      <c r="A11" s="4" t="s">
        <v>2</v>
      </c>
      <c r="B11" s="5">
        <v>80</v>
      </c>
      <c r="C11" s="5">
        <v>3</v>
      </c>
      <c r="D11" s="11">
        <f>SUM(StateSenatorSenateDistrict44General[[#This Row],[Part of Albany County Vote Results]:[Part of Rensselaer County Vote Results]])</f>
        <v>83</v>
      </c>
      <c r="E11" s="13"/>
    </row>
    <row r="12" spans="1:5" hidden="1" x14ac:dyDescent="0.2">
      <c r="A12" s="4" t="s">
        <v>3</v>
      </c>
      <c r="B12" s="6">
        <f>SUBTOTAL(109,StateSenatorSenateDistrict44General[Part of Albany County Vote Results])</f>
        <v>88558</v>
      </c>
      <c r="C12" s="6">
        <f>SUBTOTAL(109,StateSenatorSenateDistrict44General[Part of Rensselaer County Vote Results])</f>
        <v>12195</v>
      </c>
      <c r="D12" s="11">
        <f>SUM(StateSenatorSenateDistrict43General[[#This Row],[Columbia County Vote Results]:[Part of Washington County Vote Results]])</f>
        <v>36</v>
      </c>
      <c r="E12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FFD8-EEEA-4233-B23D-AC5D641B7BD2}">
  <sheetPr>
    <pageSetUpPr fitToPage="1"/>
  </sheetPr>
  <dimension ref="A1:I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18.75" x14ac:dyDescent="0.2">
      <c r="A1" s="1" t="s">
        <v>331</v>
      </c>
    </row>
    <row r="2" spans="1:9" ht="25.5" x14ac:dyDescent="0.2">
      <c r="A2" s="7" t="s">
        <v>5</v>
      </c>
      <c r="B2" s="8" t="s">
        <v>32</v>
      </c>
      <c r="C2" s="8" t="s">
        <v>30</v>
      </c>
      <c r="D2" s="8" t="s">
        <v>33</v>
      </c>
      <c r="E2" s="8" t="s">
        <v>31</v>
      </c>
      <c r="F2" s="8" t="s">
        <v>34</v>
      </c>
      <c r="G2" s="8" t="s">
        <v>26</v>
      </c>
      <c r="H2" s="9" t="s">
        <v>457</v>
      </c>
      <c r="I2" s="10" t="s">
        <v>4</v>
      </c>
    </row>
    <row r="3" spans="1:9" x14ac:dyDescent="0.2">
      <c r="A3" s="2" t="s">
        <v>332</v>
      </c>
      <c r="B3" s="3">
        <v>9535</v>
      </c>
      <c r="C3" s="3">
        <v>5052</v>
      </c>
      <c r="D3" s="3">
        <v>4594</v>
      </c>
      <c r="E3" s="3">
        <v>8635</v>
      </c>
      <c r="F3" s="3">
        <v>787</v>
      </c>
      <c r="G3" s="3">
        <v>5273</v>
      </c>
      <c r="H3" s="11">
        <f>SUM(StateSenatorSenateDistrict45General[[#This Row],[Clinton County Vote Results]:[Part of Washington County Vote Results]])</f>
        <v>33876</v>
      </c>
      <c r="I3" s="12">
        <f>SUM(StateSenatorSenateDistrict45General[[#This Row],[Total Votes by Party]],H6)</f>
        <v>36061</v>
      </c>
    </row>
    <row r="4" spans="1:9" x14ac:dyDescent="0.2">
      <c r="A4" s="2" t="s">
        <v>333</v>
      </c>
      <c r="B4" s="3">
        <v>14042</v>
      </c>
      <c r="C4" s="3">
        <v>7871</v>
      </c>
      <c r="D4" s="3">
        <v>8094</v>
      </c>
      <c r="E4" s="3">
        <v>14300</v>
      </c>
      <c r="F4" s="3">
        <v>1459</v>
      </c>
      <c r="G4" s="3">
        <v>10903</v>
      </c>
      <c r="H4" s="11">
        <f>SUM(StateSenatorSenateDistrict45General[[#This Row],[Clinton County Vote Results]:[Part of Washington County Vote Results]])</f>
        <v>56669</v>
      </c>
      <c r="I4" s="12">
        <f>SUM(StateSenatorSenateDistrict45General[[#This Row],[Total Votes by Party]],H5,H7,H8)</f>
        <v>65270</v>
      </c>
    </row>
    <row r="5" spans="1:9" x14ac:dyDescent="0.2">
      <c r="A5" s="2" t="s">
        <v>334</v>
      </c>
      <c r="B5" s="3">
        <v>1034</v>
      </c>
      <c r="C5" s="3">
        <v>541</v>
      </c>
      <c r="D5" s="3">
        <v>546</v>
      </c>
      <c r="E5" s="3">
        <v>1453</v>
      </c>
      <c r="F5" s="3">
        <v>127</v>
      </c>
      <c r="G5" s="3">
        <v>1244</v>
      </c>
      <c r="H5" s="11">
        <f>SUM(StateSenatorSenateDistrict45General[[#This Row],[Clinton County Vote Results]:[Part of Washington County Vote Results]])</f>
        <v>4945</v>
      </c>
      <c r="I5" s="13"/>
    </row>
    <row r="6" spans="1:9" x14ac:dyDescent="0.2">
      <c r="A6" s="2" t="s">
        <v>335</v>
      </c>
      <c r="B6" s="3">
        <v>672</v>
      </c>
      <c r="C6" s="3">
        <v>290</v>
      </c>
      <c r="D6" s="3">
        <v>275</v>
      </c>
      <c r="E6" s="3">
        <v>533</v>
      </c>
      <c r="F6" s="3">
        <v>59</v>
      </c>
      <c r="G6" s="3">
        <v>356</v>
      </c>
      <c r="H6" s="11">
        <f>SUM(StateSenatorSenateDistrict45General[[#This Row],[Clinton County Vote Results]:[Part of Washington County Vote Results]])</f>
        <v>2185</v>
      </c>
      <c r="I6" s="13"/>
    </row>
    <row r="7" spans="1:9" x14ac:dyDescent="0.2">
      <c r="A7" s="2" t="s">
        <v>336</v>
      </c>
      <c r="B7" s="3">
        <v>924</v>
      </c>
      <c r="C7" s="3">
        <v>407</v>
      </c>
      <c r="D7" s="3">
        <v>440</v>
      </c>
      <c r="E7" s="3">
        <v>811</v>
      </c>
      <c r="F7" s="3">
        <v>52</v>
      </c>
      <c r="G7" s="3">
        <v>550</v>
      </c>
      <c r="H7" s="11">
        <f>SUM(StateSenatorSenateDistrict45General[[#This Row],[Clinton County Vote Results]:[Part of Washington County Vote Results]])</f>
        <v>3184</v>
      </c>
      <c r="I7" s="13"/>
    </row>
    <row r="8" spans="1:9" x14ac:dyDescent="0.2">
      <c r="A8" s="2" t="s">
        <v>337</v>
      </c>
      <c r="B8" s="3">
        <v>106</v>
      </c>
      <c r="C8" s="3">
        <v>64</v>
      </c>
      <c r="D8" s="3">
        <v>61</v>
      </c>
      <c r="E8" s="3">
        <v>126</v>
      </c>
      <c r="F8" s="3">
        <v>11</v>
      </c>
      <c r="G8" s="3">
        <v>104</v>
      </c>
      <c r="H8" s="11">
        <f>SUM(StateSenatorSenateDistrict45General[[#This Row],[Clinton County Vote Results]:[Part of Washington County Vote Results]])</f>
        <v>472</v>
      </c>
      <c r="I8" s="13"/>
    </row>
    <row r="9" spans="1:9" x14ac:dyDescent="0.2">
      <c r="A9" s="4" t="s">
        <v>0</v>
      </c>
      <c r="B9" s="3">
        <v>803</v>
      </c>
      <c r="C9" s="3">
        <v>556</v>
      </c>
      <c r="D9" s="3">
        <v>375</v>
      </c>
      <c r="E9" s="3">
        <v>627</v>
      </c>
      <c r="F9" s="3">
        <v>170</v>
      </c>
      <c r="G9" s="3">
        <v>249</v>
      </c>
      <c r="H9" s="11">
        <f>SUM(StateSenatorSenateDistrict45General[[#This Row],[Clinton County Vote Results]:[Part of Washington County Vote Results]])</f>
        <v>2780</v>
      </c>
      <c r="I9" s="13"/>
    </row>
    <row r="10" spans="1:9" x14ac:dyDescent="0.2">
      <c r="A10" s="4" t="s">
        <v>1</v>
      </c>
      <c r="B10" s="3">
        <v>4</v>
      </c>
      <c r="C10" s="3">
        <v>0</v>
      </c>
      <c r="D10" s="3">
        <v>3</v>
      </c>
      <c r="E10" s="3">
        <v>0</v>
      </c>
      <c r="F10" s="3">
        <v>0</v>
      </c>
      <c r="G10" s="3">
        <v>5</v>
      </c>
      <c r="H10" s="11">
        <f>SUM(StateSenatorSenateDistrict45General[[#This Row],[Clinton County Vote Results]:[Part of Washington County Vote Results]])</f>
        <v>12</v>
      </c>
      <c r="I10" s="13"/>
    </row>
    <row r="11" spans="1:9" x14ac:dyDescent="0.2">
      <c r="A11" s="4" t="s">
        <v>2</v>
      </c>
      <c r="B11" s="5">
        <v>14</v>
      </c>
      <c r="C11" s="5">
        <v>6</v>
      </c>
      <c r="D11" s="5">
        <v>2</v>
      </c>
      <c r="E11" s="5">
        <v>9</v>
      </c>
      <c r="F11" s="5">
        <v>0</v>
      </c>
      <c r="G11" s="5">
        <v>2</v>
      </c>
      <c r="H11" s="11">
        <f>SUM(StateSenatorSenateDistrict45General[[#This Row],[Clinton County Vote Results]:[Part of Washington County Vote Results]])</f>
        <v>33</v>
      </c>
      <c r="I11" s="13"/>
    </row>
    <row r="12" spans="1:9" hidden="1" x14ac:dyDescent="0.2">
      <c r="A12" s="4" t="s">
        <v>3</v>
      </c>
      <c r="B12" s="6">
        <f>SUBTOTAL(109,StateSenatorSenateDistrict45General[Clinton County Vote Results])</f>
        <v>27134</v>
      </c>
      <c r="C12" s="6"/>
      <c r="D12" s="6"/>
      <c r="E12" s="6"/>
      <c r="F12" s="6"/>
      <c r="G12" s="6">
        <f>SUBTOTAL(109,StateSenatorSenateDistrict45General[Part of Washington County Vote Results])</f>
        <v>18686</v>
      </c>
      <c r="H12" s="11">
        <f>SUM(StateSenatorSenateDistrict43General[[#This Row],[Columbia County Vote Results]:[Part of Washington County Vote Results]])</f>
        <v>36</v>
      </c>
      <c r="I12" s="13"/>
    </row>
  </sheetData>
  <pageMargins left="0.5" right="0.5" top="0.25" bottom="0.25" header="0.25" footer="0.25"/>
  <pageSetup paperSize="5" scale="8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83A9-210F-4D66-BBEB-8926AF501828}">
  <sheetPr>
    <pageSetUpPr fitToPage="1"/>
  </sheetPr>
  <dimension ref="A1:H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" t="s">
        <v>338</v>
      </c>
    </row>
    <row r="2" spans="1:8" ht="25.5" x14ac:dyDescent="0.2">
      <c r="A2" s="7" t="s">
        <v>5</v>
      </c>
      <c r="B2" s="8" t="s">
        <v>21</v>
      </c>
      <c r="C2" s="8" t="s">
        <v>29</v>
      </c>
      <c r="D2" s="8" t="s">
        <v>23</v>
      </c>
      <c r="E2" s="8" t="s">
        <v>28</v>
      </c>
      <c r="F2" s="8" t="s">
        <v>20</v>
      </c>
      <c r="G2" s="9" t="s">
        <v>457</v>
      </c>
      <c r="H2" s="10" t="s">
        <v>4</v>
      </c>
    </row>
    <row r="3" spans="1:8" x14ac:dyDescent="0.2">
      <c r="A3" s="2" t="s">
        <v>339</v>
      </c>
      <c r="B3" s="3">
        <v>5948</v>
      </c>
      <c r="C3" s="3">
        <v>3848</v>
      </c>
      <c r="D3" s="3">
        <v>11929</v>
      </c>
      <c r="E3" s="3">
        <v>4868</v>
      </c>
      <c r="F3" s="3">
        <v>22220</v>
      </c>
      <c r="G3" s="11">
        <f>SUM(StateSenatorSenateDistrict46General[[#This Row],[Greene County Vote Results]:[Part of Ulster County Vote Results]])</f>
        <v>48813</v>
      </c>
      <c r="H3" s="12">
        <f>SUM(StateSenatorSenateDistrict46General[[#This Row],[Total Votes by Party]],G6,G8)</f>
        <v>54116</v>
      </c>
    </row>
    <row r="4" spans="1:8" x14ac:dyDescent="0.2">
      <c r="A4" s="2" t="s">
        <v>340</v>
      </c>
      <c r="B4" s="3">
        <v>10591</v>
      </c>
      <c r="C4" s="3">
        <v>9404</v>
      </c>
      <c r="D4" s="3">
        <v>12167</v>
      </c>
      <c r="E4" s="3">
        <v>9572</v>
      </c>
      <c r="F4" s="3">
        <v>13969</v>
      </c>
      <c r="G4" s="11">
        <f>SUM(StateSenatorSenateDistrict46General[[#This Row],[Greene County Vote Results]:[Part of Ulster County Vote Results]])</f>
        <v>55703</v>
      </c>
      <c r="H4" s="12">
        <f>SUM(StateSenatorSenateDistrict46General[[#This Row],[Total Votes by Party]],G5,G7,G9)</f>
        <v>68259</v>
      </c>
    </row>
    <row r="5" spans="1:8" x14ac:dyDescent="0.2">
      <c r="A5" s="2" t="s">
        <v>341</v>
      </c>
      <c r="B5" s="3">
        <v>1721</v>
      </c>
      <c r="C5" s="3">
        <v>1294</v>
      </c>
      <c r="D5" s="3">
        <v>2187</v>
      </c>
      <c r="E5" s="3">
        <v>1582</v>
      </c>
      <c r="F5" s="3">
        <v>2417</v>
      </c>
      <c r="G5" s="11">
        <f>SUM(StateSenatorSenateDistrict46General[[#This Row],[Greene County Vote Results]:[Part of Ulster County Vote Results]])</f>
        <v>9201</v>
      </c>
      <c r="H5" s="13"/>
    </row>
    <row r="6" spans="1:8" x14ac:dyDescent="0.2">
      <c r="A6" s="2" t="s">
        <v>342</v>
      </c>
      <c r="B6" s="3">
        <v>471</v>
      </c>
      <c r="C6" s="3">
        <v>240</v>
      </c>
      <c r="D6" s="3">
        <v>743</v>
      </c>
      <c r="E6" s="3">
        <v>273</v>
      </c>
      <c r="F6" s="3">
        <v>2158</v>
      </c>
      <c r="G6" s="11">
        <f>SUM(StateSenatorSenateDistrict46General[[#This Row],[Greene County Vote Results]:[Part of Ulster County Vote Results]])</f>
        <v>3885</v>
      </c>
      <c r="H6" s="13"/>
    </row>
    <row r="7" spans="1:8" x14ac:dyDescent="0.2">
      <c r="A7" s="2" t="s">
        <v>343</v>
      </c>
      <c r="B7" s="3">
        <v>365</v>
      </c>
      <c r="C7" s="3">
        <v>390</v>
      </c>
      <c r="D7" s="3">
        <v>660</v>
      </c>
      <c r="E7" s="3">
        <v>533</v>
      </c>
      <c r="F7" s="3">
        <v>870</v>
      </c>
      <c r="G7" s="11">
        <f>SUM(StateSenatorSenateDistrict46General[[#This Row],[Greene County Vote Results]:[Part of Ulster County Vote Results]])</f>
        <v>2818</v>
      </c>
      <c r="H7" s="13"/>
    </row>
    <row r="8" spans="1:8" x14ac:dyDescent="0.2">
      <c r="A8" s="2" t="s">
        <v>344</v>
      </c>
      <c r="B8" s="3">
        <v>209</v>
      </c>
      <c r="C8" s="3">
        <v>109</v>
      </c>
      <c r="D8" s="3">
        <v>373</v>
      </c>
      <c r="E8" s="3">
        <v>124</v>
      </c>
      <c r="F8" s="3">
        <v>603</v>
      </c>
      <c r="G8" s="11">
        <f>SUM(StateSenatorSenateDistrict46General[[#This Row],[Greene County Vote Results]:[Part of Ulster County Vote Results]])</f>
        <v>1418</v>
      </c>
      <c r="H8" s="13"/>
    </row>
    <row r="9" spans="1:8" x14ac:dyDescent="0.2">
      <c r="A9" s="2" t="s">
        <v>345</v>
      </c>
      <c r="B9" s="3">
        <v>81</v>
      </c>
      <c r="C9" s="3">
        <v>91</v>
      </c>
      <c r="D9" s="3">
        <v>121</v>
      </c>
      <c r="E9" s="3">
        <v>92</v>
      </c>
      <c r="F9" s="3">
        <v>152</v>
      </c>
      <c r="G9" s="11">
        <f>SUM(StateSenatorSenateDistrict46General[[#This Row],[Greene County Vote Results]:[Part of Ulster County Vote Results]])</f>
        <v>537</v>
      </c>
      <c r="H9" s="13"/>
    </row>
    <row r="10" spans="1:8" x14ac:dyDescent="0.2">
      <c r="A10" s="4" t="s">
        <v>0</v>
      </c>
      <c r="B10" s="3">
        <v>713</v>
      </c>
      <c r="C10" s="3">
        <v>425</v>
      </c>
      <c r="D10" s="3">
        <v>535</v>
      </c>
      <c r="E10" s="3">
        <v>361</v>
      </c>
      <c r="F10" s="3">
        <v>1472</v>
      </c>
      <c r="G10" s="11">
        <f>SUM(StateSenatorSenateDistrict46General[[#This Row],[Greene County Vote Results]:[Part of Ulster County Vote Results]])</f>
        <v>3506</v>
      </c>
      <c r="H10" s="13"/>
    </row>
    <row r="11" spans="1:8" x14ac:dyDescent="0.2">
      <c r="A11" s="4" t="s">
        <v>1</v>
      </c>
      <c r="B11" s="3">
        <v>8</v>
      </c>
      <c r="C11" s="3">
        <v>3</v>
      </c>
      <c r="D11" s="3">
        <v>17</v>
      </c>
      <c r="E11" s="3">
        <v>21</v>
      </c>
      <c r="F11" s="3">
        <v>8</v>
      </c>
      <c r="G11" s="11">
        <f>SUM(StateSenatorSenateDistrict46General[[#This Row],[Greene County Vote Results]:[Part of Ulster County Vote Results]])</f>
        <v>57</v>
      </c>
      <c r="H11" s="13"/>
    </row>
    <row r="12" spans="1:8" x14ac:dyDescent="0.2">
      <c r="A12" s="4" t="s">
        <v>2</v>
      </c>
      <c r="B12" s="5">
        <v>4</v>
      </c>
      <c r="C12" s="5">
        <v>4</v>
      </c>
      <c r="D12" s="5">
        <v>6</v>
      </c>
      <c r="E12" s="5">
        <v>5</v>
      </c>
      <c r="F12" s="5">
        <v>13</v>
      </c>
      <c r="G12" s="11">
        <f>SUM(StateSenatorSenateDistrict46General[[#This Row],[Greene County Vote Results]:[Part of Ulster County Vote Results]])</f>
        <v>32</v>
      </c>
      <c r="H12" s="13"/>
    </row>
    <row r="13" spans="1:8" hidden="1" x14ac:dyDescent="0.2">
      <c r="A13" s="4" t="s">
        <v>3</v>
      </c>
      <c r="B13" s="6">
        <f>SUBTOTAL(109,StateSenatorSenateDistrict46General[Greene County Vote Results])</f>
        <v>20111</v>
      </c>
      <c r="C13" s="6"/>
      <c r="D13" s="6"/>
      <c r="E13" s="6"/>
      <c r="F13" s="6">
        <f>SUBTOTAL(109,StateSenatorSenateDistrict46General[Part of Ulster County Vote Results])</f>
        <v>43882</v>
      </c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5119-A2DC-4049-AF54-3F23FE12E949}">
  <sheetPr>
    <pageSetUpPr fitToPage="1"/>
  </sheetPr>
  <dimension ref="A1:F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346</v>
      </c>
    </row>
    <row r="2" spans="1:6" ht="25.5" x14ac:dyDescent="0.2">
      <c r="A2" s="7" t="s">
        <v>5</v>
      </c>
      <c r="B2" s="8" t="s">
        <v>35</v>
      </c>
      <c r="C2" s="8" t="s">
        <v>19</v>
      </c>
      <c r="D2" s="8" t="s">
        <v>34</v>
      </c>
      <c r="E2" s="9" t="s">
        <v>457</v>
      </c>
      <c r="F2" s="10" t="s">
        <v>4</v>
      </c>
    </row>
    <row r="3" spans="1:6" x14ac:dyDescent="0.2">
      <c r="A3" s="2" t="s">
        <v>347</v>
      </c>
      <c r="B3" s="3">
        <v>6685</v>
      </c>
      <c r="C3" s="3">
        <v>45912</v>
      </c>
      <c r="D3" s="3">
        <v>7282</v>
      </c>
      <c r="E3" s="11">
        <f>SUM(StateSenatorSenateDistrict47General[[#This Row],[Lewis County Vote Results]:[Part of St. Lawrence County Vote Results]])</f>
        <v>59879</v>
      </c>
      <c r="F3" s="12">
        <f>SUM(StateSenatorSenateDistrict47General[[#This Row],[Total Votes by Party]],E4,E5,E6)</f>
        <v>74552</v>
      </c>
    </row>
    <row r="4" spans="1:6" x14ac:dyDescent="0.2">
      <c r="A4" s="2" t="s">
        <v>348</v>
      </c>
      <c r="B4" s="3">
        <v>673</v>
      </c>
      <c r="C4" s="3">
        <v>5251</v>
      </c>
      <c r="D4" s="3">
        <v>812</v>
      </c>
      <c r="E4" s="11">
        <f>SUM(StateSenatorSenateDistrict47General[[#This Row],[Lewis County Vote Results]:[Part of St. Lawrence County Vote Results]])</f>
        <v>6736</v>
      </c>
      <c r="F4" s="13"/>
    </row>
    <row r="5" spans="1:6" x14ac:dyDescent="0.2">
      <c r="A5" s="2" t="s">
        <v>349</v>
      </c>
      <c r="B5" s="3">
        <v>540</v>
      </c>
      <c r="C5" s="3">
        <v>5574</v>
      </c>
      <c r="D5" s="3">
        <v>949</v>
      </c>
      <c r="E5" s="11">
        <f>SUM(StateSenatorSenateDistrict47General[[#This Row],[Lewis County Vote Results]:[Part of St. Lawrence County Vote Results]])</f>
        <v>7063</v>
      </c>
      <c r="F5" s="13"/>
    </row>
    <row r="6" spans="1:6" x14ac:dyDescent="0.2">
      <c r="A6" s="2" t="s">
        <v>350</v>
      </c>
      <c r="B6" s="3">
        <v>60</v>
      </c>
      <c r="C6" s="3">
        <v>669</v>
      </c>
      <c r="D6" s="3">
        <v>145</v>
      </c>
      <c r="E6" s="11">
        <f>SUM(StateSenatorSenateDistrict47General[[#This Row],[Lewis County Vote Results]:[Part of St. Lawrence County Vote Results]])</f>
        <v>874</v>
      </c>
      <c r="F6" s="13"/>
    </row>
    <row r="7" spans="1:6" x14ac:dyDescent="0.2">
      <c r="A7" s="4" t="s">
        <v>0</v>
      </c>
      <c r="B7" s="3">
        <v>1389</v>
      </c>
      <c r="C7" s="3">
        <v>18360</v>
      </c>
      <c r="D7" s="3">
        <v>4478</v>
      </c>
      <c r="E7" s="11">
        <f>SUM(StateSenatorSenateDistrict47General[[#This Row],[Lewis County Vote Results]:[Part of St. Lawrence County Vote Results]])</f>
        <v>24227</v>
      </c>
      <c r="F7" s="13"/>
    </row>
    <row r="8" spans="1:6" x14ac:dyDescent="0.2">
      <c r="A8" s="4" t="s">
        <v>1</v>
      </c>
      <c r="B8" s="3">
        <v>0</v>
      </c>
      <c r="C8" s="3">
        <v>0</v>
      </c>
      <c r="D8" s="3">
        <v>0</v>
      </c>
      <c r="E8" s="11">
        <f>SUM(StateSenatorSenateDistrict47General[[#This Row],[Lewis County Vote Results]:[Part of St. Lawrence County Vote Results]])</f>
        <v>0</v>
      </c>
      <c r="F8" s="13"/>
    </row>
    <row r="9" spans="1:6" x14ac:dyDescent="0.2">
      <c r="A9" s="4" t="s">
        <v>2</v>
      </c>
      <c r="B9" s="5">
        <v>42</v>
      </c>
      <c r="C9" s="5">
        <v>314</v>
      </c>
      <c r="D9" s="5">
        <v>51</v>
      </c>
      <c r="E9" s="11">
        <f>SUM(StateSenatorSenateDistrict47General[[#This Row],[Lewis County Vote Results]:[Part of St. Lawrence County Vote Results]])</f>
        <v>407</v>
      </c>
      <c r="F9" s="13"/>
    </row>
    <row r="10" spans="1:6" hidden="1" x14ac:dyDescent="0.2">
      <c r="A10" s="4" t="s">
        <v>3</v>
      </c>
      <c r="B10" s="6">
        <f>SUBTOTAL(109,StateSenatorSenateDistrict47General[Lewis County Vote Results])</f>
        <v>9389</v>
      </c>
      <c r="C10" s="6"/>
      <c r="D10" s="6">
        <f>SUBTOTAL(109,StateSenatorSenateDistrict47General[Part of St. Lawrence County Vote Results])</f>
        <v>13717</v>
      </c>
      <c r="E10" s="11">
        <f>SUM(StateSenatorSenateDistrict46General[[#This Row],[Greene County Vote Results]:[Part of Ulster County Vote Results]])</f>
        <v>3506</v>
      </c>
      <c r="F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8945-65F0-4665-9874-8AF5F9BBF6E8}">
  <sheetPr>
    <pageSetUpPr fitToPage="1"/>
  </sheetPr>
  <dimension ref="A1:F9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351</v>
      </c>
    </row>
    <row r="2" spans="1:6" ht="25.5" x14ac:dyDescent="0.2">
      <c r="A2" s="7" t="s">
        <v>5</v>
      </c>
      <c r="B2" s="8" t="s">
        <v>56</v>
      </c>
      <c r="C2" s="8" t="s">
        <v>63</v>
      </c>
      <c r="D2" s="8" t="s">
        <v>34</v>
      </c>
      <c r="E2" s="9" t="s">
        <v>457</v>
      </c>
      <c r="F2" s="10" t="s">
        <v>4</v>
      </c>
    </row>
    <row r="3" spans="1:6" x14ac:dyDescent="0.2">
      <c r="A3" s="2" t="s">
        <v>352</v>
      </c>
      <c r="B3" s="3">
        <v>20089</v>
      </c>
      <c r="C3" s="3">
        <v>24609</v>
      </c>
      <c r="D3" s="3">
        <v>11219</v>
      </c>
      <c r="E3" s="11">
        <f>SUM(StateSenatorSenateDistrict48General[[#This Row],[Jefferson County Vote Results]:[Part of St. Lawrence County Vote Results]])</f>
        <v>55917</v>
      </c>
      <c r="F3" s="12">
        <f>SUM(E3:E5)</f>
        <v>70007</v>
      </c>
    </row>
    <row r="4" spans="1:6" x14ac:dyDescent="0.2">
      <c r="A4" s="2" t="s">
        <v>353</v>
      </c>
      <c r="B4" s="3">
        <v>2140</v>
      </c>
      <c r="C4" s="3">
        <v>3563</v>
      </c>
      <c r="D4" s="3">
        <v>1243</v>
      </c>
      <c r="E4" s="11">
        <f>SUM(StateSenatorSenateDistrict48General[[#This Row],[Jefferson County Vote Results]:[Part of St. Lawrence County Vote Results]])</f>
        <v>6946</v>
      </c>
      <c r="F4" s="13"/>
    </row>
    <row r="5" spans="1:6" x14ac:dyDescent="0.2">
      <c r="A5" s="2" t="s">
        <v>354</v>
      </c>
      <c r="B5" s="3">
        <v>2490</v>
      </c>
      <c r="C5" s="3">
        <v>3277</v>
      </c>
      <c r="D5" s="3">
        <v>1377</v>
      </c>
      <c r="E5" s="11">
        <f>SUM(StateSenatorSenateDistrict48General[[#This Row],[Jefferson County Vote Results]:[Part of St. Lawrence County Vote Results]])</f>
        <v>7144</v>
      </c>
      <c r="F5" s="13"/>
    </row>
    <row r="6" spans="1:6" x14ac:dyDescent="0.2">
      <c r="A6" s="4" t="s">
        <v>0</v>
      </c>
      <c r="B6" s="3">
        <v>5758</v>
      </c>
      <c r="C6" s="3">
        <v>8299</v>
      </c>
      <c r="D6" s="3">
        <v>3825</v>
      </c>
      <c r="E6" s="11">
        <f>SUM(StateSenatorSenateDistrict48General[[#This Row],[Jefferson County Vote Results]:[Part of St. Lawrence County Vote Results]])</f>
        <v>17882</v>
      </c>
      <c r="F6" s="13"/>
    </row>
    <row r="7" spans="1:6" x14ac:dyDescent="0.2">
      <c r="A7" s="4" t="s">
        <v>1</v>
      </c>
      <c r="B7" s="3">
        <v>9</v>
      </c>
      <c r="C7" s="3">
        <v>21</v>
      </c>
      <c r="D7" s="3">
        <v>0</v>
      </c>
      <c r="E7" s="11">
        <f>SUM(StateSenatorSenateDistrict48General[[#This Row],[Jefferson County Vote Results]:[Part of St. Lawrence County Vote Results]])</f>
        <v>30</v>
      </c>
      <c r="F7" s="13"/>
    </row>
    <row r="8" spans="1:6" x14ac:dyDescent="0.2">
      <c r="A8" s="4" t="s">
        <v>2</v>
      </c>
      <c r="B8" s="5">
        <v>187</v>
      </c>
      <c r="C8" s="5">
        <v>177</v>
      </c>
      <c r="D8" s="5">
        <v>57</v>
      </c>
      <c r="E8" s="11">
        <f>SUM(StateSenatorSenateDistrict48General[[#This Row],[Jefferson County Vote Results]:[Part of St. Lawrence County Vote Results]])</f>
        <v>421</v>
      </c>
      <c r="F8" s="13"/>
    </row>
    <row r="9" spans="1:6" hidden="1" x14ac:dyDescent="0.2">
      <c r="A9" s="4" t="s">
        <v>3</v>
      </c>
      <c r="B9" s="6">
        <f>SUBTOTAL(109,StateSenatorSenateDistrict48General[Jefferson County Vote Results])</f>
        <v>30673</v>
      </c>
      <c r="C9" s="6"/>
      <c r="D9" s="6">
        <f>SUBTOTAL(109,StateSenatorSenateDistrict48General[Part of St. Lawrence County Vote Results])</f>
        <v>17721</v>
      </c>
      <c r="E9" s="11">
        <f>SUM(StateSenatorSenateDistrict47General[[#This Row],[Lewis County Vote Results]:[Part of St. Lawrence County Vote Results]])</f>
        <v>407</v>
      </c>
      <c r="F9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CE9C-3E5F-4FD3-A760-58F06BF51719}">
  <sheetPr>
    <pageSetUpPr fitToPage="1"/>
  </sheetPr>
  <dimension ref="A1:H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" t="s">
        <v>355</v>
      </c>
    </row>
    <row r="2" spans="1:8" ht="25.5" x14ac:dyDescent="0.2">
      <c r="A2" s="7" t="s">
        <v>5</v>
      </c>
      <c r="B2" s="8" t="s">
        <v>36</v>
      </c>
      <c r="C2" s="8" t="s">
        <v>37</v>
      </c>
      <c r="D2" s="8" t="s">
        <v>18</v>
      </c>
      <c r="E2" s="8" t="s">
        <v>27</v>
      </c>
      <c r="F2" s="8" t="s">
        <v>28</v>
      </c>
      <c r="G2" s="9" t="s">
        <v>457</v>
      </c>
      <c r="H2" s="10" t="s">
        <v>4</v>
      </c>
    </row>
    <row r="3" spans="1:8" x14ac:dyDescent="0.2">
      <c r="A3" s="2" t="s">
        <v>356</v>
      </c>
      <c r="B3" s="3">
        <v>4280</v>
      </c>
      <c r="C3" s="3">
        <v>710</v>
      </c>
      <c r="D3" s="3">
        <v>1155</v>
      </c>
      <c r="E3" s="3">
        <v>17003</v>
      </c>
      <c r="F3" s="3">
        <v>17911</v>
      </c>
      <c r="G3" s="11">
        <f>SUM(StateSenatorSenateDistrict49General[[#This Row],[Fulton County Vote Results]:[Part of Schenectady County Vote Results]])</f>
        <v>41059</v>
      </c>
      <c r="H3" s="12">
        <f>SUM(StateSenatorSenateDistrict49General[[#This Row],[Total Votes by Party]],G6,G8)</f>
        <v>44285</v>
      </c>
    </row>
    <row r="4" spans="1:8" x14ac:dyDescent="0.2">
      <c r="A4" s="2" t="s">
        <v>357</v>
      </c>
      <c r="B4" s="3">
        <v>10945</v>
      </c>
      <c r="C4" s="3">
        <v>1754</v>
      </c>
      <c r="D4" s="3">
        <v>2714</v>
      </c>
      <c r="E4" s="3">
        <v>23848</v>
      </c>
      <c r="F4" s="3">
        <v>15295</v>
      </c>
      <c r="G4" s="11">
        <f>SUM(StateSenatorSenateDistrict49General[[#This Row],[Fulton County Vote Results]:[Part of Schenectady County Vote Results]])</f>
        <v>54556</v>
      </c>
      <c r="H4" s="12">
        <f>SUM(StateSenatorSenateDistrict49General[[#This Row],[Total Votes by Party]],G5,G7,G9)</f>
        <v>64553</v>
      </c>
    </row>
    <row r="5" spans="1:8" x14ac:dyDescent="0.2">
      <c r="A5" s="2" t="s">
        <v>358</v>
      </c>
      <c r="B5" s="3">
        <v>1072</v>
      </c>
      <c r="C5" s="3">
        <v>178</v>
      </c>
      <c r="D5" s="3">
        <v>277</v>
      </c>
      <c r="E5" s="3">
        <v>3509</v>
      </c>
      <c r="F5" s="3">
        <v>2136</v>
      </c>
      <c r="G5" s="11">
        <f>SUM(StateSenatorSenateDistrict49General[[#This Row],[Fulton County Vote Results]:[Part of Schenectady County Vote Results]])</f>
        <v>7172</v>
      </c>
      <c r="H5" s="13"/>
    </row>
    <row r="6" spans="1:8" x14ac:dyDescent="0.2">
      <c r="A6" s="2" t="s">
        <v>359</v>
      </c>
      <c r="B6" s="3">
        <v>208</v>
      </c>
      <c r="C6" s="3">
        <v>42</v>
      </c>
      <c r="D6" s="3">
        <v>58</v>
      </c>
      <c r="E6" s="3">
        <v>787</v>
      </c>
      <c r="F6" s="3">
        <v>980</v>
      </c>
      <c r="G6" s="11">
        <f>SUM(StateSenatorSenateDistrict49General[[#This Row],[Fulton County Vote Results]:[Part of Schenectady County Vote Results]])</f>
        <v>2075</v>
      </c>
      <c r="H6" s="13"/>
    </row>
    <row r="7" spans="1:8" x14ac:dyDescent="0.2">
      <c r="A7" s="2" t="s">
        <v>360</v>
      </c>
      <c r="B7" s="3">
        <v>267</v>
      </c>
      <c r="C7" s="3">
        <v>34</v>
      </c>
      <c r="D7" s="3">
        <v>52</v>
      </c>
      <c r="E7" s="3">
        <v>1049</v>
      </c>
      <c r="F7" s="3">
        <v>929</v>
      </c>
      <c r="G7" s="11">
        <f>SUM(StateSenatorSenateDistrict49General[[#This Row],[Fulton County Vote Results]:[Part of Schenectady County Vote Results]])</f>
        <v>2331</v>
      </c>
      <c r="H7" s="13"/>
    </row>
    <row r="8" spans="1:8" x14ac:dyDescent="0.2">
      <c r="A8" s="2" t="s">
        <v>361</v>
      </c>
      <c r="B8" s="3">
        <v>105</v>
      </c>
      <c r="C8" s="3">
        <v>20</v>
      </c>
      <c r="D8" s="3">
        <v>44</v>
      </c>
      <c r="E8" s="3">
        <v>494</v>
      </c>
      <c r="F8" s="3">
        <v>488</v>
      </c>
      <c r="G8" s="11">
        <f>SUM(StateSenatorSenateDistrict49General[[#This Row],[Fulton County Vote Results]:[Part of Schenectady County Vote Results]])</f>
        <v>1151</v>
      </c>
      <c r="H8" s="13"/>
    </row>
    <row r="9" spans="1:8" x14ac:dyDescent="0.2">
      <c r="A9" s="2" t="s">
        <v>362</v>
      </c>
      <c r="B9" s="3">
        <v>53</v>
      </c>
      <c r="C9" s="3">
        <v>20</v>
      </c>
      <c r="D9" s="3">
        <v>15</v>
      </c>
      <c r="E9" s="3">
        <v>217</v>
      </c>
      <c r="F9" s="3">
        <v>189</v>
      </c>
      <c r="G9" s="11">
        <f>SUM(StateSenatorSenateDistrict49General[[#This Row],[Fulton County Vote Results]:[Part of Schenectady County Vote Results]])</f>
        <v>494</v>
      </c>
      <c r="H9" s="13"/>
    </row>
    <row r="10" spans="1:8" x14ac:dyDescent="0.2">
      <c r="A10" s="4" t="s">
        <v>0</v>
      </c>
      <c r="B10" s="3">
        <v>553</v>
      </c>
      <c r="C10" s="3">
        <v>105</v>
      </c>
      <c r="D10" s="3">
        <v>232</v>
      </c>
      <c r="E10" s="3">
        <v>736</v>
      </c>
      <c r="F10" s="3">
        <v>571</v>
      </c>
      <c r="G10" s="11">
        <f>SUM(StateSenatorSenateDistrict49General[[#This Row],[Fulton County Vote Results]:[Part of Schenectady County Vote Results]])</f>
        <v>2197</v>
      </c>
      <c r="H10" s="13"/>
    </row>
    <row r="11" spans="1:8" x14ac:dyDescent="0.2">
      <c r="A11" s="4" t="s">
        <v>1</v>
      </c>
      <c r="B11" s="3">
        <v>2</v>
      </c>
      <c r="C11" s="3">
        <v>0</v>
      </c>
      <c r="D11" s="3">
        <v>0</v>
      </c>
      <c r="E11" s="3">
        <v>13</v>
      </c>
      <c r="F11" s="3">
        <v>41</v>
      </c>
      <c r="G11" s="11">
        <f>SUM(StateSenatorSenateDistrict49General[[#This Row],[Fulton County Vote Results]:[Part of Schenectady County Vote Results]])</f>
        <v>56</v>
      </c>
      <c r="H11" s="13"/>
    </row>
    <row r="12" spans="1:8" x14ac:dyDescent="0.2">
      <c r="A12" s="4" t="s">
        <v>2</v>
      </c>
      <c r="B12" s="5">
        <v>1</v>
      </c>
      <c r="C12" s="5">
        <v>1</v>
      </c>
      <c r="D12" s="5">
        <v>0</v>
      </c>
      <c r="E12" s="5">
        <v>12</v>
      </c>
      <c r="F12" s="5">
        <v>15</v>
      </c>
      <c r="G12" s="11">
        <f>SUM(StateSenatorSenateDistrict49General[[#This Row],[Fulton County Vote Results]:[Part of Schenectady County Vote Results]])</f>
        <v>29</v>
      </c>
      <c r="H12" s="13"/>
    </row>
    <row r="13" spans="1:8" hidden="1" x14ac:dyDescent="0.2">
      <c r="A13" s="4" t="s">
        <v>3</v>
      </c>
      <c r="B13" s="6">
        <f>SUBTOTAL(109,StateSenatorSenateDistrict49General[Fulton County Vote Results])</f>
        <v>17486</v>
      </c>
      <c r="C13" s="6"/>
      <c r="D13" s="6"/>
      <c r="E13" s="6"/>
      <c r="F13" s="6">
        <f>SUBTOTAL(109,StateSenatorSenateDistrict49General[Part of Schenectady County Vote Results])</f>
        <v>38555</v>
      </c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D7D2-FA3D-4DC1-99E7-8234ECAF0CAB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96</v>
      </c>
    </row>
    <row r="2" spans="1:5" ht="25.5" x14ac:dyDescent="0.2">
      <c r="A2" s="7" t="s">
        <v>5</v>
      </c>
      <c r="B2" s="8" t="s">
        <v>7</v>
      </c>
      <c r="C2" s="8" t="s">
        <v>6</v>
      </c>
      <c r="D2" s="9" t="s">
        <v>457</v>
      </c>
      <c r="E2" s="10" t="s">
        <v>4</v>
      </c>
    </row>
    <row r="3" spans="1:5" x14ac:dyDescent="0.2">
      <c r="A3" s="2" t="s">
        <v>97</v>
      </c>
      <c r="B3" s="3">
        <v>34134</v>
      </c>
      <c r="C3" s="3">
        <v>31539</v>
      </c>
      <c r="D3" s="11">
        <f>SUM(StateSenatorSenateDistrict5General[[#This Row],[Part of Nassau County Vote Results]:[Part of Suffolk County Vote Results]])</f>
        <v>65673</v>
      </c>
      <c r="E3" s="12">
        <f>SUM(StateSenatorSenateDistrict5General[[#This Row],[Total Votes by Party]],D6,D8)</f>
        <v>68027</v>
      </c>
    </row>
    <row r="4" spans="1:5" x14ac:dyDescent="0.2">
      <c r="A4" s="2" t="s">
        <v>98</v>
      </c>
      <c r="B4" s="3">
        <v>24808</v>
      </c>
      <c r="C4" s="3">
        <v>24603</v>
      </c>
      <c r="D4" s="11">
        <f>SUM(StateSenatorSenateDistrict5General[[#This Row],[Part of Nassau County Vote Results]:[Part of Suffolk County Vote Results]])</f>
        <v>49411</v>
      </c>
      <c r="E4" s="12">
        <f>SUM(StateSenatorSenateDistrict5General[[#This Row],[Total Votes by Party]],D5,D7,D9)</f>
        <v>55825</v>
      </c>
    </row>
    <row r="5" spans="1:5" x14ac:dyDescent="0.2">
      <c r="A5" s="2" t="s">
        <v>99</v>
      </c>
      <c r="B5" s="3">
        <v>2381</v>
      </c>
      <c r="C5" s="3">
        <v>2842</v>
      </c>
      <c r="D5" s="11">
        <f>SUM(StateSenatorSenateDistrict5General[[#This Row],[Part of Nassau County Vote Results]:[Part of Suffolk County Vote Results]])</f>
        <v>5223</v>
      </c>
      <c r="E5" s="13"/>
    </row>
    <row r="6" spans="1:5" x14ac:dyDescent="0.2">
      <c r="A6" s="2" t="s">
        <v>100</v>
      </c>
      <c r="B6" s="3">
        <v>629</v>
      </c>
      <c r="C6" s="3">
        <v>836</v>
      </c>
      <c r="D6" s="11">
        <f>SUM(StateSenatorSenateDistrict5General[[#This Row],[Part of Nassau County Vote Results]:[Part of Suffolk County Vote Results]])</f>
        <v>1465</v>
      </c>
      <c r="E6" s="13"/>
    </row>
    <row r="7" spans="1:5" x14ac:dyDescent="0.2">
      <c r="A7" s="2" t="s">
        <v>101</v>
      </c>
      <c r="B7" s="3">
        <v>357</v>
      </c>
      <c r="C7" s="3">
        <v>595</v>
      </c>
      <c r="D7" s="11">
        <f>SUM(StateSenatorSenateDistrict5General[[#This Row],[Part of Nassau County Vote Results]:[Part of Suffolk County Vote Results]])</f>
        <v>952</v>
      </c>
      <c r="E7" s="13"/>
    </row>
    <row r="8" spans="1:5" x14ac:dyDescent="0.2">
      <c r="A8" s="2" t="s">
        <v>102</v>
      </c>
      <c r="B8" s="3">
        <v>394</v>
      </c>
      <c r="C8" s="3">
        <v>495</v>
      </c>
      <c r="D8" s="11">
        <f>SUM(StateSenatorSenateDistrict5General[[#This Row],[Part of Nassau County Vote Results]:[Part of Suffolk County Vote Results]])</f>
        <v>889</v>
      </c>
      <c r="E8" s="13"/>
    </row>
    <row r="9" spans="1:5" x14ac:dyDescent="0.2">
      <c r="A9" s="2" t="s">
        <v>103</v>
      </c>
      <c r="B9" s="3">
        <v>115</v>
      </c>
      <c r="C9" s="3">
        <v>124</v>
      </c>
      <c r="D9" s="11">
        <f>SUM(StateSenatorSenateDistrict5General[[#This Row],[Part of Nassau County Vote Results]:[Part of Suffolk County Vote Results]])</f>
        <v>239</v>
      </c>
      <c r="E9" s="13"/>
    </row>
    <row r="10" spans="1:5" x14ac:dyDescent="0.2">
      <c r="A10" s="4" t="s">
        <v>0</v>
      </c>
      <c r="B10" s="3">
        <v>1336</v>
      </c>
      <c r="C10" s="3">
        <v>1202</v>
      </c>
      <c r="D10" s="11">
        <f>SUM(StateSenatorSenateDistrict5General[[#This Row],[Part of Nassau County Vote Results]:[Part of Suffolk County Vote Results]])</f>
        <v>2538</v>
      </c>
      <c r="E10" s="13"/>
    </row>
    <row r="11" spans="1:5" x14ac:dyDescent="0.2">
      <c r="A11" s="4" t="s">
        <v>1</v>
      </c>
      <c r="B11" s="3">
        <v>31</v>
      </c>
      <c r="C11" s="3">
        <v>7</v>
      </c>
      <c r="D11" s="11">
        <f>SUM(StateSenatorSenateDistrict5General[[#This Row],[Part of Nassau County Vote Results]:[Part of Suffolk County Vote Results]])</f>
        <v>38</v>
      </c>
      <c r="E11" s="13"/>
    </row>
    <row r="12" spans="1:5" x14ac:dyDescent="0.2">
      <c r="A12" s="4" t="s">
        <v>2</v>
      </c>
      <c r="B12" s="5">
        <v>9</v>
      </c>
      <c r="C12" s="5">
        <v>20</v>
      </c>
      <c r="D12" s="11">
        <f>SUM(StateSenatorSenateDistrict5General[[#This Row],[Part of Nassau County Vote Results]:[Part of Suffolk County Vote Results]])</f>
        <v>29</v>
      </c>
      <c r="E12" s="13"/>
    </row>
    <row r="13" spans="1:5" hidden="1" x14ac:dyDescent="0.2">
      <c r="A13" s="4" t="s">
        <v>3</v>
      </c>
      <c r="B13" s="6">
        <f>SUBTOTAL(109,StateSenatorSenateDistrict5General[Part of Nassau County Vote Results])</f>
        <v>64194</v>
      </c>
      <c r="C13" s="6">
        <f>SUBTOTAL(109,StateSenatorSenateDistrict5General[Part of Suffolk County Vote Results])</f>
        <v>62263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960C-18E3-4AC0-BFCC-24735244A9A4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363</v>
      </c>
    </row>
    <row r="2" spans="1:5" ht="25.5" x14ac:dyDescent="0.2">
      <c r="A2" s="7" t="s">
        <v>5</v>
      </c>
      <c r="B2" s="8" t="s">
        <v>42</v>
      </c>
      <c r="C2" s="8" t="s">
        <v>38</v>
      </c>
      <c r="D2" s="9" t="s">
        <v>457</v>
      </c>
      <c r="E2" s="10" t="s">
        <v>4</v>
      </c>
    </row>
    <row r="3" spans="1:5" x14ac:dyDescent="0.2">
      <c r="A3" s="2" t="s">
        <v>364</v>
      </c>
      <c r="B3" s="3">
        <v>4105</v>
      </c>
      <c r="C3" s="3">
        <v>52333</v>
      </c>
      <c r="D3" s="11">
        <f>SUM(StateSenatorSenateDistrict50General[[#This Row],[Part of Cayuga County Vote Results]:[Part of Onondaga County Vote Results]])</f>
        <v>56438</v>
      </c>
      <c r="E3" s="12">
        <f>SUM(StateSenatorSenateDistrict50General[[#This Row],[Total Votes by Party]],D6,D8)</f>
        <v>59998</v>
      </c>
    </row>
    <row r="4" spans="1:5" x14ac:dyDescent="0.2">
      <c r="A4" s="2" t="s">
        <v>365</v>
      </c>
      <c r="B4" s="3">
        <v>4642</v>
      </c>
      <c r="C4" s="3">
        <v>46328</v>
      </c>
      <c r="D4" s="11">
        <f>SUM(StateSenatorSenateDistrict50General[[#This Row],[Part of Cayuga County Vote Results]:[Part of Onondaga County Vote Results]])</f>
        <v>50970</v>
      </c>
      <c r="E4" s="12">
        <f>SUM(StateSenatorSenateDistrict50General[[#This Row],[Total Votes by Party]],D5,D7,D9)</f>
        <v>62330</v>
      </c>
    </row>
    <row r="5" spans="1:5" x14ac:dyDescent="0.2">
      <c r="A5" s="2" t="s">
        <v>366</v>
      </c>
      <c r="B5" s="3">
        <v>663</v>
      </c>
      <c r="C5" s="3">
        <v>7469</v>
      </c>
      <c r="D5" s="11">
        <f>SUM(StateSenatorSenateDistrict50General[[#This Row],[Part of Cayuga County Vote Results]:[Part of Onondaga County Vote Results]])</f>
        <v>8132</v>
      </c>
      <c r="E5" s="13"/>
    </row>
    <row r="6" spans="1:5" x14ac:dyDescent="0.2">
      <c r="A6" s="2" t="s">
        <v>367</v>
      </c>
      <c r="B6" s="3">
        <v>208</v>
      </c>
      <c r="C6" s="3">
        <v>2219</v>
      </c>
      <c r="D6" s="11">
        <f>SUM(StateSenatorSenateDistrict50General[[#This Row],[Part of Cayuga County Vote Results]:[Part of Onondaga County Vote Results]])</f>
        <v>2427</v>
      </c>
      <c r="E6" s="13"/>
    </row>
    <row r="7" spans="1:5" x14ac:dyDescent="0.2">
      <c r="A7" s="2" t="s">
        <v>368</v>
      </c>
      <c r="B7" s="3">
        <v>222</v>
      </c>
      <c r="C7" s="3">
        <v>2659</v>
      </c>
      <c r="D7" s="11">
        <f>SUM(StateSenatorSenateDistrict50General[[#This Row],[Part of Cayuga County Vote Results]:[Part of Onondaga County Vote Results]])</f>
        <v>2881</v>
      </c>
      <c r="E7" s="13"/>
    </row>
    <row r="8" spans="1:5" x14ac:dyDescent="0.2">
      <c r="A8" s="2" t="s">
        <v>369</v>
      </c>
      <c r="B8" s="3">
        <v>101</v>
      </c>
      <c r="C8" s="3">
        <v>1032</v>
      </c>
      <c r="D8" s="11">
        <f>SUM(StateSenatorSenateDistrict50General[[#This Row],[Part of Cayuga County Vote Results]:[Part of Onondaga County Vote Results]])</f>
        <v>1133</v>
      </c>
      <c r="E8" s="13"/>
    </row>
    <row r="9" spans="1:5" x14ac:dyDescent="0.2">
      <c r="A9" s="2" t="s">
        <v>370</v>
      </c>
      <c r="B9" s="3">
        <v>52</v>
      </c>
      <c r="C9" s="3">
        <v>295</v>
      </c>
      <c r="D9" s="11">
        <f>SUM(StateSenatorSenateDistrict50General[[#This Row],[Part of Cayuga County Vote Results]:[Part of Onondaga County Vote Results]])</f>
        <v>347</v>
      </c>
      <c r="E9" s="13"/>
    </row>
    <row r="10" spans="1:5" x14ac:dyDescent="0.2">
      <c r="A10" s="4" t="s">
        <v>0</v>
      </c>
      <c r="B10" s="3">
        <v>339</v>
      </c>
      <c r="C10" s="3">
        <v>2007</v>
      </c>
      <c r="D10" s="11">
        <f>SUM(StateSenatorSenateDistrict50General[[#This Row],[Part of Cayuga County Vote Results]:[Part of Onondaga County Vote Results]])</f>
        <v>2346</v>
      </c>
      <c r="E10" s="13"/>
    </row>
    <row r="11" spans="1:5" x14ac:dyDescent="0.2">
      <c r="A11" s="4" t="s">
        <v>1</v>
      </c>
      <c r="B11" s="3">
        <v>6</v>
      </c>
      <c r="C11" s="3">
        <v>0</v>
      </c>
      <c r="D11" s="11">
        <f>SUM(StateSenatorSenateDistrict50General[[#This Row],[Part of Cayuga County Vote Results]:[Part of Onondaga County Vote Results]])</f>
        <v>6</v>
      </c>
      <c r="E11" s="13"/>
    </row>
    <row r="12" spans="1:5" x14ac:dyDescent="0.2">
      <c r="A12" s="4" t="s">
        <v>2</v>
      </c>
      <c r="B12" s="5">
        <v>4</v>
      </c>
      <c r="C12" s="5">
        <v>71</v>
      </c>
      <c r="D12" s="11">
        <f>SUM(StateSenatorSenateDistrict50General[[#This Row],[Part of Cayuga County Vote Results]:[Part of Onondaga County Vote Results]])</f>
        <v>75</v>
      </c>
      <c r="E12" s="13"/>
    </row>
    <row r="13" spans="1:5" hidden="1" x14ac:dyDescent="0.2">
      <c r="A13" s="4" t="s">
        <v>3</v>
      </c>
      <c r="B13" s="6">
        <f>SUBTOTAL(109,StateSenatorSenateDistrict50General[Part of Cayuga County Vote Results])</f>
        <v>10342</v>
      </c>
      <c r="C13" s="6">
        <f>SUBTOTAL(109,StateSenatorSenateDistrict50General[Part of Onondaga County Vote Results])</f>
        <v>114413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324B-5AE5-4360-9504-D9DF69BD10EF}">
  <sheetPr>
    <pageSetUpPr fitToPage="1"/>
  </sheetPr>
  <dimension ref="A1:L12"/>
  <sheetViews>
    <sheetView workbookViewId="0">
      <pane xSplit="1" topLeftCell="E1" activePane="topRight" state="frozen"/>
      <selection activeCell="A29" sqref="A3:O66"/>
      <selection pane="topRight" activeCell="A29" sqref="A3:O66"/>
    </sheetView>
  </sheetViews>
  <sheetFormatPr defaultRowHeight="12.75" x14ac:dyDescent="0.2"/>
  <cols>
    <col min="1" max="1" width="25.5703125" customWidth="1"/>
    <col min="2" max="12" width="20.5703125" customWidth="1"/>
    <col min="13" max="14" width="23.5703125" customWidth="1"/>
  </cols>
  <sheetData>
    <row r="1" spans="1:12" ht="18.75" x14ac:dyDescent="0.2">
      <c r="A1" s="1" t="s">
        <v>371</v>
      </c>
    </row>
    <row r="2" spans="1:12" ht="25.5" x14ac:dyDescent="0.2">
      <c r="A2" s="7" t="s">
        <v>5</v>
      </c>
      <c r="B2" s="8" t="s">
        <v>57</v>
      </c>
      <c r="C2" s="8" t="s">
        <v>54</v>
      </c>
      <c r="D2" s="8" t="s">
        <v>22</v>
      </c>
      <c r="E2" s="8" t="s">
        <v>42</v>
      </c>
      <c r="F2" s="8" t="s">
        <v>40</v>
      </c>
      <c r="G2" s="8" t="s">
        <v>17</v>
      </c>
      <c r="H2" s="8" t="s">
        <v>18</v>
      </c>
      <c r="I2" s="8" t="s">
        <v>64</v>
      </c>
      <c r="J2" s="8" t="s">
        <v>20</v>
      </c>
      <c r="K2" s="9" t="s">
        <v>457</v>
      </c>
      <c r="L2" s="10" t="s">
        <v>4</v>
      </c>
    </row>
    <row r="3" spans="1:12" x14ac:dyDescent="0.2">
      <c r="A3" s="2" t="s">
        <v>372</v>
      </c>
      <c r="B3" s="3">
        <v>5576</v>
      </c>
      <c r="C3" s="3">
        <v>7223</v>
      </c>
      <c r="D3" s="3">
        <v>3191</v>
      </c>
      <c r="E3" s="3">
        <v>1447</v>
      </c>
      <c r="F3" s="3">
        <v>1162</v>
      </c>
      <c r="G3" s="3">
        <v>3690</v>
      </c>
      <c r="H3" s="3">
        <v>4227</v>
      </c>
      <c r="I3" s="3">
        <v>6024</v>
      </c>
      <c r="J3" s="3">
        <v>4088</v>
      </c>
      <c r="K3" s="11">
        <f>SUM(StateSenatorSenateDistrict51General[[#This Row],[Cortland County Vote Results]:[Part of Ulster County Vote Results]])</f>
        <v>36628</v>
      </c>
      <c r="L3" s="12">
        <f>SUM(StateSenatorSenateDistrict51General[[#This Row],[Total Votes by Party]],K7)</f>
        <v>38610</v>
      </c>
    </row>
    <row r="4" spans="1:12" x14ac:dyDescent="0.2">
      <c r="A4" s="2" t="s">
        <v>373</v>
      </c>
      <c r="B4" s="3">
        <v>9075</v>
      </c>
      <c r="C4" s="3">
        <v>12495</v>
      </c>
      <c r="D4" s="3">
        <v>7202</v>
      </c>
      <c r="E4" s="3">
        <v>2808</v>
      </c>
      <c r="F4" s="3">
        <v>3234</v>
      </c>
      <c r="G4" s="3">
        <v>5581</v>
      </c>
      <c r="H4" s="3">
        <v>11103</v>
      </c>
      <c r="I4" s="3">
        <v>4161</v>
      </c>
      <c r="J4" s="3">
        <v>2441</v>
      </c>
      <c r="K4" s="11">
        <f>SUM(StateSenatorSenateDistrict51General[[#This Row],[Cortland County Vote Results]:[Part of Ulster County Vote Results]])</f>
        <v>58100</v>
      </c>
      <c r="L4" s="12">
        <f>SUM(StateSenatorSenateDistrict51General[[#This Row],[Total Votes by Party]],K5,K6,K8)</f>
        <v>67101</v>
      </c>
    </row>
    <row r="5" spans="1:12" x14ac:dyDescent="0.2">
      <c r="A5" s="2" t="s">
        <v>453</v>
      </c>
      <c r="B5" s="3">
        <v>877</v>
      </c>
      <c r="C5" s="3">
        <v>1077</v>
      </c>
      <c r="D5" s="3">
        <v>1143</v>
      </c>
      <c r="E5" s="3">
        <v>316</v>
      </c>
      <c r="F5" s="3">
        <v>230</v>
      </c>
      <c r="G5" s="3">
        <v>475</v>
      </c>
      <c r="H5" s="3">
        <v>1037</v>
      </c>
      <c r="I5" s="3">
        <v>453</v>
      </c>
      <c r="J5" s="3">
        <v>406</v>
      </c>
      <c r="K5" s="11">
        <f>SUM(StateSenatorSenateDistrict51General[[#This Row],[Cortland County Vote Results]:[Part of Ulster County Vote Results]])</f>
        <v>6014</v>
      </c>
      <c r="L5" s="13"/>
    </row>
    <row r="6" spans="1:12" x14ac:dyDescent="0.2">
      <c r="A6" s="2" t="s">
        <v>454</v>
      </c>
      <c r="B6" s="3">
        <v>503</v>
      </c>
      <c r="C6" s="3">
        <v>559</v>
      </c>
      <c r="D6" s="3">
        <v>279</v>
      </c>
      <c r="E6" s="3">
        <v>127</v>
      </c>
      <c r="F6" s="3">
        <v>103</v>
      </c>
      <c r="G6" s="3">
        <v>190</v>
      </c>
      <c r="H6" s="3">
        <v>401</v>
      </c>
      <c r="I6" s="3">
        <v>230</v>
      </c>
      <c r="J6" s="3">
        <v>108</v>
      </c>
      <c r="K6" s="11">
        <f>SUM(StateSenatorSenateDistrict51General[[#This Row],[Cortland County Vote Results]:[Part of Ulster County Vote Results]])</f>
        <v>2500</v>
      </c>
      <c r="L6" s="13"/>
    </row>
    <row r="7" spans="1:12" x14ac:dyDescent="0.2">
      <c r="A7" s="2" t="s">
        <v>455</v>
      </c>
      <c r="B7" s="3">
        <v>246</v>
      </c>
      <c r="C7" s="3">
        <v>370</v>
      </c>
      <c r="D7" s="3">
        <v>222</v>
      </c>
      <c r="E7" s="3">
        <v>63</v>
      </c>
      <c r="F7" s="3">
        <v>55</v>
      </c>
      <c r="G7" s="3">
        <v>166</v>
      </c>
      <c r="H7" s="3">
        <v>182</v>
      </c>
      <c r="I7" s="3">
        <v>432</v>
      </c>
      <c r="J7" s="3">
        <v>246</v>
      </c>
      <c r="K7" s="11">
        <f>SUM(StateSenatorSenateDistrict51General[[#This Row],[Cortland County Vote Results]:[Part of Ulster County Vote Results]])</f>
        <v>1982</v>
      </c>
      <c r="L7" s="13"/>
    </row>
    <row r="8" spans="1:12" x14ac:dyDescent="0.2">
      <c r="A8" s="2" t="s">
        <v>456</v>
      </c>
      <c r="B8" s="3">
        <v>92</v>
      </c>
      <c r="C8" s="3">
        <v>120</v>
      </c>
      <c r="D8" s="3">
        <v>68</v>
      </c>
      <c r="E8" s="3">
        <v>20</v>
      </c>
      <c r="F8" s="3">
        <v>17</v>
      </c>
      <c r="G8" s="3">
        <v>32</v>
      </c>
      <c r="H8" s="3">
        <v>68</v>
      </c>
      <c r="I8" s="3">
        <v>58</v>
      </c>
      <c r="J8" s="3">
        <v>12</v>
      </c>
      <c r="K8" s="11">
        <f>SUM(StateSenatorSenateDistrict51General[[#This Row],[Cortland County Vote Results]:[Part of Ulster County Vote Results]])</f>
        <v>487</v>
      </c>
      <c r="L8" s="13"/>
    </row>
    <row r="9" spans="1:12" x14ac:dyDescent="0.2">
      <c r="A9" s="4" t="s">
        <v>0</v>
      </c>
      <c r="B9" s="3">
        <v>490</v>
      </c>
      <c r="C9" s="3">
        <v>436</v>
      </c>
      <c r="D9" s="3">
        <v>384</v>
      </c>
      <c r="E9" s="3">
        <v>179</v>
      </c>
      <c r="F9" s="3">
        <v>161</v>
      </c>
      <c r="G9" s="3">
        <v>166</v>
      </c>
      <c r="H9" s="3">
        <v>1013</v>
      </c>
      <c r="I9" s="3">
        <v>281</v>
      </c>
      <c r="J9" s="3">
        <v>308</v>
      </c>
      <c r="K9" s="11">
        <f>SUM(StateSenatorSenateDistrict51General[[#This Row],[Cortland County Vote Results]:[Part of Ulster County Vote Results]])</f>
        <v>3418</v>
      </c>
      <c r="L9" s="13"/>
    </row>
    <row r="10" spans="1:12" x14ac:dyDescent="0.2">
      <c r="A10" s="4" t="s">
        <v>1</v>
      </c>
      <c r="B10" s="3">
        <v>0</v>
      </c>
      <c r="C10" s="3">
        <v>9</v>
      </c>
      <c r="D10" s="3">
        <v>1</v>
      </c>
      <c r="E10" s="3">
        <v>1</v>
      </c>
      <c r="F10" s="3">
        <v>1</v>
      </c>
      <c r="G10" s="3">
        <v>2</v>
      </c>
      <c r="H10" s="3">
        <v>12</v>
      </c>
      <c r="I10" s="3">
        <v>3</v>
      </c>
      <c r="J10" s="3">
        <v>1</v>
      </c>
      <c r="K10" s="11">
        <f>SUM(StateSenatorSenateDistrict51General[[#This Row],[Cortland County Vote Results]:[Part of Ulster County Vote Results]])</f>
        <v>30</v>
      </c>
      <c r="L10" s="13"/>
    </row>
    <row r="11" spans="1:12" x14ac:dyDescent="0.2">
      <c r="A11" s="4" t="s">
        <v>2</v>
      </c>
      <c r="B11" s="5">
        <v>4</v>
      </c>
      <c r="C11" s="5">
        <v>6</v>
      </c>
      <c r="D11" s="5">
        <v>2</v>
      </c>
      <c r="E11" s="5">
        <v>0</v>
      </c>
      <c r="F11" s="5">
        <v>3</v>
      </c>
      <c r="G11" s="5">
        <v>5</v>
      </c>
      <c r="H11" s="5">
        <v>2</v>
      </c>
      <c r="I11" s="5">
        <v>6</v>
      </c>
      <c r="J11" s="5">
        <v>3</v>
      </c>
      <c r="K11" s="11">
        <f>SUM(StateSenatorSenateDistrict51General[[#This Row],[Cortland County Vote Results]:[Part of Ulster County Vote Results]])</f>
        <v>31</v>
      </c>
      <c r="L11" s="13"/>
    </row>
    <row r="12" spans="1:12" hidden="1" x14ac:dyDescent="0.2">
      <c r="A12" s="4" t="s">
        <v>3</v>
      </c>
      <c r="B12" s="6">
        <f>SUBTOTAL(109,StateSenatorSenateDistrict51General[Cortland County Vote Results])</f>
        <v>16863</v>
      </c>
      <c r="C12" s="6"/>
      <c r="D12" s="6"/>
      <c r="E12" s="6"/>
      <c r="F12" s="6"/>
      <c r="G12" s="6"/>
      <c r="H12" s="6"/>
      <c r="I12" s="6"/>
      <c r="J12" s="6">
        <f>SUBTOTAL(109,StateSenatorSenateDistrict51General[Part of Ulster County Vote Results])</f>
        <v>7613</v>
      </c>
      <c r="K12" s="11">
        <f>SUM(StateSenatorSenateDistrict50General[[#This Row],[Part of Cayuga County Vote Results]:[Part of Onondaga County Vote Results]])</f>
        <v>75</v>
      </c>
      <c r="L12" s="13"/>
    </row>
  </sheetData>
  <pageMargins left="0.5" right="0.5" top="0.25" bottom="0.25" header="0.25" footer="0.25"/>
  <pageSetup paperSize="5" scale="67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D6C9-65D7-4824-923E-327A54444348}">
  <sheetPr>
    <pageSetUpPr fitToPage="1"/>
  </sheetPr>
  <dimension ref="A1:G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374</v>
      </c>
    </row>
    <row r="2" spans="1:7" ht="25.5" x14ac:dyDescent="0.2">
      <c r="A2" s="7" t="s">
        <v>5</v>
      </c>
      <c r="B2" s="8" t="s">
        <v>65</v>
      </c>
      <c r="C2" s="8" t="s">
        <v>41</v>
      </c>
      <c r="D2" s="8" t="s">
        <v>40</v>
      </c>
      <c r="E2" s="8" t="s">
        <v>17</v>
      </c>
      <c r="F2" s="9" t="s">
        <v>457</v>
      </c>
      <c r="G2" s="10" t="s">
        <v>4</v>
      </c>
    </row>
    <row r="3" spans="1:7" x14ac:dyDescent="0.2">
      <c r="A3" s="2" t="s">
        <v>375</v>
      </c>
      <c r="B3" s="3">
        <v>44107</v>
      </c>
      <c r="C3" s="3">
        <v>12549</v>
      </c>
      <c r="D3" s="3">
        <v>8695</v>
      </c>
      <c r="E3" s="3">
        <v>1208</v>
      </c>
      <c r="F3" s="11">
        <f>SUM(StateSenatorSenateDistrict52General[[#This Row],[Broome County Vote Results]:[Part of Delaware County Vote Results]])</f>
        <v>66559</v>
      </c>
      <c r="G3" s="12">
        <f>SUM(F3:F6)</f>
        <v>81094</v>
      </c>
    </row>
    <row r="4" spans="1:7" x14ac:dyDescent="0.2">
      <c r="A4" s="2" t="s">
        <v>376</v>
      </c>
      <c r="B4" s="3">
        <v>4074</v>
      </c>
      <c r="C4" s="3">
        <v>1037</v>
      </c>
      <c r="D4" s="3">
        <v>618</v>
      </c>
      <c r="E4" s="3">
        <v>68</v>
      </c>
      <c r="F4" s="11">
        <f>SUM(StateSenatorSenateDistrict52General[[#This Row],[Broome County Vote Results]:[Part of Delaware County Vote Results]])</f>
        <v>5797</v>
      </c>
      <c r="G4" s="13"/>
    </row>
    <row r="5" spans="1:7" x14ac:dyDescent="0.2">
      <c r="A5" s="2" t="s">
        <v>377</v>
      </c>
      <c r="B5" s="3">
        <v>5733</v>
      </c>
      <c r="C5" s="3">
        <v>1077</v>
      </c>
      <c r="D5" s="3">
        <v>673</v>
      </c>
      <c r="E5" s="3">
        <v>79</v>
      </c>
      <c r="F5" s="11">
        <f>SUM(StateSenatorSenateDistrict52General[[#This Row],[Broome County Vote Results]:[Part of Delaware County Vote Results]])</f>
        <v>7562</v>
      </c>
      <c r="G5" s="13"/>
    </row>
    <row r="6" spans="1:7" x14ac:dyDescent="0.2">
      <c r="A6" s="2" t="s">
        <v>378</v>
      </c>
      <c r="B6" s="3">
        <v>813</v>
      </c>
      <c r="C6" s="3">
        <v>205</v>
      </c>
      <c r="D6" s="3">
        <v>140</v>
      </c>
      <c r="E6" s="3">
        <v>18</v>
      </c>
      <c r="F6" s="11">
        <f>SUM(StateSenatorSenateDistrict52General[[#This Row],[Broome County Vote Results]:[Part of Delaware County Vote Results]])</f>
        <v>1176</v>
      </c>
      <c r="G6" s="13"/>
    </row>
    <row r="7" spans="1:7" x14ac:dyDescent="0.2">
      <c r="A7" s="4" t="s">
        <v>0</v>
      </c>
      <c r="B7" s="3">
        <v>18829</v>
      </c>
      <c r="C7" s="3">
        <v>3821</v>
      </c>
      <c r="D7" s="3">
        <v>2027</v>
      </c>
      <c r="E7" s="3">
        <v>218</v>
      </c>
      <c r="F7" s="11">
        <f>SUM(StateSenatorSenateDistrict52General[[#This Row],[Broome County Vote Results]:[Part of Delaware County Vote Results]])</f>
        <v>24895</v>
      </c>
      <c r="G7" s="13"/>
    </row>
    <row r="8" spans="1:7" x14ac:dyDescent="0.2">
      <c r="A8" s="4" t="s">
        <v>1</v>
      </c>
      <c r="B8" s="3">
        <v>15</v>
      </c>
      <c r="C8" s="3">
        <v>0</v>
      </c>
      <c r="D8" s="3">
        <v>3</v>
      </c>
      <c r="E8" s="3">
        <v>0</v>
      </c>
      <c r="F8" s="11">
        <f>SUM(StateSenatorSenateDistrict52General[[#This Row],[Broome County Vote Results]:[Part of Delaware County Vote Results]])</f>
        <v>18</v>
      </c>
      <c r="G8" s="13"/>
    </row>
    <row r="9" spans="1:7" x14ac:dyDescent="0.2">
      <c r="A9" s="4" t="s">
        <v>2</v>
      </c>
      <c r="B9" s="5">
        <v>896</v>
      </c>
      <c r="C9" s="5">
        <v>122</v>
      </c>
      <c r="D9" s="5">
        <v>60</v>
      </c>
      <c r="E9" s="5">
        <v>7</v>
      </c>
      <c r="F9" s="11">
        <f>SUM(StateSenatorSenateDistrict52General[[#This Row],[Broome County Vote Results]:[Part of Delaware County Vote Results]])</f>
        <v>1085</v>
      </c>
      <c r="G9" s="13"/>
    </row>
    <row r="10" spans="1:7" hidden="1" x14ac:dyDescent="0.2">
      <c r="A10" s="4" t="s">
        <v>3</v>
      </c>
      <c r="B10" s="6">
        <f>SUBTOTAL(109,StateSenatorSenateDistrict52General[Broome County Vote Results])</f>
        <v>74467</v>
      </c>
      <c r="C10" s="6"/>
      <c r="D10" s="6"/>
      <c r="E10" s="6">
        <f>SUBTOTAL(109,StateSenatorSenateDistrict52General[Part of Delaware County Vote Results])</f>
        <v>1598</v>
      </c>
      <c r="F10" s="11">
        <f>SUM(StateSenatorSenateDistrict49General[[#This Row],[Fulton County Vote Results]:[Part of Schenectady County Vote Results]])</f>
        <v>2197</v>
      </c>
      <c r="G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4BB8-3623-4EC2-8D6B-3F264FEB8473}">
  <sheetPr>
    <pageSetUpPr fitToPage="1"/>
  </sheetPr>
  <dimension ref="A1:F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379</v>
      </c>
    </row>
    <row r="2" spans="1:6" ht="25.5" x14ac:dyDescent="0.2">
      <c r="A2" s="7" t="s">
        <v>5</v>
      </c>
      <c r="B2" s="8" t="s">
        <v>39</v>
      </c>
      <c r="C2" s="8" t="s">
        <v>19</v>
      </c>
      <c r="D2" s="8" t="s">
        <v>38</v>
      </c>
      <c r="E2" s="9" t="s">
        <v>457</v>
      </c>
      <c r="F2" s="10" t="s">
        <v>4</v>
      </c>
    </row>
    <row r="3" spans="1:6" x14ac:dyDescent="0.2">
      <c r="A3" s="2" t="s">
        <v>380</v>
      </c>
      <c r="B3" s="3">
        <v>8921</v>
      </c>
      <c r="C3" s="3">
        <v>2373</v>
      </c>
      <c r="D3" s="3">
        <v>34412</v>
      </c>
      <c r="E3" s="11">
        <f>SUM(StateSenatorSenateDistrict53General[[#This Row],[Madison County Vote Results]:[Part of Onondaga County Vote Results]])</f>
        <v>45706</v>
      </c>
      <c r="F3" s="12">
        <f>SUM(StateSenatorSenateDistrict53General[[#This Row],[Total Votes by Party]],E6)</f>
        <v>48076</v>
      </c>
    </row>
    <row r="4" spans="1:6" x14ac:dyDescent="0.2">
      <c r="A4" s="2" t="s">
        <v>381</v>
      </c>
      <c r="B4" s="3">
        <v>10793</v>
      </c>
      <c r="C4" s="3">
        <v>1689</v>
      </c>
      <c r="D4" s="3">
        <v>17145</v>
      </c>
      <c r="E4" s="11">
        <f>SUM(StateSenatorSenateDistrict53General[[#This Row],[Madison County Vote Results]:[Part of Onondaga County Vote Results]])</f>
        <v>29627</v>
      </c>
      <c r="F4" s="12">
        <f>SUM(StateSenatorSenateDistrict53General[[#This Row],[Total Votes by Party]],E5)</f>
        <v>34648</v>
      </c>
    </row>
    <row r="5" spans="1:6" x14ac:dyDescent="0.2">
      <c r="A5" s="2" t="s">
        <v>382</v>
      </c>
      <c r="B5" s="3">
        <v>1665</v>
      </c>
      <c r="C5" s="3">
        <v>201</v>
      </c>
      <c r="D5" s="3">
        <v>3155</v>
      </c>
      <c r="E5" s="11">
        <f>SUM(StateSenatorSenateDistrict53General[[#This Row],[Madison County Vote Results]:[Part of Onondaga County Vote Results]])</f>
        <v>5021</v>
      </c>
      <c r="F5" s="13"/>
    </row>
    <row r="6" spans="1:6" x14ac:dyDescent="0.2">
      <c r="A6" s="2" t="s">
        <v>383</v>
      </c>
      <c r="B6" s="3">
        <v>474</v>
      </c>
      <c r="C6" s="3">
        <v>127</v>
      </c>
      <c r="D6" s="3">
        <v>1769</v>
      </c>
      <c r="E6" s="11">
        <f>SUM(StateSenatorSenateDistrict53General[[#This Row],[Madison County Vote Results]:[Part of Onondaga County Vote Results]])</f>
        <v>2370</v>
      </c>
      <c r="F6" s="13"/>
    </row>
    <row r="7" spans="1:6" x14ac:dyDescent="0.2">
      <c r="A7" s="2" t="s">
        <v>384</v>
      </c>
      <c r="B7" s="3">
        <v>3244</v>
      </c>
      <c r="C7" s="3">
        <v>324</v>
      </c>
      <c r="D7" s="3">
        <v>6057</v>
      </c>
      <c r="E7" s="11">
        <f>SUM(StateSenatorSenateDistrict53General[[#This Row],[Madison County Vote Results]:[Part of Onondaga County Vote Results]])</f>
        <v>9625</v>
      </c>
      <c r="F7" s="12">
        <f>SUM(StateSenatorSenateDistrict53General[[#This Row],[Total Votes by Party]],E8)</f>
        <v>11018</v>
      </c>
    </row>
    <row r="8" spans="1:6" x14ac:dyDescent="0.2">
      <c r="A8" s="2" t="s">
        <v>385</v>
      </c>
      <c r="B8" s="3">
        <v>479</v>
      </c>
      <c r="C8" s="3">
        <v>47</v>
      </c>
      <c r="D8" s="3">
        <v>867</v>
      </c>
      <c r="E8" s="11">
        <f>SUM(StateSenatorSenateDistrict53General[[#This Row],[Madison County Vote Results]:[Part of Onondaga County Vote Results]])</f>
        <v>1393</v>
      </c>
      <c r="F8" s="13"/>
    </row>
    <row r="9" spans="1:6" x14ac:dyDescent="0.2">
      <c r="A9" s="4" t="s">
        <v>0</v>
      </c>
      <c r="B9" s="3">
        <v>843</v>
      </c>
      <c r="C9" s="3">
        <v>317</v>
      </c>
      <c r="D9" s="3">
        <v>2547</v>
      </c>
      <c r="E9" s="11">
        <f>SUM(StateSenatorSenateDistrict53General[[#This Row],[Madison County Vote Results]:[Part of Onondaga County Vote Results]])</f>
        <v>3707</v>
      </c>
      <c r="F9" s="13"/>
    </row>
    <row r="10" spans="1:6" x14ac:dyDescent="0.2">
      <c r="A10" s="4" t="s">
        <v>1</v>
      </c>
      <c r="B10" s="3">
        <v>9</v>
      </c>
      <c r="C10" s="3">
        <v>0</v>
      </c>
      <c r="D10" s="3">
        <v>0</v>
      </c>
      <c r="E10" s="11">
        <f>SUM(StateSenatorSenateDistrict53General[[#This Row],[Madison County Vote Results]:[Part of Onondaga County Vote Results]])</f>
        <v>9</v>
      </c>
      <c r="F10" s="13"/>
    </row>
    <row r="11" spans="1:6" x14ac:dyDescent="0.2">
      <c r="A11" s="4" t="s">
        <v>2</v>
      </c>
      <c r="B11" s="5">
        <v>14</v>
      </c>
      <c r="C11" s="5">
        <v>0</v>
      </c>
      <c r="D11" s="5">
        <v>54</v>
      </c>
      <c r="E11" s="11">
        <f>SUM(StateSenatorSenateDistrict53General[[#This Row],[Madison County Vote Results]:[Part of Onondaga County Vote Results]])</f>
        <v>68</v>
      </c>
      <c r="F11" s="13"/>
    </row>
    <row r="12" spans="1:6" hidden="1" x14ac:dyDescent="0.2">
      <c r="A12" s="4" t="s">
        <v>3</v>
      </c>
      <c r="B12" s="6">
        <f>SUBTOTAL(109,StateSenatorSenateDistrict53General[Madison County Vote Results])</f>
        <v>26442</v>
      </c>
      <c r="C12" s="6"/>
      <c r="D12" s="6">
        <f>SUBTOTAL(109,StateSenatorSenateDistrict53General[Part of Onondaga County Vote Results])</f>
        <v>66006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55CA-4495-4C68-8977-8C9E98551930}">
  <sheetPr>
    <pageSetUpPr fitToPage="1"/>
  </sheetPr>
  <dimension ref="A1:I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9" width="20.5703125" customWidth="1"/>
    <col min="10" max="11" width="23.5703125" customWidth="1"/>
  </cols>
  <sheetData>
    <row r="1" spans="1:9" ht="18.75" x14ac:dyDescent="0.2">
      <c r="A1" s="1" t="s">
        <v>386</v>
      </c>
    </row>
    <row r="2" spans="1:9" ht="25.5" x14ac:dyDescent="0.2">
      <c r="A2" s="7" t="s">
        <v>5</v>
      </c>
      <c r="B2" s="8" t="s">
        <v>59</v>
      </c>
      <c r="C2" s="8" t="s">
        <v>43</v>
      </c>
      <c r="D2" s="8" t="s">
        <v>42</v>
      </c>
      <c r="E2" s="8" t="s">
        <v>46</v>
      </c>
      <c r="F2" s="8" t="s">
        <v>61</v>
      </c>
      <c r="G2" s="8" t="s">
        <v>64</v>
      </c>
      <c r="H2" s="9" t="s">
        <v>457</v>
      </c>
      <c r="I2" s="10" t="s">
        <v>4</v>
      </c>
    </row>
    <row r="3" spans="1:9" x14ac:dyDescent="0.2">
      <c r="A3" s="2" t="s">
        <v>387</v>
      </c>
      <c r="B3" s="3">
        <v>3557</v>
      </c>
      <c r="C3" s="3">
        <v>9459</v>
      </c>
      <c r="D3" s="3">
        <v>4385</v>
      </c>
      <c r="E3" s="3">
        <v>8300</v>
      </c>
      <c r="F3" s="3">
        <v>10225</v>
      </c>
      <c r="G3" s="3">
        <v>2882</v>
      </c>
      <c r="H3" s="11">
        <f>SUM(StateSenatorSenateDistrict54General[[#This Row],[Seneca County Vote Results]:[Part of Tompkins County Vote Results]])</f>
        <v>38808</v>
      </c>
      <c r="I3" s="12">
        <f>SUM(StateSenatorSenateDistrict54General[[#This Row],[Total Votes by Party]],H6,H8)</f>
        <v>41269</v>
      </c>
    </row>
    <row r="4" spans="1:9" x14ac:dyDescent="0.2">
      <c r="A4" s="2" t="s">
        <v>388</v>
      </c>
      <c r="B4" s="3">
        <v>6533</v>
      </c>
      <c r="C4" s="3">
        <v>17501</v>
      </c>
      <c r="D4" s="3">
        <v>6238</v>
      </c>
      <c r="E4" s="3">
        <v>9299</v>
      </c>
      <c r="F4" s="3">
        <v>14740</v>
      </c>
      <c r="G4" s="3">
        <v>1547</v>
      </c>
      <c r="H4" s="11">
        <f>SUM(StateSenatorSenateDistrict54General[[#This Row],[Seneca County Vote Results]:[Part of Tompkins County Vote Results]])</f>
        <v>55858</v>
      </c>
      <c r="I4" s="12">
        <f>SUM(StateSenatorSenateDistrict54General[[#This Row],[Total Votes by Party]],H5,H7,H9)</f>
        <v>67223</v>
      </c>
    </row>
    <row r="5" spans="1:9" x14ac:dyDescent="0.2">
      <c r="A5" s="2" t="s">
        <v>389</v>
      </c>
      <c r="B5" s="3">
        <v>717</v>
      </c>
      <c r="C5" s="3">
        <v>2923</v>
      </c>
      <c r="D5" s="3">
        <v>908</v>
      </c>
      <c r="E5" s="3">
        <v>1663</v>
      </c>
      <c r="F5" s="3">
        <v>1901</v>
      </c>
      <c r="G5" s="3">
        <v>137</v>
      </c>
      <c r="H5" s="11">
        <f>SUM(StateSenatorSenateDistrict54General[[#This Row],[Seneca County Vote Results]:[Part of Tompkins County Vote Results]])</f>
        <v>8249</v>
      </c>
      <c r="I5" s="13"/>
    </row>
    <row r="6" spans="1:9" x14ac:dyDescent="0.2">
      <c r="A6" s="2" t="s">
        <v>390</v>
      </c>
      <c r="B6" s="3">
        <v>167</v>
      </c>
      <c r="C6" s="3">
        <v>466</v>
      </c>
      <c r="D6" s="3">
        <v>201</v>
      </c>
      <c r="E6" s="3">
        <v>236</v>
      </c>
      <c r="F6" s="3">
        <v>388</v>
      </c>
      <c r="G6" s="3">
        <v>160</v>
      </c>
      <c r="H6" s="11">
        <f>SUM(StateSenatorSenateDistrict54General[[#This Row],[Seneca County Vote Results]:[Part of Tompkins County Vote Results]])</f>
        <v>1618</v>
      </c>
      <c r="I6" s="13"/>
    </row>
    <row r="7" spans="1:9" x14ac:dyDescent="0.2">
      <c r="A7" s="2" t="s">
        <v>391</v>
      </c>
      <c r="B7" s="3">
        <v>426</v>
      </c>
      <c r="C7" s="3">
        <v>640</v>
      </c>
      <c r="D7" s="3">
        <v>266</v>
      </c>
      <c r="E7" s="3">
        <v>376</v>
      </c>
      <c r="F7" s="3">
        <v>784</v>
      </c>
      <c r="G7" s="3">
        <v>74</v>
      </c>
      <c r="H7" s="11">
        <f>SUM(StateSenatorSenateDistrict54General[[#This Row],[Seneca County Vote Results]:[Part of Tompkins County Vote Results]])</f>
        <v>2566</v>
      </c>
      <c r="I7" s="13"/>
    </row>
    <row r="8" spans="1:9" x14ac:dyDescent="0.2">
      <c r="A8" s="2" t="s">
        <v>392</v>
      </c>
      <c r="B8" s="3">
        <v>85</v>
      </c>
      <c r="C8" s="3">
        <v>228</v>
      </c>
      <c r="D8" s="3">
        <v>101</v>
      </c>
      <c r="E8" s="3">
        <v>135</v>
      </c>
      <c r="F8" s="3">
        <v>235</v>
      </c>
      <c r="G8" s="3">
        <v>59</v>
      </c>
      <c r="H8" s="11">
        <f>SUM(StateSenatorSenateDistrict54General[[#This Row],[Seneca County Vote Results]:[Part of Tompkins County Vote Results]])</f>
        <v>843</v>
      </c>
      <c r="I8" s="13"/>
    </row>
    <row r="9" spans="1:9" x14ac:dyDescent="0.2">
      <c r="A9" s="2" t="s">
        <v>393</v>
      </c>
      <c r="B9" s="3">
        <v>82</v>
      </c>
      <c r="C9" s="3">
        <v>169</v>
      </c>
      <c r="D9" s="3">
        <v>46</v>
      </c>
      <c r="E9" s="3">
        <v>94</v>
      </c>
      <c r="F9" s="3">
        <v>147</v>
      </c>
      <c r="G9" s="3">
        <v>12</v>
      </c>
      <c r="H9" s="11">
        <f>SUM(StateSenatorSenateDistrict54General[[#This Row],[Seneca County Vote Results]:[Part of Tompkins County Vote Results]])</f>
        <v>550</v>
      </c>
      <c r="I9" s="13"/>
    </row>
    <row r="10" spans="1:9" x14ac:dyDescent="0.2">
      <c r="A10" s="4" t="s">
        <v>0</v>
      </c>
      <c r="B10" s="3">
        <v>452</v>
      </c>
      <c r="C10" s="3">
        <v>1006</v>
      </c>
      <c r="D10" s="3">
        <v>718</v>
      </c>
      <c r="E10" s="3">
        <v>660</v>
      </c>
      <c r="F10" s="3">
        <v>1061</v>
      </c>
      <c r="G10" s="3">
        <v>187</v>
      </c>
      <c r="H10" s="11">
        <f>SUM(StateSenatorSenateDistrict54General[[#This Row],[Seneca County Vote Results]:[Part of Tompkins County Vote Results]])</f>
        <v>4084</v>
      </c>
      <c r="I10" s="13"/>
    </row>
    <row r="11" spans="1:9" x14ac:dyDescent="0.2">
      <c r="A11" s="4" t="s">
        <v>1</v>
      </c>
      <c r="B11" s="3">
        <v>3</v>
      </c>
      <c r="C11" s="3">
        <v>6</v>
      </c>
      <c r="D11" s="3">
        <v>4</v>
      </c>
      <c r="E11" s="3">
        <v>1</v>
      </c>
      <c r="F11" s="3">
        <v>7</v>
      </c>
      <c r="G11" s="3">
        <v>1</v>
      </c>
      <c r="H11" s="11">
        <f>SUM(StateSenatorSenateDistrict54General[[#This Row],[Seneca County Vote Results]:[Part of Tompkins County Vote Results]])</f>
        <v>22</v>
      </c>
      <c r="I11" s="13"/>
    </row>
    <row r="12" spans="1:9" x14ac:dyDescent="0.2">
      <c r="A12" s="4" t="s">
        <v>2</v>
      </c>
      <c r="B12" s="5">
        <v>2</v>
      </c>
      <c r="C12" s="5">
        <v>4</v>
      </c>
      <c r="D12" s="5">
        <v>1</v>
      </c>
      <c r="E12" s="5">
        <v>2</v>
      </c>
      <c r="F12" s="5">
        <v>8</v>
      </c>
      <c r="G12" s="5">
        <v>3</v>
      </c>
      <c r="H12" s="11">
        <f>SUM(StateSenatorSenateDistrict54General[[#This Row],[Seneca County Vote Results]:[Part of Tompkins County Vote Results]])</f>
        <v>20</v>
      </c>
      <c r="I12" s="13"/>
    </row>
    <row r="13" spans="1:9" hidden="1" x14ac:dyDescent="0.2">
      <c r="A13" s="4" t="s">
        <v>3</v>
      </c>
      <c r="B13" s="6">
        <f>SUBTOTAL(109,StateSenatorSenateDistrict54General[Seneca County Vote Results])</f>
        <v>12024</v>
      </c>
      <c r="C13" s="6"/>
      <c r="D13" s="6"/>
      <c r="E13" s="6"/>
      <c r="F13" s="6"/>
      <c r="G13" s="6">
        <f>SUBTOTAL(109,StateSenatorSenateDistrict54General[Part of Tompkins County Vote Results])</f>
        <v>5062</v>
      </c>
    </row>
  </sheetData>
  <pageMargins left="0.5" right="0.5" top="0.25" bottom="0.25" header="0.25" footer="0.25"/>
  <pageSetup paperSize="5" scale="8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9956-4A26-4D76-BAFC-DBBEC3EFDD87}">
  <sheetPr>
    <pageSetUpPr fitToPage="1"/>
  </sheetPr>
  <dimension ref="A1:E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" t="s">
        <v>394</v>
      </c>
    </row>
    <row r="2" spans="1:5" ht="25.5" x14ac:dyDescent="0.2">
      <c r="A2" s="7" t="s">
        <v>5</v>
      </c>
      <c r="B2" s="8" t="s">
        <v>46</v>
      </c>
      <c r="C2" s="8" t="s">
        <v>61</v>
      </c>
      <c r="D2" s="9" t="s">
        <v>457</v>
      </c>
      <c r="E2" s="10" t="s">
        <v>4</v>
      </c>
    </row>
    <row r="3" spans="1:5" x14ac:dyDescent="0.2">
      <c r="A3" s="2" t="s">
        <v>395</v>
      </c>
      <c r="B3" s="3">
        <v>56486</v>
      </c>
      <c r="C3" s="3">
        <v>4921</v>
      </c>
      <c r="D3" s="11">
        <f>SUM(StateSenatorSenateDistrict55General[[#This Row],[Part of Monroe County Vote Results]:[Part of Ontario County Vote Results]])</f>
        <v>61407</v>
      </c>
      <c r="E3" s="12">
        <f>StateSenatorSenateDistrict55General[[#This Row],[Total Votes by Party]]</f>
        <v>61407</v>
      </c>
    </row>
    <row r="4" spans="1:5" x14ac:dyDescent="0.2">
      <c r="A4" s="2" t="s">
        <v>396</v>
      </c>
      <c r="B4" s="3">
        <v>44015</v>
      </c>
      <c r="C4" s="3">
        <v>10414</v>
      </c>
      <c r="D4" s="11">
        <f>SUM(StateSenatorSenateDistrict55General[[#This Row],[Part of Monroe County Vote Results]:[Part of Ontario County Vote Results]])</f>
        <v>54429</v>
      </c>
      <c r="E4" s="12">
        <f>SUM(D4:D7)</f>
        <v>66279</v>
      </c>
    </row>
    <row r="5" spans="1:5" x14ac:dyDescent="0.2">
      <c r="A5" s="2" t="s">
        <v>397</v>
      </c>
      <c r="B5" s="3">
        <v>6904</v>
      </c>
      <c r="C5" s="3">
        <v>1306</v>
      </c>
      <c r="D5" s="11">
        <f>SUM(StateSenatorSenateDistrict55General[[#This Row],[Part of Monroe County Vote Results]:[Part of Ontario County Vote Results]])</f>
        <v>8210</v>
      </c>
      <c r="E5" s="13"/>
    </row>
    <row r="6" spans="1:5" x14ac:dyDescent="0.2">
      <c r="A6" s="2" t="s">
        <v>398</v>
      </c>
      <c r="B6" s="3">
        <v>2711</v>
      </c>
      <c r="C6" s="3">
        <v>386</v>
      </c>
      <c r="D6" s="11">
        <f>SUM(StateSenatorSenateDistrict55General[[#This Row],[Part of Monroe County Vote Results]:[Part of Ontario County Vote Results]])</f>
        <v>3097</v>
      </c>
      <c r="E6" s="13"/>
    </row>
    <row r="7" spans="1:5" x14ac:dyDescent="0.2">
      <c r="A7" s="2" t="s">
        <v>399</v>
      </c>
      <c r="B7" s="3">
        <v>470</v>
      </c>
      <c r="C7" s="3">
        <v>73</v>
      </c>
      <c r="D7" s="11">
        <f>SUM(StateSenatorSenateDistrict55General[[#This Row],[Part of Monroe County Vote Results]:[Part of Ontario County Vote Results]])</f>
        <v>543</v>
      </c>
      <c r="E7" s="13"/>
    </row>
    <row r="8" spans="1:5" x14ac:dyDescent="0.2">
      <c r="A8" s="4" t="s">
        <v>0</v>
      </c>
      <c r="B8" s="3">
        <v>2446</v>
      </c>
      <c r="C8" s="3">
        <v>291</v>
      </c>
      <c r="D8" s="11">
        <f>SUM(StateSenatorSenateDistrict55General[[#This Row],[Part of Monroe County Vote Results]:[Part of Ontario County Vote Results]])</f>
        <v>2737</v>
      </c>
      <c r="E8" s="13"/>
    </row>
    <row r="9" spans="1:5" x14ac:dyDescent="0.2">
      <c r="A9" s="4" t="s">
        <v>1</v>
      </c>
      <c r="B9" s="3">
        <v>34</v>
      </c>
      <c r="C9" s="3">
        <v>4</v>
      </c>
      <c r="D9" s="11">
        <f>SUM(StateSenatorSenateDistrict55General[[#This Row],[Part of Monroe County Vote Results]:[Part of Ontario County Vote Results]])</f>
        <v>38</v>
      </c>
      <c r="E9" s="13"/>
    </row>
    <row r="10" spans="1:5" x14ac:dyDescent="0.2">
      <c r="A10" s="4" t="s">
        <v>2</v>
      </c>
      <c r="B10" s="5">
        <v>38</v>
      </c>
      <c r="C10" s="5">
        <v>0</v>
      </c>
      <c r="D10" s="11">
        <f>SUM(StateSenatorSenateDistrict55General[[#This Row],[Part of Monroe County Vote Results]:[Part of Ontario County Vote Results]])</f>
        <v>38</v>
      </c>
      <c r="E10" s="13"/>
    </row>
    <row r="11" spans="1:5" hidden="1" x14ac:dyDescent="0.2">
      <c r="A11" s="4" t="s">
        <v>3</v>
      </c>
      <c r="B11" s="6">
        <f>SUBTOTAL(109,StateSenatorSenateDistrict55General[Part of Monroe County Vote Results])</f>
        <v>113104</v>
      </c>
      <c r="C11" s="6">
        <f>SUBTOTAL(109,StateSenatorSenateDistrict55General[Part of Ontario County Vote Results])</f>
        <v>17395</v>
      </c>
      <c r="D11" s="11">
        <f>SUM(StateSenatorSenateDistrict54General[[#This Row],[Seneca County Vote Results]:[Part of Tompkins County Vote Results]])</f>
        <v>22</v>
      </c>
      <c r="E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3572-00C3-4DBE-92BF-E34D9939D1A9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400</v>
      </c>
    </row>
    <row r="2" spans="1:4" ht="25.5" x14ac:dyDescent="0.2">
      <c r="A2" s="7" t="s">
        <v>5</v>
      </c>
      <c r="B2" s="8" t="s">
        <v>46</v>
      </c>
      <c r="C2" s="9" t="s">
        <v>457</v>
      </c>
      <c r="D2" s="10" t="s">
        <v>4</v>
      </c>
    </row>
    <row r="3" spans="1:4" x14ac:dyDescent="0.2">
      <c r="A3" s="2" t="s">
        <v>401</v>
      </c>
      <c r="B3" s="3">
        <v>40214</v>
      </c>
      <c r="C3" s="11">
        <f>StateSenatorSenateDistrict56General[[#This Row],[Part of Monroe County Vote Results]]</f>
        <v>40214</v>
      </c>
      <c r="D3" s="12">
        <f>SUM(StateSenatorSenateDistrict56General[[#This Row],[Total Votes by Party]],C6,C8)</f>
        <v>42497</v>
      </c>
    </row>
    <row r="4" spans="1:4" x14ac:dyDescent="0.2">
      <c r="A4" s="2" t="s">
        <v>402</v>
      </c>
      <c r="B4" s="3">
        <v>43152</v>
      </c>
      <c r="C4" s="11">
        <f>StateSenatorSenateDistrict56General[[#This Row],[Part of Monroe County Vote Results]]</f>
        <v>43152</v>
      </c>
      <c r="D4" s="12">
        <f>SUM(StateSenatorSenateDistrict56General[[#This Row],[Total Votes by Party]],C5,C7,C9)</f>
        <v>53091</v>
      </c>
    </row>
    <row r="5" spans="1:4" x14ac:dyDescent="0.2">
      <c r="A5" s="2" t="s">
        <v>403</v>
      </c>
      <c r="B5" s="3">
        <v>7200</v>
      </c>
      <c r="C5" s="11">
        <f>StateSenatorSenateDistrict56General[[#This Row],[Part of Monroe County Vote Results]]</f>
        <v>7200</v>
      </c>
      <c r="D5" s="13"/>
    </row>
    <row r="6" spans="1:4" x14ac:dyDescent="0.2">
      <c r="A6" s="2" t="s">
        <v>404</v>
      </c>
      <c r="B6" s="3">
        <v>1452</v>
      </c>
      <c r="C6" s="11">
        <f>StateSenatorSenateDistrict56General[[#This Row],[Part of Monroe County Vote Results]]</f>
        <v>1452</v>
      </c>
      <c r="D6" s="13"/>
    </row>
    <row r="7" spans="1:4" x14ac:dyDescent="0.2">
      <c r="A7" s="2" t="s">
        <v>405</v>
      </c>
      <c r="B7" s="3">
        <v>2310</v>
      </c>
      <c r="C7" s="11">
        <f>StateSenatorSenateDistrict56General[[#This Row],[Part of Monroe County Vote Results]]</f>
        <v>2310</v>
      </c>
      <c r="D7" s="13"/>
    </row>
    <row r="8" spans="1:4" x14ac:dyDescent="0.2">
      <c r="A8" s="2" t="s">
        <v>406</v>
      </c>
      <c r="B8" s="3">
        <v>831</v>
      </c>
      <c r="C8" s="11">
        <f>StateSenatorSenateDistrict56General[[#This Row],[Part of Monroe County Vote Results]]</f>
        <v>831</v>
      </c>
      <c r="D8" s="13"/>
    </row>
    <row r="9" spans="1:4" x14ac:dyDescent="0.2">
      <c r="A9" s="2" t="s">
        <v>407</v>
      </c>
      <c r="B9" s="3">
        <v>429</v>
      </c>
      <c r="C9" s="11">
        <f>StateSenatorSenateDistrict56General[[#This Row],[Part of Monroe County Vote Results]]</f>
        <v>429</v>
      </c>
      <c r="D9" s="13"/>
    </row>
    <row r="10" spans="1:4" x14ac:dyDescent="0.2">
      <c r="A10" s="4" t="s">
        <v>0</v>
      </c>
      <c r="B10" s="5">
        <v>2713</v>
      </c>
      <c r="C10" s="11">
        <f>StateSenatorSenateDistrict56General[[#This Row],[Part of Monroe County Vote Results]]</f>
        <v>2713</v>
      </c>
      <c r="D10" s="13"/>
    </row>
    <row r="11" spans="1:4" x14ac:dyDescent="0.2">
      <c r="A11" s="4" t="s">
        <v>1</v>
      </c>
      <c r="B11" s="5">
        <v>100</v>
      </c>
      <c r="C11" s="11">
        <f>StateSenatorSenateDistrict56General[[#This Row],[Part of Monroe County Vote Results]]</f>
        <v>100</v>
      </c>
      <c r="D11" s="13"/>
    </row>
    <row r="12" spans="1:4" x14ac:dyDescent="0.2">
      <c r="A12" s="4" t="s">
        <v>2</v>
      </c>
      <c r="B12" s="5">
        <v>27</v>
      </c>
      <c r="C12" s="11">
        <f>StateSenatorSenateDistrict56General[[#This Row],[Part of Monroe County Vote Results]]</f>
        <v>27</v>
      </c>
      <c r="D12" s="13"/>
    </row>
    <row r="13" spans="1:4" hidden="1" x14ac:dyDescent="0.2">
      <c r="A13" s="4" t="s">
        <v>3</v>
      </c>
      <c r="B13" s="6">
        <f>SUBTOTAL(109,StateSenatorSenateDistrict56General[Total Votes by Candidate])</f>
        <v>95588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0A3F-387E-4EA8-919A-6B87C1516459}">
  <sheetPr>
    <pageSetUpPr fitToPage="1"/>
  </sheetPr>
  <dimension ref="A1:G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408</v>
      </c>
    </row>
    <row r="2" spans="1:7" ht="25.5" x14ac:dyDescent="0.2">
      <c r="A2" s="7" t="s">
        <v>5</v>
      </c>
      <c r="B2" s="8" t="s">
        <v>50</v>
      </c>
      <c r="C2" s="8" t="s">
        <v>51</v>
      </c>
      <c r="D2" s="8" t="s">
        <v>52</v>
      </c>
      <c r="E2" s="8" t="s">
        <v>66</v>
      </c>
      <c r="F2" s="9" t="s">
        <v>457</v>
      </c>
      <c r="G2" s="10" t="s">
        <v>4</v>
      </c>
    </row>
    <row r="3" spans="1:7" x14ac:dyDescent="0.2">
      <c r="A3" s="2" t="s">
        <v>409</v>
      </c>
      <c r="B3" s="3">
        <v>11552</v>
      </c>
      <c r="C3" s="3">
        <v>16645</v>
      </c>
      <c r="D3" s="3">
        <v>29012</v>
      </c>
      <c r="E3" s="3">
        <v>7052</v>
      </c>
      <c r="F3" s="11">
        <f>SUM(StateSenatorSenateDistrict57General[[#This Row],[Allegany County Vote Results]:[Part of Livingston County Vote Results]])</f>
        <v>64261</v>
      </c>
      <c r="G3" s="12">
        <f>SUM(F3:F6)</f>
        <v>78364</v>
      </c>
    </row>
    <row r="4" spans="1:7" x14ac:dyDescent="0.2">
      <c r="A4" s="2" t="s">
        <v>410</v>
      </c>
      <c r="B4" s="3">
        <v>1171</v>
      </c>
      <c r="C4" s="3">
        <v>2164</v>
      </c>
      <c r="D4" s="3">
        <v>4110</v>
      </c>
      <c r="E4" s="3">
        <v>969</v>
      </c>
      <c r="F4" s="11">
        <f>SUM(StateSenatorSenateDistrict57General[[#This Row],[Allegany County Vote Results]:[Part of Livingston County Vote Results]])</f>
        <v>8414</v>
      </c>
      <c r="G4" s="13"/>
    </row>
    <row r="5" spans="1:7" x14ac:dyDescent="0.2">
      <c r="A5" s="2" t="s">
        <v>411</v>
      </c>
      <c r="B5" s="3">
        <v>733</v>
      </c>
      <c r="C5" s="3">
        <v>249</v>
      </c>
      <c r="D5" s="3">
        <v>3434</v>
      </c>
      <c r="E5" s="3">
        <v>545</v>
      </c>
      <c r="F5" s="11">
        <f>SUM(StateSenatorSenateDistrict57General[[#This Row],[Allegany County Vote Results]:[Part of Livingston County Vote Results]])</f>
        <v>4961</v>
      </c>
      <c r="G5" s="13"/>
    </row>
    <row r="6" spans="1:7" x14ac:dyDescent="0.2">
      <c r="A6" s="2" t="s">
        <v>412</v>
      </c>
      <c r="B6" s="3">
        <v>130</v>
      </c>
      <c r="C6" s="3">
        <v>63</v>
      </c>
      <c r="D6" s="3">
        <v>413</v>
      </c>
      <c r="E6" s="3">
        <v>122</v>
      </c>
      <c r="F6" s="11">
        <f>SUM(StateSenatorSenateDistrict57General[[#This Row],[Allegany County Vote Results]:[Part of Livingston County Vote Results]])</f>
        <v>728</v>
      </c>
      <c r="G6" s="13"/>
    </row>
    <row r="7" spans="1:7" x14ac:dyDescent="0.2">
      <c r="A7" s="4" t="s">
        <v>0</v>
      </c>
      <c r="B7" s="3">
        <v>1717</v>
      </c>
      <c r="C7" s="3">
        <v>3756</v>
      </c>
      <c r="D7" s="3">
        <v>7334</v>
      </c>
      <c r="E7" s="3">
        <v>1967</v>
      </c>
      <c r="F7" s="11">
        <f>SUM(StateSenatorSenateDistrict57General[[#This Row],[Allegany County Vote Results]:[Part of Livingston County Vote Results]])</f>
        <v>14774</v>
      </c>
      <c r="G7" s="13"/>
    </row>
    <row r="8" spans="1:7" x14ac:dyDescent="0.2">
      <c r="A8" s="4" t="s">
        <v>1</v>
      </c>
      <c r="B8" s="3">
        <v>3</v>
      </c>
      <c r="C8" s="3">
        <v>42</v>
      </c>
      <c r="D8" s="3">
        <v>7</v>
      </c>
      <c r="E8" s="3">
        <v>1</v>
      </c>
      <c r="F8" s="11">
        <f>SUM(StateSenatorSenateDistrict57General[[#This Row],[Allegany County Vote Results]:[Part of Livingston County Vote Results]])</f>
        <v>53</v>
      </c>
      <c r="G8" s="13"/>
    </row>
    <row r="9" spans="1:7" x14ac:dyDescent="0.2">
      <c r="A9" s="4" t="s">
        <v>2</v>
      </c>
      <c r="B9" s="5">
        <v>47</v>
      </c>
      <c r="C9" s="5">
        <v>44</v>
      </c>
      <c r="D9" s="5">
        <v>195</v>
      </c>
      <c r="E9" s="5">
        <v>34</v>
      </c>
      <c r="F9" s="11">
        <f>SUM(StateSenatorSenateDistrict57General[[#This Row],[Allegany County Vote Results]:[Part of Livingston County Vote Results]])</f>
        <v>320</v>
      </c>
      <c r="G9" s="13"/>
    </row>
    <row r="10" spans="1:7" hidden="1" x14ac:dyDescent="0.2">
      <c r="A10" s="4" t="s">
        <v>3</v>
      </c>
      <c r="B10" s="6">
        <f>SUBTOTAL(109,StateSenatorSenateDistrict57General[Allegany County Vote Results])</f>
        <v>15353</v>
      </c>
      <c r="C10" s="6"/>
      <c r="D10" s="6"/>
      <c r="E10" s="6">
        <f>SUBTOTAL(109,StateSenatorSenateDistrict57General[Part of Livingston County Vote Results])</f>
        <v>10690</v>
      </c>
      <c r="F10" s="11">
        <f>StateSenatorSenateDistrict56General[[#This Row],[Part of Monroe County Vote Results]]</f>
        <v>2713</v>
      </c>
      <c r="G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DC3B-98C9-47F2-847C-7254079A5B63}">
  <sheetPr>
    <pageSetUpPr fitToPage="1"/>
  </sheetPr>
  <dimension ref="A1:H12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" t="s">
        <v>413</v>
      </c>
    </row>
    <row r="2" spans="1:8" ht="25.5" x14ac:dyDescent="0.2">
      <c r="A2" s="7" t="s">
        <v>5</v>
      </c>
      <c r="B2" s="8" t="s">
        <v>58</v>
      </c>
      <c r="C2" s="8" t="s">
        <v>44</v>
      </c>
      <c r="D2" s="8" t="s">
        <v>60</v>
      </c>
      <c r="E2" s="8" t="s">
        <v>45</v>
      </c>
      <c r="F2" s="8" t="s">
        <v>64</v>
      </c>
      <c r="G2" s="9" t="s">
        <v>457</v>
      </c>
      <c r="H2" s="10" t="s">
        <v>4</v>
      </c>
    </row>
    <row r="3" spans="1:8" x14ac:dyDescent="0.2">
      <c r="A3" s="2" t="s">
        <v>414</v>
      </c>
      <c r="B3" s="3">
        <v>9086</v>
      </c>
      <c r="C3" s="3">
        <v>2275</v>
      </c>
      <c r="D3" s="3">
        <v>8762</v>
      </c>
      <c r="E3" s="3">
        <v>2626</v>
      </c>
      <c r="F3" s="3">
        <v>13797</v>
      </c>
      <c r="G3" s="11">
        <f>SUM(StateSenatorSenateDistrict58General[[#This Row],[Chemung County Vote Results]:[Part of Tompkins County Vote Results]])</f>
        <v>36546</v>
      </c>
      <c r="H3" s="12">
        <f>SUM(StateSenatorSenateDistrict58General[[#This Row],[Total Votes by Party]],G6)</f>
        <v>39814</v>
      </c>
    </row>
    <row r="4" spans="1:8" x14ac:dyDescent="0.2">
      <c r="A4" s="2" t="s">
        <v>415</v>
      </c>
      <c r="B4" s="3">
        <v>17594</v>
      </c>
      <c r="C4" s="3">
        <v>4150</v>
      </c>
      <c r="D4" s="3">
        <v>21809</v>
      </c>
      <c r="E4" s="3">
        <v>4562</v>
      </c>
      <c r="F4" s="3">
        <v>3654</v>
      </c>
      <c r="G4" s="11">
        <f>SUM(StateSenatorSenateDistrict58General[[#This Row],[Chemung County Vote Results]:[Part of Tompkins County Vote Results]])</f>
        <v>51769</v>
      </c>
      <c r="H4" s="12">
        <f>SUM(StateSenatorSenateDistrict58General[[#This Row],[Total Votes by Party]],G5,G7,G8)</f>
        <v>58487</v>
      </c>
    </row>
    <row r="5" spans="1:8" x14ac:dyDescent="0.2">
      <c r="A5" s="2" t="s">
        <v>416</v>
      </c>
      <c r="B5" s="3">
        <v>1441</v>
      </c>
      <c r="C5" s="3">
        <v>442</v>
      </c>
      <c r="D5" s="3">
        <v>1782</v>
      </c>
      <c r="E5" s="3">
        <v>533</v>
      </c>
      <c r="F5" s="3">
        <v>367</v>
      </c>
      <c r="G5" s="11">
        <f>SUM(StateSenatorSenateDistrict58General[[#This Row],[Chemung County Vote Results]:[Part of Tompkins County Vote Results]])</f>
        <v>4565</v>
      </c>
      <c r="H5" s="13"/>
    </row>
    <row r="6" spans="1:8" x14ac:dyDescent="0.2">
      <c r="A6" s="2" t="s">
        <v>417</v>
      </c>
      <c r="B6" s="3">
        <v>537</v>
      </c>
      <c r="C6" s="3">
        <v>238</v>
      </c>
      <c r="D6" s="3">
        <v>601</v>
      </c>
      <c r="E6" s="3">
        <v>178</v>
      </c>
      <c r="F6" s="3">
        <v>1714</v>
      </c>
      <c r="G6" s="11">
        <f>SUM(StateSenatorSenateDistrict58General[[#This Row],[Chemung County Vote Results]:[Part of Tompkins County Vote Results]])</f>
        <v>3268</v>
      </c>
      <c r="H6" s="13"/>
    </row>
    <row r="7" spans="1:8" x14ac:dyDescent="0.2">
      <c r="A7" s="2" t="s">
        <v>418</v>
      </c>
      <c r="B7" s="3">
        <v>667</v>
      </c>
      <c r="C7" s="3">
        <v>134</v>
      </c>
      <c r="D7" s="3">
        <v>642</v>
      </c>
      <c r="E7" s="3">
        <v>122</v>
      </c>
      <c r="F7" s="3">
        <v>248</v>
      </c>
      <c r="G7" s="11">
        <f>SUM(StateSenatorSenateDistrict58General[[#This Row],[Chemung County Vote Results]:[Part of Tompkins County Vote Results]])</f>
        <v>1813</v>
      </c>
      <c r="H7" s="13"/>
    </row>
    <row r="8" spans="1:8" x14ac:dyDescent="0.2">
      <c r="A8" s="2" t="s">
        <v>419</v>
      </c>
      <c r="B8" s="3">
        <v>95</v>
      </c>
      <c r="C8" s="3">
        <v>21</v>
      </c>
      <c r="D8" s="3">
        <v>153</v>
      </c>
      <c r="E8" s="3">
        <v>21</v>
      </c>
      <c r="F8" s="3">
        <v>50</v>
      </c>
      <c r="G8" s="11">
        <f>SUM(StateSenatorSenateDistrict58General[[#This Row],[Chemung County Vote Results]:[Part of Tompkins County Vote Results]])</f>
        <v>340</v>
      </c>
      <c r="H8" s="13"/>
    </row>
    <row r="9" spans="1:8" x14ac:dyDescent="0.2">
      <c r="A9" s="4" t="s">
        <v>0</v>
      </c>
      <c r="B9" s="3">
        <v>1021</v>
      </c>
      <c r="C9" s="3">
        <v>203</v>
      </c>
      <c r="D9" s="3">
        <v>1116</v>
      </c>
      <c r="E9" s="3">
        <v>230</v>
      </c>
      <c r="F9" s="3">
        <v>963</v>
      </c>
      <c r="G9" s="11">
        <f>SUM(StateSenatorSenateDistrict58General[[#This Row],[Chemung County Vote Results]:[Part of Tompkins County Vote Results]])</f>
        <v>3533</v>
      </c>
      <c r="H9" s="13"/>
    </row>
    <row r="10" spans="1:8" x14ac:dyDescent="0.2">
      <c r="A10" s="4" t="s">
        <v>1</v>
      </c>
      <c r="B10" s="3">
        <v>0</v>
      </c>
      <c r="C10" s="3">
        <v>4</v>
      </c>
      <c r="D10" s="3">
        <v>17</v>
      </c>
      <c r="E10" s="3">
        <v>3</v>
      </c>
      <c r="F10" s="3">
        <v>4</v>
      </c>
      <c r="G10" s="11">
        <f>SUM(StateSenatorSenateDistrict58General[[#This Row],[Chemung County Vote Results]:[Part of Tompkins County Vote Results]])</f>
        <v>28</v>
      </c>
      <c r="H10" s="13"/>
    </row>
    <row r="11" spans="1:8" x14ac:dyDescent="0.2">
      <c r="A11" s="4" t="s">
        <v>2</v>
      </c>
      <c r="B11" s="5">
        <v>23</v>
      </c>
      <c r="C11" s="5">
        <v>63</v>
      </c>
      <c r="D11" s="5">
        <v>19</v>
      </c>
      <c r="E11" s="5">
        <v>10</v>
      </c>
      <c r="F11" s="5">
        <v>337</v>
      </c>
      <c r="G11" s="11">
        <f>SUM(StateSenatorSenateDistrict58General[[#This Row],[Chemung County Vote Results]:[Part of Tompkins County Vote Results]])</f>
        <v>452</v>
      </c>
      <c r="H11" s="13"/>
    </row>
    <row r="12" spans="1:8" hidden="1" x14ac:dyDescent="0.2">
      <c r="A12" s="4" t="s">
        <v>3</v>
      </c>
      <c r="B12" s="6">
        <f>SUBTOTAL(109,StateSenatorSenateDistrict58General[Chemung County Vote Results])</f>
        <v>30464</v>
      </c>
      <c r="C12" s="6"/>
      <c r="D12" s="6"/>
      <c r="E12" s="6"/>
      <c r="F12" s="6">
        <f>SUBTOTAL(109,StateSenatorSenateDistrict58General[Part of Tompkins County Vote Results])</f>
        <v>21134</v>
      </c>
    </row>
  </sheetData>
  <pageMargins left="0.5" right="0.5" top="0.25" bottom="0.25" header="0.25" footer="0.25"/>
  <pageSetup paperSize="5" scale="9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3573-67A8-43BC-9870-5A99CC467CE8}">
  <sheetPr>
    <pageSetUpPr fitToPage="1"/>
  </sheetPr>
  <dimension ref="A1:G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" t="s">
        <v>420</v>
      </c>
    </row>
    <row r="2" spans="1:7" ht="25.5" x14ac:dyDescent="0.2">
      <c r="A2" s="7" t="s">
        <v>5</v>
      </c>
      <c r="B2" s="8" t="s">
        <v>49</v>
      </c>
      <c r="C2" s="8" t="s">
        <v>48</v>
      </c>
      <c r="D2" s="8" t="s">
        <v>66</v>
      </c>
      <c r="E2" s="8" t="s">
        <v>46</v>
      </c>
      <c r="F2" s="9" t="s">
        <v>457</v>
      </c>
      <c r="G2" s="10" t="s">
        <v>4</v>
      </c>
    </row>
    <row r="3" spans="1:7" x14ac:dyDescent="0.2">
      <c r="A3" s="2" t="s">
        <v>421</v>
      </c>
      <c r="B3" s="3">
        <v>9456</v>
      </c>
      <c r="C3" s="3">
        <v>41960</v>
      </c>
      <c r="D3" s="3">
        <v>8132</v>
      </c>
      <c r="E3" s="3">
        <v>7592</v>
      </c>
      <c r="F3" s="11">
        <f>SUM(StateSenatorSenateDistrict59General[[#This Row],[Wyoming County Vote Results]:[Part of Monroe County Vote Results]])</f>
        <v>67140</v>
      </c>
      <c r="G3" s="12">
        <f>SUM(F3:F6)</f>
        <v>91738</v>
      </c>
    </row>
    <row r="4" spans="1:7" x14ac:dyDescent="0.2">
      <c r="A4" s="2" t="s">
        <v>422</v>
      </c>
      <c r="B4" s="3">
        <v>1410</v>
      </c>
      <c r="C4" s="3">
        <v>10201</v>
      </c>
      <c r="D4" s="3">
        <v>1167</v>
      </c>
      <c r="E4" s="3">
        <v>1502</v>
      </c>
      <c r="F4" s="11">
        <f>SUM(StateSenatorSenateDistrict59General[[#This Row],[Wyoming County Vote Results]:[Part of Monroe County Vote Results]])</f>
        <v>14280</v>
      </c>
      <c r="G4" s="13"/>
    </row>
    <row r="5" spans="1:7" x14ac:dyDescent="0.2">
      <c r="A5" s="2" t="s">
        <v>423</v>
      </c>
      <c r="B5" s="3">
        <v>590</v>
      </c>
      <c r="C5" s="3">
        <v>6075</v>
      </c>
      <c r="D5" s="3">
        <v>893</v>
      </c>
      <c r="E5" s="3">
        <v>1411</v>
      </c>
      <c r="F5" s="11">
        <f>SUM(StateSenatorSenateDistrict59General[[#This Row],[Wyoming County Vote Results]:[Part of Monroe County Vote Results]])</f>
        <v>8969</v>
      </c>
      <c r="G5" s="13"/>
    </row>
    <row r="6" spans="1:7" x14ac:dyDescent="0.2">
      <c r="A6" s="2" t="s">
        <v>424</v>
      </c>
      <c r="B6" s="3">
        <v>126</v>
      </c>
      <c r="C6" s="3">
        <v>818</v>
      </c>
      <c r="D6" s="3">
        <v>191</v>
      </c>
      <c r="E6" s="3">
        <v>214</v>
      </c>
      <c r="F6" s="11">
        <f>SUM(StateSenatorSenateDistrict59General[[#This Row],[Wyoming County Vote Results]:[Part of Monroe County Vote Results]])</f>
        <v>1349</v>
      </c>
      <c r="G6" s="13"/>
    </row>
    <row r="7" spans="1:7" x14ac:dyDescent="0.2">
      <c r="A7" s="4" t="s">
        <v>0</v>
      </c>
      <c r="B7" s="3">
        <v>1923</v>
      </c>
      <c r="C7" s="3">
        <v>17529</v>
      </c>
      <c r="D7" s="3">
        <v>3494</v>
      </c>
      <c r="E7" s="3">
        <v>6460</v>
      </c>
      <c r="F7" s="11">
        <f>SUM(StateSenatorSenateDistrict59General[[#This Row],[Wyoming County Vote Results]:[Part of Monroe County Vote Results]])</f>
        <v>29406</v>
      </c>
      <c r="G7" s="13"/>
    </row>
    <row r="8" spans="1:7" x14ac:dyDescent="0.2">
      <c r="A8" s="4" t="s">
        <v>1</v>
      </c>
      <c r="B8" s="3">
        <v>1</v>
      </c>
      <c r="C8" s="3">
        <v>0</v>
      </c>
      <c r="D8" s="3">
        <v>0</v>
      </c>
      <c r="E8" s="3">
        <v>2</v>
      </c>
      <c r="F8" s="11">
        <f>SUM(StateSenatorSenateDistrict59General[[#This Row],[Wyoming County Vote Results]:[Part of Monroe County Vote Results]])</f>
        <v>3</v>
      </c>
      <c r="G8" s="13"/>
    </row>
    <row r="9" spans="1:7" x14ac:dyDescent="0.2">
      <c r="A9" s="4" t="s">
        <v>2</v>
      </c>
      <c r="B9" s="5">
        <v>29</v>
      </c>
      <c r="C9" s="5">
        <v>0</v>
      </c>
      <c r="D9" s="5">
        <v>239</v>
      </c>
      <c r="E9" s="5">
        <v>170</v>
      </c>
      <c r="F9" s="11">
        <f>SUM(StateSenatorSenateDistrict59General[[#This Row],[Wyoming County Vote Results]:[Part of Monroe County Vote Results]])</f>
        <v>438</v>
      </c>
      <c r="G9" s="13"/>
    </row>
    <row r="10" spans="1:7" hidden="1" x14ac:dyDescent="0.2">
      <c r="A10" s="4" t="s">
        <v>3</v>
      </c>
      <c r="B10" s="6">
        <f>SUBTOTAL(109,StateSenatorSenateDistrict59General[Wyoming County Vote Results])</f>
        <v>13535</v>
      </c>
      <c r="C10" s="6"/>
      <c r="D10" s="6"/>
      <c r="E10" s="6">
        <f>SUBTOTAL(109,StateSenatorSenateDistrict59General[Part of Monroe County Vote Results])</f>
        <v>17351</v>
      </c>
      <c r="F10" s="11">
        <f>SUM(StateSenatorSenateDistrict58General[[#This Row],[Chemung County Vote Results]:[Part of Tompkins County Vote Results]])</f>
        <v>28</v>
      </c>
      <c r="G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013A-65DD-48B0-A63C-BFB38A922DB9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104</v>
      </c>
    </row>
    <row r="2" spans="1:4" ht="24.95" customHeight="1" x14ac:dyDescent="0.2">
      <c r="A2" s="7" t="s">
        <v>5</v>
      </c>
      <c r="B2" s="8" t="s">
        <v>7</v>
      </c>
      <c r="C2" s="9" t="s">
        <v>457</v>
      </c>
      <c r="D2" s="10" t="s">
        <v>4</v>
      </c>
    </row>
    <row r="3" spans="1:4" x14ac:dyDescent="0.2">
      <c r="A3" s="2" t="s">
        <v>105</v>
      </c>
      <c r="B3" s="3">
        <v>53630</v>
      </c>
      <c r="C3" s="11">
        <f>StateSenatorSenateDistrict6General[[#This Row],[Part of Nassau County Vote Results]]</f>
        <v>53630</v>
      </c>
      <c r="D3" s="12">
        <f>SUM(StateSenatorSenateDistrict6General[[#This Row],[Total Votes by Party]],C6,C8)</f>
        <v>55204</v>
      </c>
    </row>
    <row r="4" spans="1:4" x14ac:dyDescent="0.2">
      <c r="A4" s="2" t="s">
        <v>106</v>
      </c>
      <c r="B4" s="3">
        <v>47510</v>
      </c>
      <c r="C4" s="11">
        <f>StateSenatorSenateDistrict6General[[#This Row],[Part of Nassau County Vote Results]]</f>
        <v>47510</v>
      </c>
      <c r="D4" s="12">
        <f>SUM(StateSenatorSenateDistrict6General[[#This Row],[Total Votes by Party]],C5,C7,C9)</f>
        <v>53396</v>
      </c>
    </row>
    <row r="5" spans="1:4" x14ac:dyDescent="0.2">
      <c r="A5" s="2" t="s">
        <v>107</v>
      </c>
      <c r="B5" s="3">
        <v>4906</v>
      </c>
      <c r="C5" s="11">
        <f>StateSenatorSenateDistrict6General[[#This Row],[Part of Nassau County Vote Results]]</f>
        <v>4906</v>
      </c>
      <c r="D5" s="13"/>
    </row>
    <row r="6" spans="1:4" x14ac:dyDescent="0.2">
      <c r="A6" s="2" t="s">
        <v>108</v>
      </c>
      <c r="B6" s="3">
        <v>1028</v>
      </c>
      <c r="C6" s="11">
        <f>StateSenatorSenateDistrict6General[[#This Row],[Part of Nassau County Vote Results]]</f>
        <v>1028</v>
      </c>
      <c r="D6" s="13"/>
    </row>
    <row r="7" spans="1:4" x14ac:dyDescent="0.2">
      <c r="A7" s="2" t="s">
        <v>109</v>
      </c>
      <c r="B7" s="3">
        <v>810</v>
      </c>
      <c r="C7" s="11">
        <f>StateSenatorSenateDistrict6General[[#This Row],[Part of Nassau County Vote Results]]</f>
        <v>810</v>
      </c>
      <c r="D7" s="13"/>
    </row>
    <row r="8" spans="1:4" x14ac:dyDescent="0.2">
      <c r="A8" s="2" t="s">
        <v>110</v>
      </c>
      <c r="B8" s="3">
        <v>546</v>
      </c>
      <c r="C8" s="11">
        <f>StateSenatorSenateDistrict6General[[#This Row],[Part of Nassau County Vote Results]]</f>
        <v>546</v>
      </c>
      <c r="D8" s="13"/>
    </row>
    <row r="9" spans="1:4" x14ac:dyDescent="0.2">
      <c r="A9" s="2" t="s">
        <v>111</v>
      </c>
      <c r="B9" s="3">
        <v>170</v>
      </c>
      <c r="C9" s="11">
        <f>StateSenatorSenateDistrict6General[[#This Row],[Part of Nassau County Vote Results]]</f>
        <v>170</v>
      </c>
      <c r="D9" s="13"/>
    </row>
    <row r="10" spans="1:4" x14ac:dyDescent="0.2">
      <c r="A10" s="4" t="s">
        <v>0</v>
      </c>
      <c r="B10" s="5">
        <v>3034</v>
      </c>
      <c r="C10" s="11">
        <f>StateSenatorSenateDistrict6General[[#This Row],[Part of Nassau County Vote Results]]</f>
        <v>3034</v>
      </c>
      <c r="D10" s="13"/>
    </row>
    <row r="11" spans="1:4" x14ac:dyDescent="0.2">
      <c r="A11" s="4" t="s">
        <v>1</v>
      </c>
      <c r="B11" s="5">
        <v>79</v>
      </c>
      <c r="C11" s="11">
        <f>StateSenatorSenateDistrict6General[[#This Row],[Part of Nassau County Vote Results]]</f>
        <v>79</v>
      </c>
      <c r="D11" s="13"/>
    </row>
    <row r="12" spans="1:4" x14ac:dyDescent="0.2">
      <c r="A12" s="4" t="s">
        <v>2</v>
      </c>
      <c r="B12" s="5">
        <v>40</v>
      </c>
      <c r="C12" s="11">
        <f>StateSenatorSenateDistrict6General[[#This Row],[Part of Nassau County Vote Results]]</f>
        <v>40</v>
      </c>
      <c r="D12" s="13"/>
    </row>
    <row r="13" spans="1:4" hidden="1" x14ac:dyDescent="0.2">
      <c r="A13" s="4" t="s">
        <v>3</v>
      </c>
      <c r="B13" s="6">
        <f>SUBTOTAL(109,StateSenatorSenateDistrict6General[Total Votes by Candidate])</f>
        <v>108600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9C7A-3CE4-4595-A9C6-ED5E2E3A1B06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425</v>
      </c>
    </row>
    <row r="2" spans="1:4" ht="25.5" x14ac:dyDescent="0.2">
      <c r="A2" s="7" t="s">
        <v>5</v>
      </c>
      <c r="B2" s="8" t="s">
        <v>48</v>
      </c>
      <c r="C2" s="9" t="s">
        <v>457</v>
      </c>
      <c r="D2" s="10" t="s">
        <v>4</v>
      </c>
    </row>
    <row r="3" spans="1:4" x14ac:dyDescent="0.2">
      <c r="A3" s="2" t="s">
        <v>426</v>
      </c>
      <c r="B3" s="3">
        <v>45106</v>
      </c>
      <c r="C3" s="11">
        <f>StateSenatorSenateDistrict60General[[#This Row],[Part of Erie County Vote Results]]</f>
        <v>45106</v>
      </c>
      <c r="D3" s="12">
        <f>SUM(StateSenatorSenateDistrict60General[[#This Row],[Total Votes by Party]],C6,C8)</f>
        <v>48943</v>
      </c>
    </row>
    <row r="4" spans="1:4" x14ac:dyDescent="0.2">
      <c r="A4" s="2" t="s">
        <v>427</v>
      </c>
      <c r="B4" s="3">
        <v>48643</v>
      </c>
      <c r="C4" s="11">
        <f>StateSenatorSenateDistrict60General[[#This Row],[Part of Erie County Vote Results]]</f>
        <v>48643</v>
      </c>
      <c r="D4" s="12">
        <f>SUM(StateSenatorSenateDistrict60General[[#This Row],[Total Votes by Party]],C5,C7,C9)</f>
        <v>61687</v>
      </c>
    </row>
    <row r="5" spans="1:4" x14ac:dyDescent="0.2">
      <c r="A5" s="2" t="s">
        <v>428</v>
      </c>
      <c r="B5" s="3">
        <v>9490</v>
      </c>
      <c r="C5" s="11">
        <f>StateSenatorSenateDistrict60General[[#This Row],[Part of Erie County Vote Results]]</f>
        <v>9490</v>
      </c>
      <c r="D5" s="13"/>
    </row>
    <row r="6" spans="1:4" x14ac:dyDescent="0.2">
      <c r="A6" s="2" t="s">
        <v>429</v>
      </c>
      <c r="B6" s="3">
        <v>2537</v>
      </c>
      <c r="C6" s="11">
        <f>StateSenatorSenateDistrict60General[[#This Row],[Part of Erie County Vote Results]]</f>
        <v>2537</v>
      </c>
      <c r="D6" s="13"/>
    </row>
    <row r="7" spans="1:4" x14ac:dyDescent="0.2">
      <c r="A7" s="2" t="s">
        <v>430</v>
      </c>
      <c r="B7" s="3">
        <v>3027</v>
      </c>
      <c r="C7" s="11">
        <f>StateSenatorSenateDistrict60General[[#This Row],[Part of Erie County Vote Results]]</f>
        <v>3027</v>
      </c>
      <c r="D7" s="13"/>
    </row>
    <row r="8" spans="1:4" x14ac:dyDescent="0.2">
      <c r="A8" s="2" t="s">
        <v>431</v>
      </c>
      <c r="B8" s="3">
        <v>1300</v>
      </c>
      <c r="C8" s="11">
        <f>StateSenatorSenateDistrict60General[[#This Row],[Part of Erie County Vote Results]]</f>
        <v>1300</v>
      </c>
      <c r="D8" s="13"/>
    </row>
    <row r="9" spans="1:4" x14ac:dyDescent="0.2">
      <c r="A9" s="2" t="s">
        <v>432</v>
      </c>
      <c r="B9" s="3">
        <v>527</v>
      </c>
      <c r="C9" s="11">
        <f>StateSenatorSenateDistrict60General[[#This Row],[Part of Erie County Vote Results]]</f>
        <v>527</v>
      </c>
      <c r="D9" s="13"/>
    </row>
    <row r="10" spans="1:4" x14ac:dyDescent="0.2">
      <c r="A10" s="4" t="s">
        <v>0</v>
      </c>
      <c r="B10" s="5">
        <v>3727</v>
      </c>
      <c r="C10" s="11">
        <f>StateSenatorSenateDistrict60General[[#This Row],[Part of Erie County Vote Results]]</f>
        <v>3727</v>
      </c>
      <c r="D10" s="13"/>
    </row>
    <row r="11" spans="1:4" x14ac:dyDescent="0.2">
      <c r="A11" s="4" t="s">
        <v>1</v>
      </c>
      <c r="B11" s="5">
        <v>0</v>
      </c>
      <c r="C11" s="11">
        <f>StateSenatorSenateDistrict60General[[#This Row],[Part of Erie County Vote Results]]</f>
        <v>0</v>
      </c>
      <c r="D11" s="13"/>
    </row>
    <row r="12" spans="1:4" x14ac:dyDescent="0.2">
      <c r="A12" s="4" t="s">
        <v>2</v>
      </c>
      <c r="B12" s="5">
        <v>0</v>
      </c>
      <c r="C12" s="11">
        <f>StateSenatorSenateDistrict60General[[#This Row],[Part of Erie County Vote Results]]</f>
        <v>0</v>
      </c>
      <c r="D12" s="13"/>
    </row>
    <row r="13" spans="1:4" hidden="1" x14ac:dyDescent="0.2">
      <c r="A13" s="4" t="s">
        <v>3</v>
      </c>
      <c r="B13" s="6">
        <f>SUBTOTAL(109,StateSenatorSenateDistrict60General[Total Votes by Candidate])</f>
        <v>110630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8B03-4F8D-48E3-B860-A6AAEE552E01}">
  <sheetPr>
    <pageSetUpPr fitToPage="1"/>
  </sheetPr>
  <dimension ref="A1:F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433</v>
      </c>
    </row>
    <row r="2" spans="1:6" ht="25.5" x14ac:dyDescent="0.2">
      <c r="A2" s="7" t="s">
        <v>5</v>
      </c>
      <c r="B2" s="8" t="s">
        <v>47</v>
      </c>
      <c r="C2" s="8" t="s">
        <v>48</v>
      </c>
      <c r="D2" s="8" t="s">
        <v>46</v>
      </c>
      <c r="E2" s="9" t="s">
        <v>457</v>
      </c>
      <c r="F2" s="10" t="s">
        <v>4</v>
      </c>
    </row>
    <row r="3" spans="1:6" x14ac:dyDescent="0.2">
      <c r="A3" s="2" t="s">
        <v>434</v>
      </c>
      <c r="B3" s="3">
        <v>5383</v>
      </c>
      <c r="C3" s="3">
        <v>29637</v>
      </c>
      <c r="D3" s="3">
        <v>13259</v>
      </c>
      <c r="E3" s="11">
        <f>SUM(StateSenatorSenateDistrict61General[[#This Row],[Genesee County Vote Results]:[Part of Monroe County Vote Results]])</f>
        <v>48279</v>
      </c>
      <c r="F3" s="12">
        <f>SUM(StateSenatorSenateDistrict61General[[#This Row],[Total Votes by Party]],E6,E8)</f>
        <v>51471</v>
      </c>
    </row>
    <row r="4" spans="1:6" x14ac:dyDescent="0.2">
      <c r="A4" s="2" t="s">
        <v>435</v>
      </c>
      <c r="B4" s="3">
        <v>12498</v>
      </c>
      <c r="C4" s="3">
        <v>29257</v>
      </c>
      <c r="D4" s="3">
        <v>7655</v>
      </c>
      <c r="E4" s="11">
        <f>SUM(StateSenatorSenateDistrict61General[[#This Row],[Genesee County Vote Results]:[Part of Monroe County Vote Results]])</f>
        <v>49410</v>
      </c>
      <c r="F4" s="12">
        <f>SUM(StateSenatorSenateDistrict61General[[#This Row],[Total Votes by Party]],E5,E7,E9)</f>
        <v>60780</v>
      </c>
    </row>
    <row r="5" spans="1:6" x14ac:dyDescent="0.2">
      <c r="A5" s="2" t="s">
        <v>436</v>
      </c>
      <c r="B5" s="3">
        <v>1976</v>
      </c>
      <c r="C5" s="3">
        <v>5564</v>
      </c>
      <c r="D5" s="3">
        <v>1659</v>
      </c>
      <c r="E5" s="11">
        <f>SUM(StateSenatorSenateDistrict61General[[#This Row],[Genesee County Vote Results]:[Part of Monroe County Vote Results]])</f>
        <v>9199</v>
      </c>
      <c r="F5" s="13"/>
    </row>
    <row r="6" spans="1:6" x14ac:dyDescent="0.2">
      <c r="A6" s="2" t="s">
        <v>437</v>
      </c>
      <c r="B6" s="3">
        <v>281</v>
      </c>
      <c r="C6" s="3">
        <v>1181</v>
      </c>
      <c r="D6" s="3">
        <v>548</v>
      </c>
      <c r="E6" s="11">
        <f>SUM(StateSenatorSenateDistrict61General[[#This Row],[Genesee County Vote Results]:[Part of Monroe County Vote Results]])</f>
        <v>2010</v>
      </c>
      <c r="F6" s="13"/>
    </row>
    <row r="7" spans="1:6" x14ac:dyDescent="0.2">
      <c r="A7" s="2" t="s">
        <v>438</v>
      </c>
      <c r="B7" s="3">
        <v>307</v>
      </c>
      <c r="C7" s="3">
        <v>1129</v>
      </c>
      <c r="D7" s="3">
        <v>310</v>
      </c>
      <c r="E7" s="11">
        <f>SUM(StateSenatorSenateDistrict61General[[#This Row],[Genesee County Vote Results]:[Part of Monroe County Vote Results]])</f>
        <v>1746</v>
      </c>
      <c r="F7" s="13"/>
    </row>
    <row r="8" spans="1:6" x14ac:dyDescent="0.2">
      <c r="A8" s="2" t="s">
        <v>439</v>
      </c>
      <c r="B8" s="3">
        <v>177</v>
      </c>
      <c r="C8" s="3">
        <v>722</v>
      </c>
      <c r="D8" s="3">
        <v>283</v>
      </c>
      <c r="E8" s="11">
        <f>SUM(StateSenatorSenateDistrict61General[[#This Row],[Genesee County Vote Results]:[Part of Monroe County Vote Results]])</f>
        <v>1182</v>
      </c>
      <c r="F8" s="13"/>
    </row>
    <row r="9" spans="1:6" x14ac:dyDescent="0.2">
      <c r="A9" s="2" t="s">
        <v>440</v>
      </c>
      <c r="B9" s="3">
        <v>117</v>
      </c>
      <c r="C9" s="3">
        <v>211</v>
      </c>
      <c r="D9" s="3">
        <v>97</v>
      </c>
      <c r="E9" s="11">
        <f>SUM(StateSenatorSenateDistrict61General[[#This Row],[Genesee County Vote Results]:[Part of Monroe County Vote Results]])</f>
        <v>425</v>
      </c>
      <c r="F9" s="13"/>
    </row>
    <row r="10" spans="1:6" x14ac:dyDescent="0.2">
      <c r="A10" s="4" t="s">
        <v>0</v>
      </c>
      <c r="B10" s="3">
        <v>800</v>
      </c>
      <c r="C10" s="3">
        <v>1645</v>
      </c>
      <c r="D10" s="3">
        <v>1374</v>
      </c>
      <c r="E10" s="11">
        <f>SUM(StateSenatorSenateDistrict61General[[#This Row],[Genesee County Vote Results]:[Part of Monroe County Vote Results]])</f>
        <v>3819</v>
      </c>
      <c r="F10" s="13"/>
    </row>
    <row r="11" spans="1:6" x14ac:dyDescent="0.2">
      <c r="A11" s="4" t="s">
        <v>1</v>
      </c>
      <c r="B11" s="3">
        <v>6</v>
      </c>
      <c r="C11" s="3">
        <v>0</v>
      </c>
      <c r="D11" s="3">
        <v>8</v>
      </c>
      <c r="E11" s="11">
        <f>SUM(StateSenatorSenateDistrict61General[[#This Row],[Genesee County Vote Results]:[Part of Monroe County Vote Results]])</f>
        <v>14</v>
      </c>
      <c r="F11" s="13"/>
    </row>
    <row r="12" spans="1:6" x14ac:dyDescent="0.2">
      <c r="A12" s="4" t="s">
        <v>2</v>
      </c>
      <c r="B12" s="5">
        <v>12</v>
      </c>
      <c r="C12" s="5">
        <v>0</v>
      </c>
      <c r="D12" s="5">
        <v>8</v>
      </c>
      <c r="E12" s="11">
        <f>SUM(StateSenatorSenateDistrict61General[[#This Row],[Genesee County Vote Results]:[Part of Monroe County Vote Results]])</f>
        <v>20</v>
      </c>
      <c r="F12" s="13"/>
    </row>
    <row r="13" spans="1:6" hidden="1" x14ac:dyDescent="0.2">
      <c r="A13" s="4" t="s">
        <v>3</v>
      </c>
      <c r="B13" s="6">
        <f>SUBTOTAL(109,StateSenatorSenateDistrict61General[Genesee County Vote Results])</f>
        <v>21557</v>
      </c>
      <c r="C13" s="6"/>
      <c r="D13" s="6">
        <f>SUBTOTAL(109,StateSenatorSenateDistrict61General[Part of Monroe County Vote Results])</f>
        <v>25201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85FD-B21D-4772-9EFF-B2698D116751}">
  <sheetPr>
    <pageSetUpPr fitToPage="1"/>
  </sheetPr>
  <dimension ref="A1:F11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" t="s">
        <v>441</v>
      </c>
    </row>
    <row r="2" spans="1:6" ht="25.5" x14ac:dyDescent="0.2">
      <c r="A2" s="7" t="s">
        <v>5</v>
      </c>
      <c r="B2" s="8" t="s">
        <v>67</v>
      </c>
      <c r="C2" s="8" t="s">
        <v>62</v>
      </c>
      <c r="D2" s="8" t="s">
        <v>46</v>
      </c>
      <c r="E2" s="9" t="s">
        <v>457</v>
      </c>
      <c r="F2" s="10" t="s">
        <v>4</v>
      </c>
    </row>
    <row r="3" spans="1:6" x14ac:dyDescent="0.2">
      <c r="A3" s="2" t="s">
        <v>442</v>
      </c>
      <c r="B3" s="3">
        <v>39202</v>
      </c>
      <c r="C3" s="3">
        <v>8345</v>
      </c>
      <c r="D3" s="3">
        <v>6607</v>
      </c>
      <c r="E3" s="11">
        <f>SUM(StateSenatorSenateDistrict62General[[#This Row],[Niagara County Vote Results]:[Part of Monroe County Vote Results]])</f>
        <v>54154</v>
      </c>
      <c r="F3" s="12">
        <f>SUM(StateSenatorSenateDistrict62General[[#This Row],[Total Votes by Party]],E4,E6,E7)</f>
        <v>69118</v>
      </c>
    </row>
    <row r="4" spans="1:6" x14ac:dyDescent="0.2">
      <c r="A4" s="2" t="s">
        <v>443</v>
      </c>
      <c r="B4" s="3">
        <v>7062</v>
      </c>
      <c r="C4" s="3">
        <v>1305</v>
      </c>
      <c r="D4" s="3">
        <v>1437</v>
      </c>
      <c r="E4" s="11">
        <f>SUM(StateSenatorSenateDistrict62General[[#This Row],[Niagara County Vote Results]:[Part of Monroe County Vote Results]])</f>
        <v>9804</v>
      </c>
      <c r="F4" s="13"/>
    </row>
    <row r="5" spans="1:6" x14ac:dyDescent="0.2">
      <c r="A5" s="2" t="s">
        <v>444</v>
      </c>
      <c r="B5" s="3">
        <v>8037</v>
      </c>
      <c r="C5" s="3">
        <v>938</v>
      </c>
      <c r="D5" s="3">
        <v>1564</v>
      </c>
      <c r="E5" s="11">
        <f>SUM(StateSenatorSenateDistrict62General[[#This Row],[Niagara County Vote Results]:[Part of Monroe County Vote Results]])</f>
        <v>10539</v>
      </c>
      <c r="F5" s="12">
        <f>StateSenatorSenateDistrict62General[[#This Row],[Total Votes by Party]]</f>
        <v>10539</v>
      </c>
    </row>
    <row r="6" spans="1:6" x14ac:dyDescent="0.2">
      <c r="A6" s="2" t="s">
        <v>445</v>
      </c>
      <c r="B6" s="3">
        <v>3534</v>
      </c>
      <c r="C6" s="3">
        <v>388</v>
      </c>
      <c r="D6" s="3">
        <v>584</v>
      </c>
      <c r="E6" s="11">
        <f>SUM(StateSenatorSenateDistrict62General[[#This Row],[Niagara County Vote Results]:[Part of Monroe County Vote Results]])</f>
        <v>4506</v>
      </c>
      <c r="F6" s="13"/>
    </row>
    <row r="7" spans="1:6" x14ac:dyDescent="0.2">
      <c r="A7" s="2" t="s">
        <v>446</v>
      </c>
      <c r="B7" s="3">
        <v>487</v>
      </c>
      <c r="C7" s="3">
        <v>103</v>
      </c>
      <c r="D7" s="3">
        <v>64</v>
      </c>
      <c r="E7" s="11">
        <f>SUM(StateSenatorSenateDistrict62General[[#This Row],[Niagara County Vote Results]:[Part of Monroe County Vote Results]])</f>
        <v>654</v>
      </c>
      <c r="F7" s="13"/>
    </row>
    <row r="8" spans="1:6" x14ac:dyDescent="0.2">
      <c r="A8" s="4" t="s">
        <v>0</v>
      </c>
      <c r="B8" s="3">
        <v>15252</v>
      </c>
      <c r="C8" s="3">
        <v>2030</v>
      </c>
      <c r="D8" s="3">
        <v>2536</v>
      </c>
      <c r="E8" s="11">
        <f>SUM(StateSenatorSenateDistrict62General[[#This Row],[Niagara County Vote Results]:[Part of Monroe County Vote Results]])</f>
        <v>19818</v>
      </c>
      <c r="F8" s="13"/>
    </row>
    <row r="9" spans="1:6" x14ac:dyDescent="0.2">
      <c r="A9" s="4" t="s">
        <v>1</v>
      </c>
      <c r="B9" s="3">
        <v>0</v>
      </c>
      <c r="C9" s="3">
        <v>5</v>
      </c>
      <c r="D9" s="3">
        <v>2</v>
      </c>
      <c r="E9" s="11">
        <f>SUM(StateSenatorSenateDistrict62General[[#This Row],[Niagara County Vote Results]:[Part of Monroe County Vote Results]])</f>
        <v>7</v>
      </c>
      <c r="F9" s="13"/>
    </row>
    <row r="10" spans="1:6" x14ac:dyDescent="0.2">
      <c r="A10" s="4" t="s">
        <v>2</v>
      </c>
      <c r="B10" s="5">
        <v>99</v>
      </c>
      <c r="C10" s="5">
        <v>8</v>
      </c>
      <c r="D10" s="5">
        <v>24</v>
      </c>
      <c r="E10" s="11">
        <f>SUM(StateSenatorSenateDistrict62General[[#This Row],[Niagara County Vote Results]:[Part of Monroe County Vote Results]])</f>
        <v>131</v>
      </c>
      <c r="F10" s="13"/>
    </row>
    <row r="11" spans="1:6" hidden="1" x14ac:dyDescent="0.2">
      <c r="A11" s="4" t="s">
        <v>3</v>
      </c>
      <c r="B11" s="6">
        <f>SUBTOTAL(109,StateSenatorSenateDistrict62General[Niagara County Vote Results])</f>
        <v>73673</v>
      </c>
      <c r="C11" s="6"/>
      <c r="D11" s="6">
        <f>SUBTOTAL(109,StateSenatorSenateDistrict62General[Part of Monroe County Vote Results])</f>
        <v>12818</v>
      </c>
      <c r="E11" s="11">
        <f>SUM(StateSenatorSenateDistrict61General[[#This Row],[Genesee County Vote Results]:[Part of Monroe County Vote Results]])</f>
        <v>14</v>
      </c>
      <c r="F11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5939-ADE1-4CB2-B895-ACB6D4ACC20F}">
  <sheetPr>
    <pageSetUpPr fitToPage="1"/>
  </sheetPr>
  <dimension ref="A1:D10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" t="s">
        <v>447</v>
      </c>
    </row>
    <row r="2" spans="1:4" ht="25.5" x14ac:dyDescent="0.2">
      <c r="A2" s="7" t="s">
        <v>5</v>
      </c>
      <c r="B2" s="8" t="s">
        <v>48</v>
      </c>
      <c r="C2" s="9" t="s">
        <v>457</v>
      </c>
      <c r="D2" s="10" t="s">
        <v>4</v>
      </c>
    </row>
    <row r="3" spans="1:4" x14ac:dyDescent="0.2">
      <c r="A3" s="2" t="s">
        <v>448</v>
      </c>
      <c r="B3" s="3">
        <v>62370</v>
      </c>
      <c r="C3" s="11">
        <f>StateSenatorSenateDistrict63General[[#This Row],[Part of Erie County Vote Results]]</f>
        <v>62370</v>
      </c>
      <c r="D3" s="12">
        <f>SUM(C3:C6)</f>
        <v>70221</v>
      </c>
    </row>
    <row r="4" spans="1:4" x14ac:dyDescent="0.2">
      <c r="A4" s="2" t="s">
        <v>449</v>
      </c>
      <c r="B4" s="3">
        <v>3811</v>
      </c>
      <c r="C4" s="11">
        <f>StateSenatorSenateDistrict63General[[#This Row],[Part of Erie County Vote Results]]</f>
        <v>3811</v>
      </c>
      <c r="D4" s="13"/>
    </row>
    <row r="5" spans="1:4" x14ac:dyDescent="0.2">
      <c r="A5" s="2" t="s">
        <v>450</v>
      </c>
      <c r="B5" s="3">
        <v>3006</v>
      </c>
      <c r="C5" s="11">
        <f>StateSenatorSenateDistrict63General[[#This Row],[Part of Erie County Vote Results]]</f>
        <v>3006</v>
      </c>
      <c r="D5" s="13"/>
    </row>
    <row r="6" spans="1:4" x14ac:dyDescent="0.2">
      <c r="A6" s="2" t="s">
        <v>451</v>
      </c>
      <c r="B6" s="3">
        <v>1034</v>
      </c>
      <c r="C6" s="11">
        <f>StateSenatorSenateDistrict63General[[#This Row],[Part of Erie County Vote Results]]</f>
        <v>1034</v>
      </c>
      <c r="D6" s="13"/>
    </row>
    <row r="7" spans="1:4" x14ac:dyDescent="0.2">
      <c r="A7" s="4" t="s">
        <v>0</v>
      </c>
      <c r="B7" s="5">
        <v>15451</v>
      </c>
      <c r="C7" s="11">
        <f>StateSenatorSenateDistrict63General[[#This Row],[Part of Erie County Vote Results]]</f>
        <v>15451</v>
      </c>
      <c r="D7" s="13"/>
    </row>
    <row r="8" spans="1:4" x14ac:dyDescent="0.2">
      <c r="A8" s="4" t="s">
        <v>1</v>
      </c>
      <c r="B8" s="5">
        <v>0</v>
      </c>
      <c r="C8" s="11">
        <f>StateSenatorSenateDistrict63General[[#This Row],[Part of Erie County Vote Results]]</f>
        <v>0</v>
      </c>
      <c r="D8" s="13"/>
    </row>
    <row r="9" spans="1:4" x14ac:dyDescent="0.2">
      <c r="A9" s="4" t="s">
        <v>2</v>
      </c>
      <c r="B9" s="5">
        <v>0</v>
      </c>
      <c r="C9" s="11">
        <f>StateSenatorSenateDistrict63General[[#This Row],[Part of Erie County Vote Results]]</f>
        <v>0</v>
      </c>
      <c r="D9" s="13"/>
    </row>
    <row r="10" spans="1:4" hidden="1" x14ac:dyDescent="0.2">
      <c r="A10" s="4" t="s">
        <v>3</v>
      </c>
      <c r="B10" s="6">
        <f>SUBTOTAL(109,StateSenatorSenateDistrict63General[Total Votes by Candidate])</f>
        <v>70221</v>
      </c>
      <c r="C10" s="11">
        <f>SUM(StateSenatorSenateDistrict62General[[#This Row],[Niagara County Vote Results]:[Part of Monroe County Vote Results]])</f>
        <v>131</v>
      </c>
      <c r="D10" s="13"/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5FD1-B8D9-4250-AF21-90678C3BFE43}">
  <sheetPr>
    <pageSetUpPr fitToPage="1"/>
  </sheetPr>
  <dimension ref="A1:D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112</v>
      </c>
    </row>
    <row r="2" spans="1:4" ht="24.95" customHeight="1" x14ac:dyDescent="0.2">
      <c r="A2" s="7" t="s">
        <v>5</v>
      </c>
      <c r="B2" s="8" t="s">
        <v>7</v>
      </c>
      <c r="C2" s="9" t="s">
        <v>457</v>
      </c>
      <c r="D2" s="10" t="s">
        <v>4</v>
      </c>
    </row>
    <row r="3" spans="1:4" x14ac:dyDescent="0.2">
      <c r="A3" s="2" t="s">
        <v>113</v>
      </c>
      <c r="B3" s="3">
        <v>60969</v>
      </c>
      <c r="C3" s="11">
        <f>StateSenatorSenateDistrict7General[[#This Row],[Part of Nassau County Vote Results]]</f>
        <v>60969</v>
      </c>
      <c r="D3" s="12">
        <f>SUM(StateSenatorSenateDistrict7General[[#This Row],[Total Votes by Party]],C6,C8)</f>
        <v>62677</v>
      </c>
    </row>
    <row r="4" spans="1:4" x14ac:dyDescent="0.2">
      <c r="A4" s="2" t="s">
        <v>114</v>
      </c>
      <c r="B4" s="3">
        <v>46115</v>
      </c>
      <c r="C4" s="11">
        <f>StateSenatorSenateDistrict7General[[#This Row],[Part of Nassau County Vote Results]]</f>
        <v>46115</v>
      </c>
      <c r="D4" s="12">
        <f>SUM(StateSenatorSenateDistrict7General[[#This Row],[Total Votes by Party]],C5,C7,C9)</f>
        <v>51075</v>
      </c>
    </row>
    <row r="5" spans="1:4" x14ac:dyDescent="0.2">
      <c r="A5" s="2" t="s">
        <v>115</v>
      </c>
      <c r="B5" s="3">
        <v>3959</v>
      </c>
      <c r="C5" s="11">
        <f>StateSenatorSenateDistrict7General[[#This Row],[Part of Nassau County Vote Results]]</f>
        <v>3959</v>
      </c>
      <c r="D5" s="13"/>
    </row>
    <row r="6" spans="1:4" x14ac:dyDescent="0.2">
      <c r="A6" s="2" t="s">
        <v>116</v>
      </c>
      <c r="B6" s="3">
        <v>1120</v>
      </c>
      <c r="C6" s="11">
        <f>StateSenatorSenateDistrict7General[[#This Row],[Part of Nassau County Vote Results]]</f>
        <v>1120</v>
      </c>
      <c r="D6" s="13"/>
    </row>
    <row r="7" spans="1:4" x14ac:dyDescent="0.2">
      <c r="A7" s="2" t="s">
        <v>117</v>
      </c>
      <c r="B7" s="3">
        <v>771</v>
      </c>
      <c r="C7" s="11">
        <f>StateSenatorSenateDistrict7General[[#This Row],[Part of Nassau County Vote Results]]</f>
        <v>771</v>
      </c>
      <c r="D7" s="13"/>
    </row>
    <row r="8" spans="1:4" x14ac:dyDescent="0.2">
      <c r="A8" s="2" t="s">
        <v>118</v>
      </c>
      <c r="B8" s="3">
        <v>588</v>
      </c>
      <c r="C8" s="11">
        <f>StateSenatorSenateDistrict7General[[#This Row],[Part of Nassau County Vote Results]]</f>
        <v>588</v>
      </c>
      <c r="D8" s="13"/>
    </row>
    <row r="9" spans="1:4" x14ac:dyDescent="0.2">
      <c r="A9" s="2" t="s">
        <v>119</v>
      </c>
      <c r="B9" s="3">
        <v>230</v>
      </c>
      <c r="C9" s="11">
        <f>StateSenatorSenateDistrict7General[[#This Row],[Part of Nassau County Vote Results]]</f>
        <v>230</v>
      </c>
      <c r="D9" s="13"/>
    </row>
    <row r="10" spans="1:4" x14ac:dyDescent="0.2">
      <c r="A10" s="4" t="s">
        <v>0</v>
      </c>
      <c r="B10" s="5">
        <v>1997</v>
      </c>
      <c r="C10" s="11">
        <f>StateSenatorSenateDistrict7General[[#This Row],[Part of Nassau County Vote Results]]</f>
        <v>1997</v>
      </c>
      <c r="D10" s="13"/>
    </row>
    <row r="11" spans="1:4" x14ac:dyDescent="0.2">
      <c r="A11" s="4" t="s">
        <v>1</v>
      </c>
      <c r="B11" s="5">
        <v>90</v>
      </c>
      <c r="C11" s="11">
        <f>StateSenatorSenateDistrict7General[[#This Row],[Part of Nassau County Vote Results]]</f>
        <v>90</v>
      </c>
      <c r="D11" s="13"/>
    </row>
    <row r="12" spans="1:4" x14ac:dyDescent="0.2">
      <c r="A12" s="4" t="s">
        <v>2</v>
      </c>
      <c r="B12" s="5">
        <v>26</v>
      </c>
      <c r="C12" s="11">
        <f>StateSenatorSenateDistrict7General[[#This Row],[Part of Nassau County Vote Results]]</f>
        <v>26</v>
      </c>
      <c r="D12" s="13"/>
    </row>
    <row r="13" spans="1:4" hidden="1" x14ac:dyDescent="0.2">
      <c r="A13" s="4" t="s">
        <v>3</v>
      </c>
      <c r="B13" s="6">
        <f>SUBTOTAL(109,StateSenatorSenateDistrict7General[Total Votes by Candidate])</f>
        <v>113752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19C5-7538-4C93-A2FD-61178384763F}">
  <sheetPr>
    <pageSetUpPr fitToPage="1"/>
  </sheetPr>
  <dimension ref="A1:E13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120</v>
      </c>
    </row>
    <row r="2" spans="1:5" ht="25.5" x14ac:dyDescent="0.2">
      <c r="A2" s="7" t="s">
        <v>5</v>
      </c>
      <c r="B2" s="8" t="s">
        <v>7</v>
      </c>
      <c r="C2" s="8" t="s">
        <v>6</v>
      </c>
      <c r="D2" s="9" t="s">
        <v>457</v>
      </c>
      <c r="E2" s="10" t="s">
        <v>4</v>
      </c>
    </row>
    <row r="3" spans="1:5" x14ac:dyDescent="0.2">
      <c r="A3" s="2" t="s">
        <v>121</v>
      </c>
      <c r="B3" s="3">
        <v>47959</v>
      </c>
      <c r="C3" s="3">
        <v>13825</v>
      </c>
      <c r="D3" s="11">
        <f>SUM(StateSenatorSenateDistrict8General[[#This Row],[Part of Nassau County Vote Results]:[Part of Suffolk County Vote Results]])</f>
        <v>61784</v>
      </c>
      <c r="E3" s="12">
        <f>SUM(StateSenatorSenateDistrict8General[[#This Row],[Total Votes by Party]],D6,D8)</f>
        <v>63679</v>
      </c>
    </row>
    <row r="4" spans="1:5" x14ac:dyDescent="0.2">
      <c r="A4" s="2" t="s">
        <v>122</v>
      </c>
      <c r="B4" s="3">
        <v>38586</v>
      </c>
      <c r="C4" s="3">
        <v>8133</v>
      </c>
      <c r="D4" s="11">
        <f>SUM(StateSenatorSenateDistrict8General[[#This Row],[Part of Nassau County Vote Results]:[Part of Suffolk County Vote Results]])</f>
        <v>46719</v>
      </c>
      <c r="E4" s="12">
        <f>SUM(StateSenatorSenateDistrict8General[[#This Row],[Total Votes by Party]],D5,D7,D9)</f>
        <v>52488</v>
      </c>
    </row>
    <row r="5" spans="1:5" x14ac:dyDescent="0.2">
      <c r="A5" s="2" t="s">
        <v>123</v>
      </c>
      <c r="B5" s="3">
        <v>3938</v>
      </c>
      <c r="C5" s="3">
        <v>893</v>
      </c>
      <c r="D5" s="11">
        <f>SUM(StateSenatorSenateDistrict8General[[#This Row],[Part of Nassau County Vote Results]:[Part of Suffolk County Vote Results]])</f>
        <v>4831</v>
      </c>
      <c r="E5" s="13"/>
    </row>
    <row r="6" spans="1:5" x14ac:dyDescent="0.2">
      <c r="A6" s="2" t="s">
        <v>124</v>
      </c>
      <c r="B6" s="3">
        <v>891</v>
      </c>
      <c r="C6" s="3">
        <v>349</v>
      </c>
      <c r="D6" s="11">
        <f>SUM(StateSenatorSenateDistrict8General[[#This Row],[Part of Nassau County Vote Results]:[Part of Suffolk County Vote Results]])</f>
        <v>1240</v>
      </c>
      <c r="E6" s="13"/>
    </row>
    <row r="7" spans="1:5" x14ac:dyDescent="0.2">
      <c r="A7" s="2" t="s">
        <v>125</v>
      </c>
      <c r="B7" s="3">
        <v>574</v>
      </c>
      <c r="C7" s="3">
        <v>190</v>
      </c>
      <c r="D7" s="11">
        <f>SUM(StateSenatorSenateDistrict8General[[#This Row],[Part of Nassau County Vote Results]:[Part of Suffolk County Vote Results]])</f>
        <v>764</v>
      </c>
      <c r="E7" s="13"/>
    </row>
    <row r="8" spans="1:5" x14ac:dyDescent="0.2">
      <c r="A8" s="2" t="s">
        <v>126</v>
      </c>
      <c r="B8" s="3">
        <v>509</v>
      </c>
      <c r="C8" s="3">
        <v>146</v>
      </c>
      <c r="D8" s="11">
        <f>SUM(StateSenatorSenateDistrict8General[[#This Row],[Part of Nassau County Vote Results]:[Part of Suffolk County Vote Results]])</f>
        <v>655</v>
      </c>
      <c r="E8" s="13"/>
    </row>
    <row r="9" spans="1:5" x14ac:dyDescent="0.2">
      <c r="A9" s="2" t="s">
        <v>127</v>
      </c>
      <c r="B9" s="3">
        <v>134</v>
      </c>
      <c r="C9" s="3">
        <v>40</v>
      </c>
      <c r="D9" s="11">
        <f>SUM(StateSenatorSenateDistrict8General[[#This Row],[Part of Nassau County Vote Results]:[Part of Suffolk County Vote Results]])</f>
        <v>174</v>
      </c>
      <c r="E9" s="13"/>
    </row>
    <row r="10" spans="1:5" x14ac:dyDescent="0.2">
      <c r="A10" s="4" t="s">
        <v>0</v>
      </c>
      <c r="B10" s="3">
        <v>2358</v>
      </c>
      <c r="C10" s="3">
        <v>950</v>
      </c>
      <c r="D10" s="11">
        <f>SUM(StateSenatorSenateDistrict8General[[#This Row],[Part of Nassau County Vote Results]:[Part of Suffolk County Vote Results]])</f>
        <v>3308</v>
      </c>
      <c r="E10" s="13"/>
    </row>
    <row r="11" spans="1:5" x14ac:dyDescent="0.2">
      <c r="A11" s="4" t="s">
        <v>1</v>
      </c>
      <c r="B11" s="3">
        <v>49</v>
      </c>
      <c r="C11" s="3">
        <v>6</v>
      </c>
      <c r="D11" s="11">
        <f>SUM(StateSenatorSenateDistrict8General[[#This Row],[Part of Nassau County Vote Results]:[Part of Suffolk County Vote Results]])</f>
        <v>55</v>
      </c>
      <c r="E11" s="13"/>
    </row>
    <row r="12" spans="1:5" x14ac:dyDescent="0.2">
      <c r="A12" s="4" t="s">
        <v>2</v>
      </c>
      <c r="B12" s="5">
        <v>34</v>
      </c>
      <c r="C12" s="5">
        <v>4</v>
      </c>
      <c r="D12" s="11">
        <f>SUM(StateSenatorSenateDistrict8General[[#This Row],[Part of Nassau County Vote Results]:[Part of Suffolk County Vote Results]])</f>
        <v>38</v>
      </c>
      <c r="E12" s="13"/>
    </row>
    <row r="13" spans="1:5" hidden="1" x14ac:dyDescent="0.2">
      <c r="A13" s="4" t="s">
        <v>3</v>
      </c>
      <c r="B13" s="6">
        <f>SUBTOTAL(109,StateSenatorSenateDistrict8General[Part of Nassau County Vote Results])</f>
        <v>95032</v>
      </c>
      <c r="C13" s="6">
        <f>SUBTOTAL(109,StateSenatorSenateDistrict8General[Part of Suffolk County Vote Results])</f>
        <v>24536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7EFF-A9CA-4C37-979C-C8A9546E2C32}">
  <sheetPr>
    <pageSetUpPr fitToPage="1"/>
  </sheetPr>
  <dimension ref="A1:D14"/>
  <sheetViews>
    <sheetView workbookViewId="0">
      <selection activeCell="A29" sqref="A3:O66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128</v>
      </c>
    </row>
    <row r="2" spans="1:4" ht="24.95" customHeight="1" x14ac:dyDescent="0.2">
      <c r="A2" s="7" t="s">
        <v>5</v>
      </c>
      <c r="B2" s="8" t="s">
        <v>7</v>
      </c>
      <c r="C2" s="9" t="s">
        <v>457</v>
      </c>
      <c r="D2" s="10" t="s">
        <v>4</v>
      </c>
    </row>
    <row r="3" spans="1:4" x14ac:dyDescent="0.2">
      <c r="A3" s="2" t="s">
        <v>129</v>
      </c>
      <c r="B3" s="3">
        <v>70538</v>
      </c>
      <c r="C3" s="11">
        <f>StateSenatorSenateDistrict9General[[#This Row],[Part of Nassau County Vote Results]]</f>
        <v>70538</v>
      </c>
      <c r="D3" s="12">
        <f>SUM(StateSenatorSenateDistrict9General[[#This Row],[Total Votes by Party]],C6,C7,C8,C9)</f>
        <v>73412</v>
      </c>
    </row>
    <row r="4" spans="1:4" x14ac:dyDescent="0.2">
      <c r="A4" s="2" t="s">
        <v>130</v>
      </c>
      <c r="B4" s="3">
        <v>41095</v>
      </c>
      <c r="C4" s="11">
        <f>StateSenatorSenateDistrict9General[[#This Row],[Part of Nassau County Vote Results]]</f>
        <v>41095</v>
      </c>
      <c r="D4" s="12">
        <f>SUM(StateSenatorSenateDistrict9General[[#This Row],[Total Votes by Party]],C5,C10)</f>
        <v>45417</v>
      </c>
    </row>
    <row r="5" spans="1:4" x14ac:dyDescent="0.2">
      <c r="A5" s="2" t="s">
        <v>131</v>
      </c>
      <c r="B5" s="3">
        <v>4044</v>
      </c>
      <c r="C5" s="11">
        <f>StateSenatorSenateDistrict9General[[#This Row],[Part of Nassau County Vote Results]]</f>
        <v>4044</v>
      </c>
      <c r="D5" s="13"/>
    </row>
    <row r="6" spans="1:4" x14ac:dyDescent="0.2">
      <c r="A6" s="2" t="s">
        <v>132</v>
      </c>
      <c r="B6" s="3">
        <v>1110</v>
      </c>
      <c r="C6" s="11">
        <f>StateSenatorSenateDistrict9General[[#This Row],[Part of Nassau County Vote Results]]</f>
        <v>1110</v>
      </c>
      <c r="D6" s="13"/>
    </row>
    <row r="7" spans="1:4" x14ac:dyDescent="0.2">
      <c r="A7" s="2" t="s">
        <v>133</v>
      </c>
      <c r="B7" s="3">
        <v>918</v>
      </c>
      <c r="C7" s="11">
        <f>StateSenatorSenateDistrict9General[[#This Row],[Part of Nassau County Vote Results]]</f>
        <v>918</v>
      </c>
      <c r="D7" s="13"/>
    </row>
    <row r="8" spans="1:4" x14ac:dyDescent="0.2">
      <c r="A8" s="2" t="s">
        <v>134</v>
      </c>
      <c r="B8" s="3">
        <v>693</v>
      </c>
      <c r="C8" s="11">
        <f>StateSenatorSenateDistrict9General[[#This Row],[Part of Nassau County Vote Results]]</f>
        <v>693</v>
      </c>
      <c r="D8" s="13"/>
    </row>
    <row r="9" spans="1:4" x14ac:dyDescent="0.2">
      <c r="A9" s="2" t="s">
        <v>135</v>
      </c>
      <c r="B9" s="3">
        <v>153</v>
      </c>
      <c r="C9" s="11">
        <f>StateSenatorSenateDistrict9General[[#This Row],[Part of Nassau County Vote Results]]</f>
        <v>153</v>
      </c>
      <c r="D9" s="13"/>
    </row>
    <row r="10" spans="1:4" x14ac:dyDescent="0.2">
      <c r="A10" s="2" t="s">
        <v>136</v>
      </c>
      <c r="B10" s="3">
        <v>278</v>
      </c>
      <c r="C10" s="11">
        <f>StateSenatorSenateDistrict9General[[#This Row],[Part of Nassau County Vote Results]]</f>
        <v>278</v>
      </c>
      <c r="D10" s="13"/>
    </row>
    <row r="11" spans="1:4" x14ac:dyDescent="0.2">
      <c r="A11" s="4" t="s">
        <v>0</v>
      </c>
      <c r="B11" s="5">
        <v>2467</v>
      </c>
      <c r="C11" s="11">
        <f>StateSenatorSenateDistrict9General[[#This Row],[Part of Nassau County Vote Results]]</f>
        <v>2467</v>
      </c>
      <c r="D11" s="13"/>
    </row>
    <row r="12" spans="1:4" x14ac:dyDescent="0.2">
      <c r="A12" s="4" t="s">
        <v>1</v>
      </c>
      <c r="B12" s="5">
        <v>130</v>
      </c>
      <c r="C12" s="11">
        <f>StateSenatorSenateDistrict9General[[#This Row],[Part of Nassau County Vote Results]]</f>
        <v>130</v>
      </c>
      <c r="D12" s="13"/>
    </row>
    <row r="13" spans="1:4" x14ac:dyDescent="0.2">
      <c r="A13" s="4" t="s">
        <v>2</v>
      </c>
      <c r="B13" s="5">
        <v>32</v>
      </c>
      <c r="C13" s="11">
        <f>StateSenatorSenateDistrict9General[[#This Row],[Part of Nassau County Vote Results]]</f>
        <v>32</v>
      </c>
      <c r="D13" s="13"/>
    </row>
    <row r="14" spans="1:4" hidden="1" x14ac:dyDescent="0.2">
      <c r="A14" s="4" t="s">
        <v>3</v>
      </c>
      <c r="B14" s="6">
        <f>SUBTOTAL(109,StateSenatorSenateDistrict9General[Total Votes by Candidate])</f>
        <v>118829</v>
      </c>
    </row>
  </sheetData>
  <pageMargins left="0.5" right="0.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1</vt:i4>
      </vt:variant>
    </vt:vector>
  </HeadingPairs>
  <TitlesOfParts>
    <vt:vector size="64" baseType="lpstr">
      <vt:lpstr>1st SD</vt:lpstr>
      <vt:lpstr>2nd SD</vt:lpstr>
      <vt:lpstr>3rd SD</vt:lpstr>
      <vt:lpstr>4th SD</vt:lpstr>
      <vt:lpstr>5th SD</vt:lpstr>
      <vt:lpstr>6th SD</vt:lpstr>
      <vt:lpstr>7th SD</vt:lpstr>
      <vt:lpstr>8th SD</vt:lpstr>
      <vt:lpstr>9th SD</vt:lpstr>
      <vt:lpstr>10th SD</vt:lpstr>
      <vt:lpstr>11th SD</vt:lpstr>
      <vt:lpstr>12th SD</vt:lpstr>
      <vt:lpstr>13th SD</vt:lpstr>
      <vt:lpstr>14th SD</vt:lpstr>
      <vt:lpstr>15th SD</vt:lpstr>
      <vt:lpstr>16th SD</vt:lpstr>
      <vt:lpstr>17th SD</vt:lpstr>
      <vt:lpstr>18th SD</vt:lpstr>
      <vt:lpstr>19th SD</vt:lpstr>
      <vt:lpstr>20th SD</vt:lpstr>
      <vt:lpstr>21st SD</vt:lpstr>
      <vt:lpstr>22nd SD</vt:lpstr>
      <vt:lpstr>23rd SD</vt:lpstr>
      <vt:lpstr>24th SD</vt:lpstr>
      <vt:lpstr>25th SD</vt:lpstr>
      <vt:lpstr>26th SD</vt:lpstr>
      <vt:lpstr>27th SD</vt:lpstr>
      <vt:lpstr>28th SD</vt:lpstr>
      <vt:lpstr>29th SD</vt:lpstr>
      <vt:lpstr>30th SD</vt:lpstr>
      <vt:lpstr>31st SD</vt:lpstr>
      <vt:lpstr>32nd SD</vt:lpstr>
      <vt:lpstr>33rd SD</vt:lpstr>
      <vt:lpstr>34th SD</vt:lpstr>
      <vt:lpstr>35th SD</vt:lpstr>
      <vt:lpstr>36th SD</vt:lpstr>
      <vt:lpstr>37th SD</vt:lpstr>
      <vt:lpstr>38th SD</vt:lpstr>
      <vt:lpstr>39th SD</vt:lpstr>
      <vt:lpstr>40th SD</vt:lpstr>
      <vt:lpstr>41st SD</vt:lpstr>
      <vt:lpstr>42nd SD</vt:lpstr>
      <vt:lpstr>43rd SD</vt:lpstr>
      <vt:lpstr>44th SD</vt:lpstr>
      <vt:lpstr>45th SD</vt:lpstr>
      <vt:lpstr>46th SD</vt:lpstr>
      <vt:lpstr>47th SD</vt:lpstr>
      <vt:lpstr>48th SD</vt:lpstr>
      <vt:lpstr>49th SD</vt:lpstr>
      <vt:lpstr>50th SD</vt:lpstr>
      <vt:lpstr>51st SD</vt:lpstr>
      <vt:lpstr>52nd SD</vt:lpstr>
      <vt:lpstr>53rd SD</vt:lpstr>
      <vt:lpstr>54th SD</vt:lpstr>
      <vt:lpstr>55th SD</vt:lpstr>
      <vt:lpstr>56th SD</vt:lpstr>
      <vt:lpstr>57th SD</vt:lpstr>
      <vt:lpstr>58th SD</vt:lpstr>
      <vt:lpstr>59th SD</vt:lpstr>
      <vt:lpstr>60th SD</vt:lpstr>
      <vt:lpstr>61st SD</vt:lpstr>
      <vt:lpstr>62nd SD</vt:lpstr>
      <vt:lpstr>63rd SD</vt:lpstr>
      <vt:lpstr>'1st SD'!Print_Area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2018-12-14T14:27:35Z</dcterms:modified>
</cp:coreProperties>
</file>