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ote Results\2018\General\"/>
    </mc:Choice>
  </mc:AlternateContent>
  <xr:revisionPtr revIDLastSave="0" documentId="10_ncr:100000_{D64C0995-AFB3-4D78-9A58-B75C32CBD095}" xr6:coauthVersionLast="31" xr6:coauthVersionMax="40" xr10:uidLastSave="{00000000-0000-0000-0000-000000000000}"/>
  <bookViews>
    <workbookView xWindow="360" yWindow="90" windowWidth="11340" windowHeight="6795" xr2:uid="{00000000-000D-0000-FFFF-FFFF00000000}"/>
  </bookViews>
  <sheets>
    <sheet name="Gov by 1st SD" sheetId="8" r:id="rId1"/>
    <sheet name="Gov by 2nd SD" sheetId="196" r:id="rId2"/>
    <sheet name="Gov by 3rd SD" sheetId="197" r:id="rId3"/>
    <sheet name="Gov by 4th SD" sheetId="198" r:id="rId4"/>
    <sheet name="Gov by 5th SD" sheetId="199" r:id="rId5"/>
    <sheet name="Gov by 6th SD" sheetId="200" r:id="rId6"/>
    <sheet name="Gov by 7th SD" sheetId="201" r:id="rId7"/>
    <sheet name="Gov by 8th SD" sheetId="202" r:id="rId8"/>
    <sheet name="Gov by 9th SD" sheetId="203" r:id="rId9"/>
    <sheet name="Gov by 10th SD" sheetId="204" r:id="rId10"/>
    <sheet name="Gov by 11th SD" sheetId="205" r:id="rId11"/>
    <sheet name="Gov by 12th SD" sheetId="206" r:id="rId12"/>
    <sheet name="Gov by 13th SD" sheetId="207" r:id="rId13"/>
    <sheet name="Gov by 14th SD" sheetId="208" r:id="rId14"/>
    <sheet name="Gov by 15th SD" sheetId="209" r:id="rId15"/>
    <sheet name="Gov by 16th SD" sheetId="210" r:id="rId16"/>
    <sheet name="Gov by 17th SD" sheetId="211" r:id="rId17"/>
    <sheet name="Gov by 18th SD" sheetId="212" r:id="rId18"/>
    <sheet name="Gov by 19th SD" sheetId="213" r:id="rId19"/>
    <sheet name="Gov by 20th SD" sheetId="214" r:id="rId20"/>
    <sheet name="Gov by 21st SD" sheetId="215" r:id="rId21"/>
    <sheet name="Gov by 22nd SD" sheetId="216" r:id="rId22"/>
    <sheet name="Gov by 23rd SD" sheetId="217" r:id="rId23"/>
    <sheet name="Gov by 24th SD" sheetId="218" r:id="rId24"/>
    <sheet name="Gov by 25th SD" sheetId="219" r:id="rId25"/>
    <sheet name="Gov by 26th SD" sheetId="220" r:id="rId26"/>
    <sheet name="Gov by 27th SD" sheetId="221" r:id="rId27"/>
    <sheet name="Gov by 28th SD" sheetId="222" r:id="rId28"/>
    <sheet name="Gov by 29th SD" sheetId="223" r:id="rId29"/>
    <sheet name="Gov by 30th SD" sheetId="224" r:id="rId30"/>
    <sheet name="Gov by 31st SD" sheetId="225" r:id="rId31"/>
    <sheet name="Gov by 32nd SD" sheetId="226" r:id="rId32"/>
    <sheet name="Gov by 33rd SD" sheetId="227" r:id="rId33"/>
    <sheet name="Gov by 34th SD" sheetId="228" r:id="rId34"/>
    <sheet name="Gov by 35th SD" sheetId="229" r:id="rId35"/>
    <sheet name="Gov by 36th SD" sheetId="230" r:id="rId36"/>
    <sheet name="Gov by 37th SD" sheetId="231" r:id="rId37"/>
    <sheet name="Gov by 38th SD" sheetId="232" r:id="rId38"/>
    <sheet name="Gov by 39th SD" sheetId="233" r:id="rId39"/>
    <sheet name="Gov by 40th SD" sheetId="235" r:id="rId40"/>
    <sheet name="Gov by 41st SD" sheetId="236" r:id="rId41"/>
    <sheet name="Gov by 42nd SD" sheetId="237" r:id="rId42"/>
    <sheet name="Gov by 43rd SD" sheetId="238" r:id="rId43"/>
    <sheet name="Gov by 44th SD" sheetId="239" r:id="rId44"/>
    <sheet name="Gov by 45th SD" sheetId="240" r:id="rId45"/>
    <sheet name="Gov by 46th SD" sheetId="241" r:id="rId46"/>
    <sheet name="Gov by 47th SD" sheetId="242" r:id="rId47"/>
    <sheet name="Gov by 48th SD" sheetId="243" r:id="rId48"/>
    <sheet name="Gov by 49th SD" sheetId="244" r:id="rId49"/>
    <sheet name="Gov by 50th SD" sheetId="245" r:id="rId50"/>
    <sheet name="Gov by 51st SD" sheetId="246" r:id="rId51"/>
    <sheet name="Gov by 52nd SD" sheetId="247" r:id="rId52"/>
    <sheet name="Gov by 53rd SD" sheetId="248" r:id="rId53"/>
    <sheet name="Gov by 54th SD" sheetId="249" r:id="rId54"/>
    <sheet name="Gov by 55th SD" sheetId="250" r:id="rId55"/>
    <sheet name="Gov by 56th SD" sheetId="251" r:id="rId56"/>
    <sheet name="Gov by 57th SD" sheetId="252" r:id="rId57"/>
    <sheet name="Gov by 58th SD" sheetId="253" r:id="rId58"/>
    <sheet name="Gov by 59th SD" sheetId="254" r:id="rId59"/>
    <sheet name="Gov by 60th SD" sheetId="255" r:id="rId60"/>
    <sheet name="Gov by 61st SD" sheetId="234" r:id="rId61"/>
    <sheet name="Gov by 62nd SD" sheetId="256" r:id="rId62"/>
    <sheet name="Gov by 63rd SD" sheetId="257" r:id="rId63"/>
  </sheets>
  <definedNames>
    <definedName name="_xlnm.Print_Area" localSheetId="0">'Gov by 1st SD'!$A$1:$O$671</definedName>
  </definedNames>
  <calcPr calcId="179017"/>
</workbook>
</file>

<file path=xl/calcChain.xml><?xml version="1.0" encoding="utf-8"?>
<calcChain xmlns="http://schemas.openxmlformats.org/spreadsheetml/2006/main">
  <c r="K15" i="246" l="1"/>
  <c r="K13" i="246"/>
  <c r="K11" i="246"/>
  <c r="K9" i="246"/>
  <c r="K7" i="246"/>
  <c r="K5" i="246"/>
  <c r="K4" i="246"/>
  <c r="K3" i="246"/>
  <c r="C3" i="257" l="1"/>
  <c r="C4" i="257"/>
  <c r="C5" i="257"/>
  <c r="C6" i="257"/>
  <c r="D6" i="257" s="1"/>
  <c r="C7" i="257"/>
  <c r="C8" i="257"/>
  <c r="C9" i="257"/>
  <c r="C10" i="257"/>
  <c r="C11" i="257"/>
  <c r="D11" i="257" s="1"/>
  <c r="C12" i="257"/>
  <c r="D12" i="257" s="1"/>
  <c r="C13" i="257"/>
  <c r="C14" i="257"/>
  <c r="C15" i="257"/>
  <c r="E3" i="256"/>
  <c r="E4" i="256"/>
  <c r="E5" i="256"/>
  <c r="E6" i="256"/>
  <c r="F6" i="256" s="1"/>
  <c r="E7" i="256"/>
  <c r="E8" i="256"/>
  <c r="E9" i="256"/>
  <c r="E10" i="256"/>
  <c r="E11" i="256"/>
  <c r="F11" i="256" s="1"/>
  <c r="E12" i="256"/>
  <c r="F12" i="256" s="1"/>
  <c r="E13" i="256"/>
  <c r="E14" i="256"/>
  <c r="E15" i="256"/>
  <c r="E3" i="234"/>
  <c r="E4" i="234"/>
  <c r="E5" i="234"/>
  <c r="E6" i="234"/>
  <c r="F6" i="234" s="1"/>
  <c r="E7" i="234"/>
  <c r="E8" i="234"/>
  <c r="E9" i="234"/>
  <c r="E10" i="234"/>
  <c r="E11" i="234"/>
  <c r="F11" i="234" s="1"/>
  <c r="E12" i="234"/>
  <c r="F12" i="234" s="1"/>
  <c r="E13" i="234"/>
  <c r="E14" i="234"/>
  <c r="E15" i="234"/>
  <c r="C3" i="255"/>
  <c r="C4" i="255"/>
  <c r="C5" i="255"/>
  <c r="C6" i="255"/>
  <c r="D6" i="255" s="1"/>
  <c r="C7" i="255"/>
  <c r="C8" i="255"/>
  <c r="C9" i="255"/>
  <c r="C10" i="255"/>
  <c r="C11" i="255"/>
  <c r="D11" i="255" s="1"/>
  <c r="C12" i="255"/>
  <c r="D12" i="255" s="1"/>
  <c r="C13" i="255"/>
  <c r="C14" i="255"/>
  <c r="C15" i="255"/>
  <c r="F3" i="254"/>
  <c r="F4" i="254"/>
  <c r="F5" i="254"/>
  <c r="F6" i="254"/>
  <c r="G6" i="254" s="1"/>
  <c r="F7" i="254"/>
  <c r="F8" i="254"/>
  <c r="F9" i="254"/>
  <c r="F10" i="254"/>
  <c r="F11" i="254"/>
  <c r="G11" i="254" s="1"/>
  <c r="F12" i="254"/>
  <c r="G12" i="254" s="1"/>
  <c r="F13" i="254"/>
  <c r="F14" i="254"/>
  <c r="F15" i="254"/>
  <c r="G3" i="253"/>
  <c r="G4" i="253"/>
  <c r="G5" i="253"/>
  <c r="G6" i="253"/>
  <c r="H6" i="253" s="1"/>
  <c r="G7" i="253"/>
  <c r="G8" i="253"/>
  <c r="G9" i="253"/>
  <c r="G10" i="253"/>
  <c r="G11" i="253"/>
  <c r="H11" i="253" s="1"/>
  <c r="G12" i="253"/>
  <c r="H12" i="253" s="1"/>
  <c r="G13" i="253"/>
  <c r="G14" i="253"/>
  <c r="G15" i="253"/>
  <c r="F3" i="252"/>
  <c r="F4" i="252"/>
  <c r="F5" i="252"/>
  <c r="F6" i="252"/>
  <c r="G6" i="252" s="1"/>
  <c r="F7" i="252"/>
  <c r="F8" i="252"/>
  <c r="F9" i="252"/>
  <c r="F10" i="252"/>
  <c r="F11" i="252"/>
  <c r="G11" i="252" s="1"/>
  <c r="F12" i="252"/>
  <c r="G12" i="252" s="1"/>
  <c r="F13" i="252"/>
  <c r="F14" i="252"/>
  <c r="F15" i="252"/>
  <c r="C3" i="251"/>
  <c r="C4" i="251"/>
  <c r="C5" i="251"/>
  <c r="C6" i="251"/>
  <c r="D6" i="251" s="1"/>
  <c r="C7" i="251"/>
  <c r="C8" i="251"/>
  <c r="C9" i="251"/>
  <c r="C10" i="251"/>
  <c r="C11" i="251"/>
  <c r="D11" i="251" s="1"/>
  <c r="C12" i="251"/>
  <c r="D12" i="251" s="1"/>
  <c r="C13" i="251"/>
  <c r="C14" i="251"/>
  <c r="C15" i="251"/>
  <c r="D3" i="250"/>
  <c r="D4" i="250"/>
  <c r="D5" i="250"/>
  <c r="D6" i="250"/>
  <c r="E6" i="250" s="1"/>
  <c r="D7" i="250"/>
  <c r="D8" i="250"/>
  <c r="D9" i="250"/>
  <c r="D10" i="250"/>
  <c r="D11" i="250"/>
  <c r="E11" i="250" s="1"/>
  <c r="D12" i="250"/>
  <c r="E12" i="250" s="1"/>
  <c r="D13" i="250"/>
  <c r="D14" i="250"/>
  <c r="D15" i="250"/>
  <c r="H3" i="249"/>
  <c r="H4" i="249"/>
  <c r="H5" i="249"/>
  <c r="H6" i="249"/>
  <c r="I6" i="249" s="1"/>
  <c r="H7" i="249"/>
  <c r="H8" i="249"/>
  <c r="H9" i="249"/>
  <c r="H10" i="249"/>
  <c r="H11" i="249"/>
  <c r="I11" i="249" s="1"/>
  <c r="H12" i="249"/>
  <c r="I12" i="249" s="1"/>
  <c r="H13" i="249"/>
  <c r="H14" i="249"/>
  <c r="H15" i="249"/>
  <c r="E3" i="248"/>
  <c r="E4" i="248"/>
  <c r="E5" i="248"/>
  <c r="E6" i="248"/>
  <c r="F6" i="248" s="1"/>
  <c r="E7" i="248"/>
  <c r="E8" i="248"/>
  <c r="E9" i="248"/>
  <c r="E10" i="248"/>
  <c r="E11" i="248"/>
  <c r="F11" i="248" s="1"/>
  <c r="E12" i="248"/>
  <c r="F12" i="248" s="1"/>
  <c r="E13" i="248"/>
  <c r="E14" i="248"/>
  <c r="E15" i="248"/>
  <c r="F3" i="247"/>
  <c r="F4" i="247"/>
  <c r="F5" i="247"/>
  <c r="F6" i="247"/>
  <c r="G6" i="247" s="1"/>
  <c r="F7" i="247"/>
  <c r="F8" i="247"/>
  <c r="F9" i="247"/>
  <c r="F10" i="247"/>
  <c r="F11" i="247"/>
  <c r="G11" i="247" s="1"/>
  <c r="F12" i="247"/>
  <c r="G12" i="247" s="1"/>
  <c r="F13" i="247"/>
  <c r="F14" i="247"/>
  <c r="F15" i="247"/>
  <c r="K6" i="246"/>
  <c r="L6" i="246" s="1"/>
  <c r="K8" i="246"/>
  <c r="K10" i="246"/>
  <c r="L11" i="246"/>
  <c r="K12" i="246"/>
  <c r="L12" i="246" s="1"/>
  <c r="K14" i="246"/>
  <c r="D3" i="245"/>
  <c r="D4" i="245"/>
  <c r="D5" i="245"/>
  <c r="D6" i="245"/>
  <c r="E6" i="245" s="1"/>
  <c r="D7" i="245"/>
  <c r="D8" i="245"/>
  <c r="D9" i="245"/>
  <c r="D10" i="245"/>
  <c r="D11" i="245"/>
  <c r="E11" i="245" s="1"/>
  <c r="D12" i="245"/>
  <c r="E12" i="245" s="1"/>
  <c r="D13" i="245"/>
  <c r="D14" i="245"/>
  <c r="D15" i="245"/>
  <c r="G3" i="244"/>
  <c r="G4" i="244"/>
  <c r="G5" i="244"/>
  <c r="G6" i="244"/>
  <c r="H6" i="244" s="1"/>
  <c r="G7" i="244"/>
  <c r="G8" i="244"/>
  <c r="G9" i="244"/>
  <c r="G10" i="244"/>
  <c r="G11" i="244"/>
  <c r="H11" i="244" s="1"/>
  <c r="G12" i="244"/>
  <c r="H12" i="244" s="1"/>
  <c r="G13" i="244"/>
  <c r="G14" i="244"/>
  <c r="G15" i="244"/>
  <c r="E3" i="243"/>
  <c r="E4" i="243"/>
  <c r="E5" i="243"/>
  <c r="E6" i="243"/>
  <c r="F6" i="243" s="1"/>
  <c r="E7" i="243"/>
  <c r="E8" i="243"/>
  <c r="E9" i="243"/>
  <c r="E10" i="243"/>
  <c r="E11" i="243"/>
  <c r="F11" i="243" s="1"/>
  <c r="E12" i="243"/>
  <c r="F12" i="243" s="1"/>
  <c r="E13" i="243"/>
  <c r="E14" i="243"/>
  <c r="E15" i="243"/>
  <c r="E3" i="242"/>
  <c r="E4" i="242"/>
  <c r="E5" i="242"/>
  <c r="E6" i="242"/>
  <c r="F6" i="242" s="1"/>
  <c r="E7" i="242"/>
  <c r="E8" i="242"/>
  <c r="E9" i="242"/>
  <c r="E10" i="242"/>
  <c r="E11" i="242"/>
  <c r="F11" i="242" s="1"/>
  <c r="E12" i="242"/>
  <c r="F12" i="242" s="1"/>
  <c r="E13" i="242"/>
  <c r="E14" i="242"/>
  <c r="E15" i="242"/>
  <c r="G3" i="241"/>
  <c r="G4" i="241"/>
  <c r="G5" i="241"/>
  <c r="G6" i="241"/>
  <c r="H6" i="241" s="1"/>
  <c r="G7" i="241"/>
  <c r="G8" i="241"/>
  <c r="G9" i="241"/>
  <c r="G10" i="241"/>
  <c r="G11" i="241"/>
  <c r="H11" i="241" s="1"/>
  <c r="G12" i="241"/>
  <c r="H12" i="241" s="1"/>
  <c r="G13" i="241"/>
  <c r="G14" i="241"/>
  <c r="G15" i="241"/>
  <c r="H3" i="240"/>
  <c r="H4" i="240"/>
  <c r="H5" i="240"/>
  <c r="H6" i="240"/>
  <c r="I6" i="240" s="1"/>
  <c r="H7" i="240"/>
  <c r="H8" i="240"/>
  <c r="H9" i="240"/>
  <c r="H10" i="240"/>
  <c r="H11" i="240"/>
  <c r="I11" i="240" s="1"/>
  <c r="H12" i="240"/>
  <c r="I12" i="240" s="1"/>
  <c r="H13" i="240"/>
  <c r="H14" i="240"/>
  <c r="H15" i="240"/>
  <c r="D3" i="239"/>
  <c r="D4" i="239"/>
  <c r="D5" i="239"/>
  <c r="D6" i="239"/>
  <c r="E6" i="239" s="1"/>
  <c r="D7" i="239"/>
  <c r="D8" i="239"/>
  <c r="D9" i="239"/>
  <c r="D10" i="239"/>
  <c r="D11" i="239"/>
  <c r="E11" i="239" s="1"/>
  <c r="D12" i="239"/>
  <c r="E12" i="239" s="1"/>
  <c r="D13" i="239"/>
  <c r="D14" i="239"/>
  <c r="D15" i="239"/>
  <c r="F3" i="238"/>
  <c r="F4" i="238"/>
  <c r="F5" i="238"/>
  <c r="F6" i="238"/>
  <c r="G6" i="238" s="1"/>
  <c r="F7" i="238"/>
  <c r="F8" i="238"/>
  <c r="F9" i="238"/>
  <c r="F10" i="238"/>
  <c r="F11" i="238"/>
  <c r="G11" i="238" s="1"/>
  <c r="F12" i="238"/>
  <c r="G12" i="238" s="1"/>
  <c r="F13" i="238"/>
  <c r="F14" i="238"/>
  <c r="F15" i="238"/>
  <c r="F3" i="237"/>
  <c r="F4" i="237"/>
  <c r="F5" i="237"/>
  <c r="F6" i="237"/>
  <c r="G6" i="237" s="1"/>
  <c r="F7" i="237"/>
  <c r="F8" i="237"/>
  <c r="F9" i="237"/>
  <c r="F10" i="237"/>
  <c r="F11" i="237"/>
  <c r="G11" i="237" s="1"/>
  <c r="F12" i="237"/>
  <c r="G12" i="237" s="1"/>
  <c r="F13" i="237"/>
  <c r="F14" i="237"/>
  <c r="F15" i="237"/>
  <c r="D3" i="236"/>
  <c r="D4" i="236"/>
  <c r="D5" i="236"/>
  <c r="D6" i="236"/>
  <c r="E6" i="236" s="1"/>
  <c r="D7" i="236"/>
  <c r="D8" i="236"/>
  <c r="D9" i="236"/>
  <c r="D10" i="236"/>
  <c r="D11" i="236"/>
  <c r="E11" i="236" s="1"/>
  <c r="D12" i="236"/>
  <c r="E12" i="236" s="1"/>
  <c r="D13" i="236"/>
  <c r="D14" i="236"/>
  <c r="D15" i="236"/>
  <c r="E3" i="235"/>
  <c r="E4" i="235"/>
  <c r="E5" i="235"/>
  <c r="E6" i="235"/>
  <c r="F6" i="235" s="1"/>
  <c r="E7" i="235"/>
  <c r="E8" i="235"/>
  <c r="E9" i="235"/>
  <c r="E10" i="235"/>
  <c r="E11" i="235"/>
  <c r="F11" i="235" s="1"/>
  <c r="E12" i="235"/>
  <c r="F12" i="235" s="1"/>
  <c r="E13" i="235"/>
  <c r="E14" i="235"/>
  <c r="E15" i="235"/>
  <c r="E3" i="233"/>
  <c r="E4" i="233"/>
  <c r="E5" i="233"/>
  <c r="E6" i="233"/>
  <c r="F6" i="233" s="1"/>
  <c r="E7" i="233"/>
  <c r="E8" i="233"/>
  <c r="E9" i="233"/>
  <c r="E10" i="233"/>
  <c r="E11" i="233"/>
  <c r="F11" i="233" s="1"/>
  <c r="E12" i="233"/>
  <c r="F12" i="233" s="1"/>
  <c r="E13" i="233"/>
  <c r="E14" i="233"/>
  <c r="E15" i="233"/>
  <c r="D3" i="232"/>
  <c r="D4" i="232"/>
  <c r="D5" i="232"/>
  <c r="D6" i="232"/>
  <c r="E6" i="232" s="1"/>
  <c r="D7" i="232"/>
  <c r="D8" i="232"/>
  <c r="D9" i="232"/>
  <c r="D10" i="232"/>
  <c r="D11" i="232"/>
  <c r="E11" i="232" s="1"/>
  <c r="D12" i="232"/>
  <c r="E12" i="232" s="1"/>
  <c r="D13" i="232"/>
  <c r="D14" i="232"/>
  <c r="D15" i="232"/>
  <c r="C3" i="231"/>
  <c r="C4" i="231"/>
  <c r="C5" i="231"/>
  <c r="C6" i="231"/>
  <c r="D6" i="231" s="1"/>
  <c r="C7" i="231"/>
  <c r="C8" i="231"/>
  <c r="C9" i="231"/>
  <c r="C10" i="231"/>
  <c r="C11" i="231"/>
  <c r="D11" i="231" s="1"/>
  <c r="C12" i="231"/>
  <c r="D12" i="231" s="1"/>
  <c r="C13" i="231"/>
  <c r="C14" i="231"/>
  <c r="C15" i="231"/>
  <c r="D3" i="230"/>
  <c r="D4" i="230"/>
  <c r="D5" i="230"/>
  <c r="D6" i="230"/>
  <c r="E6" i="230" s="1"/>
  <c r="D7" i="230"/>
  <c r="D8" i="230"/>
  <c r="D9" i="230"/>
  <c r="D10" i="230"/>
  <c r="D11" i="230"/>
  <c r="E11" i="230" s="1"/>
  <c r="D12" i="230"/>
  <c r="E12" i="230" s="1"/>
  <c r="D13" i="230"/>
  <c r="D14" i="230"/>
  <c r="D15" i="230"/>
  <c r="C3" i="229"/>
  <c r="C4" i="229"/>
  <c r="C5" i="229"/>
  <c r="C6" i="229"/>
  <c r="D6" i="229" s="1"/>
  <c r="C7" i="229"/>
  <c r="C8" i="229"/>
  <c r="C9" i="229"/>
  <c r="C10" i="229"/>
  <c r="C11" i="229"/>
  <c r="D11" i="229" s="1"/>
  <c r="C12" i="229"/>
  <c r="D12" i="229" s="1"/>
  <c r="C13" i="229"/>
  <c r="C14" i="229"/>
  <c r="C15" i="229"/>
  <c r="D3" i="228"/>
  <c r="D4" i="228"/>
  <c r="D5" i="228"/>
  <c r="D6" i="228"/>
  <c r="E6" i="228" s="1"/>
  <c r="D7" i="228"/>
  <c r="D8" i="228"/>
  <c r="D9" i="228"/>
  <c r="D10" i="228"/>
  <c r="D11" i="228"/>
  <c r="E11" i="228" s="1"/>
  <c r="D12" i="228"/>
  <c r="E12" i="228" s="1"/>
  <c r="D13" i="228"/>
  <c r="D14" i="228"/>
  <c r="D15" i="228"/>
  <c r="C3" i="227"/>
  <c r="C4" i="227"/>
  <c r="C5" i="227"/>
  <c r="C6" i="227"/>
  <c r="D6" i="227" s="1"/>
  <c r="C7" i="227"/>
  <c r="C8" i="227"/>
  <c r="C9" i="227"/>
  <c r="C10" i="227"/>
  <c r="C11" i="227"/>
  <c r="D11" i="227" s="1"/>
  <c r="C12" i="227"/>
  <c r="D12" i="227" s="1"/>
  <c r="C13" i="227"/>
  <c r="C14" i="227"/>
  <c r="C15" i="227"/>
  <c r="C3" i="226"/>
  <c r="C4" i="226"/>
  <c r="C5" i="226"/>
  <c r="C6" i="226"/>
  <c r="D6" i="226" s="1"/>
  <c r="C7" i="226"/>
  <c r="C8" i="226"/>
  <c r="C9" i="226"/>
  <c r="C10" i="226"/>
  <c r="C11" i="226"/>
  <c r="D11" i="226" s="1"/>
  <c r="C12" i="226"/>
  <c r="D12" i="226" s="1"/>
  <c r="C13" i="226"/>
  <c r="C14" i="226"/>
  <c r="C15" i="226"/>
  <c r="C3" i="225"/>
  <c r="C4" i="225"/>
  <c r="C5" i="225"/>
  <c r="C6" i="225"/>
  <c r="D6" i="225" s="1"/>
  <c r="C7" i="225"/>
  <c r="C8" i="225"/>
  <c r="C9" i="225"/>
  <c r="C10" i="225"/>
  <c r="C11" i="225"/>
  <c r="D11" i="225" s="1"/>
  <c r="C12" i="225"/>
  <c r="D12" i="225" s="1"/>
  <c r="C13" i="225"/>
  <c r="C14" i="225"/>
  <c r="C15" i="225"/>
  <c r="C3" i="224"/>
  <c r="C4" i="224"/>
  <c r="C5" i="224"/>
  <c r="C6" i="224"/>
  <c r="D6" i="224" s="1"/>
  <c r="C7" i="224"/>
  <c r="C8" i="224"/>
  <c r="C9" i="224"/>
  <c r="C10" i="224"/>
  <c r="C11" i="224"/>
  <c r="D11" i="224" s="1"/>
  <c r="C12" i="224"/>
  <c r="D12" i="224" s="1"/>
  <c r="C13" i="224"/>
  <c r="C14" i="224"/>
  <c r="C15" i="224"/>
  <c r="D3" i="223"/>
  <c r="D4" i="223"/>
  <c r="D5" i="223"/>
  <c r="D6" i="223"/>
  <c r="E6" i="223" s="1"/>
  <c r="D7" i="223"/>
  <c r="D8" i="223"/>
  <c r="D9" i="223"/>
  <c r="D10" i="223"/>
  <c r="D11" i="223"/>
  <c r="E11" i="223" s="1"/>
  <c r="D12" i="223"/>
  <c r="E12" i="223" s="1"/>
  <c r="D13" i="223"/>
  <c r="D14" i="223"/>
  <c r="D15" i="223"/>
  <c r="C3" i="222"/>
  <c r="C4" i="222"/>
  <c r="C5" i="222"/>
  <c r="C6" i="222"/>
  <c r="D6" i="222" s="1"/>
  <c r="C7" i="222"/>
  <c r="C8" i="222"/>
  <c r="C9" i="222"/>
  <c r="C10" i="222"/>
  <c r="C11" i="222"/>
  <c r="D11" i="222" s="1"/>
  <c r="C12" i="222"/>
  <c r="D12" i="222" s="1"/>
  <c r="C13" i="222"/>
  <c r="C14" i="222"/>
  <c r="C15" i="222"/>
  <c r="C3" i="221"/>
  <c r="C4" i="221"/>
  <c r="C5" i="221"/>
  <c r="C6" i="221"/>
  <c r="D6" i="221" s="1"/>
  <c r="C7" i="221"/>
  <c r="C8" i="221"/>
  <c r="C9" i="221"/>
  <c r="C10" i="221"/>
  <c r="C11" i="221"/>
  <c r="D11" i="221" s="1"/>
  <c r="C12" i="221"/>
  <c r="D12" i="221" s="1"/>
  <c r="C13" i="221"/>
  <c r="C14" i="221"/>
  <c r="C15" i="221"/>
  <c r="D3" i="220"/>
  <c r="D4" i="220"/>
  <c r="D5" i="220"/>
  <c r="D6" i="220"/>
  <c r="E6" i="220" s="1"/>
  <c r="D7" i="220"/>
  <c r="D8" i="220"/>
  <c r="D9" i="220"/>
  <c r="D10" i="220"/>
  <c r="D11" i="220"/>
  <c r="E11" i="220" s="1"/>
  <c r="D12" i="220"/>
  <c r="E12" i="220" s="1"/>
  <c r="D13" i="220"/>
  <c r="D14" i="220"/>
  <c r="D15" i="220"/>
  <c r="C3" i="219"/>
  <c r="C4" i="219"/>
  <c r="C5" i="219"/>
  <c r="C6" i="219"/>
  <c r="D6" i="219" s="1"/>
  <c r="C7" i="219"/>
  <c r="C8" i="219"/>
  <c r="C9" i="219"/>
  <c r="C10" i="219"/>
  <c r="C11" i="219"/>
  <c r="D11" i="219" s="1"/>
  <c r="C12" i="219"/>
  <c r="D12" i="219" s="1"/>
  <c r="C13" i="219"/>
  <c r="C14" i="219"/>
  <c r="C15" i="219"/>
  <c r="C3" i="218"/>
  <c r="C4" i="218"/>
  <c r="C5" i="218"/>
  <c r="C6" i="218"/>
  <c r="D6" i="218" s="1"/>
  <c r="C7" i="218"/>
  <c r="C8" i="218"/>
  <c r="C9" i="218"/>
  <c r="C10" i="218"/>
  <c r="C11" i="218"/>
  <c r="D11" i="218" s="1"/>
  <c r="C12" i="218"/>
  <c r="D12" i="218" s="1"/>
  <c r="C13" i="218"/>
  <c r="C14" i="218"/>
  <c r="C15" i="218"/>
  <c r="D3" i="217"/>
  <c r="D4" i="217"/>
  <c r="D5" i="217"/>
  <c r="D6" i="217"/>
  <c r="E6" i="217" s="1"/>
  <c r="D7" i="217"/>
  <c r="D8" i="217"/>
  <c r="D9" i="217"/>
  <c r="D10" i="217"/>
  <c r="D11" i="217"/>
  <c r="E11" i="217" s="1"/>
  <c r="D12" i="217"/>
  <c r="E12" i="217" s="1"/>
  <c r="D13" i="217"/>
  <c r="D14" i="217"/>
  <c r="D15" i="217"/>
  <c r="C3" i="216"/>
  <c r="C4" i="216"/>
  <c r="C5" i="216"/>
  <c r="C6" i="216"/>
  <c r="D6" i="216" s="1"/>
  <c r="C7" i="216"/>
  <c r="C8" i="216"/>
  <c r="C9" i="216"/>
  <c r="C10" i="216"/>
  <c r="C11" i="216"/>
  <c r="D11" i="216" s="1"/>
  <c r="C12" i="216"/>
  <c r="D12" i="216" s="1"/>
  <c r="C13" i="216"/>
  <c r="C14" i="216"/>
  <c r="C15" i="216"/>
  <c r="C3" i="215"/>
  <c r="C4" i="215"/>
  <c r="C5" i="215"/>
  <c r="C6" i="215"/>
  <c r="D6" i="215" s="1"/>
  <c r="C7" i="215"/>
  <c r="C8" i="215"/>
  <c r="C9" i="215"/>
  <c r="C10" i="215"/>
  <c r="C11" i="215"/>
  <c r="D11" i="215" s="1"/>
  <c r="C12" i="215"/>
  <c r="D12" i="215" s="1"/>
  <c r="C13" i="215"/>
  <c r="C14" i="215"/>
  <c r="C15" i="215"/>
  <c r="C3" i="214"/>
  <c r="C4" i="214"/>
  <c r="C5" i="214"/>
  <c r="C6" i="214"/>
  <c r="D6" i="214" s="1"/>
  <c r="C7" i="214"/>
  <c r="C8" i="214"/>
  <c r="C9" i="214"/>
  <c r="C10" i="214"/>
  <c r="C11" i="214"/>
  <c r="D11" i="214" s="1"/>
  <c r="C12" i="214"/>
  <c r="D12" i="214" s="1"/>
  <c r="C13" i="214"/>
  <c r="C14" i="214"/>
  <c r="C15" i="214"/>
  <c r="C3" i="213"/>
  <c r="C4" i="213"/>
  <c r="C5" i="213"/>
  <c r="C6" i="213"/>
  <c r="D6" i="213" s="1"/>
  <c r="C7" i="213"/>
  <c r="C8" i="213"/>
  <c r="C9" i="213"/>
  <c r="C10" i="213"/>
  <c r="C11" i="213"/>
  <c r="D11" i="213" s="1"/>
  <c r="C12" i="213"/>
  <c r="D12" i="213" s="1"/>
  <c r="C13" i="213"/>
  <c r="C14" i="213"/>
  <c r="C15" i="213"/>
  <c r="C3" i="212"/>
  <c r="C4" i="212"/>
  <c r="C5" i="212"/>
  <c r="C6" i="212"/>
  <c r="D6" i="212" s="1"/>
  <c r="C7" i="212"/>
  <c r="C8" i="212"/>
  <c r="C9" i="212"/>
  <c r="C10" i="212"/>
  <c r="C11" i="212"/>
  <c r="D11" i="212" s="1"/>
  <c r="C12" i="212"/>
  <c r="D12" i="212" s="1"/>
  <c r="C13" i="212"/>
  <c r="C14" i="212"/>
  <c r="C15" i="212"/>
  <c r="C3" i="211"/>
  <c r="C4" i="211"/>
  <c r="C5" i="211"/>
  <c r="C6" i="211"/>
  <c r="D6" i="211" s="1"/>
  <c r="C7" i="211"/>
  <c r="C8" i="211"/>
  <c r="C9" i="211"/>
  <c r="C10" i="211"/>
  <c r="C11" i="211"/>
  <c r="D11" i="211" s="1"/>
  <c r="C12" i="211"/>
  <c r="D12" i="211" s="1"/>
  <c r="C13" i="211"/>
  <c r="C14" i="211"/>
  <c r="C15" i="211"/>
  <c r="C3" i="210"/>
  <c r="C4" i="210"/>
  <c r="C5" i="210"/>
  <c r="C6" i="210"/>
  <c r="D6" i="210" s="1"/>
  <c r="C7" i="210"/>
  <c r="C8" i="210"/>
  <c r="C9" i="210"/>
  <c r="C10" i="210"/>
  <c r="C11" i="210"/>
  <c r="D11" i="210" s="1"/>
  <c r="C12" i="210"/>
  <c r="D12" i="210" s="1"/>
  <c r="C13" i="210"/>
  <c r="C14" i="210"/>
  <c r="C15" i="210"/>
  <c r="C3" i="209"/>
  <c r="C4" i="209"/>
  <c r="C5" i="209"/>
  <c r="C6" i="209"/>
  <c r="D6" i="209" s="1"/>
  <c r="C7" i="209"/>
  <c r="C8" i="209"/>
  <c r="C9" i="209"/>
  <c r="C10" i="209"/>
  <c r="C11" i="209"/>
  <c r="D11" i="209" s="1"/>
  <c r="C12" i="209"/>
  <c r="D12" i="209" s="1"/>
  <c r="C13" i="209"/>
  <c r="C14" i="209"/>
  <c r="C15" i="209"/>
  <c r="C3" i="208"/>
  <c r="C4" i="208"/>
  <c r="C5" i="208"/>
  <c r="C6" i="208"/>
  <c r="D6" i="208" s="1"/>
  <c r="C7" i="208"/>
  <c r="C8" i="208"/>
  <c r="C9" i="208"/>
  <c r="C10" i="208"/>
  <c r="C11" i="208"/>
  <c r="D11" i="208" s="1"/>
  <c r="C12" i="208"/>
  <c r="D12" i="208" s="1"/>
  <c r="C13" i="208"/>
  <c r="C14" i="208"/>
  <c r="C15" i="208"/>
  <c r="C3" i="207"/>
  <c r="C4" i="207"/>
  <c r="C5" i="207"/>
  <c r="C6" i="207"/>
  <c r="D6" i="207" s="1"/>
  <c r="C7" i="207"/>
  <c r="C8" i="207"/>
  <c r="C9" i="207"/>
  <c r="C10" i="207"/>
  <c r="C11" i="207"/>
  <c r="D11" i="207" s="1"/>
  <c r="C12" i="207"/>
  <c r="D12" i="207" s="1"/>
  <c r="C13" i="207"/>
  <c r="C14" i="207"/>
  <c r="C15" i="207"/>
  <c r="C3" i="206"/>
  <c r="C4" i="206"/>
  <c r="C5" i="206"/>
  <c r="C6" i="206"/>
  <c r="D6" i="206" s="1"/>
  <c r="C7" i="206"/>
  <c r="C8" i="206"/>
  <c r="C9" i="206"/>
  <c r="C10" i="206"/>
  <c r="C11" i="206"/>
  <c r="D11" i="206" s="1"/>
  <c r="C12" i="206"/>
  <c r="D12" i="206" s="1"/>
  <c r="C13" i="206"/>
  <c r="C14" i="206"/>
  <c r="C15" i="206"/>
  <c r="C3" i="205"/>
  <c r="C4" i="205"/>
  <c r="C5" i="205"/>
  <c r="C6" i="205"/>
  <c r="D6" i="205" s="1"/>
  <c r="C7" i="205"/>
  <c r="C8" i="205"/>
  <c r="C9" i="205"/>
  <c r="C10" i="205"/>
  <c r="C11" i="205"/>
  <c r="D11" i="205" s="1"/>
  <c r="C12" i="205"/>
  <c r="D12" i="205" s="1"/>
  <c r="C13" i="205"/>
  <c r="C14" i="205"/>
  <c r="C15" i="205"/>
  <c r="C3" i="204"/>
  <c r="C4" i="204"/>
  <c r="C5" i="204"/>
  <c r="C6" i="204"/>
  <c r="D6" i="204" s="1"/>
  <c r="C7" i="204"/>
  <c r="C8" i="204"/>
  <c r="C9" i="204"/>
  <c r="C10" i="204"/>
  <c r="C11" i="204"/>
  <c r="D11" i="204" s="1"/>
  <c r="C12" i="204"/>
  <c r="D12" i="204" s="1"/>
  <c r="C13" i="204"/>
  <c r="C14" i="204"/>
  <c r="C15" i="204"/>
  <c r="C3" i="203"/>
  <c r="C4" i="203"/>
  <c r="C5" i="203"/>
  <c r="C6" i="203"/>
  <c r="D6" i="203" s="1"/>
  <c r="C7" i="203"/>
  <c r="C8" i="203"/>
  <c r="C9" i="203"/>
  <c r="C10" i="203"/>
  <c r="C11" i="203"/>
  <c r="D11" i="203" s="1"/>
  <c r="C12" i="203"/>
  <c r="D12" i="203" s="1"/>
  <c r="C13" i="203"/>
  <c r="C14" i="203"/>
  <c r="C15" i="203"/>
  <c r="D3" i="202"/>
  <c r="D4" i="202"/>
  <c r="D5" i="202"/>
  <c r="D6" i="202"/>
  <c r="E6" i="202" s="1"/>
  <c r="D7" i="202"/>
  <c r="D8" i="202"/>
  <c r="D9" i="202"/>
  <c r="D10" i="202"/>
  <c r="D11" i="202"/>
  <c r="E11" i="202" s="1"/>
  <c r="D12" i="202"/>
  <c r="E12" i="202" s="1"/>
  <c r="D13" i="202"/>
  <c r="D14" i="202"/>
  <c r="D15" i="202"/>
  <c r="C3" i="201"/>
  <c r="C4" i="201"/>
  <c r="C5" i="201"/>
  <c r="C6" i="201"/>
  <c r="D6" i="201" s="1"/>
  <c r="C7" i="201"/>
  <c r="C8" i="201"/>
  <c r="C9" i="201"/>
  <c r="C10" i="201"/>
  <c r="C11" i="201"/>
  <c r="D11" i="201" s="1"/>
  <c r="C12" i="201"/>
  <c r="D12" i="201" s="1"/>
  <c r="C13" i="201"/>
  <c r="C14" i="201"/>
  <c r="C15" i="201"/>
  <c r="C3" i="200"/>
  <c r="C4" i="200"/>
  <c r="C5" i="200"/>
  <c r="C6" i="200"/>
  <c r="D6" i="200" s="1"/>
  <c r="C7" i="200"/>
  <c r="C8" i="200"/>
  <c r="C9" i="200"/>
  <c r="C10" i="200"/>
  <c r="C11" i="200"/>
  <c r="D11" i="200" s="1"/>
  <c r="C12" i="200"/>
  <c r="D12" i="200" s="1"/>
  <c r="C13" i="200"/>
  <c r="C14" i="200"/>
  <c r="C15" i="200"/>
  <c r="D3" i="199"/>
  <c r="D4" i="199"/>
  <c r="D5" i="199"/>
  <c r="D6" i="199"/>
  <c r="E6" i="199" s="1"/>
  <c r="D7" i="199"/>
  <c r="D8" i="199"/>
  <c r="D9" i="199"/>
  <c r="D10" i="199"/>
  <c r="D11" i="199"/>
  <c r="E11" i="199" s="1"/>
  <c r="D12" i="199"/>
  <c r="E12" i="199" s="1"/>
  <c r="D13" i="199"/>
  <c r="D14" i="199"/>
  <c r="D15" i="199"/>
  <c r="C3" i="198"/>
  <c r="C4" i="198"/>
  <c r="C5" i="198"/>
  <c r="C6" i="198"/>
  <c r="D6" i="198" s="1"/>
  <c r="C7" i="198"/>
  <c r="C8" i="198"/>
  <c r="C9" i="198"/>
  <c r="C10" i="198"/>
  <c r="C11" i="198"/>
  <c r="D11" i="198" s="1"/>
  <c r="C12" i="198"/>
  <c r="D12" i="198" s="1"/>
  <c r="C13" i="198"/>
  <c r="C14" i="198"/>
  <c r="C15" i="198"/>
  <c r="C3" i="197"/>
  <c r="C4" i="197"/>
  <c r="C5" i="197"/>
  <c r="C6" i="197"/>
  <c r="D6" i="197" s="1"/>
  <c r="C7" i="197"/>
  <c r="C8" i="197"/>
  <c r="C9" i="197"/>
  <c r="C10" i="197"/>
  <c r="C11" i="197"/>
  <c r="D11" i="197" s="1"/>
  <c r="C12" i="197"/>
  <c r="D12" i="197" s="1"/>
  <c r="C13" i="197"/>
  <c r="C14" i="197"/>
  <c r="C15" i="197"/>
  <c r="C3" i="196"/>
  <c r="C4" i="196"/>
  <c r="C5" i="196"/>
  <c r="C6" i="196"/>
  <c r="D6" i="196" s="1"/>
  <c r="C7" i="196"/>
  <c r="C8" i="196"/>
  <c r="C9" i="196"/>
  <c r="C10" i="196"/>
  <c r="C11" i="196"/>
  <c r="D11" i="196" s="1"/>
  <c r="C12" i="196"/>
  <c r="D12" i="196" s="1"/>
  <c r="C13" i="196"/>
  <c r="C14" i="196"/>
  <c r="C15" i="196"/>
  <c r="C3" i="8"/>
  <c r="C4" i="8"/>
  <c r="C5" i="8"/>
  <c r="C6" i="8"/>
  <c r="D6" i="8" s="1"/>
  <c r="C7" i="8"/>
  <c r="C8" i="8"/>
  <c r="C9" i="8"/>
  <c r="C10" i="8"/>
  <c r="C11" i="8"/>
  <c r="D11" i="8" s="1"/>
  <c r="C12" i="8"/>
  <c r="D12" i="8" s="1"/>
  <c r="C13" i="8"/>
  <c r="C14" i="8"/>
  <c r="C15" i="8"/>
  <c r="D3" i="216" l="1"/>
  <c r="D3" i="209"/>
  <c r="D3" i="225"/>
  <c r="D3" i="222"/>
  <c r="D4" i="200"/>
  <c r="D3" i="198"/>
  <c r="D3" i="203"/>
  <c r="E3" i="199"/>
  <c r="E4" i="217"/>
  <c r="D4" i="251"/>
  <c r="D3" i="227"/>
  <c r="D3" i="218"/>
  <c r="D3" i="231"/>
  <c r="D3" i="229"/>
  <c r="F3" i="234"/>
  <c r="D4" i="8"/>
  <c r="E3" i="202"/>
  <c r="D4" i="208"/>
  <c r="D4" i="215"/>
  <c r="D4" i="211"/>
  <c r="D3" i="226"/>
  <c r="G3" i="247"/>
  <c r="D4" i="201"/>
  <c r="B16" i="201" s="1"/>
  <c r="D3" i="206"/>
  <c r="E4" i="228"/>
  <c r="E3" i="230"/>
  <c r="E3" i="239"/>
  <c r="E3" i="245"/>
  <c r="E4" i="236"/>
  <c r="G3" i="238"/>
  <c r="G4" i="238"/>
  <c r="D4" i="198"/>
  <c r="D3" i="201"/>
  <c r="D3" i="207"/>
  <c r="D4" i="221"/>
  <c r="H3" i="244"/>
  <c r="E4" i="245"/>
  <c r="D3" i="255"/>
  <c r="D4" i="196"/>
  <c r="E4" i="202"/>
  <c r="D3" i="214"/>
  <c r="E4" i="220"/>
  <c r="E3" i="223"/>
  <c r="D4" i="224"/>
  <c r="D4" i="226"/>
  <c r="G4" i="247"/>
  <c r="E3" i="250"/>
  <c r="H4" i="253"/>
  <c r="D3" i="196"/>
  <c r="D4" i="197"/>
  <c r="D4" i="209"/>
  <c r="D4" i="222"/>
  <c r="B16" i="222" s="1"/>
  <c r="E4" i="232"/>
  <c r="G3" i="237"/>
  <c r="F4" i="243"/>
  <c r="L3" i="246"/>
  <c r="I4" i="249"/>
  <c r="F3" i="256"/>
  <c r="D4" i="205"/>
  <c r="D4" i="212"/>
  <c r="D4" i="216"/>
  <c r="D4" i="218"/>
  <c r="B16" i="218" s="1"/>
  <c r="D4" i="227"/>
  <c r="B16" i="227" s="1"/>
  <c r="D4" i="229"/>
  <c r="F4" i="233"/>
  <c r="F3" i="248"/>
  <c r="E4" i="199"/>
  <c r="D3" i="200"/>
  <c r="D3" i="204"/>
  <c r="D4" i="206"/>
  <c r="D3" i="210"/>
  <c r="E4" i="230"/>
  <c r="F3" i="235"/>
  <c r="E4" i="239"/>
  <c r="I4" i="240"/>
  <c r="H4" i="241"/>
  <c r="E4" i="250"/>
  <c r="H3" i="253"/>
  <c r="G3" i="254"/>
  <c r="D4" i="255"/>
  <c r="F4" i="256"/>
  <c r="D4" i="257"/>
  <c r="D3" i="197"/>
  <c r="B16" i="197" s="1"/>
  <c r="D4" i="204"/>
  <c r="D4" i="207"/>
  <c r="D4" i="210"/>
  <c r="D3" i="211"/>
  <c r="E3" i="217"/>
  <c r="E4" i="223"/>
  <c r="D4" i="225"/>
  <c r="E3" i="232"/>
  <c r="F4" i="235"/>
  <c r="F3" i="242"/>
  <c r="G4" i="254"/>
  <c r="F4" i="234"/>
  <c r="D3" i="8"/>
  <c r="D4" i="203"/>
  <c r="D3" i="205"/>
  <c r="D3" i="212"/>
  <c r="D3" i="213"/>
  <c r="D4" i="214"/>
  <c r="E3" i="220"/>
  <c r="D3" i="224"/>
  <c r="B16" i="224" s="1"/>
  <c r="E3" i="228"/>
  <c r="E3" i="236"/>
  <c r="G4" i="237"/>
  <c r="F3" i="243"/>
  <c r="L4" i="246"/>
  <c r="F4" i="248"/>
  <c r="D3" i="208"/>
  <c r="D4" i="213"/>
  <c r="D3" i="215"/>
  <c r="D3" i="219"/>
  <c r="D4" i="219"/>
  <c r="D3" i="221"/>
  <c r="B16" i="221" s="1"/>
  <c r="D4" i="231"/>
  <c r="F3" i="233"/>
  <c r="H3" i="241"/>
  <c r="F4" i="242"/>
  <c r="I3" i="249"/>
  <c r="D3" i="251"/>
  <c r="B16" i="251" s="1"/>
  <c r="D3" i="257"/>
  <c r="H4" i="244"/>
  <c r="G4" i="252"/>
  <c r="G3" i="252"/>
  <c r="I3" i="240"/>
  <c r="B16" i="257"/>
  <c r="B16" i="229"/>
  <c r="B16" i="216"/>
  <c r="B16" i="206" l="1"/>
  <c r="B16" i="196"/>
  <c r="B16" i="8"/>
  <c r="B16" i="203"/>
  <c r="B16" i="200"/>
  <c r="B16" i="209"/>
  <c r="B16" i="225"/>
  <c r="B16" i="212"/>
  <c r="B16" i="207"/>
  <c r="B16" i="226"/>
  <c r="B16" i="215"/>
  <c r="B16" i="198"/>
  <c r="B16" i="211"/>
  <c r="B16" i="204"/>
  <c r="B16" i="255"/>
  <c r="B16" i="231"/>
  <c r="B16" i="214"/>
  <c r="B16" i="208"/>
  <c r="B16" i="205"/>
  <c r="B16" i="213"/>
  <c r="B16" i="210"/>
  <c r="B16" i="219"/>
  <c r="D16" i="256" l="1"/>
  <c r="B16" i="256"/>
  <c r="D16" i="234"/>
  <c r="B16" i="234"/>
  <c r="E16" i="254"/>
  <c r="B16" i="254"/>
  <c r="F16" i="253"/>
  <c r="B16" i="253"/>
  <c r="E16" i="252"/>
  <c r="B16" i="252"/>
  <c r="C16" i="250"/>
  <c r="B16" i="250"/>
  <c r="G16" i="249"/>
  <c r="B16" i="249"/>
  <c r="D16" i="248"/>
  <c r="B16" i="248"/>
  <c r="E16" i="247"/>
  <c r="B16" i="247"/>
  <c r="J16" i="246"/>
  <c r="B16" i="246"/>
  <c r="C16" i="245"/>
  <c r="B16" i="245"/>
  <c r="F16" i="244"/>
  <c r="B16" i="244"/>
  <c r="D16" i="243"/>
  <c r="B16" i="243"/>
  <c r="D16" i="242"/>
  <c r="B16" i="242"/>
  <c r="F16" i="241"/>
  <c r="B16" i="241"/>
  <c r="G16" i="240"/>
  <c r="B16" i="240"/>
  <c r="C16" i="239"/>
  <c r="B16" i="239"/>
  <c r="E16" i="238"/>
  <c r="B16" i="238"/>
  <c r="E16" i="237"/>
  <c r="B16" i="237"/>
  <c r="C16" i="236"/>
  <c r="B16" i="236"/>
  <c r="D16" i="235"/>
  <c r="B16" i="235"/>
  <c r="D16" i="233"/>
  <c r="B16" i="233"/>
  <c r="C16" i="232"/>
  <c r="B16" i="232"/>
  <c r="C16" i="230"/>
  <c r="B16" i="230"/>
  <c r="C16" i="228"/>
  <c r="B16" i="228"/>
  <c r="C16" i="223"/>
  <c r="B16" i="223"/>
  <c r="C16" i="220"/>
  <c r="B16" i="220"/>
  <c r="C16" i="217"/>
  <c r="B16" i="217"/>
  <c r="C16" i="202" l="1"/>
  <c r="B16" i="202"/>
  <c r="C16" i="199"/>
  <c r="B16" i="199"/>
</calcChain>
</file>

<file path=xl/sharedStrings.xml><?xml version="1.0" encoding="utf-8"?>
<sst xmlns="http://schemas.openxmlformats.org/spreadsheetml/2006/main" count="1268" uniqueCount="142">
  <si>
    <t>Blank</t>
  </si>
  <si>
    <t>Void</t>
  </si>
  <si>
    <t>Scattering</t>
  </si>
  <si>
    <t>Andrew M. Cuomo (DEM)</t>
  </si>
  <si>
    <t>Total Votes by County</t>
  </si>
  <si>
    <t>Total Votes by Candidate</t>
  </si>
  <si>
    <t>Howie Hawkins (GRE)</t>
  </si>
  <si>
    <t>Andrew M. Cuomo (WOR)</t>
  </si>
  <si>
    <t>Andrew M. Cuomo (IND)</t>
  </si>
  <si>
    <t>Andrew M. Cuomo (WEP)</t>
  </si>
  <si>
    <t>Larry Sharpe (LBT)</t>
  </si>
  <si>
    <t>Stephanie A. Miner (SAM)</t>
  </si>
  <si>
    <t>Candidate Name (Party)</t>
  </si>
  <si>
    <t>Part of Suffolk County Vote Results</t>
  </si>
  <si>
    <t>Marc Mollinaro (REP)</t>
  </si>
  <si>
    <t>Marc Mollinaro (CON)</t>
  </si>
  <si>
    <t>Marc Mollinaro (REF)</t>
  </si>
  <si>
    <t>Part of Nassau County Vote Results</t>
  </si>
  <si>
    <t>Part of Queens County Vote Results</t>
  </si>
  <si>
    <t>Part of Kings County Vote Results</t>
  </si>
  <si>
    <t>Part of Richmond County Vote Results</t>
  </si>
  <si>
    <t>Part of New York County Vote Results</t>
  </si>
  <si>
    <t>Part of Bronx County Vote Results</t>
  </si>
  <si>
    <t>Part of Westchester County Vote Results</t>
  </si>
  <si>
    <t>Part of Putnam County Vote Results</t>
  </si>
  <si>
    <t>Part of Rockland County Vote Results</t>
  </si>
  <si>
    <t>Part of Orange County Vote Results</t>
  </si>
  <si>
    <t>Part of Delaware County Vote Results</t>
  </si>
  <si>
    <t>Part of Herkimer County Vote Results</t>
  </si>
  <si>
    <t>Part of Oneida County Vote Results</t>
  </si>
  <si>
    <t>Part of Ulster County Vote Results</t>
  </si>
  <si>
    <t>Greene County Vote Results</t>
  </si>
  <si>
    <t>Schoharie County Vote Results</t>
  </si>
  <si>
    <t>Part of Albany County Vote Results</t>
  </si>
  <si>
    <t>Part of Dutchess County Vote Results</t>
  </si>
  <si>
    <t>Part of Rensselaer County Vote Results</t>
  </si>
  <si>
    <t>Part of Washington County Vote Results</t>
  </si>
  <si>
    <t>Part of Saratoga County Vote Results</t>
  </si>
  <si>
    <t>Part of Schenectady County Vote Results</t>
  </si>
  <si>
    <t>Montgomery County Vote Results</t>
  </si>
  <si>
    <t>Essex County Vote Results</t>
  </si>
  <si>
    <t>Warren County Vote Results</t>
  </si>
  <si>
    <t>Clinton County Vote Results</t>
  </si>
  <si>
    <t>Franklin County Vote Results</t>
  </si>
  <si>
    <t>Part of St. Lawrence County Vote Results</t>
  </si>
  <si>
    <t>Lewis County Vote Results</t>
  </si>
  <si>
    <t>Fulton County Vote Results</t>
  </si>
  <si>
    <t>Hamilton County Vote Results</t>
  </si>
  <si>
    <t>Part of Onondaga County Vote Results</t>
  </si>
  <si>
    <t>Madison County Vote Results</t>
  </si>
  <si>
    <t>Part of Chenango County Vote Results</t>
  </si>
  <si>
    <t>Tioga County Vote Results</t>
  </si>
  <si>
    <t>Part of Cayuga County Vote Results</t>
  </si>
  <si>
    <t>Wayne County Vote Results</t>
  </si>
  <si>
    <t>Schuyler County Vote Results</t>
  </si>
  <si>
    <t>Yates County Vote Results</t>
  </si>
  <si>
    <t>Part of Monroe County Vote Results</t>
  </si>
  <si>
    <t>Genesee County Vote Results</t>
  </si>
  <si>
    <t>Part of Erie County Vote Results</t>
  </si>
  <si>
    <t>Wyoming County Vote Results</t>
  </si>
  <si>
    <t>Allegany County Vote Results</t>
  </si>
  <si>
    <t>Cattaraugus County Vote Results</t>
  </si>
  <si>
    <t>Chautauqua County Vote Results</t>
  </si>
  <si>
    <t>Columbia County Vote Results</t>
  </si>
  <si>
    <t>Otsego County Vote Results</t>
  </si>
  <si>
    <t>Sullivan County Vote Results</t>
  </si>
  <si>
    <t>Jefferson County Vote Results</t>
  </si>
  <si>
    <t>Cortland County Vote Results</t>
  </si>
  <si>
    <t>Chemung County Vote Results</t>
  </si>
  <si>
    <t>Seneca County Vote Results</t>
  </si>
  <si>
    <t>Steuben County Vote Results</t>
  </si>
  <si>
    <t>Part of Ontario County Vote Results</t>
  </si>
  <si>
    <t>Orleans County Vote Results</t>
  </si>
  <si>
    <t>Governor Vote by 1st Senate District - General Election - November 6, 2018</t>
  </si>
  <si>
    <t>Governor Vote by 2nd Senate District - General Election - November 6, 2018</t>
  </si>
  <si>
    <t>Governor Vote by 3rd Senate District - General Election - November 6, 2018</t>
  </si>
  <si>
    <t>Governor Vote by 4th Senate District - General Election - November 6, 2018</t>
  </si>
  <si>
    <t>Governor Vote by 5th Senate District - General Election - November 6, 2018</t>
  </si>
  <si>
    <t>Governor Vote by 6th Senate District - General Election - November 6, 2018</t>
  </si>
  <si>
    <t>Governor Vote by 7th Senate District - General Election - November 6, 2018</t>
  </si>
  <si>
    <t>Governor Vote by 8th Senate District - General Election - November 6, 2018</t>
  </si>
  <si>
    <t>Governor Vote by 9th Senate District - General Election - November 6, 2018</t>
  </si>
  <si>
    <t>Governor Vote by 10th Senate District - General Election - November 6, 2018</t>
  </si>
  <si>
    <t>Governor Vote by 11th Senate District - General Election - November 6, 2018</t>
  </si>
  <si>
    <t>Governor Vote by 12th Senate District - General Election - November 6, 2018</t>
  </si>
  <si>
    <t>Governor Vote by 13th Senate District - General Election - November 6, 2018</t>
  </si>
  <si>
    <t>Governor Vote by 14th Senate District - General Election - November 6, 2018</t>
  </si>
  <si>
    <t>Governor Vote by 15th Senate District - General Election - November 6, 2018</t>
  </si>
  <si>
    <t>Governor Vote by 16th Senate District - General Election - November 6, 2018</t>
  </si>
  <si>
    <t>Governor Vote by 17th Senate District - General Election - November 6, 2018</t>
  </si>
  <si>
    <t>Governor Vote by 18th Senate District - General Election - November 6, 2018</t>
  </si>
  <si>
    <t>Governor Vote by 19th Senate District - General Election - November 6, 2018</t>
  </si>
  <si>
    <t>Governor Vote by 20th Senate District - General Election - November 6, 2018</t>
  </si>
  <si>
    <t>Governor Vote by 21st Senate District - General Election - November 6, 2018</t>
  </si>
  <si>
    <t>Governor Vote by 22nd Senate District - General Election - November 6, 2018</t>
  </si>
  <si>
    <t>Governor Vote by 23rd Senate District - General Election - November 6, 2018</t>
  </si>
  <si>
    <t>Governor Vote by 24th Senate District - General Election - November 6, 2018</t>
  </si>
  <si>
    <t>Governor Vote by 25th Senate District - General Election - November 6, 2018</t>
  </si>
  <si>
    <t>Governor Vote by 26th Senate District - General Election - November 6, 2018</t>
  </si>
  <si>
    <t>Governor Vote by 27th Senate District - General Election - November 6, 2018</t>
  </si>
  <si>
    <t>Governor Vote by 28th Senate District - General Election - November 6, 2018</t>
  </si>
  <si>
    <t>Governor Vote by 29th Senate District - General Election - November 6, 2018</t>
  </si>
  <si>
    <t>Governor Vote by 30th Senate District - General Election - November 6, 2018</t>
  </si>
  <si>
    <t>Governor Vote by 31st Senate District - General Election - November 6, 2018</t>
  </si>
  <si>
    <t>Governor Vote by 32nd Senate District - General Election - November 6, 2018</t>
  </si>
  <si>
    <t>Governor Vote by 33rd Senate District - General Election - November 6, 2018</t>
  </si>
  <si>
    <t>Governor Vote by 34th Senate District - General Election - November 6, 2018</t>
  </si>
  <si>
    <t>Governor Vote by 35th Senate District - General Election - November 6, 2018</t>
  </si>
  <si>
    <t>Governor Vote by 36th Senate District - General Election - November 6, 2018</t>
  </si>
  <si>
    <t>Governor Vote by 37th Senate District - General Election - November 6, 2018</t>
  </si>
  <si>
    <t>Governor Vote by 38th Senate District - General Election - November 6, 2018</t>
  </si>
  <si>
    <t>Governor Vote by 39th Senate District - General Election - November 6, 2018</t>
  </si>
  <si>
    <t>Governor Vote by 40th Senate District - General Election - November 6, 2018</t>
  </si>
  <si>
    <t>Governor Vote by 41st Senate District - General Election - November 6, 2018</t>
  </si>
  <si>
    <t>Governor Vote by 42nd Senate District - General Election - November 6, 2018</t>
  </si>
  <si>
    <t>Governor Vote by 43rd Senate District - General Election - November 6, 2018</t>
  </si>
  <si>
    <t>Governor Vote by 44th Senate District - General Election - November 6, 2018</t>
  </si>
  <si>
    <t>Governor Vote by 45th Senate District - General Election - November 6, 2018</t>
  </si>
  <si>
    <t>Governor Vote by 46th Senate District - General Election - November 6, 2018</t>
  </si>
  <si>
    <t>Governor Vote by 47th Senate District - General Election - November 6, 2018</t>
  </si>
  <si>
    <t>Governor Vote by 48th Senate District - General Election - November 6, 2018</t>
  </si>
  <si>
    <t>Oswego County Vote Results</t>
  </si>
  <si>
    <t>Governor Vote by 49th Senate District - General Election - November 6, 2018</t>
  </si>
  <si>
    <t>Governor Vote by 50th Senate District - General Election - November 6, 2018</t>
  </si>
  <si>
    <t>Governor Vote by 51st Senate District - General Election - November 6, 2018</t>
  </si>
  <si>
    <t>Part of Tompkins County Vote Results</t>
  </si>
  <si>
    <t>Governor Vote by 52nd Senate District - General Election - November 6, 2018</t>
  </si>
  <si>
    <t>Broome County Vote Results</t>
  </si>
  <si>
    <t>Governor Vote by 53rd Senate District - General Election - November 6, 2018</t>
  </si>
  <si>
    <t>Governor Vote by 54th Senate District - General Election - November 6, 2018</t>
  </si>
  <si>
    <t>Governor Vote by 55th Senate District - General Election - November 6, 2018</t>
  </si>
  <si>
    <t>Governor Vote by 56th Senate District - General Election - November 6, 2018</t>
  </si>
  <si>
    <t>Governor Vote by 57th Senate District - General Election - November 6, 2018</t>
  </si>
  <si>
    <t>Part of Livingston County Vote Results</t>
  </si>
  <si>
    <t>Governor Vote by 58th Senate District - General Election - November 6, 2018</t>
  </si>
  <si>
    <t>Governor Vote by 59th Senate District - General Election - November 6, 2018</t>
  </si>
  <si>
    <t>Governor Vote by 60th Senate District - General Election - November 6, 2018</t>
  </si>
  <si>
    <t>Governor Vote by 61st Senate District - General Election - November 6, 2018</t>
  </si>
  <si>
    <t>Governor Vote by 62nd Senate District - General Election - November 6, 2018</t>
  </si>
  <si>
    <t>Niagara County Vote Results</t>
  </si>
  <si>
    <t>Governor Vote by 63rd Senate District - General Election - November 6, 2018</t>
  </si>
  <si>
    <t>Total Votes by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</si>
</sst>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3" fillId="3" borderId="4" xfId="0" applyFont="1" applyFill="1" applyBorder="1"/>
    <xf numFmtId="3" fontId="2" fillId="0" borderId="1" xfId="0" applyNumberFormat="1" applyFont="1" applyBorder="1"/>
    <xf numFmtId="0" fontId="3" fillId="3" borderId="5" xfId="0" applyFont="1" applyFill="1" applyBorder="1"/>
    <xf numFmtId="3" fontId="2" fillId="0" borderId="3" xfId="0" applyNumberFormat="1" applyFont="1" applyBorder="1"/>
    <xf numFmtId="0" fontId="2" fillId="0" borderId="3" xfId="0" applyFont="1" applyBorder="1"/>
    <xf numFmtId="0" fontId="3" fillId="2" borderId="6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right" vertical="center" wrapText="1"/>
    </xf>
    <xf numFmtId="0" fontId="0" fillId="0" borderId="7" xfId="0" applyBorder="1"/>
    <xf numFmtId="0" fontId="3" fillId="2" borderId="2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right" vertical="center"/>
    </xf>
    <xf numFmtId="3" fontId="2" fillId="4" borderId="1" xfId="0" applyNumberFormat="1" applyFont="1" applyFill="1" applyBorder="1"/>
    <xf numFmtId="3" fontId="2" fillId="7" borderId="1" xfId="0" applyNumberFormat="1" applyFont="1" applyFill="1" applyBorder="1"/>
    <xf numFmtId="3" fontId="2" fillId="5" borderId="1" xfId="0" applyNumberFormat="1" applyFont="1" applyFill="1" applyBorder="1"/>
    <xf numFmtId="3" fontId="4" fillId="4" borderId="1" xfId="0" applyNumberFormat="1" applyFont="1" applyFill="1" applyBorder="1"/>
    <xf numFmtId="3" fontId="5" fillId="0" borderId="1" xfId="0" applyNumberFormat="1" applyFont="1" applyBorder="1" applyAlignment="1">
      <alignment vertical="top"/>
    </xf>
  </cellXfs>
  <cellStyles count="1">
    <cellStyle name="Normal" xfId="0" builtinId="0"/>
  </cellStyles>
  <dxfs count="961"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2" xr:uid="{6107E0C2-3DEF-489A-B3C4-E7D1D231F36A}" name="GovBySenateDistrict1General" displayName="GovBySenateDistrict1General" ref="A2:D16" totalsRowCount="1" headerRowDxfId="960" dataDxfId="958" headerRowBorderDxfId="959" tableBorderDxfId="957" totalsRowBorderDxfId="956">
  <autoFilter ref="A2:D15" xr:uid="{FE5D43FA-7984-4DD4-B37A-3AED69DB29AE}">
    <filterColumn colId="0" hiddenButton="1"/>
    <filterColumn colId="1" hiddenButton="1"/>
    <filterColumn colId="2" hiddenButton="1"/>
    <filterColumn colId="3" hiddenButton="1"/>
  </autoFilter>
  <tableColumns count="4">
    <tableColumn id="1" xr3:uid="{2897FB10-DDEB-4958-A9C8-3B5E80FA84A4}" name="Candidate Name (Party)" totalsRowLabel="Total Votes by County" dataDxfId="955" totalsRowDxfId="954"/>
    <tableColumn id="4" xr3:uid="{84E94C53-0061-408C-B818-CF6590D89F9B}" name="Part of Suffolk County Vote Results" totalsRowFunction="custom" dataDxfId="953" totalsRowDxfId="952">
      <totalsRowFormula>SUBTOTAL(109,GovBySenateDistrict1General[Total Votes by Candidate])</totalsRowFormula>
    </tableColumn>
    <tableColumn id="3" xr3:uid="{678BFF6D-A355-4AAB-B8B8-A414FC450192}" name="Total Votes by Party" dataDxfId="951" totalsRowDxfId="950">
      <calculatedColumnFormula>GovBySenateDistrict1General[[#This Row],[Part of Suffolk County Vote Results]]</calculatedColumnFormula>
    </tableColumn>
    <tableColumn id="2" xr3:uid="{4633C962-1753-429E-95C3-BB89055DC41A}" name="Total Votes by Candidate" dataDxfId="949" totalsRowDxfId="948"/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1" xr:uid="{B7AF9183-CCBF-4676-A8FA-4072A0D18FDD}" name="GovBySenateDistrict10General" displayName="GovBySenateDistrict10General" ref="A2:D16" totalsRowCount="1" headerRowDxfId="839" dataDxfId="837" headerRowBorderDxfId="838" tableBorderDxfId="836" totalsRowBorderDxfId="835">
  <autoFilter ref="A2:D15" xr:uid="{23224800-9363-49FF-94D1-4461B9075FD9}">
    <filterColumn colId="0" hiddenButton="1"/>
    <filterColumn colId="1" hiddenButton="1"/>
    <filterColumn colId="2" hiddenButton="1"/>
    <filterColumn colId="3" hiddenButton="1"/>
  </autoFilter>
  <tableColumns count="4">
    <tableColumn id="1" xr3:uid="{4AFD2C77-CF8D-42B5-A7EC-21DB64B278DC}" name="Candidate Name (Party)" totalsRowLabel="Total Votes by County" dataDxfId="834" totalsRowDxfId="833"/>
    <tableColumn id="4" xr3:uid="{C0AF81EF-E7CF-4BBD-BA9F-E97CADF803C9}" name="Part of Queens County Vote Results" totalsRowFunction="custom" dataDxfId="832" totalsRowDxfId="831">
      <totalsRowFormula>SUBTOTAL(109,GovBySenateDistrict10General[Total Votes by Candidate])</totalsRowFormula>
    </tableColumn>
    <tableColumn id="3" xr3:uid="{05448091-49CF-49AD-968D-74B4873E9051}" name="Total Votes by Party" dataDxfId="830" totalsRowDxfId="829">
      <calculatedColumnFormula>GovBySenateDistrict10General[[#This Row],[Part of Queens County Vote Results]]</calculatedColumnFormula>
    </tableColumn>
    <tableColumn id="2" xr3:uid="{563DA6D8-CFD6-4A3E-8186-CBF9670E4993}" name="Total Votes by Candidate" dataDxfId="828" totalsRowDxfId="827"/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2" xr:uid="{377268CD-7FE8-4DF9-B945-7490AC63C649}" name="GovBySenateDistrict11General" displayName="GovBySenateDistrict11General" ref="A2:D16" totalsRowCount="1" headerRowDxfId="826" dataDxfId="824" headerRowBorderDxfId="825" tableBorderDxfId="823" totalsRowBorderDxfId="822">
  <autoFilter ref="A2:D15" xr:uid="{4C61D2A1-C756-4E17-A2FD-A14DC0B7AD66}">
    <filterColumn colId="0" hiddenButton="1"/>
    <filterColumn colId="1" hiddenButton="1"/>
    <filterColumn colId="2" hiddenButton="1"/>
    <filterColumn colId="3" hiddenButton="1"/>
  </autoFilter>
  <tableColumns count="4">
    <tableColumn id="1" xr3:uid="{B043C0A9-F7F3-4AD1-AE6F-DA1E7116C57C}" name="Candidate Name (Party)" totalsRowLabel="Total Votes by County" dataDxfId="821" totalsRowDxfId="820"/>
    <tableColumn id="4" xr3:uid="{BA487584-3CA6-4B60-A131-92E6E2860B88}" name="Part of Queens County Vote Results" totalsRowFunction="custom" dataDxfId="819" totalsRowDxfId="818">
      <totalsRowFormula>SUBTOTAL(109,GovBySenateDistrict11General[Total Votes by Candidate])</totalsRowFormula>
    </tableColumn>
    <tableColumn id="3" xr3:uid="{CCE17951-A3CE-45AF-BE85-BFC3B8F0D04E}" name="Total Votes by Party" dataDxfId="817" totalsRowDxfId="816">
      <calculatedColumnFormula>GovBySenateDistrict11General[[#This Row],[Part of Queens County Vote Results]]</calculatedColumnFormula>
    </tableColumn>
    <tableColumn id="2" xr3:uid="{45C96A9B-56B9-40A5-BBC1-2CCA98F1AF48}" name="Total Votes by Candidate" dataDxfId="815" totalsRowDxfId="814"/>
  </tableColumns>
  <tableStyleInfo name="TableStyleMedium2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3" xr:uid="{ADA6AC9B-E4C0-4432-B0E4-ABF631962955}" name="GovBySenateDistrict12General" displayName="GovBySenateDistrict12General" ref="A2:D16" totalsRowCount="1" headerRowDxfId="813" dataDxfId="811" headerRowBorderDxfId="812" tableBorderDxfId="810" totalsRowBorderDxfId="809">
  <autoFilter ref="A2:D15" xr:uid="{BD066334-82F1-4652-B9C6-60D847714320}">
    <filterColumn colId="0" hiddenButton="1"/>
    <filterColumn colId="1" hiddenButton="1"/>
    <filterColumn colId="2" hiddenButton="1"/>
    <filterColumn colId="3" hiddenButton="1"/>
  </autoFilter>
  <tableColumns count="4">
    <tableColumn id="1" xr3:uid="{809ED9AA-DB2C-4533-A9DA-6CB1087ABAE7}" name="Candidate Name (Party)" totalsRowLabel="Total Votes by County" dataDxfId="808" totalsRowDxfId="807"/>
    <tableColumn id="4" xr3:uid="{3188670E-D7DA-4802-91B8-8442F0DD1FC8}" name="Part of Queens County Vote Results" totalsRowFunction="custom" dataDxfId="806" totalsRowDxfId="805">
      <totalsRowFormula>SUBTOTAL(109,GovBySenateDistrict12General[Total Votes by Candidate])</totalsRowFormula>
    </tableColumn>
    <tableColumn id="3" xr3:uid="{C8B6C7D7-F0FB-4944-A8F5-EFAD299EBDB4}" name="Total Votes by Party" dataDxfId="804" totalsRowDxfId="803">
      <calculatedColumnFormula>GovBySenateDistrict12General[[#This Row],[Part of Queens County Vote Results]]</calculatedColumnFormula>
    </tableColumn>
    <tableColumn id="2" xr3:uid="{3BE6D232-EA00-41BD-9676-A180A19E72AB}" name="Total Votes by Candidate" dataDxfId="802" totalsRowDxfId="801"/>
  </tableColumns>
  <tableStyleInfo name="TableStyleMedium2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4" xr:uid="{F8B70AEF-AB08-4E5A-9594-CCD82475709A}" name="GovBySenateDistrict13General" displayName="GovBySenateDistrict13General" ref="A2:D16" totalsRowCount="1" headerRowDxfId="800" dataDxfId="798" headerRowBorderDxfId="799" tableBorderDxfId="797" totalsRowBorderDxfId="796">
  <autoFilter ref="A2:D15" xr:uid="{E2C16A90-F27E-46A6-AC3A-20E7FDE7DA59}">
    <filterColumn colId="0" hiddenButton="1"/>
    <filterColumn colId="1" hiddenButton="1"/>
    <filterColumn colId="2" hiddenButton="1"/>
    <filterColumn colId="3" hiddenButton="1"/>
  </autoFilter>
  <tableColumns count="4">
    <tableColumn id="1" xr3:uid="{49BFA179-042A-45F0-A0A2-A97CAC2023AF}" name="Candidate Name (Party)" totalsRowLabel="Total Votes by County" dataDxfId="795" totalsRowDxfId="794"/>
    <tableColumn id="4" xr3:uid="{C8A90E11-945B-470D-8BC5-77F6BF7F14CA}" name="Part of Queens County Vote Results" totalsRowFunction="custom" dataDxfId="793" totalsRowDxfId="792">
      <totalsRowFormula>SUBTOTAL(109,GovBySenateDistrict13General[Total Votes by Candidate])</totalsRowFormula>
    </tableColumn>
    <tableColumn id="3" xr3:uid="{F7DB9006-CE3A-4699-9107-EE7C132ED9DF}" name="Total Votes by Party" dataDxfId="791" totalsRowDxfId="790">
      <calculatedColumnFormula>GovBySenateDistrict13General[[#This Row],[Part of Queens County Vote Results]]</calculatedColumnFormula>
    </tableColumn>
    <tableColumn id="2" xr3:uid="{BB6F90F6-E544-46B7-B6DF-A96F1F9BCA56}" name="Total Votes by Candidate" dataDxfId="789" totalsRowDxfId="788"/>
  </tableColumns>
  <tableStyleInfo name="TableStyleMedium2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5" xr:uid="{DFCCF409-EFE4-4BD4-8B86-2FDB05CD94CC}" name="GovBySenateDistrict14General" displayName="GovBySenateDistrict14General" ref="A2:D16" totalsRowCount="1" headerRowDxfId="787" dataDxfId="785" headerRowBorderDxfId="786" tableBorderDxfId="784" totalsRowBorderDxfId="783">
  <autoFilter ref="A2:D15" xr:uid="{D4C4D89D-411B-4390-A639-939678FD160E}">
    <filterColumn colId="0" hiddenButton="1"/>
    <filterColumn colId="1" hiddenButton="1"/>
    <filterColumn colId="2" hiddenButton="1"/>
    <filterColumn colId="3" hiddenButton="1"/>
  </autoFilter>
  <tableColumns count="4">
    <tableColumn id="1" xr3:uid="{8BABD80D-B96E-4FC7-951A-4FFB96A9BB51}" name="Candidate Name (Party)" totalsRowLabel="Total Votes by County" dataDxfId="782" totalsRowDxfId="781"/>
    <tableColumn id="4" xr3:uid="{D8DF6F17-70C1-416E-B271-2196939ABBEA}" name="Part of Queens County Vote Results" totalsRowFunction="custom" dataDxfId="780" totalsRowDxfId="779">
      <totalsRowFormula>SUBTOTAL(109,GovBySenateDistrict14General[Total Votes by Candidate])</totalsRowFormula>
    </tableColumn>
    <tableColumn id="3" xr3:uid="{8DDFD67F-0183-4A99-90D0-55774766F210}" name="Total Votes by Party" dataDxfId="778" totalsRowDxfId="777">
      <calculatedColumnFormula>GovBySenateDistrict14General[[#This Row],[Part of Queens County Vote Results]]</calculatedColumnFormula>
    </tableColumn>
    <tableColumn id="2" xr3:uid="{1088852E-CE39-4FEE-95FB-CFE357B82C7F}" name="Total Votes by Candidate" dataDxfId="776" totalsRowDxfId="775"/>
  </tableColumns>
  <tableStyleInfo name="TableStyleMedium2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6" xr:uid="{15D0BFE5-891B-45F6-93AC-8CEA706B63B4}" name="GovBySenateDistrict15General" displayName="GovBySenateDistrict15General" ref="A2:D16" totalsRowCount="1" headerRowDxfId="774" dataDxfId="772" headerRowBorderDxfId="773" tableBorderDxfId="771" totalsRowBorderDxfId="770">
  <autoFilter ref="A2:D15" xr:uid="{723C0F9A-E22F-45D6-87C3-DFC564154EF3}">
    <filterColumn colId="0" hiddenButton="1"/>
    <filterColumn colId="1" hiddenButton="1"/>
    <filterColumn colId="2" hiddenButton="1"/>
    <filterColumn colId="3" hiddenButton="1"/>
  </autoFilter>
  <tableColumns count="4">
    <tableColumn id="1" xr3:uid="{9C49E47D-99CF-49D7-9FC1-ABA07BE5C582}" name="Candidate Name (Party)" totalsRowLabel="Total Votes by County" dataDxfId="769" totalsRowDxfId="768"/>
    <tableColumn id="4" xr3:uid="{4D7FC678-69AA-404D-9BDE-F2D8C75D3257}" name="Part of Queens County Vote Results" totalsRowFunction="custom" dataDxfId="767" totalsRowDxfId="766">
      <totalsRowFormula>SUBTOTAL(109,GovBySenateDistrict15General[Total Votes by Candidate])</totalsRowFormula>
    </tableColumn>
    <tableColumn id="3" xr3:uid="{ABD48DB8-163F-4175-913C-E87E7D806B96}" name="Total Votes by Party" dataDxfId="765" totalsRowDxfId="764">
      <calculatedColumnFormula>GovBySenateDistrict15General[[#This Row],[Part of Queens County Vote Results]]</calculatedColumnFormula>
    </tableColumn>
    <tableColumn id="2" xr3:uid="{D7E955E8-8807-4CB0-A7B6-B7821F3FD4E5}" name="Total Votes by Candidate" dataDxfId="763" totalsRowDxfId="762"/>
  </tableColumns>
  <tableStyleInfo name="TableStyleMedium2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7" xr:uid="{94B60AFA-5D9C-4435-A1BC-3EF0A17D60D1}" name="GovBySenateDistrict16General" displayName="GovBySenateDistrict16General" ref="A2:D16" totalsRowCount="1" headerRowDxfId="761" dataDxfId="759" headerRowBorderDxfId="760" tableBorderDxfId="758" totalsRowBorderDxfId="757">
  <autoFilter ref="A2:D15" xr:uid="{351E1236-F7C5-4357-951B-1D79FFD33F9E}">
    <filterColumn colId="0" hiddenButton="1"/>
    <filterColumn colId="1" hiddenButton="1"/>
    <filterColumn colId="2" hiddenButton="1"/>
    <filterColumn colId="3" hiddenButton="1"/>
  </autoFilter>
  <tableColumns count="4">
    <tableColumn id="1" xr3:uid="{E2242760-BA97-4291-B2A5-C1C634E33B9C}" name="Candidate Name (Party)" totalsRowLabel="Total Votes by County" dataDxfId="756" totalsRowDxfId="755"/>
    <tableColumn id="4" xr3:uid="{0930326F-3365-4EA2-842B-57D9D43944CE}" name="Part of Queens County Vote Results" totalsRowFunction="custom" dataDxfId="754" totalsRowDxfId="753">
      <totalsRowFormula>SUBTOTAL(109,GovBySenateDistrict16General[Total Votes by Candidate])</totalsRowFormula>
    </tableColumn>
    <tableColumn id="3" xr3:uid="{FC297605-3B77-4B7B-BA4E-02CCFB9724AE}" name="Total Votes by Party" dataDxfId="752" totalsRowDxfId="751">
      <calculatedColumnFormula>GovBySenateDistrict16General[[#This Row],[Part of Queens County Vote Results]]</calculatedColumnFormula>
    </tableColumn>
    <tableColumn id="2" xr3:uid="{0A21DDD7-822E-4BB8-B30E-67BB07E22A38}" name="Total Votes by Candidate" dataDxfId="750" totalsRowDxfId="749"/>
  </tableColumns>
  <tableStyleInfo name="TableStyleMedium2"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8" xr:uid="{8914B433-7B55-4CA9-A215-16A4FBC37ADC}" name="GovBySenateDistrict17General" displayName="GovBySenateDistrict17General" ref="A2:D16" totalsRowCount="1" headerRowDxfId="748" dataDxfId="746" headerRowBorderDxfId="747" tableBorderDxfId="745" totalsRowBorderDxfId="744">
  <autoFilter ref="A2:D15" xr:uid="{71ECE8D4-C65B-4E92-93BA-F2F7A8BB9F35}">
    <filterColumn colId="0" hiddenButton="1"/>
    <filterColumn colId="1" hiddenButton="1"/>
    <filterColumn colId="2" hiddenButton="1"/>
    <filterColumn colId="3" hiddenButton="1"/>
  </autoFilter>
  <tableColumns count="4">
    <tableColumn id="1" xr3:uid="{0F9645F9-B80D-418C-84CA-CEACF0974175}" name="Candidate Name (Party)" totalsRowLabel="Total Votes by County" dataDxfId="743" totalsRowDxfId="742"/>
    <tableColumn id="4" xr3:uid="{87A170E7-979E-4B85-94A8-C047BC2FDF97}" name="Part of Kings County Vote Results" totalsRowFunction="custom" dataDxfId="741" totalsRowDxfId="740">
      <totalsRowFormula>SUBTOTAL(109,GovBySenateDistrict17General[Total Votes by Candidate])</totalsRowFormula>
    </tableColumn>
    <tableColumn id="3" xr3:uid="{061B514A-8BC9-447E-9C53-1C686AD8354A}" name="Total Votes by Party" dataDxfId="739" totalsRowDxfId="738">
      <calculatedColumnFormula>GovBySenateDistrict17General[[#This Row],[Part of Kings County Vote Results]]</calculatedColumnFormula>
    </tableColumn>
    <tableColumn id="2" xr3:uid="{EB4401AD-A940-4D02-869A-A2A19CF390E3}" name="Total Votes by Candidate" dataDxfId="737" totalsRowDxfId="736"/>
  </tableColumns>
  <tableStyleInfo name="TableStyleMedium2"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9" xr:uid="{C0724B81-5179-419B-98D6-B406FE876A24}" name="GovBySenateDistrict18General" displayName="GovBySenateDistrict18General" ref="A2:D16" totalsRowCount="1" headerRowDxfId="735" dataDxfId="733" headerRowBorderDxfId="734" tableBorderDxfId="732" totalsRowBorderDxfId="731">
  <autoFilter ref="A2:D15" xr:uid="{1EDAD942-18DD-4491-8D51-653E678D1CFD}">
    <filterColumn colId="0" hiddenButton="1"/>
    <filterColumn colId="1" hiddenButton="1"/>
    <filterColumn colId="2" hiddenButton="1"/>
    <filterColumn colId="3" hiddenButton="1"/>
  </autoFilter>
  <tableColumns count="4">
    <tableColumn id="1" xr3:uid="{11BFB1E6-D547-4461-99E2-BC4D70680007}" name="Candidate Name (Party)" totalsRowLabel="Total Votes by County" dataDxfId="730" totalsRowDxfId="729"/>
    <tableColumn id="4" xr3:uid="{087F21D6-0518-4C3D-BF60-B649AB3F4F76}" name="Part of Kings County Vote Results" totalsRowFunction="custom" dataDxfId="728" totalsRowDxfId="727">
      <totalsRowFormula>SUBTOTAL(109,GovBySenateDistrict18General[Total Votes by Candidate])</totalsRowFormula>
    </tableColumn>
    <tableColumn id="3" xr3:uid="{D6ECE6BE-4671-4D81-BD19-A7E54A193172}" name="Total Votes by Party" dataDxfId="726" totalsRowDxfId="725">
      <calculatedColumnFormula>GovBySenateDistrict18General[[#This Row],[Part of Kings County Vote Results]]</calculatedColumnFormula>
    </tableColumn>
    <tableColumn id="2" xr3:uid="{32D5EB12-2F60-44FD-8A20-8A18DBC61330}" name="Total Votes by Candidate" dataDxfId="724" totalsRowDxfId="723"/>
  </tableColumns>
  <tableStyleInfo name="TableStyleMedium2" showFirstColumn="0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0" xr:uid="{5371827C-63C2-42F2-9715-08AE9AECFA27}" name="GovBySenateDistrict19General" displayName="GovBySenateDistrict19General" ref="A2:D16" totalsRowCount="1" headerRowDxfId="722" dataDxfId="720" headerRowBorderDxfId="721" tableBorderDxfId="719" totalsRowBorderDxfId="718">
  <autoFilter ref="A2:D15" xr:uid="{B6D57C59-B0FA-4F7F-807A-06B607B6CE68}">
    <filterColumn colId="0" hiddenButton="1"/>
    <filterColumn colId="1" hiddenButton="1"/>
    <filterColumn colId="2" hiddenButton="1"/>
    <filterColumn colId="3" hiddenButton="1"/>
  </autoFilter>
  <tableColumns count="4">
    <tableColumn id="1" xr3:uid="{2D034D0A-F6AE-4965-B756-0EC3A241763D}" name="Candidate Name (Party)" totalsRowLabel="Total Votes by County" dataDxfId="717" totalsRowDxfId="716"/>
    <tableColumn id="4" xr3:uid="{27FFA25E-DC7B-4091-B3FB-42AF051E43A7}" name="Part of Kings County Vote Results" totalsRowFunction="custom" dataDxfId="715" totalsRowDxfId="714">
      <totalsRowFormula>SUBTOTAL(109,GovBySenateDistrict19General[Total Votes by Candidate])</totalsRowFormula>
    </tableColumn>
    <tableColumn id="3" xr3:uid="{30890B3B-B610-4B60-A952-8DD0FE26C371}" name="Total Votes by Party" dataDxfId="713" totalsRowDxfId="712">
      <calculatedColumnFormula>GovBySenateDistrict19General[[#This Row],[Part of Kings County Vote Results]]</calculatedColumnFormula>
    </tableColumn>
    <tableColumn id="2" xr3:uid="{C3A6683C-8882-4910-9CA8-569F8B489F93}" name="Total Votes by Candidate" dataDxfId="711" totalsRowDxfId="710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3" xr:uid="{5E678E2D-906D-4553-BA9E-8B81DE5A34F2}" name="GovBySenateDistrict2General" displayName="GovBySenateDistrict2General" ref="A2:D16" totalsRowCount="1" headerRowDxfId="947" dataDxfId="945" headerRowBorderDxfId="946" tableBorderDxfId="944" totalsRowBorderDxfId="943">
  <autoFilter ref="A2:D15" xr:uid="{3911E4A1-A348-4F19-AABC-340E8B782915}">
    <filterColumn colId="0" hiddenButton="1"/>
    <filterColumn colId="1" hiddenButton="1"/>
    <filterColumn colId="2" hiddenButton="1"/>
    <filterColumn colId="3" hiddenButton="1"/>
  </autoFilter>
  <tableColumns count="4">
    <tableColumn id="1" xr3:uid="{11DA3A81-3886-4B1F-BC1E-CF0487EF08ED}" name="Candidate Name (Party)" totalsRowLabel="Total Votes by County" dataDxfId="942" totalsRowDxfId="941"/>
    <tableColumn id="4" xr3:uid="{43E29378-7AC2-421A-BE18-B9EBE89B8CF8}" name="Part of Suffolk County Vote Results" totalsRowFunction="custom" dataDxfId="940" totalsRowDxfId="939">
      <totalsRowFormula>SUBTOTAL(109,GovBySenateDistrict2General[Total Votes by Candidate])</totalsRowFormula>
    </tableColumn>
    <tableColumn id="3" xr3:uid="{9922FE36-10EF-4AD6-900E-2C42184B14D1}" name="Total Votes by Party" dataDxfId="938" totalsRowDxfId="937">
      <calculatedColumnFormula>GovBySenateDistrict2General[[#This Row],[Part of Suffolk County Vote Results]]</calculatedColumnFormula>
    </tableColumn>
    <tableColumn id="2" xr3:uid="{49F59043-787E-4E87-AF18-BE24227069C5}" name="Total Votes by Candidate" dataDxfId="936" totalsRowDxfId="935"/>
  </tableColumns>
  <tableStyleInfo name="TableStyleMedium2"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1" xr:uid="{DA0DBC7A-CA6E-48DF-9727-F400717C9D2A}" name="GovBySenateDistrict20General" displayName="GovBySenateDistrict20General" ref="A2:D16" totalsRowCount="1" headerRowDxfId="709" dataDxfId="707" headerRowBorderDxfId="708" tableBorderDxfId="706" totalsRowBorderDxfId="705">
  <autoFilter ref="A2:D15" xr:uid="{6ACC2068-42DB-443B-BFC7-1D54B97BFBDB}">
    <filterColumn colId="0" hiddenButton="1"/>
    <filterColumn colId="1" hiddenButton="1"/>
    <filterColumn colId="2" hiddenButton="1"/>
    <filterColumn colId="3" hiddenButton="1"/>
  </autoFilter>
  <tableColumns count="4">
    <tableColumn id="1" xr3:uid="{0DE5396A-B043-4396-A26E-8420E37B7251}" name="Candidate Name (Party)" totalsRowLabel="Total Votes by County" dataDxfId="704" totalsRowDxfId="703"/>
    <tableColumn id="4" xr3:uid="{E0798070-2A28-4712-9EE0-825161F26B6E}" name="Part of Kings County Vote Results" totalsRowFunction="custom" dataDxfId="702" totalsRowDxfId="701">
      <totalsRowFormula>SUBTOTAL(109,GovBySenateDistrict20General[Total Votes by Candidate])</totalsRowFormula>
    </tableColumn>
    <tableColumn id="3" xr3:uid="{C4D49F9D-2D03-46AE-AF70-DA4EFAF50706}" name="Total Votes by Party" dataDxfId="700" totalsRowDxfId="699">
      <calculatedColumnFormula>GovBySenateDistrict20General[[#This Row],[Part of Kings County Vote Results]]</calculatedColumnFormula>
    </tableColumn>
    <tableColumn id="2" xr3:uid="{150FF80A-1508-4A43-867F-A1E369E49E11}" name="Total Votes by Candidate" dataDxfId="698" totalsRowDxfId="697"/>
  </tableColumns>
  <tableStyleInfo name="TableStyleMedium2" showFirstColumn="0" showLastColumn="0" showRowStripes="0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2" xr:uid="{7F13BD4F-BCBC-4C95-BB6A-0BE70D191BDB}" name="GovBySenateDistrict21General" displayName="GovBySenateDistrict21General" ref="A2:D16" totalsRowCount="1" headerRowDxfId="696" dataDxfId="694" headerRowBorderDxfId="695" tableBorderDxfId="693" totalsRowBorderDxfId="692">
  <autoFilter ref="A2:D15" xr:uid="{EBCE10F1-456A-4C0B-9A21-108448A99E2E}">
    <filterColumn colId="0" hiddenButton="1"/>
    <filterColumn colId="1" hiddenButton="1"/>
    <filterColumn colId="2" hiddenButton="1"/>
    <filterColumn colId="3" hiddenButton="1"/>
  </autoFilter>
  <tableColumns count="4">
    <tableColumn id="1" xr3:uid="{37BA8282-2A51-45AF-8824-71754E18E769}" name="Candidate Name (Party)" totalsRowLabel="Total Votes by County" dataDxfId="691" totalsRowDxfId="690"/>
    <tableColumn id="4" xr3:uid="{4E3B6029-E730-401D-A81D-C1963D7B1E03}" name="Part of Kings County Vote Results" totalsRowFunction="custom" dataDxfId="689" totalsRowDxfId="688">
      <totalsRowFormula>SUBTOTAL(109,GovBySenateDistrict21General[Total Votes by Candidate])</totalsRowFormula>
    </tableColumn>
    <tableColumn id="3" xr3:uid="{E26F5652-4FC3-48A4-AA33-64D2ED4AAF98}" name="Total Votes by Party" dataDxfId="687" totalsRowDxfId="686">
      <calculatedColumnFormula>GovBySenateDistrict21General[[#This Row],[Part of Kings County Vote Results]]</calculatedColumnFormula>
    </tableColumn>
    <tableColumn id="2" xr3:uid="{0F2C75F1-735C-4420-8FDA-66E0AA48952E}" name="Total Votes by Candidate" dataDxfId="685" totalsRowDxfId="684"/>
  </tableColumns>
  <tableStyleInfo name="TableStyleMedium2" showFirstColumn="0" showLastColumn="0" showRowStripes="0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3" xr:uid="{3A474BFE-963B-47AB-8DDE-8EB23FA5D8C0}" name="GovBySenateDistrict22General" displayName="GovBySenateDistrict22General" ref="A2:D16" totalsRowCount="1" headerRowDxfId="683" dataDxfId="681" headerRowBorderDxfId="682" tableBorderDxfId="680" totalsRowBorderDxfId="679">
  <autoFilter ref="A2:D15" xr:uid="{219084F3-C516-4453-BB99-A2AE03200C4B}">
    <filterColumn colId="0" hiddenButton="1"/>
    <filterColumn colId="1" hiddenButton="1"/>
    <filterColumn colId="2" hiddenButton="1"/>
    <filterColumn colId="3" hiddenButton="1"/>
  </autoFilter>
  <tableColumns count="4">
    <tableColumn id="1" xr3:uid="{60B8DF8D-FF0B-4041-B0A9-AA2995482287}" name="Candidate Name (Party)" totalsRowLabel="Total Votes by County" dataDxfId="678" totalsRowDxfId="677"/>
    <tableColumn id="4" xr3:uid="{8522EB4A-D1EB-44A7-9187-9E8BD1673E8B}" name="Part of Kings County Vote Results" totalsRowFunction="custom" dataDxfId="676" totalsRowDxfId="675">
      <totalsRowFormula>SUBTOTAL(109,GovBySenateDistrict22General[Total Votes by Candidate])</totalsRowFormula>
    </tableColumn>
    <tableColumn id="3" xr3:uid="{96851A1E-06EB-4180-AD41-A083EF525B14}" name="Total Votes by Party" dataDxfId="674" totalsRowDxfId="673">
      <calculatedColumnFormula>GovBySenateDistrict22General[[#This Row],[Part of Kings County Vote Results]]</calculatedColumnFormula>
    </tableColumn>
    <tableColumn id="2" xr3:uid="{80D5F519-7DFA-413D-BC0F-5A1FC5B84CDA}" name="Total Votes by Candidate" dataDxfId="672" totalsRowDxfId="671"/>
  </tableColumns>
  <tableStyleInfo name="TableStyleMedium2" showFirstColumn="0" showLastColumn="0" showRowStripes="0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4" xr:uid="{FFD01B7D-F804-4795-892F-7150900B3BA5}" name="GovBySenateDistrict23General" displayName="GovBySenateDistrict23General" ref="A2:E16" totalsRowCount="1" headerRowDxfId="670" dataDxfId="668" headerRowBorderDxfId="669" tableBorderDxfId="667" totalsRowBorderDxfId="666">
  <autoFilter ref="A2:E15" xr:uid="{1A3EDE83-1607-4111-AA86-A33842B8D8A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B3CA244-40A2-4976-957B-CAC476C701F4}" name="Candidate Name (Party)" totalsRowLabel="Total Votes by County" dataDxfId="665" totalsRowDxfId="664"/>
    <tableColumn id="2" xr3:uid="{8D4AC9CA-9BA6-4A8D-9F84-C2F5ABA9B4E9}" name="Part of Kings County Vote Results" totalsRowFunction="sum" dataDxfId="663" totalsRowDxfId="662"/>
    <tableColumn id="4" xr3:uid="{8D643A30-B56F-4211-906E-088D57BBF8EF}" name="Part of Richmond County Vote Results" totalsRowFunction="sum" dataDxfId="661" totalsRowDxfId="660"/>
    <tableColumn id="3" xr3:uid="{28585745-AF1C-448F-83A5-7F64CF3F3A95}" name="Total Votes by Party" dataDxfId="659" totalsRowDxfId="658">
      <calculatedColumnFormula>SUM(GovBySenateDistrict23General[[#This Row],[Part of Kings County Vote Results]:[Part of Richmond County Vote Results]])</calculatedColumnFormula>
    </tableColumn>
    <tableColumn id="5" xr3:uid="{9734BB36-B706-4223-A88B-6F358301AFDC}" name="Total Votes by Candidate" dataDxfId="657" totalsRowDxfId="656"/>
  </tableColumns>
  <tableStyleInfo name="TableStyleMedium2" showFirstColumn="0" showLastColumn="0" showRowStripes="0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5" xr:uid="{C359A56A-9BAF-41D9-918E-182C132329ED}" name="GovBySenateDistrict24General" displayName="GovBySenateDistrict24General" ref="A2:D16" totalsRowCount="1" headerRowDxfId="655" dataDxfId="653" headerRowBorderDxfId="654" tableBorderDxfId="652" totalsRowBorderDxfId="651">
  <autoFilter ref="A2:D15" xr:uid="{8F60F4F6-B6D9-41D5-A7DF-B81AAC525D30}">
    <filterColumn colId="0" hiddenButton="1"/>
    <filterColumn colId="1" hiddenButton="1"/>
    <filterColumn colId="2" hiddenButton="1"/>
    <filterColumn colId="3" hiddenButton="1"/>
  </autoFilter>
  <tableColumns count="4">
    <tableColumn id="1" xr3:uid="{40574050-FAEB-45C0-8C29-8F3960C4D851}" name="Candidate Name (Party)" totalsRowLabel="Total Votes by County" dataDxfId="650" totalsRowDxfId="649"/>
    <tableColumn id="4" xr3:uid="{7E7A7E5A-BA62-4487-B4E5-E1FF6C51D0E4}" name="Part of Richmond County Vote Results" totalsRowFunction="custom" dataDxfId="648" totalsRowDxfId="647">
      <totalsRowFormula>SUBTOTAL(109,GovBySenateDistrict24General[Total Votes by Candidate])</totalsRowFormula>
    </tableColumn>
    <tableColumn id="3" xr3:uid="{EDD42CED-5A8D-4663-9093-5F0DA1B1E326}" name="Total Votes by Party" dataDxfId="646" totalsRowDxfId="645">
      <calculatedColumnFormula>GovBySenateDistrict24General[[#This Row],[Part of Richmond County Vote Results]]</calculatedColumnFormula>
    </tableColumn>
    <tableColumn id="2" xr3:uid="{BB726247-049A-49D8-A8FC-2A0D8144D5C1}" name="Total Votes by Candidate" dataDxfId="644" totalsRowDxfId="643"/>
  </tableColumns>
  <tableStyleInfo name="TableStyleMedium2" showFirstColumn="0" showLastColumn="0" showRowStripes="0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6" xr:uid="{675937F1-A6E0-40C6-8E77-53AAA9BC239C}" name="GovBySenateDistrict25General" displayName="GovBySenateDistrict25General" ref="A2:D16" totalsRowCount="1" headerRowDxfId="642" dataDxfId="640" headerRowBorderDxfId="641" tableBorderDxfId="639" totalsRowBorderDxfId="638">
  <autoFilter ref="A2:D15" xr:uid="{91AE1C32-5141-44E3-BDA8-D988FA61351F}">
    <filterColumn colId="0" hiddenButton="1"/>
    <filterColumn colId="1" hiddenButton="1"/>
    <filterColumn colId="2" hiddenButton="1"/>
    <filterColumn colId="3" hiddenButton="1"/>
  </autoFilter>
  <tableColumns count="4">
    <tableColumn id="1" xr3:uid="{9908371A-0255-4FC7-BCE8-E0E02CF0A46C}" name="Candidate Name (Party)" totalsRowLabel="Total Votes by County" dataDxfId="637" totalsRowDxfId="636"/>
    <tableColumn id="4" xr3:uid="{05256F2D-A7FB-454A-86C5-F83762E4D20C}" name="Part of Kings County Vote Results" totalsRowFunction="custom" dataDxfId="635" totalsRowDxfId="634">
      <totalsRowFormula>SUBTOTAL(109,GovBySenateDistrict25General[Total Votes by Candidate])</totalsRowFormula>
    </tableColumn>
    <tableColumn id="3" xr3:uid="{4722A69F-1D75-4762-8704-4EE36F717291}" name="Total Votes by Party" dataDxfId="633" totalsRowDxfId="632">
      <calculatedColumnFormula>GovBySenateDistrict25General[[#This Row],[Part of Kings County Vote Results]]</calculatedColumnFormula>
    </tableColumn>
    <tableColumn id="2" xr3:uid="{50594DC2-E5E0-4BEE-92A6-39D5082A5672}" name="Total Votes by Candidate" dataDxfId="631" totalsRowDxfId="630"/>
  </tableColumns>
  <tableStyleInfo name="TableStyleMedium2" showFirstColumn="0" showLastColumn="0" showRowStripes="0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7" xr:uid="{B802E439-3736-4CE9-8932-9FC62E04B17C}" name="GovBySenateDistrict26General" displayName="GovBySenateDistrict26General" ref="A2:E16" totalsRowCount="1" headerRowDxfId="629" dataDxfId="627" headerRowBorderDxfId="628" tableBorderDxfId="626" totalsRowBorderDxfId="625">
  <autoFilter ref="A2:E15" xr:uid="{A0F66082-C3CF-49A8-8717-7FA6F037760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87A1C8D-1367-47AE-BA12-C4BFFADDB77C}" name="Candidate Name (Party)" totalsRowLabel="Total Votes by County" dataDxfId="624" totalsRowDxfId="623"/>
    <tableColumn id="2" xr3:uid="{81999DD6-AA92-4E74-8748-D3293E856B72}" name="Part of Kings County Vote Results" totalsRowFunction="sum" dataDxfId="622" totalsRowDxfId="621"/>
    <tableColumn id="4" xr3:uid="{5B76373B-F369-42D0-A706-78F799A97983}" name="Part of New York County Vote Results" totalsRowFunction="sum" dataDxfId="620" totalsRowDxfId="619"/>
    <tableColumn id="3" xr3:uid="{FD717A94-A3F1-4C0E-BEF5-E9BEE1E026CE}" name="Total Votes by Party" dataDxfId="618" totalsRowDxfId="617">
      <calculatedColumnFormula>SUM(GovBySenateDistrict26General[[#This Row],[Part of Kings County Vote Results]:[Part of New York County Vote Results]])</calculatedColumnFormula>
    </tableColumn>
    <tableColumn id="5" xr3:uid="{7DD47C63-A92F-4039-8A2D-4E247019442B}" name="Total Votes by Candidate" dataDxfId="616" totalsRowDxfId="615"/>
  </tableColumns>
  <tableStyleInfo name="TableStyleMedium2" showFirstColumn="0" showLastColumn="0" showRowStripes="0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8" xr:uid="{37DE1237-FB73-42BC-83A2-F8D274AB2D36}" name="GovBySenateDistrict27General" displayName="GovBySenateDistrict27General" ref="A2:D16" totalsRowCount="1" headerRowDxfId="614" dataDxfId="612" headerRowBorderDxfId="613" tableBorderDxfId="611" totalsRowBorderDxfId="610">
  <autoFilter ref="A2:D15" xr:uid="{7289FDDC-B944-45C3-99DC-431144AFDF92}">
    <filterColumn colId="0" hiddenButton="1"/>
    <filterColumn colId="1" hiddenButton="1"/>
    <filterColumn colId="2" hiddenButton="1"/>
    <filterColumn colId="3" hiddenButton="1"/>
  </autoFilter>
  <tableColumns count="4">
    <tableColumn id="1" xr3:uid="{13EE5CBC-90F1-46AA-B6EE-3F9DB6F8732B}" name="Candidate Name (Party)" totalsRowLabel="Total Votes by County" dataDxfId="609" totalsRowDxfId="608"/>
    <tableColumn id="4" xr3:uid="{22DCBB53-2111-4103-A6DF-686ABF46598E}" name="Part of New York County Vote Results" totalsRowFunction="custom" dataDxfId="607" totalsRowDxfId="606">
      <totalsRowFormula>SUBTOTAL(109,GovBySenateDistrict27General[Total Votes by Candidate])</totalsRowFormula>
    </tableColumn>
    <tableColumn id="3" xr3:uid="{C57FF416-C38B-4649-8ECE-D64ED597FE93}" name="Total Votes by Party" dataDxfId="605" totalsRowDxfId="604">
      <calculatedColumnFormula>GovBySenateDistrict27General[[#This Row],[Part of New York County Vote Results]]</calculatedColumnFormula>
    </tableColumn>
    <tableColumn id="2" xr3:uid="{D1CDFA5B-A946-4957-838B-748A61B1C255}" name="Total Votes by Candidate" dataDxfId="603" totalsRowDxfId="602"/>
  </tableColumns>
  <tableStyleInfo name="TableStyleMedium2" showFirstColumn="0" showLastColumn="0" showRowStripes="0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9" xr:uid="{36F2A1C4-D213-4D5F-9853-8FE07897D800}" name="GovBySenateDistrict28General" displayName="GovBySenateDistrict28General" ref="A2:D16" totalsRowCount="1" headerRowDxfId="601" dataDxfId="599" headerRowBorderDxfId="600" tableBorderDxfId="598" totalsRowBorderDxfId="597">
  <autoFilter ref="A2:D15" xr:uid="{18814683-659F-4CCC-B7D2-8A1D3948686A}">
    <filterColumn colId="0" hiddenButton="1"/>
    <filterColumn colId="1" hiddenButton="1"/>
    <filterColumn colId="2" hiddenButton="1"/>
    <filterColumn colId="3" hiddenButton="1"/>
  </autoFilter>
  <tableColumns count="4">
    <tableColumn id="1" xr3:uid="{A008FF67-FCD3-4CB0-92BC-5E479A2A8B65}" name="Candidate Name (Party)" totalsRowLabel="Total Votes by County" dataDxfId="596" totalsRowDxfId="595"/>
    <tableColumn id="4" xr3:uid="{B365AA03-13AE-4FE7-9041-5D78CC6EAF06}" name="Part of New York County Vote Results" totalsRowFunction="custom" dataDxfId="594" totalsRowDxfId="593">
      <totalsRowFormula>SUBTOTAL(109,GovBySenateDistrict28General[Total Votes by Candidate])</totalsRowFormula>
    </tableColumn>
    <tableColumn id="3" xr3:uid="{093F3A5A-BDB5-4057-9552-6ECC8529C3AB}" name="Total Votes by Party" dataDxfId="592" totalsRowDxfId="591">
      <calculatedColumnFormula>GovBySenateDistrict28General[[#This Row],[Part of New York County Vote Results]]</calculatedColumnFormula>
    </tableColumn>
    <tableColumn id="2" xr3:uid="{8195D426-7F50-4392-B461-ECDD68504B1A}" name="Total Votes by Candidate" dataDxfId="590" totalsRowDxfId="589"/>
  </tableColumns>
  <tableStyleInfo name="TableStyleMedium2" showFirstColumn="0" showLastColumn="0" showRowStripes="0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0" xr:uid="{66CA2C03-2412-4BC5-9DA8-B059040814F8}" name="GovBySenateDistrict29General" displayName="GovBySenateDistrict29General" ref="A2:E16" totalsRowCount="1" headerRowDxfId="588" dataDxfId="586" headerRowBorderDxfId="587" tableBorderDxfId="585" totalsRowBorderDxfId="584">
  <autoFilter ref="A2:E15" xr:uid="{8DF2FA9B-FB1F-4C47-88FB-25C761885B3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EDDA306-B719-429F-B857-8E72A113FE06}" name="Candidate Name (Party)" totalsRowLabel="Total Votes by County" dataDxfId="583" totalsRowDxfId="582"/>
    <tableColumn id="2" xr3:uid="{6C82493E-42D3-4234-89F1-CB99712358CD}" name="Part of Bronx County Vote Results" totalsRowFunction="sum" dataDxfId="581" totalsRowDxfId="580"/>
    <tableColumn id="4" xr3:uid="{B407988E-A4FF-4843-B3BE-D73E0ECE5E93}" name="Part of New York County Vote Results" totalsRowFunction="sum" dataDxfId="579" totalsRowDxfId="578"/>
    <tableColumn id="3" xr3:uid="{504FD405-FC3C-4CCF-A09F-954082E55683}" name="Total Votes by Party" dataDxfId="577" totalsRowDxfId="576">
      <calculatedColumnFormula>SUM(GovBySenateDistrict29General[[#This Row],[Part of Bronx County Vote Results]:[Part of New York County Vote Results]])</calculatedColumnFormula>
    </tableColumn>
    <tableColumn id="5" xr3:uid="{64A2971A-7C40-408E-B0E8-B42A1CC44D04}" name="Total Votes by Candidate" dataDxfId="575" totalsRowDxfId="574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4" xr:uid="{395F308B-7AC9-4889-A147-E0A923EAA414}" name="GovBySenateDistrict3General" displayName="GovBySenateDistrict3General" ref="A2:D16" totalsRowCount="1" headerRowDxfId="934" dataDxfId="932" headerRowBorderDxfId="933" tableBorderDxfId="931" totalsRowBorderDxfId="930">
  <autoFilter ref="A2:D15" xr:uid="{C407D380-2106-4683-953C-7BABC6ABD3D4}">
    <filterColumn colId="0" hiddenButton="1"/>
    <filterColumn colId="1" hiddenButton="1"/>
    <filterColumn colId="2" hiddenButton="1"/>
    <filterColumn colId="3" hiddenButton="1"/>
  </autoFilter>
  <tableColumns count="4">
    <tableColumn id="1" xr3:uid="{DAD78A7A-9120-46CE-8490-6B0936D0E318}" name="Candidate Name (Party)" totalsRowLabel="Total Votes by County" dataDxfId="929" totalsRowDxfId="928"/>
    <tableColumn id="4" xr3:uid="{F63BBE7C-DAC6-43D0-9CB8-7EAAB9263403}" name="Part of Suffolk County Vote Results" totalsRowFunction="custom" dataDxfId="927" totalsRowDxfId="926">
      <totalsRowFormula>SUBTOTAL(109,GovBySenateDistrict3General[Total Votes by Candidate])</totalsRowFormula>
    </tableColumn>
    <tableColumn id="3" xr3:uid="{CB297C74-1395-4E4F-A747-EADA8C081758}" name="Total Votes by Party" dataDxfId="925" totalsRowDxfId="924">
      <calculatedColumnFormula>GovBySenateDistrict3General[[#This Row],[Part of Suffolk County Vote Results]]</calculatedColumnFormula>
    </tableColumn>
    <tableColumn id="2" xr3:uid="{7F52DD7F-1C49-4267-9E01-E81E6C5B59F6}" name="Total Votes by Candidate" dataDxfId="923" totalsRowDxfId="922"/>
  </tableColumns>
  <tableStyleInfo name="TableStyleMedium2" showFirstColumn="0" showLastColumn="0" showRowStripes="0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1" xr:uid="{AF4F5CB6-6DD8-4E09-A367-FCDF24468365}" name="GovBySenateDistrict30General" displayName="GovBySenateDistrict30General" ref="A2:D16" totalsRowCount="1" headerRowDxfId="573" dataDxfId="571" headerRowBorderDxfId="572" tableBorderDxfId="570" totalsRowBorderDxfId="569">
  <autoFilter ref="A2:D15" xr:uid="{06E1B177-3647-4C39-AE81-EC3FE324478C}">
    <filterColumn colId="0" hiddenButton="1"/>
    <filterColumn colId="1" hiddenButton="1"/>
    <filterColumn colId="2" hiddenButton="1"/>
    <filterColumn colId="3" hiddenButton="1"/>
  </autoFilter>
  <tableColumns count="4">
    <tableColumn id="1" xr3:uid="{E81D79A0-D61C-4717-8289-8F5ED50CF1E6}" name="Candidate Name (Party)" totalsRowLabel="Total Votes by County" dataDxfId="568" totalsRowDxfId="567"/>
    <tableColumn id="4" xr3:uid="{579C3FB2-8858-418D-8D5C-BFBEEEBC2259}" name="Part of New York County Vote Results" totalsRowFunction="custom" dataDxfId="566" totalsRowDxfId="565">
      <totalsRowFormula>SUBTOTAL(109,GovBySenateDistrict30General[Total Votes by Candidate])</totalsRowFormula>
    </tableColumn>
    <tableColumn id="3" xr3:uid="{8143CDDD-B4B8-449A-93EF-B276B5A36035}" name="Total Votes by Party" dataDxfId="564" totalsRowDxfId="563">
      <calculatedColumnFormula>GovBySenateDistrict30General[[#This Row],[Part of New York County Vote Results]]</calculatedColumnFormula>
    </tableColumn>
    <tableColumn id="2" xr3:uid="{D39FB7A7-794D-4002-8CF2-08685F71844B}" name="Total Votes by Candidate" dataDxfId="562" totalsRowDxfId="561"/>
  </tableColumns>
  <tableStyleInfo name="TableStyleMedium2" showFirstColumn="0" showLastColumn="0" showRowStripes="0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2" xr:uid="{B9F741DD-091A-4DFE-A4E9-083106270D45}" name="GovBySenateDistrict31General" displayName="GovBySenateDistrict31General" ref="A2:D16" totalsRowCount="1" headerRowDxfId="560" dataDxfId="558" headerRowBorderDxfId="559" tableBorderDxfId="557" totalsRowBorderDxfId="556">
  <autoFilter ref="A2:D15" xr:uid="{A88CBFDA-EDF2-476C-B2DE-7DC048F1BA94}">
    <filterColumn colId="0" hiddenButton="1"/>
    <filterColumn colId="1" hiddenButton="1"/>
    <filterColumn colId="2" hiddenButton="1"/>
    <filterColumn colId="3" hiddenButton="1"/>
  </autoFilter>
  <tableColumns count="4">
    <tableColumn id="1" xr3:uid="{43E1EA23-E4D1-4431-BE7B-ABCA310D4374}" name="Candidate Name (Party)" totalsRowLabel="Total Votes by County" dataDxfId="555" totalsRowDxfId="554"/>
    <tableColumn id="4" xr3:uid="{910D2D9B-AF1B-44DE-A698-76B4463ACDD1}" name="Part of New York County Vote Results" totalsRowFunction="custom" dataDxfId="553" totalsRowDxfId="552">
      <totalsRowFormula>SUBTOTAL(109,GovBySenateDistrict31General[Total Votes by Candidate])</totalsRowFormula>
    </tableColumn>
    <tableColumn id="3" xr3:uid="{A3F5B3AD-3C7F-4BF7-A64D-84A9466E8F2B}" name="Total Votes by Party" dataDxfId="551" totalsRowDxfId="550">
      <calculatedColumnFormula>GovBySenateDistrict31General[[#This Row],[Part of New York County Vote Results]]</calculatedColumnFormula>
    </tableColumn>
    <tableColumn id="2" xr3:uid="{2A2B7180-6507-42FC-8EAA-CD9EC70B2AFF}" name="Total Votes by Candidate" dataDxfId="549" totalsRowDxfId="548"/>
  </tableColumns>
  <tableStyleInfo name="TableStyleMedium2" showFirstColumn="0" showLastColumn="0" showRowStripes="0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3" xr:uid="{5AE25330-A68A-4C13-8D6F-A36E79EB8A42}" name="GovBySenateDistrict32General" displayName="GovBySenateDistrict32General" ref="A2:D16" totalsRowCount="1" headerRowDxfId="547" dataDxfId="545" headerRowBorderDxfId="546" tableBorderDxfId="544" totalsRowBorderDxfId="543">
  <autoFilter ref="A2:D15" xr:uid="{DC624BA2-9585-4F43-85F7-CC6DBF4A5A2D}">
    <filterColumn colId="0" hiddenButton="1"/>
    <filterColumn colId="1" hiddenButton="1"/>
    <filterColumn colId="2" hiddenButton="1"/>
    <filterColumn colId="3" hiddenButton="1"/>
  </autoFilter>
  <tableColumns count="4">
    <tableColumn id="1" xr3:uid="{9D21E9F8-4DCA-41E5-B257-902CCBD56BEB}" name="Candidate Name (Party)" totalsRowLabel="Total Votes by County" dataDxfId="542" totalsRowDxfId="541"/>
    <tableColumn id="4" xr3:uid="{0A4B7E00-2B21-417D-8B3B-CBAEC6E1E8B7}" name="Part of Bronx County Vote Results" totalsRowFunction="custom" dataDxfId="540" totalsRowDxfId="539">
      <totalsRowFormula>SUBTOTAL(109,GovBySenateDistrict32General[Total Votes by Candidate])</totalsRowFormula>
    </tableColumn>
    <tableColumn id="3" xr3:uid="{A1C96B71-9107-43BF-B681-D855E65DA223}" name="Total Votes by Party" dataDxfId="538" totalsRowDxfId="537">
      <calculatedColumnFormula>GovBySenateDistrict32General[[#This Row],[Part of Bronx County Vote Results]]</calculatedColumnFormula>
    </tableColumn>
    <tableColumn id="2" xr3:uid="{D1EDAD24-16FA-4DA8-B904-174C13BC2EF0}" name="Total Votes by Candidate" dataDxfId="536" totalsRowDxfId="535"/>
  </tableColumns>
  <tableStyleInfo name="TableStyleMedium2" showFirstColumn="0" showLastColumn="0" showRowStripes="0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4" xr:uid="{E258FBBF-1BE2-4475-A3EF-1BABAF21DA10}" name="GovBySenateDistrict33General" displayName="GovBySenateDistrict33General" ref="A2:D16" totalsRowCount="1" headerRowDxfId="534" dataDxfId="532" headerRowBorderDxfId="533" tableBorderDxfId="531" totalsRowBorderDxfId="530">
  <autoFilter ref="A2:D15" xr:uid="{CF0C5451-DE0E-4AD5-827D-B6B7B8E51719}">
    <filterColumn colId="0" hiddenButton="1"/>
    <filterColumn colId="1" hiddenButton="1"/>
    <filterColumn colId="2" hiddenButton="1"/>
    <filterColumn colId="3" hiddenButton="1"/>
  </autoFilter>
  <tableColumns count="4">
    <tableColumn id="1" xr3:uid="{F25FEE23-0BA0-4CB3-B992-6351AA48C5CE}" name="Candidate Name (Party)" totalsRowLabel="Total Votes by County" dataDxfId="529" totalsRowDxfId="528"/>
    <tableColumn id="4" xr3:uid="{330029C1-2A48-4DC7-8409-32394CD73BF8}" name="Part of Bronx County Vote Results" totalsRowFunction="custom" dataDxfId="527" totalsRowDxfId="526">
      <totalsRowFormula>SUBTOTAL(109,GovBySenateDistrict33General[Total Votes by Candidate])</totalsRowFormula>
    </tableColumn>
    <tableColumn id="3" xr3:uid="{23904718-97C3-4E65-AAE9-D85624313E78}" name="Total Votes by Party" dataDxfId="525" totalsRowDxfId="524">
      <calculatedColumnFormula>GovBySenateDistrict33General[[#This Row],[Part of Bronx County Vote Results]]</calculatedColumnFormula>
    </tableColumn>
    <tableColumn id="2" xr3:uid="{6A238050-2DB9-4932-91C0-C19DC2968979}" name="Total Votes by Candidate" dataDxfId="523" totalsRowDxfId="522"/>
  </tableColumns>
  <tableStyleInfo name="TableStyleMedium2" showFirstColumn="0" showLastColumn="0" showRowStripes="0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5" xr:uid="{0736FE63-98B0-4E3C-B88C-640E1D1BC754}" name="GovBySenateDistrict34General" displayName="GovBySenateDistrict34General" ref="A2:E16" totalsRowCount="1" headerRowDxfId="521" dataDxfId="519" headerRowBorderDxfId="520" tableBorderDxfId="518" totalsRowBorderDxfId="517">
  <autoFilter ref="A2:E15" xr:uid="{1F9336B1-DEB9-4EFE-9BB3-440DB8336DA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C92CF89-E616-44AF-B923-2C93B75A7857}" name="Candidate Name (Party)" totalsRowLabel="Total Votes by County" dataDxfId="516" totalsRowDxfId="515"/>
    <tableColumn id="2" xr3:uid="{6336FBAD-A3CA-4E67-B9D8-ED2D21E3D1E3}" name="Part of Bronx County Vote Results" totalsRowFunction="sum" dataDxfId="514" totalsRowDxfId="513"/>
    <tableColumn id="4" xr3:uid="{A10EF10C-CC94-43FC-AAE6-E82A40DC4333}" name="Part of Westchester County Vote Results" totalsRowFunction="sum" dataDxfId="512" totalsRowDxfId="511"/>
    <tableColumn id="3" xr3:uid="{5E676AD2-E7E9-4A26-8F45-2DCF36C38F3F}" name="Total Votes by Party" dataDxfId="510" totalsRowDxfId="509">
      <calculatedColumnFormula>SUM(GovBySenateDistrict34General[[#This Row],[Part of Bronx County Vote Results]:[Part of Westchester County Vote Results]])</calculatedColumnFormula>
    </tableColumn>
    <tableColumn id="5" xr3:uid="{498CBC6E-4B23-4DAC-A70A-1FBED1F0AC03}" name="Total Votes by Candidate" dataDxfId="508" totalsRowDxfId="507"/>
  </tableColumns>
  <tableStyleInfo name="TableStyleMedium2" showFirstColumn="0" showLastColumn="0" showRowStripes="0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6" xr:uid="{C4F7E35D-456D-4EE1-8048-306CDF355F46}" name="GovBySenateDistrict35General" displayName="GovBySenateDistrict35General" ref="A2:D16" totalsRowCount="1" headerRowDxfId="506" dataDxfId="504" headerRowBorderDxfId="505" tableBorderDxfId="503" totalsRowBorderDxfId="502">
  <autoFilter ref="A2:D15" xr:uid="{AB503F31-8577-41A3-AEB5-967DB4114BC6}">
    <filterColumn colId="0" hiddenButton="1"/>
    <filterColumn colId="1" hiddenButton="1"/>
    <filterColumn colId="2" hiddenButton="1"/>
    <filterColumn colId="3" hiddenButton="1"/>
  </autoFilter>
  <tableColumns count="4">
    <tableColumn id="1" xr3:uid="{8C84D4AD-F54F-4C19-B9A5-2FE79AE5F6CF}" name="Candidate Name (Party)" totalsRowLabel="Total Votes by County" dataDxfId="501" totalsRowDxfId="500"/>
    <tableColumn id="4" xr3:uid="{115CB466-0499-40DA-AA98-7845EEA3DB43}" name="Part of Westchester County Vote Results" totalsRowFunction="custom" dataDxfId="499" totalsRowDxfId="498">
      <totalsRowFormula>SUBTOTAL(109,GovBySenateDistrict35General[Total Votes by Candidate])</totalsRowFormula>
    </tableColumn>
    <tableColumn id="3" xr3:uid="{9B249FAE-F8BF-4184-8482-3D9728D02314}" name="Total Votes by Party" dataDxfId="497" totalsRowDxfId="496">
      <calculatedColumnFormula>GovBySenateDistrict35General[[#This Row],[Part of Westchester County Vote Results]]</calculatedColumnFormula>
    </tableColumn>
    <tableColumn id="2" xr3:uid="{21DBEBE1-498F-4AB4-BC02-0385BC1189F2}" name="Total Votes by Candidate" dataDxfId="495" totalsRowDxfId="494"/>
  </tableColumns>
  <tableStyleInfo name="TableStyleMedium2" showFirstColumn="0" showLastColumn="0" showRowStripes="0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7" xr:uid="{9226C800-7635-412A-A5FD-2EA76BB7E484}" name="GovBySenateDistrict36General" displayName="GovBySenateDistrict36General" ref="A2:E16" totalsRowCount="1" headerRowDxfId="493" dataDxfId="491" headerRowBorderDxfId="492" tableBorderDxfId="490" totalsRowBorderDxfId="489">
  <autoFilter ref="A2:E15" xr:uid="{529B9BAF-EB5F-4EBB-B6EE-D97A9C1C8D5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693A9F6-6770-428D-8CCE-322EE6ACFAAC}" name="Candidate Name (Party)" totalsRowLabel="Total Votes by County" dataDxfId="488" totalsRowDxfId="487"/>
    <tableColumn id="2" xr3:uid="{53C433F7-9F68-4DE6-B3AF-32D2BA6962C0}" name="Part of Bronx County Vote Results" totalsRowFunction="sum" dataDxfId="486" totalsRowDxfId="485"/>
    <tableColumn id="4" xr3:uid="{C4EE6A95-03E7-45CA-84E1-1DFDCE59D988}" name="Part of Westchester County Vote Results" totalsRowFunction="sum" dataDxfId="484" totalsRowDxfId="483"/>
    <tableColumn id="3" xr3:uid="{4BFC8264-CE95-47BF-8DCD-6E6F18298C21}" name="Total Votes by Party" dataDxfId="482" totalsRowDxfId="481">
      <calculatedColumnFormula>SUM(GovBySenateDistrict36General[[#This Row],[Part of Bronx County Vote Results]:[Part of Westchester County Vote Results]])</calculatedColumnFormula>
    </tableColumn>
    <tableColumn id="5" xr3:uid="{4FCFF4F9-30D6-477A-9B61-86149F2B56B2}" name="Total Votes by Candidate" dataDxfId="480" totalsRowDxfId="479"/>
  </tableColumns>
  <tableStyleInfo name="TableStyleMedium2" showFirstColumn="0" showLastColumn="0" showRowStripes="0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8" xr:uid="{7D66AD67-D771-4775-8C73-97B7347395C1}" name="GovBySenateDistrict37General" displayName="GovBySenateDistrict37General" ref="A2:D16" totalsRowCount="1" headerRowDxfId="478" dataDxfId="476" headerRowBorderDxfId="477" tableBorderDxfId="475" totalsRowBorderDxfId="474">
  <autoFilter ref="A2:D15" xr:uid="{3057041E-6785-49D9-AB95-FF8FA15D14D5}">
    <filterColumn colId="0" hiddenButton="1"/>
    <filterColumn colId="1" hiddenButton="1"/>
    <filterColumn colId="2" hiddenButton="1"/>
    <filterColumn colId="3" hiddenButton="1"/>
  </autoFilter>
  <tableColumns count="4">
    <tableColumn id="1" xr3:uid="{A51090F8-349E-4382-AA34-A9F62E1162D4}" name="Candidate Name (Party)" totalsRowLabel="Total Votes by County" dataDxfId="473" totalsRowDxfId="472"/>
    <tableColumn id="4" xr3:uid="{7AA1E147-F6AF-4EC3-BB64-D94DF3870ADD}" name="Part of Westchester County Vote Results" totalsRowFunction="custom" dataDxfId="471" totalsRowDxfId="470">
      <totalsRowFormula>SUBTOTAL(109,GovBySenateDistrict37General[Total Votes by Candidate])</totalsRowFormula>
    </tableColumn>
    <tableColumn id="3" xr3:uid="{9BC695D8-B85F-4280-AE79-9C3808B078F7}" name="Total Votes by Party" dataDxfId="469" totalsRowDxfId="468">
      <calculatedColumnFormula>GovBySenateDistrict37General[[#This Row],[Part of Westchester County Vote Results]]</calculatedColumnFormula>
    </tableColumn>
    <tableColumn id="2" xr3:uid="{5CDBBF7D-BAA6-43B5-A01F-366CC54DB14B}" name="Total Votes by Candidate" dataDxfId="467" totalsRowDxfId="466"/>
  </tableColumns>
  <tableStyleInfo name="TableStyleMedium2" showFirstColumn="0" showLastColumn="0" showRowStripes="0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9" xr:uid="{CEF5DA73-6A2B-4C38-9883-A3896EBBCBC3}" name="GovBySenateDistrict38General" displayName="GovBySenateDistrict38General" ref="A2:E16" totalsRowCount="1" headerRowDxfId="465" dataDxfId="463" headerRowBorderDxfId="464" tableBorderDxfId="462" totalsRowBorderDxfId="461">
  <autoFilter ref="A2:E15" xr:uid="{7690CDEA-8C06-4243-93E9-53ED05A6636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68E4942-E50F-4F13-B270-827636E7730D}" name="Candidate Name (Party)" totalsRowLabel="Total Votes by County" dataDxfId="460" totalsRowDxfId="459"/>
    <tableColumn id="2" xr3:uid="{ABBC3B4F-6101-4DE6-966F-B11D40F97185}" name="Part of Rockland County Vote Results" totalsRowFunction="sum" dataDxfId="458" totalsRowDxfId="457"/>
    <tableColumn id="4" xr3:uid="{24ADB9E5-BD96-4067-9786-87D0C41797B1}" name="Part of Westchester County Vote Results" totalsRowFunction="sum" dataDxfId="456" totalsRowDxfId="455"/>
    <tableColumn id="3" xr3:uid="{7399957F-5BBC-4756-85C5-88C5D50DEE66}" name="Total Votes by Party" dataDxfId="454" totalsRowDxfId="453">
      <calculatedColumnFormula>SUM(GovBySenateDistrict38General[[#This Row],[Part of Rockland County Vote Results]:[Part of Westchester County Vote Results]])</calculatedColumnFormula>
    </tableColumn>
    <tableColumn id="5" xr3:uid="{38EA20ED-0BAD-460B-BB77-78295A15320D}" name="Total Votes by Candidate" dataDxfId="452" totalsRowDxfId="451"/>
  </tableColumns>
  <tableStyleInfo name="TableStyleMedium2" showFirstColumn="0" showLastColumn="0" showRowStripes="0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0" xr:uid="{C99370AA-AECD-46E2-9B75-83347D9CB286}" name="GovBySenateDistrict39General" displayName="GovBySenateDistrict39General" ref="A2:F16" totalsRowCount="1" headerRowDxfId="450" dataDxfId="448" headerRowBorderDxfId="449" tableBorderDxfId="447" totalsRowBorderDxfId="446">
  <autoFilter ref="A2:F15" xr:uid="{2E1220FB-A596-4B89-B2D5-A4A010A802E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8F49425-BC9C-406F-B7C6-3432D6440146}" name="Candidate Name (Party)" totalsRowLabel="Total Votes by County" dataDxfId="445" totalsRowDxfId="444"/>
    <tableColumn id="2" xr3:uid="{97A368B1-B736-46E3-BC22-C1905EAF48B5}" name="Part of Orange County Vote Results" totalsRowFunction="sum" dataDxfId="443" totalsRowDxfId="442"/>
    <tableColumn id="3" xr3:uid="{C8F7CA66-2F20-4622-B721-AACB9E3D5C0E}" name="Part of Rockland County Vote Results" dataDxfId="441" totalsRowDxfId="440"/>
    <tableColumn id="4" xr3:uid="{CF389271-6D0E-4DE5-B143-1586E6FEA905}" name="Part of Ulster County Vote Results" totalsRowFunction="sum" dataDxfId="439" totalsRowDxfId="438"/>
    <tableColumn id="6" xr3:uid="{B4D1118B-167F-492F-9DA2-51B1D11261D2}" name="Total Votes by Party" dataDxfId="437" totalsRowDxfId="436">
      <calculatedColumnFormula>SUM(GovBySenateDistrict39General[[#This Row],[Part of Orange County Vote Results]:[Part of Ulster County Vote Results]])</calculatedColumnFormula>
    </tableColumn>
    <tableColumn id="5" xr3:uid="{FE4EA328-296F-4797-8117-265F879DD383}" name="Total Votes by Candidate" dataDxfId="435" totalsRowDxfId="434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5" xr:uid="{57847803-81C7-4B8A-A504-96F95B3E3033}" name="GovBySenateDistrict4General" displayName="GovBySenateDistrict4General" ref="A2:D16" totalsRowCount="1" headerRowDxfId="921" dataDxfId="919" headerRowBorderDxfId="920" tableBorderDxfId="918" totalsRowBorderDxfId="917">
  <autoFilter ref="A2:D15" xr:uid="{BB5D6755-7D3B-4CE4-8199-D79E9FFC3E6E}">
    <filterColumn colId="0" hiddenButton="1"/>
    <filterColumn colId="1" hiddenButton="1"/>
    <filterColumn colId="2" hiddenButton="1"/>
    <filterColumn colId="3" hiddenButton="1"/>
  </autoFilter>
  <tableColumns count="4">
    <tableColumn id="1" xr3:uid="{41A14873-98C0-4007-921F-4557BC59D9C6}" name="Candidate Name (Party)" totalsRowLabel="Total Votes by County" dataDxfId="916" totalsRowDxfId="915"/>
    <tableColumn id="4" xr3:uid="{F11AC083-657E-4E64-9F5F-382169FA8738}" name="Part of Suffolk County Vote Results" totalsRowFunction="custom" dataDxfId="914" totalsRowDxfId="913">
      <totalsRowFormula>SUBTOTAL(109,GovBySenateDistrict4General[Total Votes by Candidate])</totalsRowFormula>
    </tableColumn>
    <tableColumn id="3" xr3:uid="{4B563D7B-770A-4542-A9F8-2FBF6CACE759}" name="Total Votes by Party" dataDxfId="912" totalsRowDxfId="911">
      <calculatedColumnFormula>GovBySenateDistrict4General[[#This Row],[Part of Suffolk County Vote Results]]</calculatedColumnFormula>
    </tableColumn>
    <tableColumn id="2" xr3:uid="{72103160-D54A-4A18-85C7-4C8A30E43E77}" name="Total Votes by Candidate" dataDxfId="910" totalsRowDxfId="909"/>
  </tableColumns>
  <tableStyleInfo name="TableStyleMedium2" showFirstColumn="0" showLastColumn="0" showRowStripes="0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1" xr:uid="{3B73B61C-F331-433C-9EF5-0709B788E9A0}" name="GovBySenateDistrict40General" displayName="GovBySenateDistrict40General" ref="A2:F16" totalsRowCount="1" headerRowDxfId="433" dataDxfId="431" headerRowBorderDxfId="432" tableBorderDxfId="430" totalsRowBorderDxfId="429">
  <autoFilter ref="A2:F15" xr:uid="{F09FB48D-55F3-4CDA-823C-DEE322C0836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CBE4709-8C42-47A5-B3A6-198EB0ADE1AD}" name="Candidate Name (Party)" totalsRowLabel="Total Votes by County" dataDxfId="428" totalsRowDxfId="427"/>
    <tableColumn id="2" xr3:uid="{D1800122-FB89-486F-9526-B8995F4356DC}" name="Part of Dutchess County Vote Results" totalsRowFunction="sum" dataDxfId="426" totalsRowDxfId="425"/>
    <tableColumn id="3" xr3:uid="{B7EF91E9-C28F-4CE0-BCEE-97730F4677F5}" name="Part of Putnam County Vote Results" dataDxfId="424" totalsRowDxfId="423"/>
    <tableColumn id="4" xr3:uid="{B4FDF305-9B70-4E42-8DD1-2821B74C09D1}" name="Part of Westchester County Vote Results" totalsRowFunction="sum" dataDxfId="422" totalsRowDxfId="421"/>
    <tableColumn id="6" xr3:uid="{A12B093F-579B-4EE7-93FD-C6F0AD7D772D}" name="Total Votes by Party" dataDxfId="420" totalsRowDxfId="419">
      <calculatedColumnFormula>SUM(GovBySenateDistrict40General[[#This Row],[Part of Dutchess County Vote Results]:[Part of Westchester County Vote Results]])</calculatedColumnFormula>
    </tableColumn>
    <tableColumn id="5" xr3:uid="{46E74898-1ABF-4CFF-B9B1-656A9222FA2C}" name="Total Votes by Candidate" dataDxfId="418" totalsRowDxfId="417"/>
  </tableColumns>
  <tableStyleInfo name="TableStyleMedium2" showFirstColumn="0" showLastColumn="0" showRowStripes="0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2" xr:uid="{EA5C04A4-022C-4BC4-822C-4294CCD0A7EE}" name="GovBySenateDistrict41General" displayName="GovBySenateDistrict41General" ref="A2:E16" totalsRowCount="1" headerRowDxfId="416" dataDxfId="414" headerRowBorderDxfId="415" tableBorderDxfId="413" totalsRowBorderDxfId="412">
  <autoFilter ref="A2:E15" xr:uid="{9BE17499-5C08-4C37-8870-E0C5BAB7C4B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7D921D3A-CC82-4538-9508-AA1C5C31D505}" name="Candidate Name (Party)" totalsRowLabel="Total Votes by County" dataDxfId="411" totalsRowDxfId="410"/>
    <tableColumn id="2" xr3:uid="{2209DEF5-4AF6-4258-A20A-26AA37982326}" name="Part of Dutchess County Vote Results" totalsRowFunction="sum" dataDxfId="409" totalsRowDxfId="408"/>
    <tableColumn id="4" xr3:uid="{74C3AABA-EF0E-4C6E-B8E1-F1834C3FE543}" name="Part of Putnam County Vote Results" totalsRowFunction="sum" dataDxfId="407" totalsRowDxfId="406"/>
    <tableColumn id="3" xr3:uid="{6A784A1D-F867-47BB-86BA-F10986243917}" name="Total Votes by Party" dataDxfId="405" totalsRowDxfId="404">
      <calculatedColumnFormula>SUM(GovBySenateDistrict41General[[#This Row],[Part of Dutchess County Vote Results]:[Part of Putnam County Vote Results]])</calculatedColumnFormula>
    </tableColumn>
    <tableColumn id="5" xr3:uid="{5D2EAA23-769C-4AEF-8065-01A84312B5B4}" name="Total Votes by Candidate" dataDxfId="403" totalsRowDxfId="402"/>
  </tableColumns>
  <tableStyleInfo name="TableStyleMedium2" showFirstColumn="0" showLastColumn="0" showRowStripes="0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3" xr:uid="{DE85E286-53E0-45FE-AA77-30E9AA855FC1}" name="GovBySenateDistrict42General" displayName="GovBySenateDistrict42General" ref="A2:G16" totalsRowCount="1" headerRowDxfId="401" dataDxfId="399" headerRowBorderDxfId="400" tableBorderDxfId="398" totalsRowBorderDxfId="397">
  <autoFilter ref="A2:G15" xr:uid="{AB79F6E8-FA25-473E-940D-2EBDE965003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BA4642C7-09E4-4A54-87C0-1AB45AF31DFA}" name="Candidate Name (Party)" totalsRowLabel="Total Votes by County" dataDxfId="396" totalsRowDxfId="395"/>
    <tableColumn id="2" xr3:uid="{2D2A17B1-2346-4465-9F81-54EC0647C537}" name="Sullivan County Vote Results" totalsRowFunction="sum" dataDxfId="394" totalsRowDxfId="393"/>
    <tableColumn id="6" xr3:uid="{ED9C7469-6FA7-440F-9603-095D21097A7D}" name="Part of Delaware County Vote Results" dataDxfId="392" totalsRowDxfId="391"/>
    <tableColumn id="3" xr3:uid="{FBF65BB1-8A90-4E02-BFDE-21FB8031178D}" name="Part of Orange County Vote Results" dataDxfId="390" totalsRowDxfId="389"/>
    <tableColumn id="4" xr3:uid="{D70EA635-3345-44D9-9311-5DD464F5F84B}" name="Part of Ulster County Vote Results" totalsRowFunction="sum" dataDxfId="388" totalsRowDxfId="387"/>
    <tableColumn id="7" xr3:uid="{615C6CF4-1D6C-4377-AAD5-7B63EBF4C123}" name="Total Votes by Party" dataDxfId="386" totalsRowDxfId="385">
      <calculatedColumnFormula>SUM(GovBySenateDistrict42General[[#This Row],[Sullivan County Vote Results]:[Part of Ulster County Vote Results]])</calculatedColumnFormula>
    </tableColumn>
    <tableColumn id="5" xr3:uid="{87AFC66C-948C-44D6-99FD-FFC0D2654B18}" name="Total Votes by Candidate" dataDxfId="384" totalsRowDxfId="383"/>
  </tableColumns>
  <tableStyleInfo name="TableStyleMedium2" showFirstColumn="0" showLastColumn="0" showRowStripes="0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4" xr:uid="{25A67189-2773-40DC-9D50-831AE21AF593}" name="GovBySenateDistrict43General" displayName="GovBySenateDistrict43General" ref="A2:G16" totalsRowCount="1" headerRowDxfId="382" dataDxfId="380" headerRowBorderDxfId="381" tableBorderDxfId="379" totalsRowBorderDxfId="378">
  <autoFilter ref="A2:G15" xr:uid="{80A1E4E3-5448-4AC7-A640-5CF2C40B5CD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6C524BD3-8E19-4DC1-92DB-5C23A657A548}" name="Candidate Name (Party)" totalsRowLabel="Total Votes by County" dataDxfId="377" totalsRowDxfId="376"/>
    <tableColumn id="2" xr3:uid="{B3C09F51-6D88-4B7B-9900-E511FA6EE991}" name="Columbia County Vote Results" totalsRowFunction="sum" dataDxfId="375" totalsRowDxfId="374"/>
    <tableColumn id="6" xr3:uid="{39F8F9A1-97C6-4208-A133-215476026A85}" name="Part of Rensselaer County Vote Results" dataDxfId="373" totalsRowDxfId="372"/>
    <tableColumn id="3" xr3:uid="{9BA85943-9ECF-40B3-A899-A75276D5CA4D}" name="Part of Saratoga County Vote Results" dataDxfId="371" totalsRowDxfId="370"/>
    <tableColumn id="4" xr3:uid="{E61C6051-F256-41B7-A4C9-551A251F42FA}" name="Part of Washington County Vote Results" totalsRowFunction="sum" dataDxfId="369" totalsRowDxfId="368"/>
    <tableColumn id="7" xr3:uid="{DB5F3EEE-161C-411E-99DA-DAC01C696B85}" name="Total Votes by Party" dataDxfId="367" totalsRowDxfId="366">
      <calculatedColumnFormula>SUM(GovBySenateDistrict43General[[#This Row],[Columbia County Vote Results]:[Part of Washington County Vote Results]])</calculatedColumnFormula>
    </tableColumn>
    <tableColumn id="5" xr3:uid="{662B428F-0852-487F-A6D3-F668EB2C27FB}" name="Total Votes by Candidate" dataDxfId="365" totalsRowDxfId="364"/>
  </tableColumns>
  <tableStyleInfo name="TableStyleMedium2" showFirstColumn="0" showLastColumn="0" showRowStripes="0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5" xr:uid="{8F0AC1AD-0F3D-4978-8B6D-7B4A88D26FA8}" name="GovBySenateDistrict44General" displayName="GovBySenateDistrict44General" ref="A2:E16" totalsRowCount="1" headerRowDxfId="363" dataDxfId="361" headerRowBorderDxfId="362" tableBorderDxfId="360" totalsRowBorderDxfId="359">
  <autoFilter ref="A2:E15" xr:uid="{8C919AFB-56CC-4A0E-BE49-7F2DB45FC56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A5E4199-9073-4B76-A18E-21326B892C35}" name="Candidate Name (Party)" totalsRowLabel="Total Votes by County" dataDxfId="358" totalsRowDxfId="357"/>
    <tableColumn id="2" xr3:uid="{531D379B-F8ED-40FE-8E72-1007C0F84294}" name="Part of Albany County Vote Results" totalsRowFunction="sum" dataDxfId="356" totalsRowDxfId="355"/>
    <tableColumn id="4" xr3:uid="{24DC576E-24BA-46DA-8ED1-5EAC4AF2224D}" name="Part of Rensselaer County Vote Results" totalsRowFunction="sum" dataDxfId="354" totalsRowDxfId="353"/>
    <tableColumn id="3" xr3:uid="{6E874DE0-777D-44B1-85E0-DB9580B0DA92}" name="Total Votes by Party" dataDxfId="352" totalsRowDxfId="351">
      <calculatedColumnFormula>SUM(GovBySenateDistrict44General[[#This Row],[Part of Albany County Vote Results]:[Part of Rensselaer County Vote Results]])</calculatedColumnFormula>
    </tableColumn>
    <tableColumn id="5" xr3:uid="{65B989E1-B3C3-4C17-AF0B-171CE5B42F5B}" name="Total Votes by Candidate" dataDxfId="350" totalsRowDxfId="349"/>
  </tableColumns>
  <tableStyleInfo name="TableStyleMedium2" showFirstColumn="0" showLastColumn="0" showRowStripes="0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6" xr:uid="{E01E702F-065D-4196-A1B3-4DCD145BA418}" name="GovBySenateDistrict45General" displayName="GovBySenateDistrict45General" ref="A2:I16" totalsRowCount="1" headerRowDxfId="348" dataDxfId="346" headerRowBorderDxfId="347" tableBorderDxfId="345" totalsRowBorderDxfId="344">
  <autoFilter ref="A2:I15" xr:uid="{0D96246E-FC3B-4CBB-982D-2F57B0C8152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7ECA4E6B-F2BD-41DF-BCCC-BE97FDAD297A}" name="Candidate Name (Party)" totalsRowLabel="Total Votes by County" dataDxfId="343" totalsRowDxfId="342"/>
    <tableColumn id="2" xr3:uid="{BA55DE2B-2911-42F1-B7BB-41A2BF1B9A03}" name="Clinton County Vote Results" totalsRowFunction="sum" dataDxfId="341" totalsRowDxfId="340"/>
    <tableColumn id="6" xr3:uid="{7E8D6BDF-54FA-41A0-850A-F2F45BC6ECB8}" name="Essex County Vote Results" dataDxfId="339" totalsRowDxfId="338"/>
    <tableColumn id="8" xr3:uid="{AA3B4293-0B69-40AA-AFB6-542EBF1EFD1E}" name="Franklin County Vote Results" dataDxfId="337" totalsRowDxfId="336"/>
    <tableColumn id="7" xr3:uid="{A7F7F418-BDF6-4243-BEC7-57C78D931C96}" name="Warren County Vote Results" dataDxfId="335" totalsRowDxfId="334"/>
    <tableColumn id="3" xr3:uid="{AC9DC56B-89C0-4919-B1C7-9B0D7D8FA75E}" name="Part of St. Lawrence County Vote Results" dataDxfId="333" totalsRowDxfId="332"/>
    <tableColumn id="4" xr3:uid="{0F4EADC4-5346-4CFE-94E7-66B8F930ED8F}" name="Part of Washington County Vote Results" totalsRowFunction="sum" dataDxfId="331" totalsRowDxfId="330"/>
    <tableColumn id="9" xr3:uid="{6F4963EA-6070-41EF-AB7A-1CA93A10F700}" name="Total Votes by Party" dataDxfId="329" totalsRowDxfId="328">
      <calculatedColumnFormula>SUM(GovBySenateDistrict45General[[#This Row],[Clinton County Vote Results]:[Part of Washington County Vote Results]])</calculatedColumnFormula>
    </tableColumn>
    <tableColumn id="5" xr3:uid="{D4A26026-EFFC-4959-8481-61325B2B3DC3}" name="Total Votes by Candidate" dataDxfId="327" totalsRowDxfId="326"/>
  </tableColumns>
  <tableStyleInfo name="TableStyleMedium2" showFirstColumn="0" showLastColumn="0" showRowStripes="0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7" xr:uid="{2473A699-6A4B-42C3-866D-94F41EEC82D4}" name="GovBySenateDistrict46General" displayName="GovBySenateDistrict46General" ref="A2:H16" totalsRowCount="1" headerRowDxfId="325" dataDxfId="323" headerRowBorderDxfId="324" tableBorderDxfId="322" totalsRowBorderDxfId="321">
  <autoFilter ref="A2:H15" xr:uid="{BFE79B60-2C70-41ED-9AC9-068BC297A7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AFFE2966-E53F-48EC-BD40-CF464507AAAA}" name="Candidate Name (Party)" totalsRowLabel="Total Votes by County" dataDxfId="320" totalsRowDxfId="319"/>
    <tableColumn id="2" xr3:uid="{7E551569-B427-4DD1-8D18-CD038ECA62F3}" name="Greene County Vote Results" totalsRowFunction="sum" dataDxfId="318" totalsRowDxfId="317"/>
    <tableColumn id="6" xr3:uid="{A8E42A69-0DD3-4132-8503-867C34F68D06}" name="Montgomery County Vote Results" dataDxfId="316" totalsRowDxfId="315"/>
    <tableColumn id="7" xr3:uid="{FB9F07E6-BF7E-4E3A-BCB7-8624DA07DFEC}" name="Part of Albany County Vote Results" dataDxfId="314" totalsRowDxfId="313"/>
    <tableColumn id="3" xr3:uid="{D57B052E-F1BC-4E13-A0E6-4597F4CD6EE5}" name="Part of Schenectady County Vote Results" dataDxfId="312" totalsRowDxfId="311"/>
    <tableColumn id="4" xr3:uid="{AB6A43C6-B3A5-4769-96BC-CE1ADC16186D}" name="Part of Ulster County Vote Results" totalsRowFunction="sum" dataDxfId="310" totalsRowDxfId="309"/>
    <tableColumn id="8" xr3:uid="{FE66FCD3-4524-44B4-A709-0B0AED1741A6}" name="Total Votes by Party" dataDxfId="308" totalsRowDxfId="307">
      <calculatedColumnFormula>SUM(GovBySenateDistrict46General[[#This Row],[Greene County Vote Results]:[Part of Ulster County Vote Results]])</calculatedColumnFormula>
    </tableColumn>
    <tableColumn id="5" xr3:uid="{DA4604EC-E7BD-4636-914E-67D27289EB01}" name="Total Votes by Candidate" dataDxfId="306" totalsRowDxfId="305"/>
  </tableColumns>
  <tableStyleInfo name="TableStyleMedium2" showFirstColumn="0" showLastColumn="0" showRowStripes="0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8" xr:uid="{3368E730-6DCE-4E1A-BA5D-D07EB7F9DAF5}" name="GovBySenateDistrict47General" displayName="GovBySenateDistrict47General" ref="A2:F16" totalsRowCount="1" headerRowDxfId="304" dataDxfId="302" headerRowBorderDxfId="303" tableBorderDxfId="301" totalsRowBorderDxfId="300">
  <autoFilter ref="A2:F15" xr:uid="{511BB64A-A145-4BC5-B1F7-1D1EFCEB439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1720300-A68E-4CB2-80B5-F9E26166A189}" name="Candidate Name (Party)" totalsRowLabel="Total Votes by County" dataDxfId="299" totalsRowDxfId="298"/>
    <tableColumn id="2" xr3:uid="{A0376DE0-6C87-4B70-9A58-53DC5A685D8A}" name="Lewis County Vote Results" totalsRowFunction="sum" dataDxfId="297" totalsRowDxfId="296"/>
    <tableColumn id="3" xr3:uid="{77342521-B6DA-4001-9A5C-A53368B3111B}" name="Part of Oneida County Vote Results" dataDxfId="295" totalsRowDxfId="294"/>
    <tableColumn id="4" xr3:uid="{FB0767AC-7BC2-4A14-A781-0FD3B706B297}" name="Part of St. Lawrence County Vote Results" totalsRowFunction="sum" dataDxfId="293" totalsRowDxfId="292"/>
    <tableColumn id="6" xr3:uid="{3755E226-FAB2-42F8-ACDE-6AE0F4A408D6}" name="Total Votes by Party" dataDxfId="291" totalsRowDxfId="290">
      <calculatedColumnFormula>SUM(GovBySenateDistrict47General[[#This Row],[Lewis County Vote Results]:[Part of St. Lawrence County Vote Results]])</calculatedColumnFormula>
    </tableColumn>
    <tableColumn id="5" xr3:uid="{FA62F802-78F1-4830-83A5-2AA8D9915647}" name="Total Votes by Candidate" dataDxfId="289" totalsRowDxfId="288"/>
  </tableColumns>
  <tableStyleInfo name="TableStyleMedium2" showFirstColumn="0" showLastColumn="0" showRowStripes="0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9" xr:uid="{F8A9262E-987D-45E8-831B-D5F50C80DA74}" name="GovBySenateDistrict48General" displayName="GovBySenateDistrict48General" ref="A2:F16" totalsRowCount="1" headerRowDxfId="287" dataDxfId="285" headerRowBorderDxfId="286" tableBorderDxfId="284" totalsRowBorderDxfId="283">
  <autoFilter ref="A2:F15" xr:uid="{007DCD8C-E5E0-46A7-A8B0-F573A1D2017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1FFEFD4-06B1-4EA8-9FCE-3D7ED60F9693}" name="Candidate Name (Party)" totalsRowLabel="Total Votes by County" dataDxfId="282" totalsRowDxfId="281"/>
    <tableColumn id="2" xr3:uid="{2A290779-4327-497C-8191-0E19B55C89C3}" name="Jefferson County Vote Results" totalsRowFunction="sum" dataDxfId="280" totalsRowDxfId="279"/>
    <tableColumn id="3" xr3:uid="{D4120FF9-021D-42D1-8947-93BCFFA3B94E}" name="Oswego County Vote Results" dataDxfId="278" totalsRowDxfId="277"/>
    <tableColumn id="4" xr3:uid="{D3FEF3BC-5BA9-41A0-84FD-C7F8780BA8C7}" name="Part of St. Lawrence County Vote Results" totalsRowFunction="sum" dataDxfId="276" totalsRowDxfId="275"/>
    <tableColumn id="6" xr3:uid="{293725A4-3906-42B3-A0BD-18C95346D8B4}" name="Total Votes by Party" dataDxfId="274" totalsRowDxfId="273">
      <calculatedColumnFormula>SUM(GovBySenateDistrict48General[[#This Row],[Jefferson County Vote Results]:[Part of St. Lawrence County Vote Results]])</calculatedColumnFormula>
    </tableColumn>
    <tableColumn id="5" xr3:uid="{BFFB8675-56E1-4A99-A112-2CF9CB2C2FC0}" name="Total Votes by Candidate" dataDxfId="272" totalsRowDxfId="271"/>
  </tableColumns>
  <tableStyleInfo name="TableStyleMedium2" showFirstColumn="0" showLastColumn="0" showRowStripes="0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0" xr:uid="{57ABD695-A5CA-4CC5-B33E-88A8D44C1189}" name="GovBySenateDistrict49General" displayName="GovBySenateDistrict49General" ref="A2:H16" totalsRowCount="1" headerRowDxfId="270" dataDxfId="268" headerRowBorderDxfId="269" tableBorderDxfId="267" totalsRowBorderDxfId="266">
  <autoFilter ref="A2:H15" xr:uid="{A8BD45CF-D23E-4ADA-9D52-1CDD72F5C69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D8B7A5EF-E3B5-47C6-8C67-C4D7F6CDE7A0}" name="Candidate Name (Party)" totalsRowLabel="Total Votes by County" dataDxfId="265" totalsRowDxfId="264"/>
    <tableColumn id="2" xr3:uid="{7F00A4FC-9ACC-40B5-9670-65271A6F89FF}" name="Fulton County Vote Results" totalsRowFunction="sum" dataDxfId="263" totalsRowDxfId="262"/>
    <tableColumn id="6" xr3:uid="{6559A557-7F62-4B5B-95A5-F3BECC1015FB}" name="Hamilton County Vote Results" dataDxfId="261" totalsRowDxfId="260"/>
    <tableColumn id="7" xr3:uid="{127B68F4-2C75-43F9-95FD-19D247EEE2DC}" name="Part of Herkimer County Vote Results" dataDxfId="259" totalsRowDxfId="258"/>
    <tableColumn id="3" xr3:uid="{F394A35B-EDFD-4580-89B0-694B1DB1996C}" name="Part of Saratoga County Vote Results" dataDxfId="257" totalsRowDxfId="256"/>
    <tableColumn id="4" xr3:uid="{15A4B469-EEC9-4564-AF8A-CF0E1374143B}" name="Part of Schenectady County Vote Results" totalsRowFunction="sum" dataDxfId="255" totalsRowDxfId="254"/>
    <tableColumn id="8" xr3:uid="{A790CC3A-D5FB-49DE-AFBE-2DF856491C82}" name="Total Votes by Party" dataDxfId="253" totalsRowDxfId="252">
      <calculatedColumnFormula>SUM(GovBySenateDistrict49General[[#This Row],[Fulton County Vote Results]:[Part of Schenectady County Vote Results]])</calculatedColumnFormula>
    </tableColumn>
    <tableColumn id="5" xr3:uid="{1382E770-D7CA-4194-B2DA-6CD201A0A913}" name="Total Votes by Candidate" dataDxfId="251" totalsRowDxfId="250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6" xr:uid="{0ABF46A9-3E20-474C-903B-228C2D1A4BF1}" name="GovBySenateDistrict5General" displayName="GovBySenateDistrict5General" ref="A2:E16" totalsRowCount="1" headerRowDxfId="908" dataDxfId="906" headerRowBorderDxfId="907" tableBorderDxfId="905" totalsRowBorderDxfId="904">
  <autoFilter ref="A2:E15" xr:uid="{D666BF6E-8B33-4ED3-9592-903D5111B75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B04DF52-2D9D-495F-8DA8-913B7030B8FE}" name="Candidate Name (Party)" totalsRowLabel="Total Votes by County" dataDxfId="903" totalsRowDxfId="902"/>
    <tableColumn id="2" xr3:uid="{37EA13D7-98D5-405B-9F84-94DB6286AEDC}" name="Part of Nassau County Vote Results" totalsRowFunction="sum" dataDxfId="901" totalsRowDxfId="900"/>
    <tableColumn id="4" xr3:uid="{F4B60E84-FAE6-48DA-BDC6-28CCF156E7A7}" name="Part of Suffolk County Vote Results" totalsRowFunction="sum" dataDxfId="899" totalsRowDxfId="898"/>
    <tableColumn id="3" xr3:uid="{E14B6328-77D3-4BBA-AD45-21849A87E7B4}" name="Total Votes by Party" dataDxfId="897" totalsRowDxfId="896">
      <calculatedColumnFormula>SUM(GovBySenateDistrict5General[[#This Row],[Part of Nassau County Vote Results]:[Part of Suffolk County Vote Results]])</calculatedColumnFormula>
    </tableColumn>
    <tableColumn id="5" xr3:uid="{F0F62B26-72CA-4386-9927-847810C904BD}" name="Total Votes by Candidate" dataDxfId="895" totalsRowDxfId="894"/>
  </tableColumns>
  <tableStyleInfo name="TableStyleMedium2" showFirstColumn="0" showLastColumn="0" showRowStripes="0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1" xr:uid="{3B728BFE-BF9C-49EE-A94D-C53B02C67459}" name="GovBySenateDistrict50General" displayName="GovBySenateDistrict50General" ref="A2:E16" totalsRowCount="1" headerRowDxfId="249" dataDxfId="247" headerRowBorderDxfId="248" tableBorderDxfId="246" totalsRowBorderDxfId="245">
  <autoFilter ref="A2:E15" xr:uid="{3BA30AD7-4973-405B-A465-BB21E1980FD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DB83A80-D5CE-4E0C-8CD1-99EBB9ADB17D}" name="Candidate Name (Party)" totalsRowLabel="Total Votes by County" dataDxfId="244" totalsRowDxfId="243"/>
    <tableColumn id="2" xr3:uid="{21AF8A25-67EA-4679-BAFA-B56EB1FCD44C}" name="Part of Cayuga County Vote Results" totalsRowFunction="sum" dataDxfId="242" totalsRowDxfId="241"/>
    <tableColumn id="4" xr3:uid="{C4A0DF88-18B2-4699-B0AE-9DD97B7D77C9}" name="Part of Onondaga County Vote Results" totalsRowFunction="sum" dataDxfId="240" totalsRowDxfId="239"/>
    <tableColumn id="3" xr3:uid="{4BFBE938-6301-4E68-A077-3BD11F69CFB1}" name="Total Votes by Party" dataDxfId="238" totalsRowDxfId="237">
      <calculatedColumnFormula>SUM(GovBySenateDistrict50General[[#This Row],[Part of Cayuga County Vote Results]:[Part of Onondaga County Vote Results]])</calculatedColumnFormula>
    </tableColumn>
    <tableColumn id="5" xr3:uid="{EB50B5D3-2863-4F3D-9217-6DF71B8AFABC}" name="Total Votes by Candidate" dataDxfId="236" totalsRowDxfId="235"/>
  </tableColumns>
  <tableStyleInfo name="TableStyleMedium2" showFirstColumn="0" showLastColumn="0" showRowStripes="0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2" xr:uid="{BCACCFD4-8D17-40D6-9894-9DB72A8AFD18}" name="GovBySenateDistrict51General" displayName="GovBySenateDistrict51General" ref="A2:L16" totalsRowCount="1" headerRowDxfId="234" dataDxfId="232" headerRowBorderDxfId="233" tableBorderDxfId="231" totalsRowBorderDxfId="230">
  <autoFilter ref="A2:L15" xr:uid="{5A6574F4-2784-4E14-98C0-0EB48FDFD6C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6756AE8-0D3A-489F-A74B-4C579FACBCA6}" name="Candidate Name (Party)" totalsRowLabel="Total Votes by County" dataDxfId="229" totalsRowDxfId="18"/>
    <tableColumn id="2" xr3:uid="{10A89381-1A4F-4BB2-BA23-67BCC7A2078C}" name="Cortland County Vote Results" totalsRowFunction="sum" dataDxfId="228" totalsRowDxfId="17"/>
    <tableColumn id="6" xr3:uid="{6035937A-BD51-46D2-B672-76410D5E0B42}" name="Otsego County Vote Results" dataDxfId="227" totalsRowDxfId="16"/>
    <tableColumn id="12" xr3:uid="{29751457-6AD0-43CE-B3BA-A1258B8C7EBF}" name="Schoharie County Vote Results" dataDxfId="226" totalsRowDxfId="15"/>
    <tableColumn id="11" xr3:uid="{DEA07045-D9A3-454E-9475-0475F73CC887}" name="Part of Cayuga County Vote Results" dataDxfId="225" totalsRowDxfId="14"/>
    <tableColumn id="10" xr3:uid="{B12D3889-D565-4063-B22A-D9F0ED640430}" name="Part of Chenango County Vote Results" dataDxfId="224" totalsRowDxfId="13"/>
    <tableColumn id="9" xr3:uid="{3974B6C9-A7F0-4625-BA63-F524EF60889A}" name="Part of Delaware County Vote Results" dataDxfId="223" totalsRowDxfId="12"/>
    <tableColumn id="7" xr3:uid="{4FB6ACCC-4F28-42ED-AB22-42FAD4C7AC01}" name="Part of Herkimer County Vote Results" dataDxfId="222" totalsRowDxfId="11"/>
    <tableColumn id="3" xr3:uid="{88D75CD6-357C-4262-B0B3-BA72C32803DA}" name="Part of Tompkins County Vote Results" dataDxfId="221" totalsRowDxfId="10"/>
    <tableColumn id="4" xr3:uid="{95CE2518-7089-4332-A7F2-F01BD53E6A2F}" name="Part of Ulster County Vote Results" totalsRowFunction="sum" dataDxfId="220" totalsRowDxfId="9"/>
    <tableColumn id="8" xr3:uid="{880CE579-EC61-40A5-889B-01EEFEE4722F}" name="Total Votes by Party" dataDxfId="219" totalsRowDxfId="8">
      <calculatedColumnFormula>SUM(GovBySenateDistrict51General[[#This Row],[Cortland County Vote Results]:[Part of Ulster County Vote Results]])</calculatedColumnFormula>
    </tableColumn>
    <tableColumn id="5" xr3:uid="{37DABE57-E158-44A5-A605-F9EC27ADB287}" name="Total Votes by Candidate" dataDxfId="218" totalsRowDxfId="7"/>
  </tableColumns>
  <tableStyleInfo name="TableStyleMedium2" showFirstColumn="0" showLastColumn="0" showRowStripes="0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3" xr:uid="{04266AE3-BC01-4D0C-9D5A-87FF2BE7F52F}" name="GovBySenateDistrict52General" displayName="GovBySenateDistrict52General" ref="A2:G16" totalsRowCount="1" headerRowDxfId="217" dataDxfId="215" headerRowBorderDxfId="216" tableBorderDxfId="214" totalsRowBorderDxfId="213">
  <autoFilter ref="A2:G15" xr:uid="{04E62BD8-FC0E-4D92-A5B6-8921E2DE707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C2E7EAA8-AACB-49E7-A19C-09F5F3D83C36}" name="Candidate Name (Party)" totalsRowLabel="Total Votes by County" dataDxfId="212" totalsRowDxfId="6"/>
    <tableColumn id="2" xr3:uid="{3B60A93D-F6D0-428F-8509-63A016021F49}" name="Broome County Vote Results" totalsRowFunction="sum" dataDxfId="211" totalsRowDxfId="5"/>
    <tableColumn id="6" xr3:uid="{A5B801F7-CCD1-4526-90E0-DF937AA5976D}" name="Tioga County Vote Results" dataDxfId="210" totalsRowDxfId="4"/>
    <tableColumn id="3" xr3:uid="{42C50607-C9D5-40D8-8A79-E068E603DE8D}" name="Part of Chenango County Vote Results" dataDxfId="209" totalsRowDxfId="3"/>
    <tableColumn id="4" xr3:uid="{F8C5FE8B-CE4A-42D8-BCE2-23E558E33123}" name="Part of Delaware County Vote Results" totalsRowFunction="sum" dataDxfId="208" totalsRowDxfId="2"/>
    <tableColumn id="7" xr3:uid="{E8F1C604-27C3-4655-B00E-1240542D6578}" name="Total Votes by Party" dataDxfId="207" totalsRowDxfId="1">
      <calculatedColumnFormula>SUM(GovBySenateDistrict52General[[#This Row],[Broome County Vote Results]:[Part of Delaware County Vote Results]])</calculatedColumnFormula>
    </tableColumn>
    <tableColumn id="5" xr3:uid="{B71EAF43-18D3-43BE-928E-205E62C1B734}" name="Total Votes by Candidate" dataDxfId="206" totalsRowDxfId="0"/>
  </tableColumns>
  <tableStyleInfo name="TableStyleMedium2" showFirstColumn="0" showLastColumn="0" showRowStripes="0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4" xr:uid="{A6773AF0-6200-4D8D-B968-374F2925F6D9}" name="GovBySenateDistrict53General" displayName="GovBySenateDistrict53General" ref="A2:F16" totalsRowCount="1" headerRowDxfId="205" dataDxfId="203" headerRowBorderDxfId="204" tableBorderDxfId="202" totalsRowBorderDxfId="201">
  <autoFilter ref="A2:F15" xr:uid="{1C3BBECA-A3E8-40B9-B83E-A3322E09CC7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62CEF07-6AB3-4717-81F1-87C485286F95}" name="Candidate Name (Party)" totalsRowLabel="Total Votes by County" dataDxfId="200" totalsRowDxfId="199"/>
    <tableColumn id="2" xr3:uid="{166984C7-8CBD-4019-A010-F3CD900546FA}" name="Madison County Vote Results" totalsRowFunction="sum" dataDxfId="198" totalsRowDxfId="197"/>
    <tableColumn id="3" xr3:uid="{8131CB57-C350-43AF-80C3-01AF8217CBE5}" name="Part of Oneida County Vote Results" dataDxfId="196" totalsRowDxfId="195"/>
    <tableColumn id="4" xr3:uid="{F0D2BC03-2060-4567-A013-1CB8244C57C3}" name="Part of Onondaga County Vote Results" totalsRowFunction="sum" dataDxfId="194" totalsRowDxfId="193"/>
    <tableColumn id="6" xr3:uid="{D260D9E1-1F08-4F87-9B83-549D17EC8E02}" name="Total Votes by Party" dataDxfId="192" totalsRowDxfId="191">
      <calculatedColumnFormula>SUM(GovBySenateDistrict53General[[#This Row],[Madison County Vote Results]:[Part of Onondaga County Vote Results]])</calculatedColumnFormula>
    </tableColumn>
    <tableColumn id="5" xr3:uid="{67EDE188-81E8-4F54-ABE4-DE9E8C23C5EE}" name="Total Votes by Candidate" dataDxfId="190" totalsRowDxfId="189"/>
  </tableColumns>
  <tableStyleInfo name="TableStyleMedium2" showFirstColumn="0" showLastColumn="0" showRowStripes="0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5" xr:uid="{AD3F16D2-2C05-4A85-B8D0-AEBACA930CEF}" name="GovBySenateDistrict54General" displayName="GovBySenateDistrict54General" ref="A2:I16" totalsRowCount="1" headerRowDxfId="188" dataDxfId="186" headerRowBorderDxfId="187" tableBorderDxfId="185" totalsRowBorderDxfId="184">
  <autoFilter ref="A2:I15" xr:uid="{66FEEBA3-BA46-4F93-BFE6-DDE1EF3CFBE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2FF0E2A3-3742-4AAC-A8AB-11E9C1685CCF}" name="Candidate Name (Party)" totalsRowLabel="Total Votes by County" dataDxfId="183" totalsRowDxfId="182"/>
    <tableColumn id="2" xr3:uid="{4BF23D37-487D-47FE-B137-A5EE6A52F029}" name="Seneca County Vote Results" totalsRowFunction="sum" dataDxfId="181" totalsRowDxfId="180"/>
    <tableColumn id="6" xr3:uid="{E07275D7-EA43-4CDF-B73A-66D5B2FBF271}" name="Wayne County Vote Results" dataDxfId="179" totalsRowDxfId="178"/>
    <tableColumn id="10" xr3:uid="{EE2218FA-80CA-40CD-8D23-80D8090702B9}" name="Part of Cayuga County Vote Results" dataDxfId="177" totalsRowDxfId="176"/>
    <tableColumn id="9" xr3:uid="{AEFBF641-7A75-46AB-9D52-BB6E8751F685}" name="Part of Monroe County Vote Results" dataDxfId="175" totalsRowDxfId="174"/>
    <tableColumn id="3" xr3:uid="{CF21A199-3227-4BDB-A7A8-04FC4EB7709B}" name="Part of Ontario County Vote Results" dataDxfId="173" totalsRowDxfId="172"/>
    <tableColumn id="4" xr3:uid="{5E2A318B-2B72-4051-A61F-E2F201AA2681}" name="Part of Tompkins County Vote Results" totalsRowFunction="sum" dataDxfId="171" totalsRowDxfId="170"/>
    <tableColumn id="7" xr3:uid="{EE0159DD-421D-44C5-B7AB-731318FAF915}" name="Total Votes by Party" dataDxfId="169" totalsRowDxfId="168">
      <calculatedColumnFormula>SUM(GovBySenateDistrict54General[[#This Row],[Seneca County Vote Results]:[Part of Tompkins County Vote Results]])</calculatedColumnFormula>
    </tableColumn>
    <tableColumn id="5" xr3:uid="{CB470A38-5E78-4FF6-955E-9A6F22138CD3}" name="Total Votes by Candidate" dataDxfId="167" totalsRowDxfId="166"/>
  </tableColumns>
  <tableStyleInfo name="TableStyleMedium2" showFirstColumn="0" showLastColumn="0" showRowStripes="0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6" xr:uid="{06A575C6-97B5-429C-9730-5B8643FFEAC1}" name="GovBySenateDistrict55General" displayName="GovBySenateDistrict55General" ref="A2:E16" totalsRowCount="1" headerRowDxfId="165" dataDxfId="163" headerRowBorderDxfId="164" tableBorderDxfId="162" totalsRowBorderDxfId="161">
  <autoFilter ref="A2:E15" xr:uid="{B7C298B8-88E9-4DAA-829F-C685919D87A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7AA113A-E9E8-446E-95CE-9BCEE602BC3A}" name="Candidate Name (Party)" totalsRowLabel="Total Votes by County" dataDxfId="160" totalsRowDxfId="159"/>
    <tableColumn id="2" xr3:uid="{176FC231-E63F-49DD-B775-087276F4289F}" name="Part of Monroe County Vote Results" totalsRowFunction="sum" dataDxfId="158" totalsRowDxfId="157"/>
    <tableColumn id="4" xr3:uid="{9B0BF5B9-A8D2-458C-97E8-49D9B106D5CB}" name="Part of Ontario County Vote Results" totalsRowFunction="sum" dataDxfId="156" totalsRowDxfId="155"/>
    <tableColumn id="3" xr3:uid="{75A0198E-E10F-407C-9CA8-37318D81298E}" name="Total Votes by Party" dataDxfId="154" totalsRowDxfId="153">
      <calculatedColumnFormula>SUM(GovBySenateDistrict55General[[#This Row],[Part of Monroe County Vote Results]:[Part of Ontario County Vote Results]])</calculatedColumnFormula>
    </tableColumn>
    <tableColumn id="5" xr3:uid="{9074538C-A6E5-4C20-96EB-60D8FF171C35}" name="Total Votes by Candidate" dataDxfId="152" totalsRowDxfId="151"/>
  </tableColumns>
  <tableStyleInfo name="TableStyleMedium2" showFirstColumn="0" showLastColumn="0" showRowStripes="0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7" xr:uid="{233F6D87-09F6-4BB9-BC07-5A4EA103310D}" name="GovBySenateDistrict56General" displayName="GovBySenateDistrict56General" ref="A2:D16" totalsRowCount="1" headerRowDxfId="150" dataDxfId="148" headerRowBorderDxfId="149" tableBorderDxfId="147" totalsRowBorderDxfId="146">
  <autoFilter ref="A2:D15" xr:uid="{90D7A864-FC9A-4A11-BDF9-0CBF788E063F}">
    <filterColumn colId="0" hiddenButton="1"/>
    <filterColumn colId="1" hiddenButton="1"/>
    <filterColumn colId="2" hiddenButton="1"/>
    <filterColumn colId="3" hiddenButton="1"/>
  </autoFilter>
  <tableColumns count="4">
    <tableColumn id="1" xr3:uid="{60BABD3E-A16F-4FD3-8394-52831BEDC294}" name="Candidate Name (Party)" totalsRowLabel="Total Votes by County" dataDxfId="145" totalsRowDxfId="144"/>
    <tableColumn id="4" xr3:uid="{88DAEC5E-87A1-47A4-BC08-AF77B04A27F3}" name="Part of Monroe County Vote Results" totalsRowFunction="custom" dataDxfId="143" totalsRowDxfId="142">
      <totalsRowFormula>SUBTOTAL(109,GovBySenateDistrict56General[Total Votes by Candidate])</totalsRowFormula>
    </tableColumn>
    <tableColumn id="3" xr3:uid="{67FEC950-E2A9-4A68-819D-A5629FDE60FD}" name="Total Votes by Party" dataDxfId="141" totalsRowDxfId="140">
      <calculatedColumnFormula>GovBySenateDistrict56General[[#This Row],[Part of Monroe County Vote Results]]</calculatedColumnFormula>
    </tableColumn>
    <tableColumn id="2" xr3:uid="{A262C573-3538-434E-AB18-147E5380EED6}" name="Total Votes by Candidate" dataDxfId="139" totalsRowDxfId="138"/>
  </tableColumns>
  <tableStyleInfo name="TableStyleMedium2" showFirstColumn="0" showLastColumn="0" showRowStripes="0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8" xr:uid="{313DC2EB-40DE-4E40-8F72-13C1C378BFB6}" name="GovBySenateDistrict57General" displayName="GovBySenateDistrict57General" ref="A2:G16" totalsRowCount="1" headerRowDxfId="137" dataDxfId="135" headerRowBorderDxfId="136" tableBorderDxfId="134" totalsRowBorderDxfId="133">
  <autoFilter ref="A2:G15" xr:uid="{C6878180-0D0C-433A-BE4D-5BD6A38AC0D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3409368-AB60-4C3F-808F-5B0DF381A914}" name="Candidate Name (Party)" totalsRowLabel="Total Votes by County" dataDxfId="132" totalsRowDxfId="131"/>
    <tableColumn id="2" xr3:uid="{08F208AC-179B-4494-AF82-EABF47BCB8CD}" name="Allegany County Vote Results" totalsRowFunction="sum" dataDxfId="130" totalsRowDxfId="129"/>
    <tableColumn id="6" xr3:uid="{0BCC0582-C485-47B0-962D-4E7154D7105E}" name="Cattaraugus County Vote Results" dataDxfId="128" totalsRowDxfId="127"/>
    <tableColumn id="10" xr3:uid="{D3F38584-B7A9-4C46-93BC-CB26BFD05B48}" name="Chautauqua County Vote Results" dataDxfId="126" totalsRowDxfId="125"/>
    <tableColumn id="4" xr3:uid="{13743C18-B084-4E53-865C-3A77C7D80F29}" name="Part of Livingston County Vote Results" totalsRowFunction="sum" dataDxfId="124" totalsRowDxfId="123"/>
    <tableColumn id="3" xr3:uid="{FA5DFA2B-0E3D-48F4-B1F0-E50C3880B7B1}" name="Total Votes by Party" dataDxfId="122" totalsRowDxfId="121">
      <calculatedColumnFormula>SUM(GovBySenateDistrict57General[[#This Row],[Allegany County Vote Results]:[Part of Livingston County Vote Results]])</calculatedColumnFormula>
    </tableColumn>
    <tableColumn id="5" xr3:uid="{09509E0A-79E4-4B0A-BC8B-3677188EE083}" name="Total Votes by Candidate" dataDxfId="120" totalsRowDxfId="119"/>
  </tableColumns>
  <tableStyleInfo name="TableStyleMedium2" showFirstColumn="0" showLastColumn="0" showRowStripes="0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9" xr:uid="{E43E2DF4-F3D1-470B-9DDF-6852ABCB417F}" name="GovBySenateDistrict58General" displayName="GovBySenateDistrict58General" ref="A2:H16" totalsRowCount="1" headerRowDxfId="118" dataDxfId="116" headerRowBorderDxfId="117" tableBorderDxfId="115" totalsRowBorderDxfId="114">
  <autoFilter ref="A2:H15" xr:uid="{6B8B1C2C-977B-4963-AA40-E0A751F5DA6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2DA14788-500A-4AA0-A886-16444E6DABBF}" name="Candidate Name (Party)" totalsRowLabel="Total Votes by County" dataDxfId="113" totalsRowDxfId="112"/>
    <tableColumn id="2" xr3:uid="{F5D093DF-C736-4BE9-9D31-016396D666A5}" name="Chemung County Vote Results" totalsRowFunction="sum" dataDxfId="111" totalsRowDxfId="110"/>
    <tableColumn id="6" xr3:uid="{E04E0994-466A-4C9B-B2E1-85EFCE3A1F1C}" name="Schuyler County Vote Results" dataDxfId="109" totalsRowDxfId="108"/>
    <tableColumn id="9" xr3:uid="{388BE596-8552-4BF3-B3A3-A4FBF25DDCBB}" name="Steuben County Vote Results" dataDxfId="107" totalsRowDxfId="106"/>
    <tableColumn id="3" xr3:uid="{154BCE0D-699C-4970-A53C-CE4CBA589E14}" name="Yates County Vote Results" dataDxfId="105" totalsRowDxfId="104"/>
    <tableColumn id="4" xr3:uid="{3D903447-C850-4135-9EDA-F517A4DA39C9}" name="Part of Tompkins County Vote Results" totalsRowFunction="sum" dataDxfId="103" totalsRowDxfId="102"/>
    <tableColumn id="7" xr3:uid="{BAE75886-2810-4186-B481-38F3FC1A9970}" name="Total Votes by Party" dataDxfId="101" totalsRowDxfId="100">
      <calculatedColumnFormula>SUM(GovBySenateDistrict58General[[#This Row],[Chemung County Vote Results]:[Part of Tompkins County Vote Results]])</calculatedColumnFormula>
    </tableColumn>
    <tableColumn id="5" xr3:uid="{6C0C9CF3-5A6A-48CC-97CB-36E5BD8D6E0E}" name="Total Votes by Candidate" dataDxfId="99" totalsRowDxfId="98"/>
  </tableColumns>
  <tableStyleInfo name="TableStyleMedium2" showFirstColumn="0" showLastColumn="0" showRowStripes="0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0" xr:uid="{484F9F4C-CD76-4EF1-B921-9D4F8A98AAEF}" name="GovBySenateDistrict59General" displayName="GovBySenateDistrict59General" ref="A2:G16" totalsRowCount="1" headerRowDxfId="97" dataDxfId="95" headerRowBorderDxfId="96" tableBorderDxfId="94" totalsRowBorderDxfId="93">
  <autoFilter ref="A2:G15" xr:uid="{572EA561-72B7-47BD-8C84-4A46C257976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CF2E82D7-1EE4-4777-9168-DC979893AC2C}" name="Candidate Name (Party)" totalsRowLabel="Total Votes by County" dataDxfId="92" totalsRowDxfId="91"/>
    <tableColumn id="2" xr3:uid="{32B73025-91E1-47B3-A8A9-CECCAD5F2A9F}" name="Wyoming County Vote Results" totalsRowFunction="sum" dataDxfId="90" totalsRowDxfId="89"/>
    <tableColumn id="6" xr3:uid="{52C4D553-E8F9-4B57-89F7-6C933D11A9A1}" name="Part of Erie County Vote Results" dataDxfId="88" totalsRowDxfId="87"/>
    <tableColumn id="10" xr3:uid="{96213212-62BC-44BE-A32B-FA3AF23AA5BE}" name="Part of Livingston County Vote Results" dataDxfId="86" totalsRowDxfId="85"/>
    <tableColumn id="4" xr3:uid="{B8007E97-C50B-490D-A7D7-FFAE2D8475C4}" name="Part of Monroe County Vote Results" totalsRowFunction="sum" dataDxfId="84" totalsRowDxfId="83"/>
    <tableColumn id="3" xr3:uid="{1EE13106-FF36-45CF-937F-1CB5E747FB8C}" name="Total Votes by Party" dataDxfId="82" totalsRowDxfId="81">
      <calculatedColumnFormula>SUM(GovBySenateDistrict59General[[#This Row],[Wyoming County Vote Results]:[Part of Monroe County Vote Results]])</calculatedColumnFormula>
    </tableColumn>
    <tableColumn id="5" xr3:uid="{7E8D717D-CE38-471C-A992-3718D8F12CD7}" name="Total Votes by Candidate" dataDxfId="80" totalsRowDxfId="79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7" xr:uid="{728B2970-65FD-4B00-8456-DAE4C1585F26}" name="GovBySenateDistrict6General" displayName="GovBySenateDistrict6General" ref="A2:D16" totalsRowCount="1" headerRowDxfId="893" dataDxfId="891" headerRowBorderDxfId="892" tableBorderDxfId="890" totalsRowBorderDxfId="889">
  <autoFilter ref="A2:D15" xr:uid="{5A88BFC8-B42E-46DB-B726-CCA6F060C91E}">
    <filterColumn colId="0" hiddenButton="1"/>
    <filterColumn colId="1" hiddenButton="1"/>
    <filterColumn colId="2" hiddenButton="1"/>
    <filterColumn colId="3" hiddenButton="1"/>
  </autoFilter>
  <tableColumns count="4">
    <tableColumn id="1" xr3:uid="{23452B8C-8298-4511-9D52-CC1D7EEE39CB}" name="Candidate Name (Party)" totalsRowLabel="Total Votes by County" dataDxfId="888" totalsRowDxfId="887"/>
    <tableColumn id="4" xr3:uid="{631971F4-47FA-4BC5-831A-8183D373D96F}" name="Part of Nassau County Vote Results" totalsRowFunction="custom" dataDxfId="886" totalsRowDxfId="885">
      <totalsRowFormula>SUBTOTAL(109,GovBySenateDistrict6General[Total Votes by Candidate])</totalsRowFormula>
    </tableColumn>
    <tableColumn id="3" xr3:uid="{983BE8F7-BDAF-4C4D-8D5A-206DE07EBC6E}" name="Total Votes by Party" dataDxfId="884" totalsRowDxfId="883">
      <calculatedColumnFormula>GovBySenateDistrict6General[[#This Row],[Part of Nassau County Vote Results]]</calculatedColumnFormula>
    </tableColumn>
    <tableColumn id="2" xr3:uid="{1ACFAADF-2335-467D-8151-AE086C671F8E}" name="Total Votes by Candidate" dataDxfId="882" totalsRowDxfId="881"/>
  </tableColumns>
  <tableStyleInfo name="TableStyleMedium2" showFirstColumn="0" showLastColumn="0" showRowStripes="0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1" xr:uid="{76C20302-8C16-48AA-917D-DA07315A72A8}" name="GovBySenateDistrict60General" displayName="GovBySenateDistrict60General" ref="A2:D16" totalsRowCount="1" headerRowDxfId="78" dataDxfId="76" headerRowBorderDxfId="77" tableBorderDxfId="75" totalsRowBorderDxfId="74">
  <autoFilter ref="A2:D15" xr:uid="{1949E209-1F6E-4EC6-970F-BB446E28230D}">
    <filterColumn colId="0" hiddenButton="1"/>
    <filterColumn colId="1" hiddenButton="1"/>
    <filterColumn colId="2" hiddenButton="1"/>
    <filterColumn colId="3" hiddenButton="1"/>
  </autoFilter>
  <tableColumns count="4">
    <tableColumn id="1" xr3:uid="{4721598C-B853-4C33-8F13-70695F9BD688}" name="Candidate Name (Party)" totalsRowLabel="Total Votes by County" dataDxfId="73" totalsRowDxfId="72"/>
    <tableColumn id="4" xr3:uid="{0AC4D976-7D25-47B4-BD3E-31255D789A1E}" name="Part of Erie County Vote Results" totalsRowFunction="custom" dataDxfId="71" totalsRowDxfId="70">
      <totalsRowFormula>SUBTOTAL(109,GovBySenateDistrict60General[Total Votes by Candidate])</totalsRowFormula>
    </tableColumn>
    <tableColumn id="3" xr3:uid="{E3D3D8D0-4580-4F56-B640-42C40FF30D46}" name="Total Votes by Party" dataDxfId="69" totalsRowDxfId="68">
      <calculatedColumnFormula>GovBySenateDistrict60General[[#This Row],[Part of Erie County Vote Results]]</calculatedColumnFormula>
    </tableColumn>
    <tableColumn id="2" xr3:uid="{C7E74051-18D5-4B2A-BEA0-613036296E2E}" name="Total Votes by Candidate" dataDxfId="67" totalsRowDxfId="66"/>
  </tableColumns>
  <tableStyleInfo name="TableStyleMedium2" showFirstColumn="0" showLastColumn="0" showRowStripes="0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2" xr:uid="{3DB2DEBE-AF26-4545-BCCA-D9D4F86B2A85}" name="GovBySenateDistrict61General" displayName="GovBySenateDistrict61General" ref="A2:F16" totalsRowCount="1" headerRowDxfId="65" dataDxfId="63" headerRowBorderDxfId="64" tableBorderDxfId="62" totalsRowBorderDxfId="61">
  <autoFilter ref="A2:F15" xr:uid="{FC79A995-DEB1-4741-8940-D83CBF5B501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B7B661D-AE47-4BE0-AAB5-9E131233E13B}" name="Candidate Name (Party)" totalsRowLabel="Total Votes by County" dataDxfId="60" totalsRowDxfId="59"/>
    <tableColumn id="2" xr3:uid="{B0D69DA1-E54E-487D-903D-61DD9EB42FF8}" name="Genesee County Vote Results" totalsRowFunction="sum" dataDxfId="58" totalsRowDxfId="57"/>
    <tableColumn id="3" xr3:uid="{61C5DD04-0548-4BEA-BB2B-2D86D8412EB3}" name="Part of Erie County Vote Results" dataDxfId="56" totalsRowDxfId="55"/>
    <tableColumn id="4" xr3:uid="{C3F4CC02-8D14-4CBB-B87C-E6165307CA6D}" name="Part of Monroe County Vote Results" totalsRowFunction="sum" dataDxfId="54" totalsRowDxfId="53"/>
    <tableColumn id="6" xr3:uid="{1CAB1EFC-A48A-4397-8AE8-2C959D3127F4}" name="Total Votes by Party" dataDxfId="52" totalsRowDxfId="51">
      <calculatedColumnFormula>SUM(GovBySenateDistrict61General[[#This Row],[Genesee County Vote Results]:[Part of Monroe County Vote Results]])</calculatedColumnFormula>
    </tableColumn>
    <tableColumn id="5" xr3:uid="{4B3BE624-0198-4EE8-AF96-F68B960ED8F3}" name="Total Votes by Candidate" dataDxfId="50" totalsRowDxfId="49"/>
  </tableColumns>
  <tableStyleInfo name="TableStyleMedium2" showFirstColumn="0" showLastColumn="0" showRowStripes="0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3" xr:uid="{15764FE3-0247-4F39-BC79-488CD2D593A1}" name="GovBySenateDistrict62General" displayName="GovBySenateDistrict62General" ref="A2:F16" totalsRowCount="1" headerRowDxfId="48" dataDxfId="46" headerRowBorderDxfId="47" tableBorderDxfId="45" totalsRowBorderDxfId="44">
  <autoFilter ref="A2:F15" xr:uid="{D8EF16FE-B6BE-4BE8-8437-19CFD824FA7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C547E1F-1356-425C-B077-8235518FD93D}" name="Candidate Name (Party)" totalsRowLabel="Total Votes by County" dataDxfId="43" totalsRowDxfId="42"/>
    <tableColumn id="2" xr3:uid="{2A22115B-49BA-4C3E-980D-584A4F80A11D}" name="Niagara County Vote Results" totalsRowFunction="sum" dataDxfId="41" totalsRowDxfId="40"/>
    <tableColumn id="3" xr3:uid="{3CC644E9-B742-4A82-8C6C-E64A40ACB718}" name="Orleans County Vote Results" dataDxfId="39" totalsRowDxfId="38"/>
    <tableColumn id="4" xr3:uid="{FA53F120-1ACC-45F0-A095-1491B2580BD7}" name="Part of Monroe County Vote Results" totalsRowFunction="sum" dataDxfId="37" totalsRowDxfId="36"/>
    <tableColumn id="6" xr3:uid="{268C8D0E-E412-4D56-9508-B679391407F6}" name="Total Votes by Party" dataDxfId="35" totalsRowDxfId="34">
      <calculatedColumnFormula>SUM(GovBySenateDistrict62General[[#This Row],[Niagara County Vote Results]:[Part of Monroe County Vote Results]])</calculatedColumnFormula>
    </tableColumn>
    <tableColumn id="5" xr3:uid="{5F15019D-BA9D-42C5-B0D5-CF1764D19F3D}" name="Total Votes by Candidate" dataDxfId="33" totalsRowDxfId="32"/>
  </tableColumns>
  <tableStyleInfo name="TableStyleMedium2" showFirstColumn="0" showLastColumn="0" showRowStripes="0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4" xr:uid="{6AEEB07E-705C-48E2-A011-4012265FE0FA}" name="GovBySenateDistrict63General" displayName="GovBySenateDistrict63General" ref="A2:D16" totalsRowCount="1" headerRowDxfId="31" dataDxfId="29" headerRowBorderDxfId="30" tableBorderDxfId="28" totalsRowBorderDxfId="27">
  <autoFilter ref="A2:D15" xr:uid="{91BD8E46-C892-45A7-A0F4-1057E420333E}">
    <filterColumn colId="0" hiddenButton="1"/>
    <filterColumn colId="1" hiddenButton="1"/>
    <filterColumn colId="2" hiddenButton="1"/>
    <filterColumn colId="3" hiddenButton="1"/>
  </autoFilter>
  <tableColumns count="4">
    <tableColumn id="1" xr3:uid="{131CF101-4F99-4E52-990F-7C0B358FB0FE}" name="Candidate Name (Party)" totalsRowLabel="Total Votes by County" dataDxfId="26" totalsRowDxfId="25"/>
    <tableColumn id="4" xr3:uid="{33FF9B28-9CCD-461C-9E5C-8F1B016FAD55}" name="Part of Erie County Vote Results" totalsRowFunction="custom" dataDxfId="24" totalsRowDxfId="23">
      <totalsRowFormula>SUBTOTAL(109,GovBySenateDistrict63General[Total Votes by Candidate])</totalsRowFormula>
    </tableColumn>
    <tableColumn id="3" xr3:uid="{1501C5BC-F1A7-486E-BAF4-0A24D8D83596}" name="Total Votes by Party" dataDxfId="22" totalsRowDxfId="21">
      <calculatedColumnFormula>GovBySenateDistrict63General[[#This Row],[Part of Erie County Vote Results]]</calculatedColumnFormula>
    </tableColumn>
    <tableColumn id="2" xr3:uid="{0ABC7D36-89F3-41AB-8A6D-FF7F347E9F21}" name="Total Votes by Candidate" dataDxfId="20" totalsRowDxfId="19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8" xr:uid="{BADC922E-DBEE-41AD-A965-9D052904F2AD}" name="GovBySenateDistrict7General" displayName="GovBySenateDistrict7General" ref="A2:D16" totalsRowCount="1" headerRowDxfId="880" dataDxfId="878" headerRowBorderDxfId="879" tableBorderDxfId="877" totalsRowBorderDxfId="876">
  <autoFilter ref="A2:D15" xr:uid="{5E6CC56A-51EB-4146-A55D-71AF03B5FA30}">
    <filterColumn colId="0" hiddenButton="1"/>
    <filterColumn colId="1" hiddenButton="1"/>
    <filterColumn colId="2" hiddenButton="1"/>
    <filterColumn colId="3" hiddenButton="1"/>
  </autoFilter>
  <tableColumns count="4">
    <tableColumn id="1" xr3:uid="{8F0EC53F-1921-45F5-91B7-15565522F98C}" name="Candidate Name (Party)" totalsRowLabel="Total Votes by County" dataDxfId="875" totalsRowDxfId="874"/>
    <tableColumn id="4" xr3:uid="{B98D40CE-395D-4476-ACBC-5F28576A83B2}" name="Part of Nassau County Vote Results" totalsRowFunction="custom" dataDxfId="873" totalsRowDxfId="872">
      <totalsRowFormula>SUBTOTAL(109,GovBySenateDistrict7General[Total Votes by Candidate])</totalsRowFormula>
    </tableColumn>
    <tableColumn id="3" xr3:uid="{0654A1E7-E29F-4CE9-84FC-703D026764E2}" name="Total Votes by Party" dataDxfId="871" totalsRowDxfId="870">
      <calculatedColumnFormula>GovBySenateDistrict7General[[#This Row],[Part of Nassau County Vote Results]]</calculatedColumnFormula>
    </tableColumn>
    <tableColumn id="2" xr3:uid="{F8E5FC3F-BBDD-4B31-B65D-EE53128D1A18}" name="Total Votes by Candidate" dataDxfId="869" totalsRowDxfId="868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9" xr:uid="{E0D3EA88-A19E-4228-9C90-A9AB555B3159}" name="GovBySenateDistrict8General" displayName="GovBySenateDistrict8General" ref="A2:E16" totalsRowCount="1" headerRowDxfId="867" dataDxfId="865" headerRowBorderDxfId="866" tableBorderDxfId="864" totalsRowBorderDxfId="863">
  <autoFilter ref="A2:E15" xr:uid="{AFE80D68-43EC-4F39-869F-D88025FD96E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7FA5BA4-9B1B-4DD7-99AC-90A923F44F9F}" name="Candidate Name (Party)" totalsRowLabel="Total Votes by County" dataDxfId="862" totalsRowDxfId="861"/>
    <tableColumn id="2" xr3:uid="{C2EB0B06-93BB-45DF-8C68-B0909DCD7EFB}" name="Part of Nassau County Vote Results" totalsRowFunction="sum" dataDxfId="860" totalsRowDxfId="859"/>
    <tableColumn id="4" xr3:uid="{25C0A6A1-7C15-45B1-A949-BD57056B9AEA}" name="Part of Suffolk County Vote Results" totalsRowFunction="sum" dataDxfId="858" totalsRowDxfId="857"/>
    <tableColumn id="3" xr3:uid="{89ADA0BC-6215-4AD0-9DCB-1CD9E4F78BD1}" name="Total Votes by Party" dataDxfId="856" totalsRowDxfId="855">
      <calculatedColumnFormula>SUM(GovBySenateDistrict8General[[#This Row],[Part of Nassau County Vote Results]:[Part of Suffolk County Vote Results]])</calculatedColumnFormula>
    </tableColumn>
    <tableColumn id="5" xr3:uid="{ACA19CCE-9C95-4F4C-94D9-4E007D9AFD7B}" name="Total Votes by Candidate" dataDxfId="854" totalsRowDxfId="853"/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0" xr:uid="{5F8D148E-FA8B-4531-8DC8-656FCD0B8380}" name="GovBySenateDistrict9General" displayName="GovBySenateDistrict9General" ref="A2:D16" totalsRowCount="1" headerRowDxfId="852" dataDxfId="850" headerRowBorderDxfId="851" tableBorderDxfId="849" totalsRowBorderDxfId="848">
  <autoFilter ref="A2:D15" xr:uid="{F56A24C5-5631-4723-9301-E14C44076A39}">
    <filterColumn colId="0" hiddenButton="1"/>
    <filterColumn colId="1" hiddenButton="1"/>
    <filterColumn colId="2" hiddenButton="1"/>
    <filterColumn colId="3" hiddenButton="1"/>
  </autoFilter>
  <tableColumns count="4">
    <tableColumn id="1" xr3:uid="{724CB65D-9020-44CE-8E3A-DE386E962D8C}" name="Candidate Name (Party)" totalsRowLabel="Total Votes by County" dataDxfId="847" totalsRowDxfId="846"/>
    <tableColumn id="4" xr3:uid="{C136D740-C877-424E-A2D1-FACAC0E7C04C}" name="Part of Nassau County Vote Results" totalsRowFunction="custom" dataDxfId="845" totalsRowDxfId="844">
      <totalsRowFormula>SUBTOTAL(109,GovBySenateDistrict9General[Total Votes by Candidate])</totalsRowFormula>
    </tableColumn>
    <tableColumn id="3" xr3:uid="{277B3581-423F-446F-B4D0-1E3F493F7494}" name="Total Votes by Party" dataDxfId="843" totalsRowDxfId="842">
      <calculatedColumnFormula>GovBySenateDistrict9General[[#This Row],[Part of Nassau County Vote Results]]</calculatedColumnFormula>
    </tableColumn>
    <tableColumn id="2" xr3:uid="{F5028A0B-2C27-4C67-913B-AF1278B22D46}" name="Total Votes by Candidate" dataDxfId="841" totalsRowDxfId="84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3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"/>
  <sheetViews>
    <sheetView tabSelected="1" zoomScaleNormal="100"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73</v>
      </c>
    </row>
    <row r="2" spans="1:4" ht="24.95" customHeight="1" x14ac:dyDescent="0.2">
      <c r="A2" s="7" t="s">
        <v>12</v>
      </c>
      <c r="B2" s="8" t="s">
        <v>13</v>
      </c>
      <c r="C2" s="10" t="s">
        <v>141</v>
      </c>
      <c r="D2" s="11" t="s">
        <v>5</v>
      </c>
    </row>
    <row r="3" spans="1:4" x14ac:dyDescent="0.2">
      <c r="A3" s="2" t="s">
        <v>3</v>
      </c>
      <c r="B3" s="3">
        <v>60534</v>
      </c>
      <c r="C3" s="12">
        <f>GovBySenateDistrict1General[[#This Row],[Part of Suffolk County Vote Results]]</f>
        <v>60534</v>
      </c>
      <c r="D3" s="13">
        <f>SUM(C3,C7,C8,C9)</f>
        <v>64722</v>
      </c>
    </row>
    <row r="4" spans="1:4" x14ac:dyDescent="0.2">
      <c r="A4" s="2" t="s">
        <v>14</v>
      </c>
      <c r="B4" s="3">
        <v>52272</v>
      </c>
      <c r="C4" s="12">
        <f>GovBySenateDistrict1General[[#This Row],[Part of Suffolk County Vote Results]]</f>
        <v>52272</v>
      </c>
      <c r="D4" s="13">
        <f>SUM(C4,C5,C10)</f>
        <v>59218</v>
      </c>
    </row>
    <row r="5" spans="1:4" x14ac:dyDescent="0.2">
      <c r="A5" s="2" t="s">
        <v>15</v>
      </c>
      <c r="B5" s="3">
        <v>6536</v>
      </c>
      <c r="C5" s="12">
        <f>GovBySenateDistrict1General[[#This Row],[Part of Suffolk County Vote Results]]</f>
        <v>6536</v>
      </c>
      <c r="D5" s="14"/>
    </row>
    <row r="6" spans="1:4" x14ac:dyDescent="0.2">
      <c r="A6" s="2" t="s">
        <v>6</v>
      </c>
      <c r="B6" s="3">
        <v>1157</v>
      </c>
      <c r="C6" s="12">
        <f>GovBySenateDistrict1General[[#This Row],[Part of Suffolk County Vote Results]]</f>
        <v>1157</v>
      </c>
      <c r="D6" s="13">
        <f>GovBySenateDistrict1General[[#This Row],[Total Votes by Party]]</f>
        <v>1157</v>
      </c>
    </row>
    <row r="7" spans="1:4" x14ac:dyDescent="0.2">
      <c r="A7" s="2" t="s">
        <v>7</v>
      </c>
      <c r="B7" s="3">
        <v>1570</v>
      </c>
      <c r="C7" s="12">
        <f>GovBySenateDistrict1General[[#This Row],[Part of Suffolk County Vote Results]]</f>
        <v>1570</v>
      </c>
      <c r="D7" s="14"/>
    </row>
    <row r="8" spans="1:4" x14ac:dyDescent="0.2">
      <c r="A8" s="2" t="s">
        <v>8</v>
      </c>
      <c r="B8" s="3">
        <v>1850</v>
      </c>
      <c r="C8" s="12">
        <f>GovBySenateDistrict1General[[#This Row],[Part of Suffolk County Vote Results]]</f>
        <v>1850</v>
      </c>
      <c r="D8" s="14"/>
    </row>
    <row r="9" spans="1:4" x14ac:dyDescent="0.2">
      <c r="A9" s="2" t="s">
        <v>9</v>
      </c>
      <c r="B9" s="3">
        <v>768</v>
      </c>
      <c r="C9" s="12">
        <f>GovBySenateDistrict1General[[#This Row],[Part of Suffolk County Vote Results]]</f>
        <v>768</v>
      </c>
      <c r="D9" s="14"/>
    </row>
    <row r="10" spans="1:4" x14ac:dyDescent="0.2">
      <c r="A10" s="2" t="s">
        <v>16</v>
      </c>
      <c r="B10" s="3">
        <v>410</v>
      </c>
      <c r="C10" s="12">
        <f>GovBySenateDistrict1General[[#This Row],[Part of Suffolk County Vote Results]]</f>
        <v>410</v>
      </c>
      <c r="D10" s="14"/>
    </row>
    <row r="11" spans="1:4" x14ac:dyDescent="0.2">
      <c r="A11" s="2" t="s">
        <v>10</v>
      </c>
      <c r="B11" s="3">
        <v>961</v>
      </c>
      <c r="C11" s="12">
        <f>GovBySenateDistrict1General[[#This Row],[Part of Suffolk County Vote Results]]</f>
        <v>961</v>
      </c>
      <c r="D11" s="13">
        <f>GovBySenateDistrict1General[[#This Row],[Total Votes by Party]]</f>
        <v>961</v>
      </c>
    </row>
    <row r="12" spans="1:4" x14ac:dyDescent="0.2">
      <c r="A12" s="4" t="s">
        <v>11</v>
      </c>
      <c r="B12" s="5">
        <v>612</v>
      </c>
      <c r="C12" s="12">
        <f>GovBySenateDistrict1General[[#This Row],[Part of Suffolk County Vote Results]]</f>
        <v>612</v>
      </c>
      <c r="D12" s="13">
        <f>GovBySenateDistrict1General[[#This Row],[Total Votes by Party]]</f>
        <v>612</v>
      </c>
    </row>
    <row r="13" spans="1:4" x14ac:dyDescent="0.2">
      <c r="A13" s="4" t="s">
        <v>0</v>
      </c>
      <c r="B13" s="5">
        <v>2161</v>
      </c>
      <c r="C13" s="12">
        <f>GovBySenateDistrict1General[[#This Row],[Part of Suffolk County Vote Results]]</f>
        <v>2161</v>
      </c>
      <c r="D13" s="14"/>
    </row>
    <row r="14" spans="1:4" x14ac:dyDescent="0.2">
      <c r="A14" s="4" t="s">
        <v>1</v>
      </c>
      <c r="B14" s="5">
        <v>117</v>
      </c>
      <c r="C14" s="12">
        <f>GovBySenateDistrict1General[[#This Row],[Part of Suffolk County Vote Results]]</f>
        <v>117</v>
      </c>
      <c r="D14" s="14"/>
    </row>
    <row r="15" spans="1:4" x14ac:dyDescent="0.2">
      <c r="A15" s="4" t="s">
        <v>2</v>
      </c>
      <c r="B15" s="5">
        <v>40</v>
      </c>
      <c r="C15" s="12">
        <f>GovBySenateDistrict1General[[#This Row],[Part of Suffolk County Vote Results]]</f>
        <v>40</v>
      </c>
      <c r="D15" s="14"/>
    </row>
    <row r="16" spans="1:4" hidden="1" x14ac:dyDescent="0.2">
      <c r="A16" s="4" t="s">
        <v>4</v>
      </c>
      <c r="B16" s="6">
        <f>SUBTOTAL(109,GovBySenateDistrict1General[Total Votes by Candidate])</f>
        <v>126670</v>
      </c>
      <c r="C16" s="6"/>
      <c r="D16" s="9"/>
    </row>
  </sheetData>
  <printOptions horizontalCentered="1"/>
  <pageMargins left="0" right="0" top="0.25" bottom="0.25" header="0.25" footer="0.25"/>
  <pageSetup paperSize="5" scale="80" orientation="landscape" r:id="rId1"/>
  <headerFooter alignWithMargins="0">
    <oddFooter>&amp;RPage &amp;P of &amp;N</oddFooter>
  </headerFooter>
  <rowBreaks count="13" manualBreakCount="13">
    <brk id="39" max="16383" man="1"/>
    <brk id="88" max="16383" man="1"/>
    <brk id="142" max="16383" man="1"/>
    <brk id="196" max="16383" man="1"/>
    <brk id="245" max="16383" man="1"/>
    <brk id="301" max="16383" man="1"/>
    <brk id="350" max="16383" man="1"/>
    <brk id="396" max="16383" man="1"/>
    <brk id="448" max="16383" man="1"/>
    <brk id="500" max="16383" man="1"/>
    <brk id="554" max="16383" man="1"/>
    <brk id="602" max="16383" man="1"/>
    <brk id="650" max="16383" man="1"/>
  </rowBreak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EEEE0-044F-4779-A19E-7EC6C6998162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82</v>
      </c>
    </row>
    <row r="2" spans="1:4" ht="24.95" customHeight="1" x14ac:dyDescent="0.2">
      <c r="A2" s="7" t="s">
        <v>12</v>
      </c>
      <c r="B2" s="8" t="s">
        <v>18</v>
      </c>
      <c r="C2" s="10" t="s">
        <v>141</v>
      </c>
      <c r="D2" s="11" t="s">
        <v>5</v>
      </c>
    </row>
    <row r="3" spans="1:4" x14ac:dyDescent="0.2">
      <c r="A3" s="2" t="s">
        <v>3</v>
      </c>
      <c r="B3" s="16">
        <v>62734</v>
      </c>
      <c r="C3" s="12">
        <f>GovBySenateDistrict10General[[#This Row],[Part of Queens County Vote Results]]</f>
        <v>62734</v>
      </c>
      <c r="D3" s="13">
        <f>SUM(C3,C7,C8,C9)</f>
        <v>64153</v>
      </c>
    </row>
    <row r="4" spans="1:4" x14ac:dyDescent="0.2">
      <c r="A4" s="2" t="s">
        <v>14</v>
      </c>
      <c r="B4" s="16">
        <v>3713</v>
      </c>
      <c r="C4" s="12">
        <f>GovBySenateDistrict10General[[#This Row],[Part of Queens County Vote Results]]</f>
        <v>3713</v>
      </c>
      <c r="D4" s="13">
        <f>SUM(C4,C5,C10)</f>
        <v>4180</v>
      </c>
    </row>
    <row r="5" spans="1:4" x14ac:dyDescent="0.2">
      <c r="A5" s="2" t="s">
        <v>15</v>
      </c>
      <c r="B5" s="16">
        <v>410</v>
      </c>
      <c r="C5" s="12">
        <f>GovBySenateDistrict10General[[#This Row],[Part of Queens County Vote Results]]</f>
        <v>410</v>
      </c>
      <c r="D5" s="14"/>
    </row>
    <row r="6" spans="1:4" x14ac:dyDescent="0.2">
      <c r="A6" s="2" t="s">
        <v>6</v>
      </c>
      <c r="B6" s="16">
        <v>453</v>
      </c>
      <c r="C6" s="12">
        <f>GovBySenateDistrict10General[[#This Row],[Part of Queens County Vote Results]]</f>
        <v>453</v>
      </c>
      <c r="D6" s="13">
        <f>GovBySenateDistrict10General[[#This Row],[Total Votes by Party]]</f>
        <v>453</v>
      </c>
    </row>
    <row r="7" spans="1:4" x14ac:dyDescent="0.2">
      <c r="A7" s="2" t="s">
        <v>7</v>
      </c>
      <c r="B7" s="16">
        <v>761</v>
      </c>
      <c r="C7" s="12">
        <f>GovBySenateDistrict10General[[#This Row],[Part of Queens County Vote Results]]</f>
        <v>761</v>
      </c>
      <c r="D7" s="14"/>
    </row>
    <row r="8" spans="1:4" x14ac:dyDescent="0.2">
      <c r="A8" s="2" t="s">
        <v>8</v>
      </c>
      <c r="B8" s="16">
        <v>546</v>
      </c>
      <c r="C8" s="12">
        <f>GovBySenateDistrict10General[[#This Row],[Part of Queens County Vote Results]]</f>
        <v>546</v>
      </c>
      <c r="D8" s="14"/>
    </row>
    <row r="9" spans="1:4" x14ac:dyDescent="0.2">
      <c r="A9" s="2" t="s">
        <v>9</v>
      </c>
      <c r="B9" s="16">
        <v>112</v>
      </c>
      <c r="C9" s="12">
        <f>GovBySenateDistrict10General[[#This Row],[Part of Queens County Vote Results]]</f>
        <v>112</v>
      </c>
      <c r="D9" s="14"/>
    </row>
    <row r="10" spans="1:4" x14ac:dyDescent="0.2">
      <c r="A10" s="2" t="s">
        <v>16</v>
      </c>
      <c r="B10" s="16">
        <v>57</v>
      </c>
      <c r="C10" s="12">
        <f>GovBySenateDistrict10General[[#This Row],[Part of Queens County Vote Results]]</f>
        <v>57</v>
      </c>
      <c r="D10" s="14"/>
    </row>
    <row r="11" spans="1:4" x14ac:dyDescent="0.2">
      <c r="A11" s="2" t="s">
        <v>10</v>
      </c>
      <c r="B11" s="16">
        <v>198</v>
      </c>
      <c r="C11" s="12">
        <f>GovBySenateDistrict10General[[#This Row],[Part of Queens County Vote Results]]</f>
        <v>198</v>
      </c>
      <c r="D11" s="13">
        <f>GovBySenateDistrict10General[[#This Row],[Total Votes by Party]]</f>
        <v>198</v>
      </c>
    </row>
    <row r="12" spans="1:4" x14ac:dyDescent="0.2">
      <c r="A12" s="4" t="s">
        <v>11</v>
      </c>
      <c r="B12" s="16">
        <v>102</v>
      </c>
      <c r="C12" s="12">
        <f>GovBySenateDistrict10General[[#This Row],[Part of Queens County Vote Results]]</f>
        <v>102</v>
      </c>
      <c r="D12" s="13">
        <f>GovBySenateDistrict10General[[#This Row],[Total Votes by Party]]</f>
        <v>102</v>
      </c>
    </row>
    <row r="13" spans="1:4" x14ac:dyDescent="0.2">
      <c r="A13" s="4" t="s">
        <v>0</v>
      </c>
      <c r="B13" s="16">
        <v>1060</v>
      </c>
      <c r="C13" s="12">
        <f>GovBySenateDistrict10General[[#This Row],[Part of Queens County Vote Results]]</f>
        <v>1060</v>
      </c>
      <c r="D13" s="14"/>
    </row>
    <row r="14" spans="1:4" x14ac:dyDescent="0.2">
      <c r="A14" s="4" t="s">
        <v>1</v>
      </c>
      <c r="B14" s="16">
        <v>0</v>
      </c>
      <c r="C14" s="12">
        <f>GovBySenateDistrict10General[[#This Row],[Part of Queens County Vote Results]]</f>
        <v>0</v>
      </c>
      <c r="D14" s="14"/>
    </row>
    <row r="15" spans="1:4" x14ac:dyDescent="0.2">
      <c r="A15" s="4" t="s">
        <v>2</v>
      </c>
      <c r="B15" s="5">
        <v>42</v>
      </c>
      <c r="C15" s="12">
        <f>GovBySenateDistrict10General[[#This Row],[Part of Queens County Vote Results]]</f>
        <v>42</v>
      </c>
      <c r="D15" s="14"/>
    </row>
    <row r="16" spans="1:4" hidden="1" x14ac:dyDescent="0.2">
      <c r="A16" s="4" t="s">
        <v>4</v>
      </c>
      <c r="B16" s="6">
        <f>SUBTOTAL(109,GovBySenateDistrict10General[Total Votes by Candidate])</f>
        <v>69086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91752-583A-4CC5-A7B5-6ED8F700BAE7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83</v>
      </c>
    </row>
    <row r="2" spans="1:4" ht="24.95" customHeight="1" x14ac:dyDescent="0.2">
      <c r="A2" s="7" t="s">
        <v>12</v>
      </c>
      <c r="B2" s="8" t="s">
        <v>18</v>
      </c>
      <c r="C2" s="10" t="s">
        <v>141</v>
      </c>
      <c r="D2" s="11" t="s">
        <v>5</v>
      </c>
    </row>
    <row r="3" spans="1:4" x14ac:dyDescent="0.2">
      <c r="A3" s="2" t="s">
        <v>3</v>
      </c>
      <c r="B3" s="16">
        <v>49550</v>
      </c>
      <c r="C3" s="12">
        <f>GovBySenateDistrict11General[[#This Row],[Part of Queens County Vote Results]]</f>
        <v>49550</v>
      </c>
      <c r="D3" s="13">
        <f>SUM(C3,C7,C8,C9)</f>
        <v>51997</v>
      </c>
    </row>
    <row r="4" spans="1:4" x14ac:dyDescent="0.2">
      <c r="A4" s="2" t="s">
        <v>14</v>
      </c>
      <c r="B4" s="16">
        <v>22931</v>
      </c>
      <c r="C4" s="12">
        <f>GovBySenateDistrict11General[[#This Row],[Part of Queens County Vote Results]]</f>
        <v>22931</v>
      </c>
      <c r="D4" s="13">
        <f>SUM(C4,C5,C10)</f>
        <v>25569</v>
      </c>
    </row>
    <row r="5" spans="1:4" x14ac:dyDescent="0.2">
      <c r="A5" s="2" t="s">
        <v>15</v>
      </c>
      <c r="B5" s="16">
        <v>2451</v>
      </c>
      <c r="C5" s="12">
        <f>GovBySenateDistrict11General[[#This Row],[Part of Queens County Vote Results]]</f>
        <v>2451</v>
      </c>
      <c r="D5" s="14"/>
    </row>
    <row r="6" spans="1:4" x14ac:dyDescent="0.2">
      <c r="A6" s="2" t="s">
        <v>6</v>
      </c>
      <c r="B6" s="16">
        <v>1197</v>
      </c>
      <c r="C6" s="12">
        <f>GovBySenateDistrict11General[[#This Row],[Part of Queens County Vote Results]]</f>
        <v>1197</v>
      </c>
      <c r="D6" s="13">
        <f>GovBySenateDistrict11General[[#This Row],[Total Votes by Party]]</f>
        <v>1197</v>
      </c>
    </row>
    <row r="7" spans="1:4" x14ac:dyDescent="0.2">
      <c r="A7" s="2" t="s">
        <v>7</v>
      </c>
      <c r="B7" s="16">
        <v>1181</v>
      </c>
      <c r="C7" s="12">
        <f>GovBySenateDistrict11General[[#This Row],[Part of Queens County Vote Results]]</f>
        <v>1181</v>
      </c>
      <c r="D7" s="14"/>
    </row>
    <row r="8" spans="1:4" x14ac:dyDescent="0.2">
      <c r="A8" s="2" t="s">
        <v>8</v>
      </c>
      <c r="B8" s="16">
        <v>1068</v>
      </c>
      <c r="C8" s="12">
        <f>GovBySenateDistrict11General[[#This Row],[Part of Queens County Vote Results]]</f>
        <v>1068</v>
      </c>
      <c r="D8" s="14"/>
    </row>
    <row r="9" spans="1:4" x14ac:dyDescent="0.2">
      <c r="A9" s="2" t="s">
        <v>9</v>
      </c>
      <c r="B9" s="16">
        <v>198</v>
      </c>
      <c r="C9" s="12">
        <f>GovBySenateDistrict11General[[#This Row],[Part of Queens County Vote Results]]</f>
        <v>198</v>
      </c>
      <c r="D9" s="14"/>
    </row>
    <row r="10" spans="1:4" x14ac:dyDescent="0.2">
      <c r="A10" s="2" t="s">
        <v>16</v>
      </c>
      <c r="B10" s="16">
        <v>187</v>
      </c>
      <c r="C10" s="12">
        <f>GovBySenateDistrict11General[[#This Row],[Part of Queens County Vote Results]]</f>
        <v>187</v>
      </c>
      <c r="D10" s="14"/>
    </row>
    <row r="11" spans="1:4" x14ac:dyDescent="0.2">
      <c r="A11" s="2" t="s">
        <v>10</v>
      </c>
      <c r="B11" s="16">
        <v>556</v>
      </c>
      <c r="C11" s="12">
        <f>GovBySenateDistrict11General[[#This Row],[Part of Queens County Vote Results]]</f>
        <v>556</v>
      </c>
      <c r="D11" s="13">
        <f>GovBySenateDistrict11General[[#This Row],[Total Votes by Party]]</f>
        <v>556</v>
      </c>
    </row>
    <row r="12" spans="1:4" x14ac:dyDescent="0.2">
      <c r="A12" s="4" t="s">
        <v>11</v>
      </c>
      <c r="B12" s="16">
        <v>267</v>
      </c>
      <c r="C12" s="12">
        <f>GovBySenateDistrict11General[[#This Row],[Part of Queens County Vote Results]]</f>
        <v>267</v>
      </c>
      <c r="D12" s="13">
        <f>GovBySenateDistrict11General[[#This Row],[Total Votes by Party]]</f>
        <v>267</v>
      </c>
    </row>
    <row r="13" spans="1:4" x14ac:dyDescent="0.2">
      <c r="A13" s="4" t="s">
        <v>0</v>
      </c>
      <c r="B13" s="16">
        <v>1690</v>
      </c>
      <c r="C13" s="12">
        <f>GovBySenateDistrict11General[[#This Row],[Part of Queens County Vote Results]]</f>
        <v>1690</v>
      </c>
      <c r="D13" s="14"/>
    </row>
    <row r="14" spans="1:4" x14ac:dyDescent="0.2">
      <c r="A14" s="4" t="s">
        <v>1</v>
      </c>
      <c r="B14" s="16">
        <v>0</v>
      </c>
      <c r="C14" s="12">
        <f>GovBySenateDistrict11General[[#This Row],[Part of Queens County Vote Results]]</f>
        <v>0</v>
      </c>
      <c r="D14" s="14"/>
    </row>
    <row r="15" spans="1:4" x14ac:dyDescent="0.2">
      <c r="A15" s="4" t="s">
        <v>2</v>
      </c>
      <c r="B15" s="5">
        <v>65</v>
      </c>
      <c r="C15" s="12">
        <f>GovBySenateDistrict11General[[#This Row],[Part of Queens County Vote Results]]</f>
        <v>65</v>
      </c>
      <c r="D15" s="14"/>
    </row>
    <row r="16" spans="1:4" hidden="1" x14ac:dyDescent="0.2">
      <c r="A16" s="4" t="s">
        <v>4</v>
      </c>
      <c r="B16" s="6">
        <f>SUBTOTAL(109,GovBySenateDistrict11General[Total Votes by Candidate])</f>
        <v>79586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95C03-28DC-4744-9207-C3E7937DA0CD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84</v>
      </c>
    </row>
    <row r="2" spans="1:4" ht="24.95" customHeight="1" x14ac:dyDescent="0.2">
      <c r="A2" s="7" t="s">
        <v>12</v>
      </c>
      <c r="B2" s="8" t="s">
        <v>18</v>
      </c>
      <c r="C2" s="10" t="s">
        <v>141</v>
      </c>
      <c r="D2" s="11" t="s">
        <v>5</v>
      </c>
    </row>
    <row r="3" spans="1:4" x14ac:dyDescent="0.2">
      <c r="A3" s="2" t="s">
        <v>3</v>
      </c>
      <c r="B3" s="16">
        <v>61913</v>
      </c>
      <c r="C3" s="12">
        <f>GovBySenateDistrict12General[[#This Row],[Part of Queens County Vote Results]]</f>
        <v>61913</v>
      </c>
      <c r="D3" s="13">
        <f>SUM(C3,C7,C8,C9)</f>
        <v>66408</v>
      </c>
    </row>
    <row r="4" spans="1:4" x14ac:dyDescent="0.2">
      <c r="A4" s="2" t="s">
        <v>14</v>
      </c>
      <c r="B4" s="16">
        <v>9226</v>
      </c>
      <c r="C4" s="12">
        <f>GovBySenateDistrict12General[[#This Row],[Part of Queens County Vote Results]]</f>
        <v>9226</v>
      </c>
      <c r="D4" s="13">
        <f>SUM(C4,C5,C10)</f>
        <v>10256</v>
      </c>
    </row>
    <row r="5" spans="1:4" x14ac:dyDescent="0.2">
      <c r="A5" s="2" t="s">
        <v>15</v>
      </c>
      <c r="B5" s="16">
        <v>912</v>
      </c>
      <c r="C5" s="12">
        <f>GovBySenateDistrict12General[[#This Row],[Part of Queens County Vote Results]]</f>
        <v>912</v>
      </c>
      <c r="D5" s="14"/>
    </row>
    <row r="6" spans="1:4" x14ac:dyDescent="0.2">
      <c r="A6" s="2" t="s">
        <v>6</v>
      </c>
      <c r="B6" s="16">
        <v>2660</v>
      </c>
      <c r="C6" s="12">
        <f>GovBySenateDistrict12General[[#This Row],[Part of Queens County Vote Results]]</f>
        <v>2660</v>
      </c>
      <c r="D6" s="13">
        <f>GovBySenateDistrict12General[[#This Row],[Total Votes by Party]]</f>
        <v>2660</v>
      </c>
    </row>
    <row r="7" spans="1:4" x14ac:dyDescent="0.2">
      <c r="A7" s="2" t="s">
        <v>7</v>
      </c>
      <c r="B7" s="16">
        <v>3265</v>
      </c>
      <c r="C7" s="12">
        <f>GovBySenateDistrict12General[[#This Row],[Part of Queens County Vote Results]]</f>
        <v>3265</v>
      </c>
      <c r="D7" s="14"/>
    </row>
    <row r="8" spans="1:4" x14ac:dyDescent="0.2">
      <c r="A8" s="2" t="s">
        <v>8</v>
      </c>
      <c r="B8" s="16">
        <v>825</v>
      </c>
      <c r="C8" s="12">
        <f>GovBySenateDistrict12General[[#This Row],[Part of Queens County Vote Results]]</f>
        <v>825</v>
      </c>
      <c r="D8" s="14"/>
    </row>
    <row r="9" spans="1:4" x14ac:dyDescent="0.2">
      <c r="A9" s="2" t="s">
        <v>9</v>
      </c>
      <c r="B9" s="16">
        <v>405</v>
      </c>
      <c r="C9" s="12">
        <f>GovBySenateDistrict12General[[#This Row],[Part of Queens County Vote Results]]</f>
        <v>405</v>
      </c>
      <c r="D9" s="14"/>
    </row>
    <row r="10" spans="1:4" x14ac:dyDescent="0.2">
      <c r="A10" s="2" t="s">
        <v>16</v>
      </c>
      <c r="B10" s="16">
        <v>118</v>
      </c>
      <c r="C10" s="12">
        <f>GovBySenateDistrict12General[[#This Row],[Part of Queens County Vote Results]]</f>
        <v>118</v>
      </c>
      <c r="D10" s="14"/>
    </row>
    <row r="11" spans="1:4" x14ac:dyDescent="0.2">
      <c r="A11" s="2" t="s">
        <v>10</v>
      </c>
      <c r="B11" s="16">
        <v>800</v>
      </c>
      <c r="C11" s="12">
        <f>GovBySenateDistrict12General[[#This Row],[Part of Queens County Vote Results]]</f>
        <v>800</v>
      </c>
      <c r="D11" s="13">
        <f>GovBySenateDistrict12General[[#This Row],[Total Votes by Party]]</f>
        <v>800</v>
      </c>
    </row>
    <row r="12" spans="1:4" x14ac:dyDescent="0.2">
      <c r="A12" s="4" t="s">
        <v>11</v>
      </c>
      <c r="B12" s="16">
        <v>672</v>
      </c>
      <c r="C12" s="12">
        <f>GovBySenateDistrict12General[[#This Row],[Part of Queens County Vote Results]]</f>
        <v>672</v>
      </c>
      <c r="D12" s="13">
        <f>GovBySenateDistrict12General[[#This Row],[Total Votes by Party]]</f>
        <v>672</v>
      </c>
    </row>
    <row r="13" spans="1:4" x14ac:dyDescent="0.2">
      <c r="A13" s="4" t="s">
        <v>0</v>
      </c>
      <c r="B13" s="16">
        <v>1314</v>
      </c>
      <c r="C13" s="12">
        <f>GovBySenateDistrict12General[[#This Row],[Part of Queens County Vote Results]]</f>
        <v>1314</v>
      </c>
      <c r="D13" s="14"/>
    </row>
    <row r="14" spans="1:4" x14ac:dyDescent="0.2">
      <c r="A14" s="4" t="s">
        <v>1</v>
      </c>
      <c r="B14" s="16">
        <v>0</v>
      </c>
      <c r="C14" s="12">
        <f>GovBySenateDistrict12General[[#This Row],[Part of Queens County Vote Results]]</f>
        <v>0</v>
      </c>
      <c r="D14" s="14"/>
    </row>
    <row r="15" spans="1:4" x14ac:dyDescent="0.2">
      <c r="A15" s="4" t="s">
        <v>2</v>
      </c>
      <c r="B15" s="5">
        <v>270</v>
      </c>
      <c r="C15" s="12">
        <f>GovBySenateDistrict12General[[#This Row],[Part of Queens County Vote Results]]</f>
        <v>270</v>
      </c>
      <c r="D15" s="14"/>
    </row>
    <row r="16" spans="1:4" hidden="1" x14ac:dyDescent="0.2">
      <c r="A16" s="4" t="s">
        <v>4</v>
      </c>
      <c r="B16" s="6">
        <f>SUBTOTAL(109,GovBySenateDistrict12General[Total Votes by Candidate])</f>
        <v>80796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E8049-DE63-481A-8F44-3864FFD7DF45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85</v>
      </c>
    </row>
    <row r="2" spans="1:4" ht="24.95" customHeight="1" x14ac:dyDescent="0.2">
      <c r="A2" s="7" t="s">
        <v>12</v>
      </c>
      <c r="B2" s="8" t="s">
        <v>18</v>
      </c>
      <c r="C2" s="10" t="s">
        <v>141</v>
      </c>
      <c r="D2" s="11" t="s">
        <v>5</v>
      </c>
    </row>
    <row r="3" spans="1:4" x14ac:dyDescent="0.2">
      <c r="A3" s="2" t="s">
        <v>3</v>
      </c>
      <c r="B3" s="16">
        <v>42966</v>
      </c>
      <c r="C3" s="12">
        <f>GovBySenateDistrict13General[[#This Row],[Part of Queens County Vote Results]]</f>
        <v>42966</v>
      </c>
      <c r="D3" s="13">
        <f>SUM(C3,C7,C8,C9)</f>
        <v>44953</v>
      </c>
    </row>
    <row r="4" spans="1:4" x14ac:dyDescent="0.2">
      <c r="A4" s="2" t="s">
        <v>14</v>
      </c>
      <c r="B4" s="16">
        <v>5985</v>
      </c>
      <c r="C4" s="12">
        <f>GovBySenateDistrict13General[[#This Row],[Part of Queens County Vote Results]]</f>
        <v>5985</v>
      </c>
      <c r="D4" s="13">
        <f>SUM(C4,C5,C10)</f>
        <v>6518</v>
      </c>
    </row>
    <row r="5" spans="1:4" x14ac:dyDescent="0.2">
      <c r="A5" s="2" t="s">
        <v>15</v>
      </c>
      <c r="B5" s="16">
        <v>465</v>
      </c>
      <c r="C5" s="12">
        <f>GovBySenateDistrict13General[[#This Row],[Part of Queens County Vote Results]]</f>
        <v>465</v>
      </c>
      <c r="D5" s="14"/>
    </row>
    <row r="6" spans="1:4" x14ac:dyDescent="0.2">
      <c r="A6" s="2" t="s">
        <v>6</v>
      </c>
      <c r="B6" s="16">
        <v>1150</v>
      </c>
      <c r="C6" s="12">
        <f>GovBySenateDistrict13General[[#This Row],[Part of Queens County Vote Results]]</f>
        <v>1150</v>
      </c>
      <c r="D6" s="13">
        <f>GovBySenateDistrict13General[[#This Row],[Total Votes by Party]]</f>
        <v>1150</v>
      </c>
    </row>
    <row r="7" spans="1:4" x14ac:dyDescent="0.2">
      <c r="A7" s="2" t="s">
        <v>7</v>
      </c>
      <c r="B7" s="16">
        <v>1280</v>
      </c>
      <c r="C7" s="12">
        <f>GovBySenateDistrict13General[[#This Row],[Part of Queens County Vote Results]]</f>
        <v>1280</v>
      </c>
      <c r="D7" s="14"/>
    </row>
    <row r="8" spans="1:4" x14ac:dyDescent="0.2">
      <c r="A8" s="2" t="s">
        <v>8</v>
      </c>
      <c r="B8" s="16">
        <v>522</v>
      </c>
      <c r="C8" s="12">
        <f>GovBySenateDistrict13General[[#This Row],[Part of Queens County Vote Results]]</f>
        <v>522</v>
      </c>
      <c r="D8" s="14"/>
    </row>
    <row r="9" spans="1:4" x14ac:dyDescent="0.2">
      <c r="A9" s="2" t="s">
        <v>9</v>
      </c>
      <c r="B9" s="16">
        <v>185</v>
      </c>
      <c r="C9" s="12">
        <f>GovBySenateDistrict13General[[#This Row],[Part of Queens County Vote Results]]</f>
        <v>185</v>
      </c>
      <c r="D9" s="14"/>
    </row>
    <row r="10" spans="1:4" x14ac:dyDescent="0.2">
      <c r="A10" s="2" t="s">
        <v>16</v>
      </c>
      <c r="B10" s="16">
        <v>68</v>
      </c>
      <c r="C10" s="12">
        <f>GovBySenateDistrict13General[[#This Row],[Part of Queens County Vote Results]]</f>
        <v>68</v>
      </c>
      <c r="D10" s="14"/>
    </row>
    <row r="11" spans="1:4" x14ac:dyDescent="0.2">
      <c r="A11" s="2" t="s">
        <v>10</v>
      </c>
      <c r="B11" s="16">
        <v>279</v>
      </c>
      <c r="C11" s="12">
        <f>GovBySenateDistrict13General[[#This Row],[Part of Queens County Vote Results]]</f>
        <v>279</v>
      </c>
      <c r="D11" s="13">
        <f>GovBySenateDistrict13General[[#This Row],[Total Votes by Party]]</f>
        <v>279</v>
      </c>
    </row>
    <row r="12" spans="1:4" x14ac:dyDescent="0.2">
      <c r="A12" s="4" t="s">
        <v>11</v>
      </c>
      <c r="B12" s="16">
        <v>245</v>
      </c>
      <c r="C12" s="12">
        <f>GovBySenateDistrict13General[[#This Row],[Part of Queens County Vote Results]]</f>
        <v>245</v>
      </c>
      <c r="D12" s="13">
        <f>GovBySenateDistrict13General[[#This Row],[Total Votes by Party]]</f>
        <v>245</v>
      </c>
    </row>
    <row r="13" spans="1:4" x14ac:dyDescent="0.2">
      <c r="A13" s="4" t="s">
        <v>0</v>
      </c>
      <c r="B13" s="16">
        <v>1050</v>
      </c>
      <c r="C13" s="12">
        <f>GovBySenateDistrict13General[[#This Row],[Part of Queens County Vote Results]]</f>
        <v>1050</v>
      </c>
      <c r="D13" s="14"/>
    </row>
    <row r="14" spans="1:4" x14ac:dyDescent="0.2">
      <c r="A14" s="4" t="s">
        <v>1</v>
      </c>
      <c r="B14" s="16">
        <v>0</v>
      </c>
      <c r="C14" s="12">
        <f>GovBySenateDistrict13General[[#This Row],[Part of Queens County Vote Results]]</f>
        <v>0</v>
      </c>
      <c r="D14" s="14"/>
    </row>
    <row r="15" spans="1:4" x14ac:dyDescent="0.2">
      <c r="A15" s="4" t="s">
        <v>2</v>
      </c>
      <c r="B15" s="5">
        <v>94</v>
      </c>
      <c r="C15" s="12">
        <f>GovBySenateDistrict13General[[#This Row],[Part of Queens County Vote Results]]</f>
        <v>94</v>
      </c>
      <c r="D15" s="14"/>
    </row>
    <row r="16" spans="1:4" hidden="1" x14ac:dyDescent="0.2">
      <c r="A16" s="4" t="s">
        <v>4</v>
      </c>
      <c r="B16" s="6">
        <f>SUBTOTAL(109,GovBySenateDistrict13General[Total Votes by Candidate])</f>
        <v>53145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F09BC-104B-4B7E-8BAB-9209AD1DDC2C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86</v>
      </c>
    </row>
    <row r="2" spans="1:4" ht="24.95" customHeight="1" x14ac:dyDescent="0.2">
      <c r="A2" s="7" t="s">
        <v>12</v>
      </c>
      <c r="B2" s="8" t="s">
        <v>18</v>
      </c>
      <c r="C2" s="10" t="s">
        <v>141</v>
      </c>
      <c r="D2" s="11" t="s">
        <v>5</v>
      </c>
    </row>
    <row r="3" spans="1:4" x14ac:dyDescent="0.2">
      <c r="A3" s="2" t="s">
        <v>3</v>
      </c>
      <c r="B3" s="16">
        <v>76567</v>
      </c>
      <c r="C3" s="12">
        <f>GovBySenateDistrict14General[[#This Row],[Part of Queens County Vote Results]]</f>
        <v>76567</v>
      </c>
      <c r="D3" s="13">
        <f>SUM(C3,C7,C8,C9)</f>
        <v>78362</v>
      </c>
    </row>
    <row r="4" spans="1:4" x14ac:dyDescent="0.2">
      <c r="A4" s="2" t="s">
        <v>14</v>
      </c>
      <c r="B4" s="16">
        <v>4681</v>
      </c>
      <c r="C4" s="12">
        <f>GovBySenateDistrict14General[[#This Row],[Part of Queens County Vote Results]]</f>
        <v>4681</v>
      </c>
      <c r="D4" s="13">
        <f>SUM(C4,C5,C10)</f>
        <v>5194</v>
      </c>
    </row>
    <row r="5" spans="1:4" x14ac:dyDescent="0.2">
      <c r="A5" s="2" t="s">
        <v>15</v>
      </c>
      <c r="B5" s="16">
        <v>460</v>
      </c>
      <c r="C5" s="12">
        <f>GovBySenateDistrict14General[[#This Row],[Part of Queens County Vote Results]]</f>
        <v>460</v>
      </c>
      <c r="D5" s="14"/>
    </row>
    <row r="6" spans="1:4" x14ac:dyDescent="0.2">
      <c r="A6" s="2" t="s">
        <v>6</v>
      </c>
      <c r="B6" s="16">
        <v>727</v>
      </c>
      <c r="C6" s="12">
        <f>GovBySenateDistrict14General[[#This Row],[Part of Queens County Vote Results]]</f>
        <v>727</v>
      </c>
      <c r="D6" s="13">
        <f>GovBySenateDistrict14General[[#This Row],[Total Votes by Party]]</f>
        <v>727</v>
      </c>
    </row>
    <row r="7" spans="1:4" x14ac:dyDescent="0.2">
      <c r="A7" s="2" t="s">
        <v>7</v>
      </c>
      <c r="B7" s="16">
        <v>1003</v>
      </c>
      <c r="C7" s="12">
        <f>GovBySenateDistrict14General[[#This Row],[Part of Queens County Vote Results]]</f>
        <v>1003</v>
      </c>
      <c r="D7" s="14"/>
    </row>
    <row r="8" spans="1:4" x14ac:dyDescent="0.2">
      <c r="A8" s="2" t="s">
        <v>8</v>
      </c>
      <c r="B8" s="16">
        <v>660</v>
      </c>
      <c r="C8" s="12">
        <f>GovBySenateDistrict14General[[#This Row],[Part of Queens County Vote Results]]</f>
        <v>660</v>
      </c>
      <c r="D8" s="14"/>
    </row>
    <row r="9" spans="1:4" x14ac:dyDescent="0.2">
      <c r="A9" s="2" t="s">
        <v>9</v>
      </c>
      <c r="B9" s="16">
        <v>132</v>
      </c>
      <c r="C9" s="12">
        <f>GovBySenateDistrict14General[[#This Row],[Part of Queens County Vote Results]]</f>
        <v>132</v>
      </c>
      <c r="D9" s="14"/>
    </row>
    <row r="10" spans="1:4" x14ac:dyDescent="0.2">
      <c r="A10" s="2" t="s">
        <v>16</v>
      </c>
      <c r="B10" s="16">
        <v>53</v>
      </c>
      <c r="C10" s="12">
        <f>GovBySenateDistrict14General[[#This Row],[Part of Queens County Vote Results]]</f>
        <v>53</v>
      </c>
      <c r="D10" s="14"/>
    </row>
    <row r="11" spans="1:4" x14ac:dyDescent="0.2">
      <c r="A11" s="2" t="s">
        <v>10</v>
      </c>
      <c r="B11" s="16">
        <v>283</v>
      </c>
      <c r="C11" s="12">
        <f>GovBySenateDistrict14General[[#This Row],[Part of Queens County Vote Results]]</f>
        <v>283</v>
      </c>
      <c r="D11" s="13">
        <f>GovBySenateDistrict14General[[#This Row],[Total Votes by Party]]</f>
        <v>283</v>
      </c>
    </row>
    <row r="12" spans="1:4" x14ac:dyDescent="0.2">
      <c r="A12" s="4" t="s">
        <v>11</v>
      </c>
      <c r="B12" s="16">
        <v>174</v>
      </c>
      <c r="C12" s="12">
        <f>GovBySenateDistrict14General[[#This Row],[Part of Queens County Vote Results]]</f>
        <v>174</v>
      </c>
      <c r="D12" s="13">
        <f>GovBySenateDistrict14General[[#This Row],[Total Votes by Party]]</f>
        <v>174</v>
      </c>
    </row>
    <row r="13" spans="1:4" x14ac:dyDescent="0.2">
      <c r="A13" s="4" t="s">
        <v>0</v>
      </c>
      <c r="B13" s="16">
        <v>1180</v>
      </c>
      <c r="C13" s="12">
        <f>GovBySenateDistrict14General[[#This Row],[Part of Queens County Vote Results]]</f>
        <v>1180</v>
      </c>
      <c r="D13" s="14"/>
    </row>
    <row r="14" spans="1:4" x14ac:dyDescent="0.2">
      <c r="A14" s="4" t="s">
        <v>1</v>
      </c>
      <c r="B14" s="16">
        <v>0</v>
      </c>
      <c r="C14" s="12">
        <f>GovBySenateDistrict14General[[#This Row],[Part of Queens County Vote Results]]</f>
        <v>0</v>
      </c>
      <c r="D14" s="14"/>
    </row>
    <row r="15" spans="1:4" x14ac:dyDescent="0.2">
      <c r="A15" s="4" t="s">
        <v>2</v>
      </c>
      <c r="B15" s="5">
        <v>87</v>
      </c>
      <c r="C15" s="12">
        <f>GovBySenateDistrict14General[[#This Row],[Part of Queens County Vote Results]]</f>
        <v>87</v>
      </c>
      <c r="D15" s="14"/>
    </row>
    <row r="16" spans="1:4" hidden="1" x14ac:dyDescent="0.2">
      <c r="A16" s="4" t="s">
        <v>4</v>
      </c>
      <c r="B16" s="6">
        <f>SUBTOTAL(109,GovBySenateDistrict14General[Total Votes by Candidate])</f>
        <v>84740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F6DAC-3C42-43EB-941D-B6C5A20F6C5B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87</v>
      </c>
    </row>
    <row r="2" spans="1:4" ht="24.95" customHeight="1" x14ac:dyDescent="0.2">
      <c r="A2" s="7" t="s">
        <v>12</v>
      </c>
      <c r="B2" s="8" t="s">
        <v>18</v>
      </c>
      <c r="C2" s="10" t="s">
        <v>141</v>
      </c>
      <c r="D2" s="11" t="s">
        <v>5</v>
      </c>
    </row>
    <row r="3" spans="1:4" x14ac:dyDescent="0.2">
      <c r="A3" s="2" t="s">
        <v>3</v>
      </c>
      <c r="B3" s="16">
        <v>42838</v>
      </c>
      <c r="C3" s="12">
        <f>GovBySenateDistrict15General[[#This Row],[Part of Queens County Vote Results]]</f>
        <v>42838</v>
      </c>
      <c r="D3" s="13">
        <f>SUM(C3,C7,C8,C9)</f>
        <v>45264</v>
      </c>
    </row>
    <row r="4" spans="1:4" x14ac:dyDescent="0.2">
      <c r="A4" s="2" t="s">
        <v>14</v>
      </c>
      <c r="B4" s="16">
        <v>24296</v>
      </c>
      <c r="C4" s="12">
        <f>GovBySenateDistrict15General[[#This Row],[Part of Queens County Vote Results]]</f>
        <v>24296</v>
      </c>
      <c r="D4" s="13">
        <f>SUM(C4,C5,C10)</f>
        <v>27290</v>
      </c>
    </row>
    <row r="5" spans="1:4" x14ac:dyDescent="0.2">
      <c r="A5" s="2" t="s">
        <v>15</v>
      </c>
      <c r="B5" s="16">
        <v>2831</v>
      </c>
      <c r="C5" s="12">
        <f>GovBySenateDistrict15General[[#This Row],[Part of Queens County Vote Results]]</f>
        <v>2831</v>
      </c>
      <c r="D5" s="14"/>
    </row>
    <row r="6" spans="1:4" x14ac:dyDescent="0.2">
      <c r="A6" s="2" t="s">
        <v>6</v>
      </c>
      <c r="B6" s="16">
        <v>1279</v>
      </c>
      <c r="C6" s="12">
        <f>GovBySenateDistrict15General[[#This Row],[Part of Queens County Vote Results]]</f>
        <v>1279</v>
      </c>
      <c r="D6" s="13">
        <f>GovBySenateDistrict15General[[#This Row],[Total Votes by Party]]</f>
        <v>1279</v>
      </c>
    </row>
    <row r="7" spans="1:4" x14ac:dyDescent="0.2">
      <c r="A7" s="2" t="s">
        <v>7</v>
      </c>
      <c r="B7" s="16">
        <v>1455</v>
      </c>
      <c r="C7" s="12">
        <f>GovBySenateDistrict15General[[#This Row],[Part of Queens County Vote Results]]</f>
        <v>1455</v>
      </c>
      <c r="D7" s="14"/>
    </row>
    <row r="8" spans="1:4" x14ac:dyDescent="0.2">
      <c r="A8" s="2" t="s">
        <v>8</v>
      </c>
      <c r="B8" s="16">
        <v>793</v>
      </c>
      <c r="C8" s="12">
        <f>GovBySenateDistrict15General[[#This Row],[Part of Queens County Vote Results]]</f>
        <v>793</v>
      </c>
      <c r="D8" s="14"/>
    </row>
    <row r="9" spans="1:4" x14ac:dyDescent="0.2">
      <c r="A9" s="2" t="s">
        <v>9</v>
      </c>
      <c r="B9" s="16">
        <v>178</v>
      </c>
      <c r="C9" s="12">
        <f>GovBySenateDistrict15General[[#This Row],[Part of Queens County Vote Results]]</f>
        <v>178</v>
      </c>
      <c r="D9" s="14"/>
    </row>
    <row r="10" spans="1:4" x14ac:dyDescent="0.2">
      <c r="A10" s="2" t="s">
        <v>16</v>
      </c>
      <c r="B10" s="16">
        <v>163</v>
      </c>
      <c r="C10" s="12">
        <f>GovBySenateDistrict15General[[#This Row],[Part of Queens County Vote Results]]</f>
        <v>163</v>
      </c>
      <c r="D10" s="14"/>
    </row>
    <row r="11" spans="1:4" x14ac:dyDescent="0.2">
      <c r="A11" s="2" t="s">
        <v>10</v>
      </c>
      <c r="B11" s="16">
        <v>594</v>
      </c>
      <c r="C11" s="12">
        <f>GovBySenateDistrict15General[[#This Row],[Part of Queens County Vote Results]]</f>
        <v>594</v>
      </c>
      <c r="D11" s="13">
        <f>GovBySenateDistrict15General[[#This Row],[Total Votes by Party]]</f>
        <v>594</v>
      </c>
    </row>
    <row r="12" spans="1:4" x14ac:dyDescent="0.2">
      <c r="A12" s="4" t="s">
        <v>11</v>
      </c>
      <c r="B12" s="16">
        <v>278</v>
      </c>
      <c r="C12" s="12">
        <f>GovBySenateDistrict15General[[#This Row],[Part of Queens County Vote Results]]</f>
        <v>278</v>
      </c>
      <c r="D12" s="13">
        <f>GovBySenateDistrict15General[[#This Row],[Total Votes by Party]]</f>
        <v>278</v>
      </c>
    </row>
    <row r="13" spans="1:4" x14ac:dyDescent="0.2">
      <c r="A13" s="4" t="s">
        <v>0</v>
      </c>
      <c r="B13" s="16">
        <v>1196</v>
      </c>
      <c r="C13" s="12">
        <f>GovBySenateDistrict15General[[#This Row],[Part of Queens County Vote Results]]</f>
        <v>1196</v>
      </c>
      <c r="D13" s="14"/>
    </row>
    <row r="14" spans="1:4" x14ac:dyDescent="0.2">
      <c r="A14" s="4" t="s">
        <v>1</v>
      </c>
      <c r="B14" s="16">
        <v>0</v>
      </c>
      <c r="C14" s="12">
        <f>GovBySenateDistrict15General[[#This Row],[Part of Queens County Vote Results]]</f>
        <v>0</v>
      </c>
      <c r="D14" s="14"/>
    </row>
    <row r="15" spans="1:4" x14ac:dyDescent="0.2">
      <c r="A15" s="4" t="s">
        <v>2</v>
      </c>
      <c r="B15" s="5">
        <v>111</v>
      </c>
      <c r="C15" s="12">
        <f>GovBySenateDistrict15General[[#This Row],[Part of Queens County Vote Results]]</f>
        <v>111</v>
      </c>
      <c r="D15" s="14"/>
    </row>
    <row r="16" spans="1:4" hidden="1" x14ac:dyDescent="0.2">
      <c r="A16" s="4" t="s">
        <v>4</v>
      </c>
      <c r="B16" s="6">
        <f>SUBTOTAL(109,GovBySenateDistrict15General[Total Votes by Candidate])</f>
        <v>74705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23E4E-72FC-4A29-851B-22A5F0C04362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88</v>
      </c>
    </row>
    <row r="2" spans="1:4" ht="24.95" customHeight="1" x14ac:dyDescent="0.2">
      <c r="A2" s="7" t="s">
        <v>12</v>
      </c>
      <c r="B2" s="8" t="s">
        <v>18</v>
      </c>
      <c r="C2" s="10" t="s">
        <v>141</v>
      </c>
      <c r="D2" s="11" t="s">
        <v>5</v>
      </c>
    </row>
    <row r="3" spans="1:4" x14ac:dyDescent="0.2">
      <c r="A3" s="2" t="s">
        <v>3</v>
      </c>
      <c r="B3" s="16">
        <v>38347</v>
      </c>
      <c r="C3" s="12">
        <f>GovBySenateDistrict16General[[#This Row],[Part of Queens County Vote Results]]</f>
        <v>38347</v>
      </c>
      <c r="D3" s="13">
        <f>SUM(C3,C7,C8,C9)</f>
        <v>40053</v>
      </c>
    </row>
    <row r="4" spans="1:4" x14ac:dyDescent="0.2">
      <c r="A4" s="2" t="s">
        <v>14</v>
      </c>
      <c r="B4" s="16">
        <v>10593</v>
      </c>
      <c r="C4" s="12">
        <f>GovBySenateDistrict16General[[#This Row],[Part of Queens County Vote Results]]</f>
        <v>10593</v>
      </c>
      <c r="D4" s="13">
        <f>SUM(C4,C5,C10)</f>
        <v>11526</v>
      </c>
    </row>
    <row r="5" spans="1:4" x14ac:dyDescent="0.2">
      <c r="A5" s="2" t="s">
        <v>15</v>
      </c>
      <c r="B5" s="16">
        <v>845</v>
      </c>
      <c r="C5" s="12">
        <f>GovBySenateDistrict16General[[#This Row],[Part of Queens County Vote Results]]</f>
        <v>845</v>
      </c>
      <c r="D5" s="14"/>
    </row>
    <row r="6" spans="1:4" x14ac:dyDescent="0.2">
      <c r="A6" s="2" t="s">
        <v>6</v>
      </c>
      <c r="B6" s="16">
        <v>1001</v>
      </c>
      <c r="C6" s="12">
        <f>GovBySenateDistrict16General[[#This Row],[Part of Queens County Vote Results]]</f>
        <v>1001</v>
      </c>
      <c r="D6" s="13">
        <f>GovBySenateDistrict16General[[#This Row],[Total Votes by Party]]</f>
        <v>1001</v>
      </c>
    </row>
    <row r="7" spans="1:4" x14ac:dyDescent="0.2">
      <c r="A7" s="2" t="s">
        <v>7</v>
      </c>
      <c r="B7" s="16">
        <v>952</v>
      </c>
      <c r="C7" s="12">
        <f>GovBySenateDistrict16General[[#This Row],[Part of Queens County Vote Results]]</f>
        <v>952</v>
      </c>
      <c r="D7" s="14"/>
    </row>
    <row r="8" spans="1:4" x14ac:dyDescent="0.2">
      <c r="A8" s="2" t="s">
        <v>8</v>
      </c>
      <c r="B8" s="16">
        <v>591</v>
      </c>
      <c r="C8" s="12">
        <f>GovBySenateDistrict16General[[#This Row],[Part of Queens County Vote Results]]</f>
        <v>591</v>
      </c>
      <c r="D8" s="14"/>
    </row>
    <row r="9" spans="1:4" x14ac:dyDescent="0.2">
      <c r="A9" s="2" t="s">
        <v>9</v>
      </c>
      <c r="B9" s="16">
        <v>163</v>
      </c>
      <c r="C9" s="12">
        <f>GovBySenateDistrict16General[[#This Row],[Part of Queens County Vote Results]]</f>
        <v>163</v>
      </c>
      <c r="D9" s="14"/>
    </row>
    <row r="10" spans="1:4" x14ac:dyDescent="0.2">
      <c r="A10" s="2" t="s">
        <v>16</v>
      </c>
      <c r="B10" s="16">
        <v>88</v>
      </c>
      <c r="C10" s="12">
        <f>GovBySenateDistrict16General[[#This Row],[Part of Queens County Vote Results]]</f>
        <v>88</v>
      </c>
      <c r="D10" s="14"/>
    </row>
    <row r="11" spans="1:4" x14ac:dyDescent="0.2">
      <c r="A11" s="2" t="s">
        <v>10</v>
      </c>
      <c r="B11" s="16">
        <v>311</v>
      </c>
      <c r="C11" s="12">
        <f>GovBySenateDistrict16General[[#This Row],[Part of Queens County Vote Results]]</f>
        <v>311</v>
      </c>
      <c r="D11" s="13">
        <f>GovBySenateDistrict16General[[#This Row],[Total Votes by Party]]</f>
        <v>311</v>
      </c>
    </row>
    <row r="12" spans="1:4" x14ac:dyDescent="0.2">
      <c r="A12" s="4" t="s">
        <v>11</v>
      </c>
      <c r="B12" s="16">
        <v>239</v>
      </c>
      <c r="C12" s="12">
        <f>GovBySenateDistrict16General[[#This Row],[Part of Queens County Vote Results]]</f>
        <v>239</v>
      </c>
      <c r="D12" s="13">
        <f>GovBySenateDistrict16General[[#This Row],[Total Votes by Party]]</f>
        <v>239</v>
      </c>
    </row>
    <row r="13" spans="1:4" x14ac:dyDescent="0.2">
      <c r="A13" s="4" t="s">
        <v>0</v>
      </c>
      <c r="B13" s="16">
        <v>888</v>
      </c>
      <c r="C13" s="12">
        <f>GovBySenateDistrict16General[[#This Row],[Part of Queens County Vote Results]]</f>
        <v>888</v>
      </c>
      <c r="D13" s="14"/>
    </row>
    <row r="14" spans="1:4" x14ac:dyDescent="0.2">
      <c r="A14" s="4" t="s">
        <v>1</v>
      </c>
      <c r="B14" s="16">
        <v>0</v>
      </c>
      <c r="C14" s="12">
        <f>GovBySenateDistrict16General[[#This Row],[Part of Queens County Vote Results]]</f>
        <v>0</v>
      </c>
      <c r="D14" s="14"/>
    </row>
    <row r="15" spans="1:4" x14ac:dyDescent="0.2">
      <c r="A15" s="4" t="s">
        <v>2</v>
      </c>
      <c r="B15" s="5">
        <v>74</v>
      </c>
      <c r="C15" s="12">
        <f>GovBySenateDistrict16General[[#This Row],[Part of Queens County Vote Results]]</f>
        <v>74</v>
      </c>
      <c r="D15" s="14"/>
    </row>
    <row r="16" spans="1:4" hidden="1" x14ac:dyDescent="0.2">
      <c r="A16" s="4" t="s">
        <v>4</v>
      </c>
      <c r="B16" s="6">
        <f>SUBTOTAL(109,GovBySenateDistrict16General[Total Votes by Candidate])</f>
        <v>53130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DD9F2-0782-42C8-A6DE-194C0F2E9B28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89</v>
      </c>
    </row>
    <row r="2" spans="1:4" ht="24.95" customHeight="1" x14ac:dyDescent="0.2">
      <c r="A2" s="7" t="s">
        <v>12</v>
      </c>
      <c r="B2" s="8" t="s">
        <v>19</v>
      </c>
      <c r="C2" s="10" t="s">
        <v>141</v>
      </c>
      <c r="D2" s="11" t="s">
        <v>5</v>
      </c>
    </row>
    <row r="3" spans="1:4" x14ac:dyDescent="0.2">
      <c r="A3" s="2" t="s">
        <v>3</v>
      </c>
      <c r="B3" s="16">
        <v>24365</v>
      </c>
      <c r="C3" s="12">
        <f>GovBySenateDistrict17General[[#This Row],[Part of Kings County Vote Results]]</f>
        <v>24365</v>
      </c>
      <c r="D3" s="13">
        <f>SUM(C3,C7,C8,C9)</f>
        <v>26679</v>
      </c>
    </row>
    <row r="4" spans="1:4" x14ac:dyDescent="0.2">
      <c r="A4" s="2" t="s">
        <v>14</v>
      </c>
      <c r="B4" s="16">
        <v>18662</v>
      </c>
      <c r="C4" s="12">
        <f>GovBySenateDistrict17General[[#This Row],[Part of Kings County Vote Results]]</f>
        <v>18662</v>
      </c>
      <c r="D4" s="13">
        <f>SUM(C4,C5,C10)</f>
        <v>20948</v>
      </c>
    </row>
    <row r="5" spans="1:4" x14ac:dyDescent="0.2">
      <c r="A5" s="2" t="s">
        <v>15</v>
      </c>
      <c r="B5" s="16">
        <v>2165</v>
      </c>
      <c r="C5" s="12">
        <f>GovBySenateDistrict17General[[#This Row],[Part of Kings County Vote Results]]</f>
        <v>2165</v>
      </c>
      <c r="D5" s="14"/>
    </row>
    <row r="6" spans="1:4" x14ac:dyDescent="0.2">
      <c r="A6" s="2" t="s">
        <v>6</v>
      </c>
      <c r="B6" s="16">
        <v>975</v>
      </c>
      <c r="C6" s="12">
        <f>GovBySenateDistrict17General[[#This Row],[Part of Kings County Vote Results]]</f>
        <v>975</v>
      </c>
      <c r="D6" s="13">
        <f>GovBySenateDistrict17General[[#This Row],[Total Votes by Party]]</f>
        <v>975</v>
      </c>
    </row>
    <row r="7" spans="1:4" x14ac:dyDescent="0.2">
      <c r="A7" s="2" t="s">
        <v>7</v>
      </c>
      <c r="B7" s="16">
        <v>1586</v>
      </c>
      <c r="C7" s="12">
        <f>GovBySenateDistrict17General[[#This Row],[Part of Kings County Vote Results]]</f>
        <v>1586</v>
      </c>
      <c r="D7" s="14"/>
    </row>
    <row r="8" spans="1:4" x14ac:dyDescent="0.2">
      <c r="A8" s="2" t="s">
        <v>8</v>
      </c>
      <c r="B8" s="16">
        <v>614</v>
      </c>
      <c r="C8" s="12">
        <f>GovBySenateDistrict17General[[#This Row],[Part of Kings County Vote Results]]</f>
        <v>614</v>
      </c>
      <c r="D8" s="14"/>
    </row>
    <row r="9" spans="1:4" x14ac:dyDescent="0.2">
      <c r="A9" s="2" t="s">
        <v>9</v>
      </c>
      <c r="B9" s="16">
        <v>114</v>
      </c>
      <c r="C9" s="12">
        <f>GovBySenateDistrict17General[[#This Row],[Part of Kings County Vote Results]]</f>
        <v>114</v>
      </c>
      <c r="D9" s="14"/>
    </row>
    <row r="10" spans="1:4" x14ac:dyDescent="0.2">
      <c r="A10" s="2" t="s">
        <v>16</v>
      </c>
      <c r="B10" s="16">
        <v>121</v>
      </c>
      <c r="C10" s="12">
        <f>GovBySenateDistrict17General[[#This Row],[Part of Kings County Vote Results]]</f>
        <v>121</v>
      </c>
      <c r="D10" s="14"/>
    </row>
    <row r="11" spans="1:4" x14ac:dyDescent="0.2">
      <c r="A11" s="2" t="s">
        <v>10</v>
      </c>
      <c r="B11" s="16">
        <v>313</v>
      </c>
      <c r="C11" s="12">
        <f>GovBySenateDistrict17General[[#This Row],[Part of Kings County Vote Results]]</f>
        <v>313</v>
      </c>
      <c r="D11" s="13">
        <f>GovBySenateDistrict17General[[#This Row],[Total Votes by Party]]</f>
        <v>313</v>
      </c>
    </row>
    <row r="12" spans="1:4" x14ac:dyDescent="0.2">
      <c r="A12" s="4" t="s">
        <v>11</v>
      </c>
      <c r="B12" s="16">
        <v>218</v>
      </c>
      <c r="C12" s="12">
        <f>GovBySenateDistrict17General[[#This Row],[Part of Kings County Vote Results]]</f>
        <v>218</v>
      </c>
      <c r="D12" s="13">
        <f>GovBySenateDistrict17General[[#This Row],[Total Votes by Party]]</f>
        <v>218</v>
      </c>
    </row>
    <row r="13" spans="1:4" x14ac:dyDescent="0.2">
      <c r="A13" s="4" t="s">
        <v>0</v>
      </c>
      <c r="B13" s="16">
        <v>1764</v>
      </c>
      <c r="C13" s="12">
        <f>GovBySenateDistrict17General[[#This Row],[Part of Kings County Vote Results]]</f>
        <v>1764</v>
      </c>
      <c r="D13" s="14"/>
    </row>
    <row r="14" spans="1:4" x14ac:dyDescent="0.2">
      <c r="A14" s="4" t="s">
        <v>1</v>
      </c>
      <c r="B14" s="16">
        <v>0</v>
      </c>
      <c r="C14" s="12">
        <f>GovBySenateDistrict17General[[#This Row],[Part of Kings County Vote Results]]</f>
        <v>0</v>
      </c>
      <c r="D14" s="14"/>
    </row>
    <row r="15" spans="1:4" x14ac:dyDescent="0.2">
      <c r="A15" s="4" t="s">
        <v>2</v>
      </c>
      <c r="B15" s="5">
        <v>167</v>
      </c>
      <c r="C15" s="12">
        <f>GovBySenateDistrict17General[[#This Row],[Part of Kings County Vote Results]]</f>
        <v>167</v>
      </c>
      <c r="D15" s="14"/>
    </row>
    <row r="16" spans="1:4" hidden="1" x14ac:dyDescent="0.2">
      <c r="A16" s="4" t="s">
        <v>4</v>
      </c>
      <c r="B16" s="6">
        <f>SUBTOTAL(109,GovBySenateDistrict17General[Total Votes by Candidate])</f>
        <v>49133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46C3F-A37E-47ED-B4C4-0A8DB2FA8BB6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90</v>
      </c>
    </row>
    <row r="2" spans="1:4" ht="24.95" customHeight="1" x14ac:dyDescent="0.2">
      <c r="A2" s="7" t="s">
        <v>12</v>
      </c>
      <c r="B2" s="8" t="s">
        <v>19</v>
      </c>
      <c r="C2" s="10" t="s">
        <v>141</v>
      </c>
      <c r="D2" s="11" t="s">
        <v>5</v>
      </c>
    </row>
    <row r="3" spans="1:4" x14ac:dyDescent="0.2">
      <c r="A3" s="2" t="s">
        <v>3</v>
      </c>
      <c r="B3" s="16">
        <v>65226</v>
      </c>
      <c r="C3" s="12">
        <f>GovBySenateDistrict18General[[#This Row],[Part of Kings County Vote Results]]</f>
        <v>65226</v>
      </c>
      <c r="D3" s="13">
        <f>SUM(C3,C7,C8,C9)</f>
        <v>69738</v>
      </c>
    </row>
    <row r="4" spans="1:4" x14ac:dyDescent="0.2">
      <c r="A4" s="2" t="s">
        <v>14</v>
      </c>
      <c r="B4" s="16">
        <v>3095</v>
      </c>
      <c r="C4" s="12">
        <f>GovBySenateDistrict18General[[#This Row],[Part of Kings County Vote Results]]</f>
        <v>3095</v>
      </c>
      <c r="D4" s="13">
        <f>SUM(C4,C5,C10)</f>
        <v>3483</v>
      </c>
    </row>
    <row r="5" spans="1:4" x14ac:dyDescent="0.2">
      <c r="A5" s="2" t="s">
        <v>15</v>
      </c>
      <c r="B5" s="16">
        <v>308</v>
      </c>
      <c r="C5" s="12">
        <f>GovBySenateDistrict18General[[#This Row],[Part of Kings County Vote Results]]</f>
        <v>308</v>
      </c>
      <c r="D5" s="14"/>
    </row>
    <row r="6" spans="1:4" x14ac:dyDescent="0.2">
      <c r="A6" s="2" t="s">
        <v>6</v>
      </c>
      <c r="B6" s="16">
        <v>2997</v>
      </c>
      <c r="C6" s="12">
        <f>GovBySenateDistrict18General[[#This Row],[Part of Kings County Vote Results]]</f>
        <v>2997</v>
      </c>
      <c r="D6" s="13">
        <f>GovBySenateDistrict18General[[#This Row],[Total Votes by Party]]</f>
        <v>2997</v>
      </c>
    </row>
    <row r="7" spans="1:4" x14ac:dyDescent="0.2">
      <c r="A7" s="2" t="s">
        <v>7</v>
      </c>
      <c r="B7" s="16">
        <v>3557</v>
      </c>
      <c r="C7" s="12">
        <f>GovBySenateDistrict18General[[#This Row],[Part of Kings County Vote Results]]</f>
        <v>3557</v>
      </c>
      <c r="D7" s="14"/>
    </row>
    <row r="8" spans="1:4" x14ac:dyDescent="0.2">
      <c r="A8" s="2" t="s">
        <v>8</v>
      </c>
      <c r="B8" s="16">
        <v>586</v>
      </c>
      <c r="C8" s="12">
        <f>GovBySenateDistrict18General[[#This Row],[Part of Kings County Vote Results]]</f>
        <v>586</v>
      </c>
      <c r="D8" s="14"/>
    </row>
    <row r="9" spans="1:4" x14ac:dyDescent="0.2">
      <c r="A9" s="2" t="s">
        <v>9</v>
      </c>
      <c r="B9" s="16">
        <v>369</v>
      </c>
      <c r="C9" s="12">
        <f>GovBySenateDistrict18General[[#This Row],[Part of Kings County Vote Results]]</f>
        <v>369</v>
      </c>
      <c r="D9" s="14"/>
    </row>
    <row r="10" spans="1:4" x14ac:dyDescent="0.2">
      <c r="A10" s="2" t="s">
        <v>16</v>
      </c>
      <c r="B10" s="16">
        <v>80</v>
      </c>
      <c r="C10" s="12">
        <f>GovBySenateDistrict18General[[#This Row],[Part of Kings County Vote Results]]</f>
        <v>80</v>
      </c>
      <c r="D10" s="14"/>
    </row>
    <row r="11" spans="1:4" x14ac:dyDescent="0.2">
      <c r="A11" s="2" t="s">
        <v>10</v>
      </c>
      <c r="B11" s="16">
        <v>542</v>
      </c>
      <c r="C11" s="12">
        <f>GovBySenateDistrict18General[[#This Row],[Part of Kings County Vote Results]]</f>
        <v>542</v>
      </c>
      <c r="D11" s="13">
        <f>GovBySenateDistrict18General[[#This Row],[Total Votes by Party]]</f>
        <v>542</v>
      </c>
    </row>
    <row r="12" spans="1:4" x14ac:dyDescent="0.2">
      <c r="A12" s="4" t="s">
        <v>11</v>
      </c>
      <c r="B12" s="16">
        <v>528</v>
      </c>
      <c r="C12" s="12">
        <f>GovBySenateDistrict18General[[#This Row],[Part of Kings County Vote Results]]</f>
        <v>528</v>
      </c>
      <c r="D12" s="13">
        <f>GovBySenateDistrict18General[[#This Row],[Total Votes by Party]]</f>
        <v>528</v>
      </c>
    </row>
    <row r="13" spans="1:4" x14ac:dyDescent="0.2">
      <c r="A13" s="4" t="s">
        <v>0</v>
      </c>
      <c r="B13" s="16">
        <v>952</v>
      </c>
      <c r="C13" s="12">
        <f>GovBySenateDistrict18General[[#This Row],[Part of Kings County Vote Results]]</f>
        <v>952</v>
      </c>
      <c r="D13" s="14"/>
    </row>
    <row r="14" spans="1:4" x14ac:dyDescent="0.2">
      <c r="A14" s="4" t="s">
        <v>1</v>
      </c>
      <c r="B14" s="16">
        <v>0</v>
      </c>
      <c r="C14" s="12">
        <f>GovBySenateDistrict18General[[#This Row],[Part of Kings County Vote Results]]</f>
        <v>0</v>
      </c>
      <c r="D14" s="14"/>
    </row>
    <row r="15" spans="1:4" x14ac:dyDescent="0.2">
      <c r="A15" s="4" t="s">
        <v>2</v>
      </c>
      <c r="B15" s="5">
        <v>293</v>
      </c>
      <c r="C15" s="12">
        <f>GovBySenateDistrict18General[[#This Row],[Part of Kings County Vote Results]]</f>
        <v>293</v>
      </c>
      <c r="D15" s="14"/>
    </row>
    <row r="16" spans="1:4" hidden="1" x14ac:dyDescent="0.2">
      <c r="A16" s="4" t="s">
        <v>4</v>
      </c>
      <c r="B16" s="6">
        <f>SUBTOTAL(109,GovBySenateDistrict18General[Total Votes by Candidate])</f>
        <v>77288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B749A-BBB2-44FA-BB79-28D1FF218827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91</v>
      </c>
    </row>
    <row r="2" spans="1:4" ht="24.95" customHeight="1" x14ac:dyDescent="0.2">
      <c r="A2" s="7" t="s">
        <v>12</v>
      </c>
      <c r="B2" s="8" t="s">
        <v>19</v>
      </c>
      <c r="C2" s="10" t="s">
        <v>141</v>
      </c>
      <c r="D2" s="11" t="s">
        <v>5</v>
      </c>
    </row>
    <row r="3" spans="1:4" x14ac:dyDescent="0.2">
      <c r="A3" s="2" t="s">
        <v>3</v>
      </c>
      <c r="B3" s="16">
        <v>68933</v>
      </c>
      <c r="C3" s="12">
        <f>GovBySenateDistrict19General[[#This Row],[Part of Kings County Vote Results]]</f>
        <v>68933</v>
      </c>
      <c r="D3" s="13">
        <f>SUM(C3,C7,C8,C9)</f>
        <v>70299</v>
      </c>
    </row>
    <row r="4" spans="1:4" x14ac:dyDescent="0.2">
      <c r="A4" s="2" t="s">
        <v>14</v>
      </c>
      <c r="B4" s="16">
        <v>7086</v>
      </c>
      <c r="C4" s="12">
        <f>GovBySenateDistrict19General[[#This Row],[Part of Kings County Vote Results]]</f>
        <v>7086</v>
      </c>
      <c r="D4" s="13">
        <f>SUM(C4,C5,C10)</f>
        <v>7760</v>
      </c>
    </row>
    <row r="5" spans="1:4" x14ac:dyDescent="0.2">
      <c r="A5" s="2" t="s">
        <v>15</v>
      </c>
      <c r="B5" s="16">
        <v>619</v>
      </c>
      <c r="C5" s="12">
        <f>GovBySenateDistrict19General[[#This Row],[Part of Kings County Vote Results]]</f>
        <v>619</v>
      </c>
      <c r="D5" s="14"/>
    </row>
    <row r="6" spans="1:4" x14ac:dyDescent="0.2">
      <c r="A6" s="2" t="s">
        <v>6</v>
      </c>
      <c r="B6" s="16">
        <v>493</v>
      </c>
      <c r="C6" s="12">
        <f>GovBySenateDistrict19General[[#This Row],[Part of Kings County Vote Results]]</f>
        <v>493</v>
      </c>
      <c r="D6" s="13">
        <f>GovBySenateDistrict19General[[#This Row],[Total Votes by Party]]</f>
        <v>493</v>
      </c>
    </row>
    <row r="7" spans="1:4" x14ac:dyDescent="0.2">
      <c r="A7" s="2" t="s">
        <v>7</v>
      </c>
      <c r="B7" s="16">
        <v>807</v>
      </c>
      <c r="C7" s="12">
        <f>GovBySenateDistrict19General[[#This Row],[Part of Kings County Vote Results]]</f>
        <v>807</v>
      </c>
      <c r="D7" s="14"/>
    </row>
    <row r="8" spans="1:4" x14ac:dyDescent="0.2">
      <c r="A8" s="2" t="s">
        <v>8</v>
      </c>
      <c r="B8" s="16">
        <v>485</v>
      </c>
      <c r="C8" s="12">
        <f>GovBySenateDistrict19General[[#This Row],[Part of Kings County Vote Results]]</f>
        <v>485</v>
      </c>
      <c r="D8" s="14"/>
    </row>
    <row r="9" spans="1:4" x14ac:dyDescent="0.2">
      <c r="A9" s="2" t="s">
        <v>9</v>
      </c>
      <c r="B9" s="16">
        <v>74</v>
      </c>
      <c r="C9" s="12">
        <f>GovBySenateDistrict19General[[#This Row],[Part of Kings County Vote Results]]</f>
        <v>74</v>
      </c>
      <c r="D9" s="14"/>
    </row>
    <row r="10" spans="1:4" x14ac:dyDescent="0.2">
      <c r="A10" s="2" t="s">
        <v>16</v>
      </c>
      <c r="B10" s="16">
        <v>55</v>
      </c>
      <c r="C10" s="12">
        <f>GovBySenateDistrict19General[[#This Row],[Part of Kings County Vote Results]]</f>
        <v>55</v>
      </c>
      <c r="D10" s="14"/>
    </row>
    <row r="11" spans="1:4" x14ac:dyDescent="0.2">
      <c r="A11" s="2" t="s">
        <v>10</v>
      </c>
      <c r="B11" s="16">
        <v>247</v>
      </c>
      <c r="C11" s="12">
        <f>GovBySenateDistrict19General[[#This Row],[Part of Kings County Vote Results]]</f>
        <v>247</v>
      </c>
      <c r="D11" s="13">
        <f>GovBySenateDistrict19General[[#This Row],[Total Votes by Party]]</f>
        <v>247</v>
      </c>
    </row>
    <row r="12" spans="1:4" x14ac:dyDescent="0.2">
      <c r="A12" s="4" t="s">
        <v>11</v>
      </c>
      <c r="B12" s="16">
        <v>105</v>
      </c>
      <c r="C12" s="12">
        <f>GovBySenateDistrict19General[[#This Row],[Part of Kings County Vote Results]]</f>
        <v>105</v>
      </c>
      <c r="D12" s="13">
        <f>GovBySenateDistrict19General[[#This Row],[Total Votes by Party]]</f>
        <v>105</v>
      </c>
    </row>
    <row r="13" spans="1:4" x14ac:dyDescent="0.2">
      <c r="A13" s="4" t="s">
        <v>0</v>
      </c>
      <c r="B13" s="16">
        <v>855</v>
      </c>
      <c r="C13" s="12">
        <f>GovBySenateDistrict19General[[#This Row],[Part of Kings County Vote Results]]</f>
        <v>855</v>
      </c>
      <c r="D13" s="14"/>
    </row>
    <row r="14" spans="1:4" x14ac:dyDescent="0.2">
      <c r="A14" s="4" t="s">
        <v>1</v>
      </c>
      <c r="B14" s="16">
        <v>0</v>
      </c>
      <c r="C14" s="12">
        <f>GovBySenateDistrict19General[[#This Row],[Part of Kings County Vote Results]]</f>
        <v>0</v>
      </c>
      <c r="D14" s="14"/>
    </row>
    <row r="15" spans="1:4" x14ac:dyDescent="0.2">
      <c r="A15" s="4" t="s">
        <v>2</v>
      </c>
      <c r="B15" s="5">
        <v>78</v>
      </c>
      <c r="C15" s="12">
        <f>GovBySenateDistrict19General[[#This Row],[Part of Kings County Vote Results]]</f>
        <v>78</v>
      </c>
      <c r="D15" s="14"/>
    </row>
    <row r="16" spans="1:4" hidden="1" x14ac:dyDescent="0.2">
      <c r="A16" s="4" t="s">
        <v>4</v>
      </c>
      <c r="B16" s="6">
        <f>SUBTOTAL(109,GovBySenateDistrict19General[Total Votes by Candidate])</f>
        <v>78904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5D4EC-03B9-4FF0-9088-D4A961D3E1F8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74</v>
      </c>
    </row>
    <row r="2" spans="1:4" ht="24.95" customHeight="1" x14ac:dyDescent="0.2">
      <c r="A2" s="7" t="s">
        <v>12</v>
      </c>
      <c r="B2" s="8" t="s">
        <v>13</v>
      </c>
      <c r="C2" s="10" t="s">
        <v>141</v>
      </c>
      <c r="D2" s="11" t="s">
        <v>5</v>
      </c>
    </row>
    <row r="3" spans="1:4" x14ac:dyDescent="0.2">
      <c r="A3" s="2" t="s">
        <v>3</v>
      </c>
      <c r="B3" s="3">
        <v>55762</v>
      </c>
      <c r="C3" s="12">
        <f>GovBySenateDistrict2General[[#This Row],[Part of Suffolk County Vote Results]]</f>
        <v>55762</v>
      </c>
      <c r="D3" s="13">
        <f>SUM(C3,C7,C8,C9)</f>
        <v>58704</v>
      </c>
    </row>
    <row r="4" spans="1:4" x14ac:dyDescent="0.2">
      <c r="A4" s="2" t="s">
        <v>14</v>
      </c>
      <c r="B4" s="3">
        <v>53583</v>
      </c>
      <c r="C4" s="12">
        <f>GovBySenateDistrict2General[[#This Row],[Part of Suffolk County Vote Results]]</f>
        <v>53583</v>
      </c>
      <c r="D4" s="13">
        <f>SUM(C4,C5,C10)</f>
        <v>60324</v>
      </c>
    </row>
    <row r="5" spans="1:4" x14ac:dyDescent="0.2">
      <c r="A5" s="2" t="s">
        <v>15</v>
      </c>
      <c r="B5" s="3">
        <v>6333</v>
      </c>
      <c r="C5" s="12">
        <f>GovBySenateDistrict2General[[#This Row],[Part of Suffolk County Vote Results]]</f>
        <v>6333</v>
      </c>
      <c r="D5" s="14"/>
    </row>
    <row r="6" spans="1:4" x14ac:dyDescent="0.2">
      <c r="A6" s="2" t="s">
        <v>6</v>
      </c>
      <c r="B6" s="3">
        <v>1127</v>
      </c>
      <c r="C6" s="12">
        <f>GovBySenateDistrict2General[[#This Row],[Part of Suffolk County Vote Results]]</f>
        <v>1127</v>
      </c>
      <c r="D6" s="13">
        <f>GovBySenateDistrict2General[[#This Row],[Total Votes by Party]]</f>
        <v>1127</v>
      </c>
    </row>
    <row r="7" spans="1:4" x14ac:dyDescent="0.2">
      <c r="A7" s="2" t="s">
        <v>7</v>
      </c>
      <c r="B7" s="3">
        <v>1084</v>
      </c>
      <c r="C7" s="12">
        <f>GovBySenateDistrict2General[[#This Row],[Part of Suffolk County Vote Results]]</f>
        <v>1084</v>
      </c>
      <c r="D7" s="14"/>
    </row>
    <row r="8" spans="1:4" x14ac:dyDescent="0.2">
      <c r="A8" s="2" t="s">
        <v>8</v>
      </c>
      <c r="B8" s="3">
        <v>1242</v>
      </c>
      <c r="C8" s="12">
        <f>GovBySenateDistrict2General[[#This Row],[Part of Suffolk County Vote Results]]</f>
        <v>1242</v>
      </c>
      <c r="D8" s="14"/>
    </row>
    <row r="9" spans="1:4" x14ac:dyDescent="0.2">
      <c r="A9" s="2" t="s">
        <v>9</v>
      </c>
      <c r="B9" s="3">
        <v>616</v>
      </c>
      <c r="C9" s="12">
        <f>GovBySenateDistrict2General[[#This Row],[Part of Suffolk County Vote Results]]</f>
        <v>616</v>
      </c>
      <c r="D9" s="14"/>
    </row>
    <row r="10" spans="1:4" x14ac:dyDescent="0.2">
      <c r="A10" s="2" t="s">
        <v>16</v>
      </c>
      <c r="B10" s="3">
        <v>408</v>
      </c>
      <c r="C10" s="12">
        <f>GovBySenateDistrict2General[[#This Row],[Part of Suffolk County Vote Results]]</f>
        <v>408</v>
      </c>
      <c r="D10" s="14"/>
    </row>
    <row r="11" spans="1:4" x14ac:dyDescent="0.2">
      <c r="A11" s="2" t="s">
        <v>10</v>
      </c>
      <c r="B11" s="3">
        <v>965</v>
      </c>
      <c r="C11" s="12">
        <f>GovBySenateDistrict2General[[#This Row],[Part of Suffolk County Vote Results]]</f>
        <v>965</v>
      </c>
      <c r="D11" s="13">
        <f>GovBySenateDistrict2General[[#This Row],[Total Votes by Party]]</f>
        <v>965</v>
      </c>
    </row>
    <row r="12" spans="1:4" x14ac:dyDescent="0.2">
      <c r="A12" s="4" t="s">
        <v>11</v>
      </c>
      <c r="B12" s="5">
        <v>646</v>
      </c>
      <c r="C12" s="12">
        <f>GovBySenateDistrict2General[[#This Row],[Part of Suffolk County Vote Results]]</f>
        <v>646</v>
      </c>
      <c r="D12" s="13">
        <f>GovBySenateDistrict2General[[#This Row],[Total Votes by Party]]</f>
        <v>646</v>
      </c>
    </row>
    <row r="13" spans="1:4" x14ac:dyDescent="0.2">
      <c r="A13" s="4" t="s">
        <v>0</v>
      </c>
      <c r="B13" s="5">
        <v>1563</v>
      </c>
      <c r="C13" s="12">
        <f>GovBySenateDistrict2General[[#This Row],[Part of Suffolk County Vote Results]]</f>
        <v>1563</v>
      </c>
      <c r="D13" s="14"/>
    </row>
    <row r="14" spans="1:4" x14ac:dyDescent="0.2">
      <c r="A14" s="4" t="s">
        <v>1</v>
      </c>
      <c r="B14" s="5">
        <v>109</v>
      </c>
      <c r="C14" s="12">
        <f>GovBySenateDistrict2General[[#This Row],[Part of Suffolk County Vote Results]]</f>
        <v>109</v>
      </c>
      <c r="D14" s="14"/>
    </row>
    <row r="15" spans="1:4" x14ac:dyDescent="0.2">
      <c r="A15" s="4" t="s">
        <v>2</v>
      </c>
      <c r="B15" s="5">
        <v>31</v>
      </c>
      <c r="C15" s="12">
        <f>GovBySenateDistrict2General[[#This Row],[Part of Suffolk County Vote Results]]</f>
        <v>31</v>
      </c>
      <c r="D15" s="14"/>
    </row>
    <row r="16" spans="1:4" hidden="1" x14ac:dyDescent="0.2">
      <c r="A16" s="4" t="s">
        <v>4</v>
      </c>
      <c r="B16" s="6">
        <f>SUBTOTAL(109,GovBySenateDistrict2General[Total Votes by Candidate])</f>
        <v>121766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40C9C-EFA2-4D5F-9B38-3B7CD3BAB4E3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92</v>
      </c>
    </row>
    <row r="2" spans="1:4" ht="24.95" customHeight="1" x14ac:dyDescent="0.2">
      <c r="A2" s="7" t="s">
        <v>12</v>
      </c>
      <c r="B2" s="8" t="s">
        <v>19</v>
      </c>
      <c r="C2" s="10" t="s">
        <v>141</v>
      </c>
      <c r="D2" s="11" t="s">
        <v>5</v>
      </c>
    </row>
    <row r="3" spans="1:4" x14ac:dyDescent="0.2">
      <c r="A3" s="2" t="s">
        <v>3</v>
      </c>
      <c r="B3" s="16">
        <v>70066</v>
      </c>
      <c r="C3" s="12">
        <f>GovBySenateDistrict20General[[#This Row],[Part of Kings County Vote Results]]</f>
        <v>70066</v>
      </c>
      <c r="D3" s="13">
        <f>SUM(C3,C7,C8,C9)</f>
        <v>75130</v>
      </c>
    </row>
    <row r="4" spans="1:4" x14ac:dyDescent="0.2">
      <c r="A4" s="2" t="s">
        <v>14</v>
      </c>
      <c r="B4" s="16">
        <v>3254</v>
      </c>
      <c r="C4" s="12">
        <f>GovBySenateDistrict20General[[#This Row],[Part of Kings County Vote Results]]</f>
        <v>3254</v>
      </c>
      <c r="D4" s="13">
        <f>SUM(C4,C5,C10)</f>
        <v>3756</v>
      </c>
    </row>
    <row r="5" spans="1:4" x14ac:dyDescent="0.2">
      <c r="A5" s="2" t="s">
        <v>15</v>
      </c>
      <c r="B5" s="16">
        <v>430</v>
      </c>
      <c r="C5" s="12">
        <f>GovBySenateDistrict20General[[#This Row],[Part of Kings County Vote Results]]</f>
        <v>430</v>
      </c>
      <c r="D5" s="14"/>
    </row>
    <row r="6" spans="1:4" x14ac:dyDescent="0.2">
      <c r="A6" s="2" t="s">
        <v>6</v>
      </c>
      <c r="B6" s="16">
        <v>2235</v>
      </c>
      <c r="C6" s="12">
        <f>GovBySenateDistrict20General[[#This Row],[Part of Kings County Vote Results]]</f>
        <v>2235</v>
      </c>
      <c r="D6" s="13">
        <f>GovBySenateDistrict20General[[#This Row],[Total Votes by Party]]</f>
        <v>2235</v>
      </c>
    </row>
    <row r="7" spans="1:4" x14ac:dyDescent="0.2">
      <c r="A7" s="2" t="s">
        <v>7</v>
      </c>
      <c r="B7" s="16">
        <v>4243</v>
      </c>
      <c r="C7" s="12">
        <f>GovBySenateDistrict20General[[#This Row],[Part of Kings County Vote Results]]</f>
        <v>4243</v>
      </c>
      <c r="D7" s="14"/>
    </row>
    <row r="8" spans="1:4" x14ac:dyDescent="0.2">
      <c r="A8" s="2" t="s">
        <v>8</v>
      </c>
      <c r="B8" s="16">
        <v>565</v>
      </c>
      <c r="C8" s="12">
        <f>GovBySenateDistrict20General[[#This Row],[Part of Kings County Vote Results]]</f>
        <v>565</v>
      </c>
      <c r="D8" s="14"/>
    </row>
    <row r="9" spans="1:4" x14ac:dyDescent="0.2">
      <c r="A9" s="2" t="s">
        <v>9</v>
      </c>
      <c r="B9" s="16">
        <v>256</v>
      </c>
      <c r="C9" s="12">
        <f>GovBySenateDistrict20General[[#This Row],[Part of Kings County Vote Results]]</f>
        <v>256</v>
      </c>
      <c r="D9" s="14"/>
    </row>
    <row r="10" spans="1:4" x14ac:dyDescent="0.2">
      <c r="A10" s="2" t="s">
        <v>16</v>
      </c>
      <c r="B10" s="16">
        <v>72</v>
      </c>
      <c r="C10" s="12">
        <f>GovBySenateDistrict20General[[#This Row],[Part of Kings County Vote Results]]</f>
        <v>72</v>
      </c>
      <c r="D10" s="14"/>
    </row>
    <row r="11" spans="1:4" x14ac:dyDescent="0.2">
      <c r="A11" s="2" t="s">
        <v>10</v>
      </c>
      <c r="B11" s="16">
        <v>386</v>
      </c>
      <c r="C11" s="12">
        <f>GovBySenateDistrict20General[[#This Row],[Part of Kings County Vote Results]]</f>
        <v>386</v>
      </c>
      <c r="D11" s="13">
        <f>GovBySenateDistrict20General[[#This Row],[Total Votes by Party]]</f>
        <v>386</v>
      </c>
    </row>
    <row r="12" spans="1:4" x14ac:dyDescent="0.2">
      <c r="A12" s="4" t="s">
        <v>11</v>
      </c>
      <c r="B12" s="16">
        <v>497</v>
      </c>
      <c r="C12" s="12">
        <f>GovBySenateDistrict20General[[#This Row],[Part of Kings County Vote Results]]</f>
        <v>497</v>
      </c>
      <c r="D12" s="13">
        <f>GovBySenateDistrict20General[[#This Row],[Total Votes by Party]]</f>
        <v>497</v>
      </c>
    </row>
    <row r="13" spans="1:4" x14ac:dyDescent="0.2">
      <c r="A13" s="4" t="s">
        <v>0</v>
      </c>
      <c r="B13" s="16">
        <v>1063</v>
      </c>
      <c r="C13" s="12">
        <f>GovBySenateDistrict20General[[#This Row],[Part of Kings County Vote Results]]</f>
        <v>1063</v>
      </c>
      <c r="D13" s="14"/>
    </row>
    <row r="14" spans="1:4" x14ac:dyDescent="0.2">
      <c r="A14" s="4" t="s">
        <v>1</v>
      </c>
      <c r="B14" s="16">
        <v>0</v>
      </c>
      <c r="C14" s="12">
        <f>GovBySenateDistrict20General[[#This Row],[Part of Kings County Vote Results]]</f>
        <v>0</v>
      </c>
      <c r="D14" s="14"/>
    </row>
    <row r="15" spans="1:4" x14ac:dyDescent="0.2">
      <c r="A15" s="4" t="s">
        <v>2</v>
      </c>
      <c r="B15" s="5">
        <v>264</v>
      </c>
      <c r="C15" s="12">
        <f>GovBySenateDistrict20General[[#This Row],[Part of Kings County Vote Results]]</f>
        <v>264</v>
      </c>
      <c r="D15" s="14"/>
    </row>
    <row r="16" spans="1:4" hidden="1" x14ac:dyDescent="0.2">
      <c r="A16" s="4" t="s">
        <v>4</v>
      </c>
      <c r="B16" s="6">
        <f>SUBTOTAL(109,GovBySenateDistrict20General[Total Votes by Candidate])</f>
        <v>82004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6F23D-3F60-4354-BFAC-AA4DA74D53DC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93</v>
      </c>
    </row>
    <row r="2" spans="1:4" ht="24.95" customHeight="1" x14ac:dyDescent="0.2">
      <c r="A2" s="7" t="s">
        <v>12</v>
      </c>
      <c r="B2" s="8" t="s">
        <v>19</v>
      </c>
      <c r="C2" s="10" t="s">
        <v>141</v>
      </c>
      <c r="D2" s="11" t="s">
        <v>5</v>
      </c>
    </row>
    <row r="3" spans="1:4" x14ac:dyDescent="0.2">
      <c r="A3" s="2" t="s">
        <v>3</v>
      </c>
      <c r="B3" s="16">
        <v>84014</v>
      </c>
      <c r="C3" s="12">
        <f>GovBySenateDistrict21General[[#This Row],[Part of Kings County Vote Results]]</f>
        <v>84014</v>
      </c>
      <c r="D3" s="13">
        <f>SUM(C3,C7,C8,C9)</f>
        <v>91543</v>
      </c>
    </row>
    <row r="4" spans="1:4" x14ac:dyDescent="0.2">
      <c r="A4" s="2" t="s">
        <v>14</v>
      </c>
      <c r="B4" s="16">
        <v>3646</v>
      </c>
      <c r="C4" s="12">
        <f>GovBySenateDistrict21General[[#This Row],[Part of Kings County Vote Results]]</f>
        <v>3646</v>
      </c>
      <c r="D4" s="13">
        <f>SUM(C4,C5,C10)</f>
        <v>4274</v>
      </c>
    </row>
    <row r="5" spans="1:4" x14ac:dyDescent="0.2">
      <c r="A5" s="2" t="s">
        <v>15</v>
      </c>
      <c r="B5" s="16">
        <v>536</v>
      </c>
      <c r="C5" s="12">
        <f>GovBySenateDistrict21General[[#This Row],[Part of Kings County Vote Results]]</f>
        <v>536</v>
      </c>
      <c r="D5" s="14"/>
    </row>
    <row r="6" spans="1:4" x14ac:dyDescent="0.2">
      <c r="A6" s="2" t="s">
        <v>6</v>
      </c>
      <c r="B6" s="16">
        <v>2896</v>
      </c>
      <c r="C6" s="12">
        <f>GovBySenateDistrict21General[[#This Row],[Part of Kings County Vote Results]]</f>
        <v>2896</v>
      </c>
      <c r="D6" s="13">
        <f>GovBySenateDistrict21General[[#This Row],[Total Votes by Party]]</f>
        <v>2896</v>
      </c>
    </row>
    <row r="7" spans="1:4" x14ac:dyDescent="0.2">
      <c r="A7" s="2" t="s">
        <v>7</v>
      </c>
      <c r="B7" s="16">
        <v>6502</v>
      </c>
      <c r="C7" s="12">
        <f>GovBySenateDistrict21General[[#This Row],[Part of Kings County Vote Results]]</f>
        <v>6502</v>
      </c>
      <c r="D7" s="14"/>
    </row>
    <row r="8" spans="1:4" x14ac:dyDescent="0.2">
      <c r="A8" s="2" t="s">
        <v>8</v>
      </c>
      <c r="B8" s="16">
        <v>721</v>
      </c>
      <c r="C8" s="12">
        <f>GovBySenateDistrict21General[[#This Row],[Part of Kings County Vote Results]]</f>
        <v>721</v>
      </c>
      <c r="D8" s="14"/>
    </row>
    <row r="9" spans="1:4" x14ac:dyDescent="0.2">
      <c r="A9" s="2" t="s">
        <v>9</v>
      </c>
      <c r="B9" s="16">
        <v>306</v>
      </c>
      <c r="C9" s="12">
        <f>GovBySenateDistrict21General[[#This Row],[Part of Kings County Vote Results]]</f>
        <v>306</v>
      </c>
      <c r="D9" s="14"/>
    </row>
    <row r="10" spans="1:4" x14ac:dyDescent="0.2">
      <c r="A10" s="2" t="s">
        <v>16</v>
      </c>
      <c r="B10" s="16">
        <v>92</v>
      </c>
      <c r="C10" s="12">
        <f>GovBySenateDistrict21General[[#This Row],[Part of Kings County Vote Results]]</f>
        <v>92</v>
      </c>
      <c r="D10" s="14"/>
    </row>
    <row r="11" spans="1:4" x14ac:dyDescent="0.2">
      <c r="A11" s="2" t="s">
        <v>10</v>
      </c>
      <c r="B11" s="16">
        <v>409</v>
      </c>
      <c r="C11" s="12">
        <f>GovBySenateDistrict21General[[#This Row],[Part of Kings County Vote Results]]</f>
        <v>409</v>
      </c>
      <c r="D11" s="13">
        <f>GovBySenateDistrict21General[[#This Row],[Total Votes by Party]]</f>
        <v>409</v>
      </c>
    </row>
    <row r="12" spans="1:4" x14ac:dyDescent="0.2">
      <c r="A12" s="4" t="s">
        <v>11</v>
      </c>
      <c r="B12" s="16">
        <v>589</v>
      </c>
      <c r="C12" s="12">
        <f>GovBySenateDistrict21General[[#This Row],[Part of Kings County Vote Results]]</f>
        <v>589</v>
      </c>
      <c r="D12" s="13">
        <f>GovBySenateDistrict21General[[#This Row],[Total Votes by Party]]</f>
        <v>589</v>
      </c>
    </row>
    <row r="13" spans="1:4" x14ac:dyDescent="0.2">
      <c r="A13" s="4" t="s">
        <v>0</v>
      </c>
      <c r="B13" s="16">
        <v>1251</v>
      </c>
      <c r="C13" s="12">
        <f>GovBySenateDistrict21General[[#This Row],[Part of Kings County Vote Results]]</f>
        <v>1251</v>
      </c>
      <c r="D13" s="14"/>
    </row>
    <row r="14" spans="1:4" x14ac:dyDescent="0.2">
      <c r="A14" s="4" t="s">
        <v>1</v>
      </c>
      <c r="B14" s="16">
        <v>0</v>
      </c>
      <c r="C14" s="12">
        <f>GovBySenateDistrict21General[[#This Row],[Part of Kings County Vote Results]]</f>
        <v>0</v>
      </c>
      <c r="D14" s="14"/>
    </row>
    <row r="15" spans="1:4" x14ac:dyDescent="0.2">
      <c r="A15" s="4" t="s">
        <v>2</v>
      </c>
      <c r="B15" s="5">
        <v>335</v>
      </c>
      <c r="C15" s="12">
        <f>GovBySenateDistrict21General[[#This Row],[Part of Kings County Vote Results]]</f>
        <v>335</v>
      </c>
      <c r="D15" s="14"/>
    </row>
    <row r="16" spans="1:4" hidden="1" x14ac:dyDescent="0.2">
      <c r="A16" s="4" t="s">
        <v>4</v>
      </c>
      <c r="B16" s="6">
        <f>SUBTOTAL(109,GovBySenateDistrict21General[Total Votes by Candidate])</f>
        <v>99711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CCD6B-9477-4E7A-880C-1DD90374EB17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94</v>
      </c>
    </row>
    <row r="2" spans="1:4" ht="24.95" customHeight="1" x14ac:dyDescent="0.2">
      <c r="A2" s="7" t="s">
        <v>12</v>
      </c>
      <c r="B2" s="8" t="s">
        <v>19</v>
      </c>
      <c r="C2" s="10" t="s">
        <v>141</v>
      </c>
      <c r="D2" s="11" t="s">
        <v>5</v>
      </c>
    </row>
    <row r="3" spans="1:4" x14ac:dyDescent="0.2">
      <c r="A3" s="2" t="s">
        <v>3</v>
      </c>
      <c r="B3" s="16">
        <v>34732</v>
      </c>
      <c r="C3" s="12">
        <f>GovBySenateDistrict22General[[#This Row],[Part of Kings County Vote Results]]</f>
        <v>34732</v>
      </c>
      <c r="D3" s="13">
        <f>SUM(C3,C7,C8,C9)</f>
        <v>36868</v>
      </c>
    </row>
    <row r="4" spans="1:4" x14ac:dyDescent="0.2">
      <c r="A4" s="2" t="s">
        <v>14</v>
      </c>
      <c r="B4" s="16">
        <v>24428</v>
      </c>
      <c r="C4" s="12">
        <f>GovBySenateDistrict22General[[#This Row],[Part of Kings County Vote Results]]</f>
        <v>24428</v>
      </c>
      <c r="D4" s="13">
        <f>SUM(C4,C5,C10)</f>
        <v>27020</v>
      </c>
    </row>
    <row r="5" spans="1:4" x14ac:dyDescent="0.2">
      <c r="A5" s="2" t="s">
        <v>15</v>
      </c>
      <c r="B5" s="16">
        <v>2405</v>
      </c>
      <c r="C5" s="12">
        <f>GovBySenateDistrict22General[[#This Row],[Part of Kings County Vote Results]]</f>
        <v>2405</v>
      </c>
      <c r="D5" s="14"/>
    </row>
    <row r="6" spans="1:4" x14ac:dyDescent="0.2">
      <c r="A6" s="2" t="s">
        <v>6</v>
      </c>
      <c r="B6" s="16">
        <v>1107</v>
      </c>
      <c r="C6" s="12">
        <f>GovBySenateDistrict22General[[#This Row],[Part of Kings County Vote Results]]</f>
        <v>1107</v>
      </c>
      <c r="D6" s="13">
        <f>GovBySenateDistrict22General[[#This Row],[Total Votes by Party]]</f>
        <v>1107</v>
      </c>
    </row>
    <row r="7" spans="1:4" x14ac:dyDescent="0.2">
      <c r="A7" s="2" t="s">
        <v>7</v>
      </c>
      <c r="B7" s="16">
        <v>1308</v>
      </c>
      <c r="C7" s="12">
        <f>GovBySenateDistrict22General[[#This Row],[Part of Kings County Vote Results]]</f>
        <v>1308</v>
      </c>
      <c r="D7" s="14"/>
    </row>
    <row r="8" spans="1:4" x14ac:dyDescent="0.2">
      <c r="A8" s="2" t="s">
        <v>8</v>
      </c>
      <c r="B8" s="16">
        <v>675</v>
      </c>
      <c r="C8" s="12">
        <f>GovBySenateDistrict22General[[#This Row],[Part of Kings County Vote Results]]</f>
        <v>675</v>
      </c>
      <c r="D8" s="14"/>
    </row>
    <row r="9" spans="1:4" x14ac:dyDescent="0.2">
      <c r="A9" s="2" t="s">
        <v>9</v>
      </c>
      <c r="B9" s="16">
        <v>153</v>
      </c>
      <c r="C9" s="12">
        <f>GovBySenateDistrict22General[[#This Row],[Part of Kings County Vote Results]]</f>
        <v>153</v>
      </c>
      <c r="D9" s="14"/>
    </row>
    <row r="10" spans="1:4" x14ac:dyDescent="0.2">
      <c r="A10" s="2" t="s">
        <v>16</v>
      </c>
      <c r="B10" s="16">
        <v>187</v>
      </c>
      <c r="C10" s="12">
        <f>GovBySenateDistrict22General[[#This Row],[Part of Kings County Vote Results]]</f>
        <v>187</v>
      </c>
      <c r="D10" s="14"/>
    </row>
    <row r="11" spans="1:4" x14ac:dyDescent="0.2">
      <c r="A11" s="2" t="s">
        <v>10</v>
      </c>
      <c r="B11" s="16">
        <v>495</v>
      </c>
      <c r="C11" s="12">
        <f>GovBySenateDistrict22General[[#This Row],[Part of Kings County Vote Results]]</f>
        <v>495</v>
      </c>
      <c r="D11" s="13">
        <f>GovBySenateDistrict22General[[#This Row],[Total Votes by Party]]</f>
        <v>495</v>
      </c>
    </row>
    <row r="12" spans="1:4" x14ac:dyDescent="0.2">
      <c r="A12" s="4" t="s">
        <v>11</v>
      </c>
      <c r="B12" s="16">
        <v>300</v>
      </c>
      <c r="C12" s="12">
        <f>GovBySenateDistrict22General[[#This Row],[Part of Kings County Vote Results]]</f>
        <v>300</v>
      </c>
      <c r="D12" s="13">
        <f>GovBySenateDistrict22General[[#This Row],[Total Votes by Party]]</f>
        <v>300</v>
      </c>
    </row>
    <row r="13" spans="1:4" x14ac:dyDescent="0.2">
      <c r="A13" s="4" t="s">
        <v>0</v>
      </c>
      <c r="B13" s="16">
        <v>1545</v>
      </c>
      <c r="C13" s="12">
        <f>GovBySenateDistrict22General[[#This Row],[Part of Kings County Vote Results]]</f>
        <v>1545</v>
      </c>
      <c r="D13" s="14"/>
    </row>
    <row r="14" spans="1:4" x14ac:dyDescent="0.2">
      <c r="A14" s="4" t="s">
        <v>1</v>
      </c>
      <c r="B14" s="16">
        <v>0</v>
      </c>
      <c r="C14" s="12">
        <f>GovBySenateDistrict22General[[#This Row],[Part of Kings County Vote Results]]</f>
        <v>0</v>
      </c>
      <c r="D14" s="14"/>
    </row>
    <row r="15" spans="1:4" x14ac:dyDescent="0.2">
      <c r="A15" s="4" t="s">
        <v>2</v>
      </c>
      <c r="B15" s="5">
        <v>104</v>
      </c>
      <c r="C15" s="12">
        <f>GovBySenateDistrict22General[[#This Row],[Part of Kings County Vote Results]]</f>
        <v>104</v>
      </c>
      <c r="D15" s="14"/>
    </row>
    <row r="16" spans="1:4" hidden="1" x14ac:dyDescent="0.2">
      <c r="A16" s="4" t="s">
        <v>4</v>
      </c>
      <c r="B16" s="6">
        <f>SUBTOTAL(109,GovBySenateDistrict22General[Total Votes by Candidate])</f>
        <v>65790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F4CA3-48E9-47E7-83C2-4441C979AF72}">
  <dimension ref="A1:E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95</v>
      </c>
    </row>
    <row r="2" spans="1:5" ht="25.5" x14ac:dyDescent="0.2">
      <c r="A2" s="7" t="s">
        <v>12</v>
      </c>
      <c r="B2" s="8" t="s">
        <v>19</v>
      </c>
      <c r="C2" s="8" t="s">
        <v>20</v>
      </c>
      <c r="D2" s="10" t="s">
        <v>141</v>
      </c>
      <c r="E2" s="11" t="s">
        <v>5</v>
      </c>
    </row>
    <row r="3" spans="1:5" x14ac:dyDescent="0.2">
      <c r="A3" s="2" t="s">
        <v>3</v>
      </c>
      <c r="B3" s="16">
        <v>16148</v>
      </c>
      <c r="C3" s="16">
        <v>27361</v>
      </c>
      <c r="D3" s="12">
        <f>SUM(GovBySenateDistrict23General[[#This Row],[Part of Kings County Vote Results]:[Part of Richmond County Vote Results]])</f>
        <v>43509</v>
      </c>
      <c r="E3" s="13">
        <f>SUM(D3,D7,D8,D9)</f>
        <v>45613</v>
      </c>
    </row>
    <row r="4" spans="1:5" x14ac:dyDescent="0.2">
      <c r="A4" s="2" t="s">
        <v>14</v>
      </c>
      <c r="B4" s="16">
        <v>10625</v>
      </c>
      <c r="C4" s="16">
        <v>7301</v>
      </c>
      <c r="D4" s="12">
        <f>SUM(GovBySenateDistrict23General[[#This Row],[Part of Kings County Vote Results]:[Part of Richmond County Vote Results]])</f>
        <v>17926</v>
      </c>
      <c r="E4" s="13">
        <f>SUM(D4,D5,D10)</f>
        <v>19360</v>
      </c>
    </row>
    <row r="5" spans="1:5" x14ac:dyDescent="0.2">
      <c r="A5" s="2" t="s">
        <v>15</v>
      </c>
      <c r="B5" s="16">
        <v>491</v>
      </c>
      <c r="C5" s="16">
        <v>816</v>
      </c>
      <c r="D5" s="12">
        <f>SUM(GovBySenateDistrict23General[[#This Row],[Part of Kings County Vote Results]:[Part of Richmond County Vote Results]])</f>
        <v>1307</v>
      </c>
      <c r="E5" s="14"/>
    </row>
    <row r="6" spans="1:5" x14ac:dyDescent="0.2">
      <c r="A6" s="2" t="s">
        <v>6</v>
      </c>
      <c r="B6" s="16">
        <v>427</v>
      </c>
      <c r="C6" s="16">
        <v>481</v>
      </c>
      <c r="D6" s="12">
        <f>SUM(GovBySenateDistrict23General[[#This Row],[Part of Kings County Vote Results]:[Part of Richmond County Vote Results]])</f>
        <v>908</v>
      </c>
      <c r="E6" s="13">
        <f>GovBySenateDistrict23General[[#This Row],[Total Votes by Party]]</f>
        <v>908</v>
      </c>
    </row>
    <row r="7" spans="1:5" x14ac:dyDescent="0.2">
      <c r="A7" s="2" t="s">
        <v>7</v>
      </c>
      <c r="B7" s="16">
        <v>382</v>
      </c>
      <c r="C7" s="16">
        <v>764</v>
      </c>
      <c r="D7" s="12">
        <f>SUM(GovBySenateDistrict23General[[#This Row],[Part of Kings County Vote Results]:[Part of Richmond County Vote Results]])</f>
        <v>1146</v>
      </c>
      <c r="E7" s="14"/>
    </row>
    <row r="8" spans="1:5" x14ac:dyDescent="0.2">
      <c r="A8" s="2" t="s">
        <v>8</v>
      </c>
      <c r="B8" s="16">
        <v>260</v>
      </c>
      <c r="C8" s="16">
        <v>525</v>
      </c>
      <c r="D8" s="12">
        <f>SUM(GovBySenateDistrict23General[[#This Row],[Part of Kings County Vote Results]:[Part of Richmond County Vote Results]])</f>
        <v>785</v>
      </c>
      <c r="E8" s="14"/>
    </row>
    <row r="9" spans="1:5" x14ac:dyDescent="0.2">
      <c r="A9" s="2" t="s">
        <v>9</v>
      </c>
      <c r="B9" s="16">
        <v>50</v>
      </c>
      <c r="C9" s="16">
        <v>123</v>
      </c>
      <c r="D9" s="12">
        <f>SUM(GovBySenateDistrict23General[[#This Row],[Part of Kings County Vote Results]:[Part of Richmond County Vote Results]])</f>
        <v>173</v>
      </c>
      <c r="E9" s="14"/>
    </row>
    <row r="10" spans="1:5" x14ac:dyDescent="0.2">
      <c r="A10" s="2" t="s">
        <v>16</v>
      </c>
      <c r="B10" s="16">
        <v>53</v>
      </c>
      <c r="C10" s="16">
        <v>74</v>
      </c>
      <c r="D10" s="12">
        <f>SUM(GovBySenateDistrict23General[[#This Row],[Part of Kings County Vote Results]:[Part of Richmond County Vote Results]])</f>
        <v>127</v>
      </c>
      <c r="E10" s="14"/>
    </row>
    <row r="11" spans="1:5" x14ac:dyDescent="0.2">
      <c r="A11" s="2" t="s">
        <v>10</v>
      </c>
      <c r="B11" s="16">
        <v>185</v>
      </c>
      <c r="C11" s="16">
        <v>275</v>
      </c>
      <c r="D11" s="12">
        <f>SUM(GovBySenateDistrict23General[[#This Row],[Part of Kings County Vote Results]:[Part of Richmond County Vote Results]])</f>
        <v>460</v>
      </c>
      <c r="E11" s="13">
        <f>GovBySenateDistrict23General[[#This Row],[Total Votes by Party]]</f>
        <v>460</v>
      </c>
    </row>
    <row r="12" spans="1:5" x14ac:dyDescent="0.2">
      <c r="A12" s="4" t="s">
        <v>11</v>
      </c>
      <c r="B12" s="16">
        <v>89</v>
      </c>
      <c r="C12" s="16">
        <v>107</v>
      </c>
      <c r="D12" s="12">
        <f>SUM(GovBySenateDistrict23General[[#This Row],[Part of Kings County Vote Results]:[Part of Richmond County Vote Results]])</f>
        <v>196</v>
      </c>
      <c r="E12" s="13">
        <f>GovBySenateDistrict23General[[#This Row],[Total Votes by Party]]</f>
        <v>196</v>
      </c>
    </row>
    <row r="13" spans="1:5" x14ac:dyDescent="0.2">
      <c r="A13" s="4" t="s">
        <v>0</v>
      </c>
      <c r="B13" s="16">
        <v>717</v>
      </c>
      <c r="C13" s="16">
        <v>500</v>
      </c>
      <c r="D13" s="12">
        <f>SUM(GovBySenateDistrict23General[[#This Row],[Part of Kings County Vote Results]:[Part of Richmond County Vote Results]])</f>
        <v>1217</v>
      </c>
      <c r="E13" s="14"/>
    </row>
    <row r="14" spans="1:5" x14ac:dyDescent="0.2">
      <c r="A14" s="4" t="s">
        <v>1</v>
      </c>
      <c r="B14" s="16">
        <v>0</v>
      </c>
      <c r="C14" s="16">
        <v>0</v>
      </c>
      <c r="D14" s="12">
        <f>SUM(GovBySenateDistrict23General[[#This Row],[Part of Kings County Vote Results]:[Part of Richmond County Vote Results]])</f>
        <v>0</v>
      </c>
      <c r="E14" s="14"/>
    </row>
    <row r="15" spans="1:5" x14ac:dyDescent="0.2">
      <c r="A15" s="4" t="s">
        <v>2</v>
      </c>
      <c r="B15" s="5">
        <v>33</v>
      </c>
      <c r="C15" s="5">
        <v>38</v>
      </c>
      <c r="D15" s="12">
        <f>SUM(GovBySenateDistrict23General[[#This Row],[Part of Kings County Vote Results]:[Part of Richmond County Vote Results]])</f>
        <v>71</v>
      </c>
      <c r="E15" s="14"/>
    </row>
    <row r="16" spans="1:5" hidden="1" x14ac:dyDescent="0.2">
      <c r="A16" s="4" t="s">
        <v>4</v>
      </c>
      <c r="B16" s="6">
        <f>SUBTOTAL(109,GovBySenateDistrict23General[Part of Kings County Vote Results])</f>
        <v>29460</v>
      </c>
      <c r="C16" s="6">
        <f>SUBTOTAL(109,GovBySenateDistrict23General[Part of Richmond County Vote Results])</f>
        <v>38365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2636D-3955-4C3B-B878-3E726E18B54D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96</v>
      </c>
    </row>
    <row r="2" spans="1:4" ht="24.95" customHeight="1" x14ac:dyDescent="0.2">
      <c r="A2" s="7" t="s">
        <v>12</v>
      </c>
      <c r="B2" s="8" t="s">
        <v>20</v>
      </c>
      <c r="C2" s="10" t="s">
        <v>141</v>
      </c>
      <c r="D2" s="11" t="s">
        <v>5</v>
      </c>
    </row>
    <row r="3" spans="1:4" x14ac:dyDescent="0.2">
      <c r="A3" s="2" t="s">
        <v>3</v>
      </c>
      <c r="B3" s="16">
        <v>37712</v>
      </c>
      <c r="C3" s="12">
        <f>GovBySenateDistrict24General[[#This Row],[Part of Richmond County Vote Results]]</f>
        <v>37712</v>
      </c>
      <c r="D3" s="13">
        <f>SUM(C3,C7,C8,C9)</f>
        <v>40343</v>
      </c>
    </row>
    <row r="4" spans="1:4" x14ac:dyDescent="0.2">
      <c r="A4" s="2" t="s">
        <v>14</v>
      </c>
      <c r="B4" s="16">
        <v>53385</v>
      </c>
      <c r="C4" s="12">
        <f>GovBySenateDistrict24General[[#This Row],[Part of Richmond County Vote Results]]</f>
        <v>53385</v>
      </c>
      <c r="D4" s="13">
        <f>SUM(C4,C5,C10)</f>
        <v>58872</v>
      </c>
    </row>
    <row r="5" spans="1:4" x14ac:dyDescent="0.2">
      <c r="A5" s="2" t="s">
        <v>15</v>
      </c>
      <c r="B5" s="16">
        <v>5136</v>
      </c>
      <c r="C5" s="12">
        <f>GovBySenateDistrict24General[[#This Row],[Part of Richmond County Vote Results]]</f>
        <v>5136</v>
      </c>
      <c r="D5" s="14"/>
    </row>
    <row r="6" spans="1:4" x14ac:dyDescent="0.2">
      <c r="A6" s="2" t="s">
        <v>6</v>
      </c>
      <c r="B6" s="16">
        <v>768</v>
      </c>
      <c r="C6" s="12">
        <f>GovBySenateDistrict24General[[#This Row],[Part of Richmond County Vote Results]]</f>
        <v>768</v>
      </c>
      <c r="D6" s="13">
        <f>GovBySenateDistrict24General[[#This Row],[Total Votes by Party]]</f>
        <v>768</v>
      </c>
    </row>
    <row r="7" spans="1:4" x14ac:dyDescent="0.2">
      <c r="A7" s="2" t="s">
        <v>7</v>
      </c>
      <c r="B7" s="16">
        <v>1076</v>
      </c>
      <c r="C7" s="12">
        <f>GovBySenateDistrict24General[[#This Row],[Part of Richmond County Vote Results]]</f>
        <v>1076</v>
      </c>
      <c r="D7" s="14"/>
    </row>
    <row r="8" spans="1:4" x14ac:dyDescent="0.2">
      <c r="A8" s="2" t="s">
        <v>8</v>
      </c>
      <c r="B8" s="16">
        <v>1325</v>
      </c>
      <c r="C8" s="12">
        <f>GovBySenateDistrict24General[[#This Row],[Part of Richmond County Vote Results]]</f>
        <v>1325</v>
      </c>
      <c r="D8" s="14"/>
    </row>
    <row r="9" spans="1:4" x14ac:dyDescent="0.2">
      <c r="A9" s="2" t="s">
        <v>9</v>
      </c>
      <c r="B9" s="16">
        <v>230</v>
      </c>
      <c r="C9" s="12">
        <f>GovBySenateDistrict24General[[#This Row],[Part of Richmond County Vote Results]]</f>
        <v>230</v>
      </c>
      <c r="D9" s="14"/>
    </row>
    <row r="10" spans="1:4" x14ac:dyDescent="0.2">
      <c r="A10" s="2" t="s">
        <v>16</v>
      </c>
      <c r="B10" s="16">
        <v>351</v>
      </c>
      <c r="C10" s="12">
        <f>GovBySenateDistrict24General[[#This Row],[Part of Richmond County Vote Results]]</f>
        <v>351</v>
      </c>
      <c r="D10" s="14"/>
    </row>
    <row r="11" spans="1:4" x14ac:dyDescent="0.2">
      <c r="A11" s="2" t="s">
        <v>10</v>
      </c>
      <c r="B11" s="16">
        <v>795</v>
      </c>
      <c r="C11" s="12">
        <f>GovBySenateDistrict24General[[#This Row],[Part of Richmond County Vote Results]]</f>
        <v>795</v>
      </c>
      <c r="D11" s="13">
        <f>GovBySenateDistrict24General[[#This Row],[Total Votes by Party]]</f>
        <v>795</v>
      </c>
    </row>
    <row r="12" spans="1:4" x14ac:dyDescent="0.2">
      <c r="A12" s="4" t="s">
        <v>11</v>
      </c>
      <c r="B12" s="16">
        <v>185</v>
      </c>
      <c r="C12" s="12">
        <f>GovBySenateDistrict24General[[#This Row],[Part of Richmond County Vote Results]]</f>
        <v>185</v>
      </c>
      <c r="D12" s="13">
        <f>GovBySenateDistrict24General[[#This Row],[Total Votes by Party]]</f>
        <v>185</v>
      </c>
    </row>
    <row r="13" spans="1:4" x14ac:dyDescent="0.2">
      <c r="A13" s="4" t="s">
        <v>0</v>
      </c>
      <c r="B13" s="16">
        <v>1132</v>
      </c>
      <c r="C13" s="12">
        <f>GovBySenateDistrict24General[[#This Row],[Part of Richmond County Vote Results]]</f>
        <v>1132</v>
      </c>
      <c r="D13" s="14"/>
    </row>
    <row r="14" spans="1:4" x14ac:dyDescent="0.2">
      <c r="A14" s="4" t="s">
        <v>1</v>
      </c>
      <c r="B14" s="16">
        <v>0</v>
      </c>
      <c r="C14" s="12">
        <f>GovBySenateDistrict24General[[#This Row],[Part of Richmond County Vote Results]]</f>
        <v>0</v>
      </c>
      <c r="D14" s="14"/>
    </row>
    <row r="15" spans="1:4" x14ac:dyDescent="0.2">
      <c r="A15" s="4" t="s">
        <v>2</v>
      </c>
      <c r="B15" s="5">
        <v>58</v>
      </c>
      <c r="C15" s="15">
        <f>GovBySenateDistrict24General[[#This Row],[Part of Richmond County Vote Results]]</f>
        <v>58</v>
      </c>
      <c r="D15" s="14"/>
    </row>
    <row r="16" spans="1:4" hidden="1" x14ac:dyDescent="0.2">
      <c r="A16" s="4" t="s">
        <v>4</v>
      </c>
      <c r="B16" s="6">
        <f>SUBTOTAL(109,GovBySenateDistrict24General[Total Votes by Candidate])</f>
        <v>100963</v>
      </c>
      <c r="C16" s="6"/>
      <c r="D16" s="9"/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E39D0-4486-4CF5-B65E-AB60BC58E7BF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97</v>
      </c>
    </row>
    <row r="2" spans="1:4" ht="24.95" customHeight="1" x14ac:dyDescent="0.2">
      <c r="A2" s="7" t="s">
        <v>12</v>
      </c>
      <c r="B2" s="8" t="s">
        <v>19</v>
      </c>
      <c r="C2" s="10" t="s">
        <v>141</v>
      </c>
      <c r="D2" s="11" t="s">
        <v>5</v>
      </c>
    </row>
    <row r="3" spans="1:4" x14ac:dyDescent="0.2">
      <c r="A3" s="2" t="s">
        <v>3</v>
      </c>
      <c r="B3" s="16">
        <v>95846</v>
      </c>
      <c r="C3" s="12">
        <f>GovBySenateDistrict25General[[#This Row],[Part of Kings County Vote Results]]</f>
        <v>95846</v>
      </c>
      <c r="D3" s="13">
        <f>SUM(C3,C7,C8,C9)</f>
        <v>105162</v>
      </c>
    </row>
    <row r="4" spans="1:4" x14ac:dyDescent="0.2">
      <c r="A4" s="2" t="s">
        <v>14</v>
      </c>
      <c r="B4" s="16">
        <v>2561</v>
      </c>
      <c r="C4" s="12">
        <f>GovBySenateDistrict25General[[#This Row],[Part of Kings County Vote Results]]</f>
        <v>2561</v>
      </c>
      <c r="D4" s="13">
        <f>SUM(C4,C5,C10)</f>
        <v>2959</v>
      </c>
    </row>
    <row r="5" spans="1:4" x14ac:dyDescent="0.2">
      <c r="A5" s="2" t="s">
        <v>15</v>
      </c>
      <c r="B5" s="16">
        <v>304</v>
      </c>
      <c r="C5" s="12">
        <f>GovBySenateDistrict25General[[#This Row],[Part of Kings County Vote Results]]</f>
        <v>304</v>
      </c>
      <c r="D5" s="14"/>
    </row>
    <row r="6" spans="1:4" x14ac:dyDescent="0.2">
      <c r="A6" s="2" t="s">
        <v>6</v>
      </c>
      <c r="B6" s="16">
        <v>4525</v>
      </c>
      <c r="C6" s="12">
        <f>GovBySenateDistrict25General[[#This Row],[Part of Kings County Vote Results]]</f>
        <v>4525</v>
      </c>
      <c r="D6" s="13">
        <f>GovBySenateDistrict25General[[#This Row],[Total Votes by Party]]</f>
        <v>4525</v>
      </c>
    </row>
    <row r="7" spans="1:4" x14ac:dyDescent="0.2">
      <c r="A7" s="2" t="s">
        <v>7</v>
      </c>
      <c r="B7" s="16">
        <v>7778</v>
      </c>
      <c r="C7" s="12">
        <f>GovBySenateDistrict25General[[#This Row],[Part of Kings County Vote Results]]</f>
        <v>7778</v>
      </c>
      <c r="D7" s="14"/>
    </row>
    <row r="8" spans="1:4" x14ac:dyDescent="0.2">
      <c r="A8" s="2" t="s">
        <v>8</v>
      </c>
      <c r="B8" s="16">
        <v>1030</v>
      </c>
      <c r="C8" s="12">
        <f>GovBySenateDistrict25General[[#This Row],[Part of Kings County Vote Results]]</f>
        <v>1030</v>
      </c>
      <c r="D8" s="14"/>
    </row>
    <row r="9" spans="1:4" x14ac:dyDescent="0.2">
      <c r="A9" s="2" t="s">
        <v>9</v>
      </c>
      <c r="B9" s="16">
        <v>508</v>
      </c>
      <c r="C9" s="12">
        <f>GovBySenateDistrict25General[[#This Row],[Part of Kings County Vote Results]]</f>
        <v>508</v>
      </c>
      <c r="D9" s="14"/>
    </row>
    <row r="10" spans="1:4" x14ac:dyDescent="0.2">
      <c r="A10" s="2" t="s">
        <v>16</v>
      </c>
      <c r="B10" s="16">
        <v>94</v>
      </c>
      <c r="C10" s="12">
        <f>GovBySenateDistrict25General[[#This Row],[Part of Kings County Vote Results]]</f>
        <v>94</v>
      </c>
      <c r="D10" s="14"/>
    </row>
    <row r="11" spans="1:4" x14ac:dyDescent="0.2">
      <c r="A11" s="2" t="s">
        <v>10</v>
      </c>
      <c r="B11" s="16">
        <v>666</v>
      </c>
      <c r="C11" s="12">
        <f>GovBySenateDistrict25General[[#This Row],[Part of Kings County Vote Results]]</f>
        <v>666</v>
      </c>
      <c r="D11" s="13">
        <f>GovBySenateDistrict25General[[#This Row],[Total Votes by Party]]</f>
        <v>666</v>
      </c>
    </row>
    <row r="12" spans="1:4" x14ac:dyDescent="0.2">
      <c r="A12" s="4" t="s">
        <v>11</v>
      </c>
      <c r="B12" s="16">
        <v>861</v>
      </c>
      <c r="C12" s="12">
        <f>GovBySenateDistrict25General[[#This Row],[Part of Kings County Vote Results]]</f>
        <v>861</v>
      </c>
      <c r="D12" s="13">
        <f>GovBySenateDistrict25General[[#This Row],[Total Votes by Party]]</f>
        <v>861</v>
      </c>
    </row>
    <row r="13" spans="1:4" x14ac:dyDescent="0.2">
      <c r="A13" s="4" t="s">
        <v>0</v>
      </c>
      <c r="B13" s="16">
        <v>1402</v>
      </c>
      <c r="C13" s="12">
        <f>GovBySenateDistrict25General[[#This Row],[Part of Kings County Vote Results]]</f>
        <v>1402</v>
      </c>
      <c r="D13" s="14"/>
    </row>
    <row r="14" spans="1:4" x14ac:dyDescent="0.2">
      <c r="A14" s="4" t="s">
        <v>1</v>
      </c>
      <c r="B14" s="16">
        <v>0</v>
      </c>
      <c r="C14" s="12">
        <f>GovBySenateDistrict25General[[#This Row],[Part of Kings County Vote Results]]</f>
        <v>0</v>
      </c>
      <c r="D14" s="14"/>
    </row>
    <row r="15" spans="1:4" x14ac:dyDescent="0.2">
      <c r="A15" s="4" t="s">
        <v>2</v>
      </c>
      <c r="B15" s="5">
        <v>532</v>
      </c>
      <c r="C15" s="12">
        <f>GovBySenateDistrict25General[[#This Row],[Part of Kings County Vote Results]]</f>
        <v>532</v>
      </c>
      <c r="D15" s="14"/>
    </row>
    <row r="16" spans="1:4" hidden="1" x14ac:dyDescent="0.2">
      <c r="A16" s="4" t="s">
        <v>4</v>
      </c>
      <c r="B16" s="6">
        <f>SUBTOTAL(109,GovBySenateDistrict25General[Total Votes by Candidate])</f>
        <v>114173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AEC06-FBA9-4A03-88CB-983208CA941C}">
  <dimension ref="A1:E16"/>
  <sheetViews>
    <sheetView workbookViewId="0">
      <selection activeCell="B19" sqref="B19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98</v>
      </c>
    </row>
    <row r="2" spans="1:5" ht="25.5" x14ac:dyDescent="0.2">
      <c r="A2" s="7" t="s">
        <v>12</v>
      </c>
      <c r="B2" s="8" t="s">
        <v>19</v>
      </c>
      <c r="C2" s="8" t="s">
        <v>21</v>
      </c>
      <c r="D2" s="10" t="s">
        <v>141</v>
      </c>
      <c r="E2" s="11" t="s">
        <v>5</v>
      </c>
    </row>
    <row r="3" spans="1:5" x14ac:dyDescent="0.2">
      <c r="A3" s="2" t="s">
        <v>3</v>
      </c>
      <c r="B3" s="16">
        <v>28397</v>
      </c>
      <c r="C3" s="16">
        <v>44471</v>
      </c>
      <c r="D3" s="12">
        <f>SUM(GovBySenateDistrict26General[[#This Row],[Part of Kings County Vote Results]:[Part of New York County Vote Results]])</f>
        <v>72868</v>
      </c>
      <c r="E3" s="13">
        <f>SUM(D3,D7,D8,D9)</f>
        <v>79292</v>
      </c>
    </row>
    <row r="4" spans="1:5" x14ac:dyDescent="0.2">
      <c r="A4" s="2" t="s">
        <v>14</v>
      </c>
      <c r="B4" s="16">
        <v>2903</v>
      </c>
      <c r="C4" s="16">
        <v>6137</v>
      </c>
      <c r="D4" s="12">
        <f>SUM(GovBySenateDistrict26General[[#This Row],[Part of Kings County Vote Results]:[Part of New York County Vote Results]])</f>
        <v>9040</v>
      </c>
      <c r="E4" s="13">
        <f>SUM(D4,D5,D10)</f>
        <v>9928</v>
      </c>
    </row>
    <row r="5" spans="1:5" x14ac:dyDescent="0.2">
      <c r="A5" s="2" t="s">
        <v>15</v>
      </c>
      <c r="B5" s="16">
        <v>335</v>
      </c>
      <c r="C5" s="16">
        <v>426</v>
      </c>
      <c r="D5" s="12">
        <f>SUM(GovBySenateDistrict26General[[#This Row],[Part of Kings County Vote Results]:[Part of New York County Vote Results]])</f>
        <v>761</v>
      </c>
      <c r="E5" s="14"/>
    </row>
    <row r="6" spans="1:5" x14ac:dyDescent="0.2">
      <c r="A6" s="2" t="s">
        <v>6</v>
      </c>
      <c r="B6" s="16">
        <v>1510</v>
      </c>
      <c r="C6" s="16">
        <v>1540</v>
      </c>
      <c r="D6" s="12">
        <f>SUM(GovBySenateDistrict26General[[#This Row],[Part of Kings County Vote Results]:[Part of New York County Vote Results]])</f>
        <v>3050</v>
      </c>
      <c r="E6" s="13">
        <f>GovBySenateDistrict26General[[#This Row],[Total Votes by Party]]</f>
        <v>3050</v>
      </c>
    </row>
    <row r="7" spans="1:5" x14ac:dyDescent="0.2">
      <c r="A7" s="2" t="s">
        <v>7</v>
      </c>
      <c r="B7" s="16">
        <v>2804</v>
      </c>
      <c r="C7" s="16">
        <v>2078</v>
      </c>
      <c r="D7" s="12">
        <f>SUM(GovBySenateDistrict26General[[#This Row],[Part of Kings County Vote Results]:[Part of New York County Vote Results]])</f>
        <v>4882</v>
      </c>
      <c r="E7" s="14"/>
    </row>
    <row r="8" spans="1:5" x14ac:dyDescent="0.2">
      <c r="A8" s="2" t="s">
        <v>8</v>
      </c>
      <c r="B8" s="16">
        <v>425</v>
      </c>
      <c r="C8" s="16">
        <v>681</v>
      </c>
      <c r="D8" s="12">
        <f>SUM(GovBySenateDistrict26General[[#This Row],[Part of Kings County Vote Results]:[Part of New York County Vote Results]])</f>
        <v>1106</v>
      </c>
      <c r="E8" s="14"/>
    </row>
    <row r="9" spans="1:5" x14ac:dyDescent="0.2">
      <c r="A9" s="2" t="s">
        <v>9</v>
      </c>
      <c r="B9" s="16">
        <v>195</v>
      </c>
      <c r="C9" s="16">
        <v>241</v>
      </c>
      <c r="D9" s="12">
        <f>SUM(GovBySenateDistrict26General[[#This Row],[Part of Kings County Vote Results]:[Part of New York County Vote Results]])</f>
        <v>436</v>
      </c>
      <c r="E9" s="14"/>
    </row>
    <row r="10" spans="1:5" x14ac:dyDescent="0.2">
      <c r="A10" s="2" t="s">
        <v>16</v>
      </c>
      <c r="B10" s="16">
        <v>41</v>
      </c>
      <c r="C10" s="16">
        <v>86</v>
      </c>
      <c r="D10" s="12">
        <f>SUM(GovBySenateDistrict26General[[#This Row],[Part of Kings County Vote Results]:[Part of New York County Vote Results]])</f>
        <v>127</v>
      </c>
      <c r="E10" s="14"/>
    </row>
    <row r="11" spans="1:5" x14ac:dyDescent="0.2">
      <c r="A11" s="2" t="s">
        <v>10</v>
      </c>
      <c r="B11" s="16">
        <v>307</v>
      </c>
      <c r="C11" s="3">
        <v>444</v>
      </c>
      <c r="D11" s="12">
        <f>SUM(GovBySenateDistrict26General[[#This Row],[Part of Kings County Vote Results]:[Part of New York County Vote Results]])</f>
        <v>751</v>
      </c>
      <c r="E11" s="13">
        <f>GovBySenateDistrict26General[[#This Row],[Total Votes by Party]]</f>
        <v>751</v>
      </c>
    </row>
    <row r="12" spans="1:5" x14ac:dyDescent="0.2">
      <c r="A12" s="4" t="s">
        <v>11</v>
      </c>
      <c r="B12" s="16">
        <v>440</v>
      </c>
      <c r="C12" s="3">
        <v>374</v>
      </c>
      <c r="D12" s="12">
        <f>SUM(GovBySenateDistrict26General[[#This Row],[Part of Kings County Vote Results]:[Part of New York County Vote Results]])</f>
        <v>814</v>
      </c>
      <c r="E12" s="13">
        <f>GovBySenateDistrict26General[[#This Row],[Total Votes by Party]]</f>
        <v>814</v>
      </c>
    </row>
    <row r="13" spans="1:5" x14ac:dyDescent="0.2">
      <c r="A13" s="4" t="s">
        <v>0</v>
      </c>
      <c r="B13" s="16">
        <v>464</v>
      </c>
      <c r="C13" s="3">
        <v>685</v>
      </c>
      <c r="D13" s="12">
        <f>SUM(GovBySenateDistrict26General[[#This Row],[Part of Kings County Vote Results]:[Part of New York County Vote Results]])</f>
        <v>1149</v>
      </c>
      <c r="E13" s="14"/>
    </row>
    <row r="14" spans="1:5" x14ac:dyDescent="0.2">
      <c r="A14" s="4" t="s">
        <v>1</v>
      </c>
      <c r="B14" s="16">
        <v>0</v>
      </c>
      <c r="C14" s="3">
        <v>0</v>
      </c>
      <c r="D14" s="12">
        <f>SUM(GovBySenateDistrict26General[[#This Row],[Part of Kings County Vote Results]:[Part of New York County Vote Results]])</f>
        <v>0</v>
      </c>
      <c r="E14" s="14"/>
    </row>
    <row r="15" spans="1:5" x14ac:dyDescent="0.2">
      <c r="A15" s="4" t="s">
        <v>2</v>
      </c>
      <c r="B15" s="5">
        <v>207</v>
      </c>
      <c r="C15" s="5">
        <v>188</v>
      </c>
      <c r="D15" s="12">
        <f>SUM(GovBySenateDistrict26General[[#This Row],[Part of Kings County Vote Results]:[Part of New York County Vote Results]])</f>
        <v>395</v>
      </c>
      <c r="E15" s="14"/>
    </row>
    <row r="16" spans="1:5" hidden="1" x14ac:dyDescent="0.2">
      <c r="A16" s="4" t="s">
        <v>4</v>
      </c>
      <c r="B16" s="6">
        <f>SUBTOTAL(109,GovBySenateDistrict26General[Part of Kings County Vote Results])</f>
        <v>38028</v>
      </c>
      <c r="C16" s="6">
        <f>SUBTOTAL(109,GovBySenateDistrict26General[Part of New York County Vote Results])</f>
        <v>57351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8DB78-7D29-469A-87CB-D21AE2506225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99</v>
      </c>
    </row>
    <row r="2" spans="1:4" ht="24.95" customHeight="1" x14ac:dyDescent="0.2">
      <c r="A2" s="7" t="s">
        <v>12</v>
      </c>
      <c r="B2" s="8" t="s">
        <v>21</v>
      </c>
      <c r="C2" s="10" t="s">
        <v>141</v>
      </c>
      <c r="D2" s="11" t="s">
        <v>5</v>
      </c>
    </row>
    <row r="3" spans="1:4" x14ac:dyDescent="0.2">
      <c r="A3" s="2" t="s">
        <v>3</v>
      </c>
      <c r="B3" s="16">
        <v>93961</v>
      </c>
      <c r="C3" s="12">
        <f>GovBySenateDistrict27General[[#This Row],[Part of New York County Vote Results]]</f>
        <v>93961</v>
      </c>
      <c r="D3" s="13">
        <f>SUM(C3,C7,C8,C9)</f>
        <v>100889</v>
      </c>
    </row>
    <row r="4" spans="1:4" x14ac:dyDescent="0.2">
      <c r="A4" s="2" t="s">
        <v>14</v>
      </c>
      <c r="B4" s="16">
        <v>10918</v>
      </c>
      <c r="C4" s="12">
        <f>GovBySenateDistrict27General[[#This Row],[Part of New York County Vote Results]]</f>
        <v>10918</v>
      </c>
      <c r="D4" s="13">
        <f>SUM(C4,C5,C10)</f>
        <v>11987</v>
      </c>
    </row>
    <row r="5" spans="1:4" x14ac:dyDescent="0.2">
      <c r="A5" s="2" t="s">
        <v>15</v>
      </c>
      <c r="B5" s="16">
        <v>928</v>
      </c>
      <c r="C5" s="12">
        <f>GovBySenateDistrict27General[[#This Row],[Part of New York County Vote Results]]</f>
        <v>928</v>
      </c>
      <c r="D5" s="14"/>
    </row>
    <row r="6" spans="1:4" x14ac:dyDescent="0.2">
      <c r="A6" s="2" t="s">
        <v>6</v>
      </c>
      <c r="B6" s="16">
        <v>3108</v>
      </c>
      <c r="C6" s="12">
        <f>GovBySenateDistrict27General[[#This Row],[Part of New York County Vote Results]]</f>
        <v>3108</v>
      </c>
      <c r="D6" s="13">
        <f>GovBySenateDistrict27General[[#This Row],[Total Votes by Party]]</f>
        <v>3108</v>
      </c>
    </row>
    <row r="7" spans="1:4" x14ac:dyDescent="0.2">
      <c r="A7" s="2" t="s">
        <v>7</v>
      </c>
      <c r="B7" s="16">
        <v>5096</v>
      </c>
      <c r="C7" s="12">
        <f>GovBySenateDistrict27General[[#This Row],[Part of New York County Vote Results]]</f>
        <v>5096</v>
      </c>
      <c r="D7" s="14"/>
    </row>
    <row r="8" spans="1:4" x14ac:dyDescent="0.2">
      <c r="A8" s="2" t="s">
        <v>8</v>
      </c>
      <c r="B8" s="16">
        <v>1375</v>
      </c>
      <c r="C8" s="12">
        <f>GovBySenateDistrict27General[[#This Row],[Part of New York County Vote Results]]</f>
        <v>1375</v>
      </c>
      <c r="D8" s="14"/>
    </row>
    <row r="9" spans="1:4" x14ac:dyDescent="0.2">
      <c r="A9" s="2" t="s">
        <v>9</v>
      </c>
      <c r="B9" s="16">
        <v>457</v>
      </c>
      <c r="C9" s="12">
        <f>GovBySenateDistrict27General[[#This Row],[Part of New York County Vote Results]]</f>
        <v>457</v>
      </c>
      <c r="D9" s="14"/>
    </row>
    <row r="10" spans="1:4" x14ac:dyDescent="0.2">
      <c r="A10" s="2" t="s">
        <v>16</v>
      </c>
      <c r="B10" s="16">
        <v>141</v>
      </c>
      <c r="C10" s="12">
        <f>GovBySenateDistrict27General[[#This Row],[Part of New York County Vote Results]]</f>
        <v>141</v>
      </c>
      <c r="D10" s="14"/>
    </row>
    <row r="11" spans="1:4" x14ac:dyDescent="0.2">
      <c r="A11" s="2" t="s">
        <v>10</v>
      </c>
      <c r="B11" s="3">
        <v>852</v>
      </c>
      <c r="C11" s="12">
        <f>GovBySenateDistrict27General[[#This Row],[Part of New York County Vote Results]]</f>
        <v>852</v>
      </c>
      <c r="D11" s="13">
        <f>GovBySenateDistrict27General[[#This Row],[Total Votes by Party]]</f>
        <v>852</v>
      </c>
    </row>
    <row r="12" spans="1:4" x14ac:dyDescent="0.2">
      <c r="A12" s="4" t="s">
        <v>11</v>
      </c>
      <c r="B12" s="5">
        <v>981</v>
      </c>
      <c r="C12" s="12">
        <f>GovBySenateDistrict27General[[#This Row],[Part of New York County Vote Results]]</f>
        <v>981</v>
      </c>
      <c r="D12" s="13">
        <f>GovBySenateDistrict27General[[#This Row],[Total Votes by Party]]</f>
        <v>981</v>
      </c>
    </row>
    <row r="13" spans="1:4" x14ac:dyDescent="0.2">
      <c r="A13" s="4" t="s">
        <v>0</v>
      </c>
      <c r="B13" s="5">
        <v>1305</v>
      </c>
      <c r="C13" s="12">
        <f>GovBySenateDistrict27General[[#This Row],[Part of New York County Vote Results]]</f>
        <v>1305</v>
      </c>
      <c r="D13" s="14"/>
    </row>
    <row r="14" spans="1:4" x14ac:dyDescent="0.2">
      <c r="A14" s="4" t="s">
        <v>1</v>
      </c>
      <c r="B14" s="5">
        <v>0</v>
      </c>
      <c r="C14" s="12">
        <f>GovBySenateDistrict27General[[#This Row],[Part of New York County Vote Results]]</f>
        <v>0</v>
      </c>
      <c r="D14" s="14"/>
    </row>
    <row r="15" spans="1:4" x14ac:dyDescent="0.2">
      <c r="A15" s="4" t="s">
        <v>2</v>
      </c>
      <c r="B15" s="5">
        <v>374</v>
      </c>
      <c r="C15" s="12">
        <f>GovBySenateDistrict27General[[#This Row],[Part of New York County Vote Results]]</f>
        <v>374</v>
      </c>
      <c r="D15" s="14"/>
    </row>
    <row r="16" spans="1:4" hidden="1" x14ac:dyDescent="0.2">
      <c r="A16" s="4" t="s">
        <v>4</v>
      </c>
      <c r="B16" s="6">
        <f>SUBTOTAL(109,GovBySenateDistrict27General[Total Votes by Candidate])</f>
        <v>117817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8A438-B9B0-462F-952D-324DAFA7F698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100</v>
      </c>
    </row>
    <row r="2" spans="1:4" ht="24.95" customHeight="1" x14ac:dyDescent="0.2">
      <c r="A2" s="7" t="s">
        <v>12</v>
      </c>
      <c r="B2" s="8" t="s">
        <v>21</v>
      </c>
      <c r="C2" s="10" t="s">
        <v>141</v>
      </c>
      <c r="D2" s="11" t="s">
        <v>5</v>
      </c>
    </row>
    <row r="3" spans="1:4" x14ac:dyDescent="0.2">
      <c r="A3" s="2" t="s">
        <v>3</v>
      </c>
      <c r="B3" s="16">
        <v>88233</v>
      </c>
      <c r="C3" s="12">
        <f>GovBySenateDistrict28General[[#This Row],[Part of New York County Vote Results]]</f>
        <v>88233</v>
      </c>
      <c r="D3" s="13">
        <f>SUM(C3,C7,C8,C9)</f>
        <v>92234</v>
      </c>
    </row>
    <row r="4" spans="1:4" x14ac:dyDescent="0.2">
      <c r="A4" s="2" t="s">
        <v>14</v>
      </c>
      <c r="B4" s="16">
        <v>18623</v>
      </c>
      <c r="C4" s="12">
        <f>GovBySenateDistrict28General[[#This Row],[Part of New York County Vote Results]]</f>
        <v>18623</v>
      </c>
      <c r="D4" s="13">
        <f>SUM(C4,C5,C10)</f>
        <v>19882</v>
      </c>
    </row>
    <row r="5" spans="1:4" x14ac:dyDescent="0.2">
      <c r="A5" s="2" t="s">
        <v>15</v>
      </c>
      <c r="B5" s="16">
        <v>1119</v>
      </c>
      <c r="C5" s="12">
        <f>GovBySenateDistrict28General[[#This Row],[Part of New York County Vote Results]]</f>
        <v>1119</v>
      </c>
      <c r="D5" s="14"/>
    </row>
    <row r="6" spans="1:4" x14ac:dyDescent="0.2">
      <c r="A6" s="2" t="s">
        <v>6</v>
      </c>
      <c r="B6" s="16">
        <v>1734</v>
      </c>
      <c r="C6" s="12">
        <f>GovBySenateDistrict28General[[#This Row],[Part of New York County Vote Results]]</f>
        <v>1734</v>
      </c>
      <c r="D6" s="13">
        <f>GovBySenateDistrict28General[[#This Row],[Total Votes by Party]]</f>
        <v>1734</v>
      </c>
    </row>
    <row r="7" spans="1:4" x14ac:dyDescent="0.2">
      <c r="A7" s="2" t="s">
        <v>7</v>
      </c>
      <c r="B7" s="16">
        <v>2144</v>
      </c>
      <c r="C7" s="12">
        <f>GovBySenateDistrict28General[[#This Row],[Part of New York County Vote Results]]</f>
        <v>2144</v>
      </c>
      <c r="D7" s="14"/>
    </row>
    <row r="8" spans="1:4" x14ac:dyDescent="0.2">
      <c r="A8" s="2" t="s">
        <v>8</v>
      </c>
      <c r="B8" s="16">
        <v>1506</v>
      </c>
      <c r="C8" s="12">
        <f>GovBySenateDistrict28General[[#This Row],[Part of New York County Vote Results]]</f>
        <v>1506</v>
      </c>
      <c r="D8" s="14"/>
    </row>
    <row r="9" spans="1:4" x14ac:dyDescent="0.2">
      <c r="A9" s="2" t="s">
        <v>9</v>
      </c>
      <c r="B9" s="16">
        <v>351</v>
      </c>
      <c r="C9" s="12">
        <f>GovBySenateDistrict28General[[#This Row],[Part of New York County Vote Results]]</f>
        <v>351</v>
      </c>
      <c r="D9" s="14"/>
    </row>
    <row r="10" spans="1:4" x14ac:dyDescent="0.2">
      <c r="A10" s="2" t="s">
        <v>16</v>
      </c>
      <c r="B10" s="16">
        <v>140</v>
      </c>
      <c r="C10" s="12">
        <f>GovBySenateDistrict28General[[#This Row],[Part of New York County Vote Results]]</f>
        <v>140</v>
      </c>
      <c r="D10" s="14"/>
    </row>
    <row r="11" spans="1:4" x14ac:dyDescent="0.2">
      <c r="A11" s="2" t="s">
        <v>10</v>
      </c>
      <c r="B11" s="3">
        <v>785</v>
      </c>
      <c r="C11" s="12">
        <f>GovBySenateDistrict28General[[#This Row],[Part of New York County Vote Results]]</f>
        <v>785</v>
      </c>
      <c r="D11" s="13">
        <f>GovBySenateDistrict28General[[#This Row],[Total Votes by Party]]</f>
        <v>785</v>
      </c>
    </row>
    <row r="12" spans="1:4" x14ac:dyDescent="0.2">
      <c r="A12" s="4" t="s">
        <v>11</v>
      </c>
      <c r="B12" s="5">
        <v>763</v>
      </c>
      <c r="C12" s="12">
        <f>GovBySenateDistrict28General[[#This Row],[Part of New York County Vote Results]]</f>
        <v>763</v>
      </c>
      <c r="D12" s="13">
        <f>GovBySenateDistrict28General[[#This Row],[Total Votes by Party]]</f>
        <v>763</v>
      </c>
    </row>
    <row r="13" spans="1:4" x14ac:dyDescent="0.2">
      <c r="A13" s="4" t="s">
        <v>0</v>
      </c>
      <c r="B13" s="5">
        <v>1119</v>
      </c>
      <c r="C13" s="12">
        <f>GovBySenateDistrict28General[[#This Row],[Part of New York County Vote Results]]</f>
        <v>1119</v>
      </c>
      <c r="D13" s="14"/>
    </row>
    <row r="14" spans="1:4" x14ac:dyDescent="0.2">
      <c r="A14" s="4" t="s">
        <v>1</v>
      </c>
      <c r="B14" s="5">
        <v>0</v>
      </c>
      <c r="C14" s="12">
        <f>GovBySenateDistrict28General[[#This Row],[Part of New York County Vote Results]]</f>
        <v>0</v>
      </c>
      <c r="D14" s="14"/>
    </row>
    <row r="15" spans="1:4" x14ac:dyDescent="0.2">
      <c r="A15" s="4" t="s">
        <v>2</v>
      </c>
      <c r="B15" s="5">
        <v>272</v>
      </c>
      <c r="C15" s="12">
        <f>GovBySenateDistrict28General[[#This Row],[Part of New York County Vote Results]]</f>
        <v>272</v>
      </c>
      <c r="D15" s="14"/>
    </row>
    <row r="16" spans="1:4" hidden="1" x14ac:dyDescent="0.2">
      <c r="A16" s="4" t="s">
        <v>4</v>
      </c>
      <c r="B16" s="6">
        <f>SUBTOTAL(109,GovBySenateDistrict28General[Total Votes by Candidate])</f>
        <v>115398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A0AB3-F81A-43DD-884B-C38A77D121D4}">
  <dimension ref="A1:E16"/>
  <sheetViews>
    <sheetView workbookViewId="0">
      <selection activeCell="B19" sqref="B19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101</v>
      </c>
    </row>
    <row r="2" spans="1:5" ht="25.5" x14ac:dyDescent="0.2">
      <c r="A2" s="7" t="s">
        <v>12</v>
      </c>
      <c r="B2" s="8" t="s">
        <v>22</v>
      </c>
      <c r="C2" s="8" t="s">
        <v>21</v>
      </c>
      <c r="D2" s="10" t="s">
        <v>141</v>
      </c>
      <c r="E2" s="11" t="s">
        <v>5</v>
      </c>
    </row>
    <row r="3" spans="1:5" x14ac:dyDescent="0.2">
      <c r="A3" s="2" t="s">
        <v>3</v>
      </c>
      <c r="B3" s="16">
        <v>34191</v>
      </c>
      <c r="C3" s="16">
        <v>32213</v>
      </c>
      <c r="D3" s="12">
        <f>SUM(GovBySenateDistrict29General[[#This Row],[Part of Bronx County Vote Results]:[Part of New York County Vote Results]])</f>
        <v>66404</v>
      </c>
      <c r="E3" s="13">
        <f>SUM(D3,D7,D8,D9)</f>
        <v>68982</v>
      </c>
    </row>
    <row r="4" spans="1:5" x14ac:dyDescent="0.2">
      <c r="A4" s="2" t="s">
        <v>14</v>
      </c>
      <c r="B4" s="16">
        <v>1208</v>
      </c>
      <c r="C4" s="16">
        <v>3479</v>
      </c>
      <c r="D4" s="12">
        <f>SUM(GovBySenateDistrict29General[[#This Row],[Part of Bronx County Vote Results]:[Part of New York County Vote Results]])</f>
        <v>4687</v>
      </c>
      <c r="E4" s="13">
        <f>SUM(D4,D5,D10)</f>
        <v>5118</v>
      </c>
    </row>
    <row r="5" spans="1:5" x14ac:dyDescent="0.2">
      <c r="A5" s="2" t="s">
        <v>15</v>
      </c>
      <c r="B5" s="16">
        <v>96</v>
      </c>
      <c r="C5" s="16">
        <v>277</v>
      </c>
      <c r="D5" s="12">
        <f>SUM(GovBySenateDistrict29General[[#This Row],[Part of Bronx County Vote Results]:[Part of New York County Vote Results]])</f>
        <v>373</v>
      </c>
      <c r="E5" s="14"/>
    </row>
    <row r="6" spans="1:5" x14ac:dyDescent="0.2">
      <c r="A6" s="2" t="s">
        <v>6</v>
      </c>
      <c r="B6" s="16">
        <v>312</v>
      </c>
      <c r="C6" s="16">
        <v>922</v>
      </c>
      <c r="D6" s="12">
        <f>SUM(GovBySenateDistrict29General[[#This Row],[Part of Bronx County Vote Results]:[Part of New York County Vote Results]])</f>
        <v>1234</v>
      </c>
      <c r="E6" s="13">
        <f>GovBySenateDistrict29General[[#This Row],[Total Votes by Party]]</f>
        <v>1234</v>
      </c>
    </row>
    <row r="7" spans="1:5" x14ac:dyDescent="0.2">
      <c r="A7" s="2" t="s">
        <v>7</v>
      </c>
      <c r="B7" s="16">
        <v>451</v>
      </c>
      <c r="C7" s="16">
        <v>1281</v>
      </c>
      <c r="D7" s="12">
        <f>SUM(GovBySenateDistrict29General[[#This Row],[Part of Bronx County Vote Results]:[Part of New York County Vote Results]])</f>
        <v>1732</v>
      </c>
      <c r="E7" s="14"/>
    </row>
    <row r="8" spans="1:5" x14ac:dyDescent="0.2">
      <c r="A8" s="2" t="s">
        <v>8</v>
      </c>
      <c r="B8" s="16">
        <v>200</v>
      </c>
      <c r="C8" s="16">
        <v>425</v>
      </c>
      <c r="D8" s="12">
        <f>SUM(GovBySenateDistrict29General[[#This Row],[Part of Bronx County Vote Results]:[Part of New York County Vote Results]])</f>
        <v>625</v>
      </c>
      <c r="E8" s="14"/>
    </row>
    <row r="9" spans="1:5" x14ac:dyDescent="0.2">
      <c r="A9" s="2" t="s">
        <v>9</v>
      </c>
      <c r="B9" s="16">
        <v>57</v>
      </c>
      <c r="C9" s="16">
        <v>164</v>
      </c>
      <c r="D9" s="12">
        <f>SUM(GovBySenateDistrict29General[[#This Row],[Part of Bronx County Vote Results]:[Part of New York County Vote Results]])</f>
        <v>221</v>
      </c>
      <c r="E9" s="14"/>
    </row>
    <row r="10" spans="1:5" x14ac:dyDescent="0.2">
      <c r="A10" s="2" t="s">
        <v>16</v>
      </c>
      <c r="B10" s="16">
        <v>18</v>
      </c>
      <c r="C10" s="16">
        <v>40</v>
      </c>
      <c r="D10" s="12">
        <f>SUM(GovBySenateDistrict29General[[#This Row],[Part of Bronx County Vote Results]:[Part of New York County Vote Results]])</f>
        <v>58</v>
      </c>
      <c r="E10" s="14"/>
    </row>
    <row r="11" spans="1:5" x14ac:dyDescent="0.2">
      <c r="A11" s="2" t="s">
        <v>10</v>
      </c>
      <c r="B11" s="16">
        <v>123</v>
      </c>
      <c r="C11" s="16">
        <v>279</v>
      </c>
      <c r="D11" s="12">
        <f>SUM(GovBySenateDistrict29General[[#This Row],[Part of Bronx County Vote Results]:[Part of New York County Vote Results]])</f>
        <v>402</v>
      </c>
      <c r="E11" s="13">
        <f>GovBySenateDistrict29General[[#This Row],[Total Votes by Party]]</f>
        <v>402</v>
      </c>
    </row>
    <row r="12" spans="1:5" x14ac:dyDescent="0.2">
      <c r="A12" s="4" t="s">
        <v>11</v>
      </c>
      <c r="B12" s="16">
        <v>57</v>
      </c>
      <c r="C12" s="16">
        <v>299</v>
      </c>
      <c r="D12" s="12">
        <f>SUM(GovBySenateDistrict29General[[#This Row],[Part of Bronx County Vote Results]:[Part of New York County Vote Results]])</f>
        <v>356</v>
      </c>
      <c r="E12" s="13">
        <f>GovBySenateDistrict29General[[#This Row],[Total Votes by Party]]</f>
        <v>356</v>
      </c>
    </row>
    <row r="13" spans="1:5" x14ac:dyDescent="0.2">
      <c r="A13" s="4" t="s">
        <v>0</v>
      </c>
      <c r="B13" s="16">
        <v>498</v>
      </c>
      <c r="C13" s="3">
        <v>938</v>
      </c>
      <c r="D13" s="12">
        <f>SUM(GovBySenateDistrict29General[[#This Row],[Part of Bronx County Vote Results]:[Part of New York County Vote Results]])</f>
        <v>1436</v>
      </c>
      <c r="E13" s="14"/>
    </row>
    <row r="14" spans="1:5" x14ac:dyDescent="0.2">
      <c r="A14" s="4" t="s">
        <v>1</v>
      </c>
      <c r="B14" s="16">
        <v>0</v>
      </c>
      <c r="C14" s="3">
        <v>0</v>
      </c>
      <c r="D14" s="12">
        <f>SUM(GovBySenateDistrict29General[[#This Row],[Part of Bronx County Vote Results]:[Part of New York County Vote Results]])</f>
        <v>0</v>
      </c>
      <c r="E14" s="14"/>
    </row>
    <row r="15" spans="1:5" x14ac:dyDescent="0.2">
      <c r="A15" s="4" t="s">
        <v>2</v>
      </c>
      <c r="B15" s="5">
        <v>21</v>
      </c>
      <c r="C15" s="5">
        <v>121</v>
      </c>
      <c r="D15" s="12">
        <f>SUM(GovBySenateDistrict29General[[#This Row],[Part of Bronx County Vote Results]:[Part of New York County Vote Results]])</f>
        <v>142</v>
      </c>
      <c r="E15" s="14"/>
    </row>
    <row r="16" spans="1:5" hidden="1" x14ac:dyDescent="0.2">
      <c r="A16" s="4" t="s">
        <v>4</v>
      </c>
      <c r="B16" s="6">
        <f>SUBTOTAL(109,GovBySenateDistrict29General[Part of Bronx County Vote Results])</f>
        <v>37232</v>
      </c>
      <c r="C16" s="6">
        <f>SUBTOTAL(109,GovBySenateDistrict29General[Part of New York County Vote Results])</f>
        <v>40438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46CC0-293D-45C4-8E3E-3C78DDDC9FF1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75</v>
      </c>
    </row>
    <row r="2" spans="1:4" ht="24.95" customHeight="1" x14ac:dyDescent="0.2">
      <c r="A2" s="7" t="s">
        <v>12</v>
      </c>
      <c r="B2" s="8" t="s">
        <v>13</v>
      </c>
      <c r="C2" s="10" t="s">
        <v>141</v>
      </c>
      <c r="D2" s="11" t="s">
        <v>5</v>
      </c>
    </row>
    <row r="3" spans="1:4" x14ac:dyDescent="0.2">
      <c r="A3" s="2" t="s">
        <v>3</v>
      </c>
      <c r="B3" s="3">
        <v>47270</v>
      </c>
      <c r="C3" s="12">
        <f>GovBySenateDistrict3General[[#This Row],[Part of Suffolk County Vote Results]]</f>
        <v>47270</v>
      </c>
      <c r="D3" s="13">
        <f>SUM(C3,C7,C8,C9)</f>
        <v>50032</v>
      </c>
    </row>
    <row r="4" spans="1:4" x14ac:dyDescent="0.2">
      <c r="A4" s="2" t="s">
        <v>14</v>
      </c>
      <c r="B4" s="3">
        <v>38718</v>
      </c>
      <c r="C4" s="12">
        <f>GovBySenateDistrict3General[[#This Row],[Part of Suffolk County Vote Results]]</f>
        <v>38718</v>
      </c>
      <c r="D4" s="13">
        <f>SUM(C4,C5,C10)</f>
        <v>43670</v>
      </c>
    </row>
    <row r="5" spans="1:4" x14ac:dyDescent="0.2">
      <c r="A5" s="2" t="s">
        <v>15</v>
      </c>
      <c r="B5" s="3">
        <v>4658</v>
      </c>
      <c r="C5" s="12">
        <f>GovBySenateDistrict3General[[#This Row],[Part of Suffolk County Vote Results]]</f>
        <v>4658</v>
      </c>
      <c r="D5" s="14"/>
    </row>
    <row r="6" spans="1:4" x14ac:dyDescent="0.2">
      <c r="A6" s="2" t="s">
        <v>6</v>
      </c>
      <c r="B6" s="3">
        <v>902</v>
      </c>
      <c r="C6" s="12">
        <f>GovBySenateDistrict3General[[#This Row],[Part of Suffolk County Vote Results]]</f>
        <v>902</v>
      </c>
      <c r="D6" s="13">
        <f>GovBySenateDistrict3General[[#This Row],[Total Votes by Party]]</f>
        <v>902</v>
      </c>
    </row>
    <row r="7" spans="1:4" x14ac:dyDescent="0.2">
      <c r="A7" s="2" t="s">
        <v>7</v>
      </c>
      <c r="B7" s="3">
        <v>1178</v>
      </c>
      <c r="C7" s="12">
        <f>GovBySenateDistrict3General[[#This Row],[Part of Suffolk County Vote Results]]</f>
        <v>1178</v>
      </c>
      <c r="D7" s="14"/>
    </row>
    <row r="8" spans="1:4" x14ac:dyDescent="0.2">
      <c r="A8" s="2" t="s">
        <v>8</v>
      </c>
      <c r="B8" s="3">
        <v>1055</v>
      </c>
      <c r="C8" s="12">
        <f>GovBySenateDistrict3General[[#This Row],[Part of Suffolk County Vote Results]]</f>
        <v>1055</v>
      </c>
      <c r="D8" s="14"/>
    </row>
    <row r="9" spans="1:4" x14ac:dyDescent="0.2">
      <c r="A9" s="2" t="s">
        <v>9</v>
      </c>
      <c r="B9" s="3">
        <v>529</v>
      </c>
      <c r="C9" s="12">
        <f>GovBySenateDistrict3General[[#This Row],[Part of Suffolk County Vote Results]]</f>
        <v>529</v>
      </c>
      <c r="D9" s="14"/>
    </row>
    <row r="10" spans="1:4" x14ac:dyDescent="0.2">
      <c r="A10" s="2" t="s">
        <v>16</v>
      </c>
      <c r="B10" s="3">
        <v>294</v>
      </c>
      <c r="C10" s="12">
        <f>GovBySenateDistrict3General[[#This Row],[Part of Suffolk County Vote Results]]</f>
        <v>294</v>
      </c>
      <c r="D10" s="14"/>
    </row>
    <row r="11" spans="1:4" x14ac:dyDescent="0.2">
      <c r="A11" s="2" t="s">
        <v>10</v>
      </c>
      <c r="B11" s="3">
        <v>899</v>
      </c>
      <c r="C11" s="12">
        <f>GovBySenateDistrict3General[[#This Row],[Part of Suffolk County Vote Results]]</f>
        <v>899</v>
      </c>
      <c r="D11" s="13">
        <f>GovBySenateDistrict3General[[#This Row],[Total Votes by Party]]</f>
        <v>899</v>
      </c>
    </row>
    <row r="12" spans="1:4" x14ac:dyDescent="0.2">
      <c r="A12" s="4" t="s">
        <v>11</v>
      </c>
      <c r="B12" s="5">
        <v>498</v>
      </c>
      <c r="C12" s="12">
        <f>GovBySenateDistrict3General[[#This Row],[Part of Suffolk County Vote Results]]</f>
        <v>498</v>
      </c>
      <c r="D12" s="13">
        <f>GovBySenateDistrict3General[[#This Row],[Total Votes by Party]]</f>
        <v>498</v>
      </c>
    </row>
    <row r="13" spans="1:4" x14ac:dyDescent="0.2">
      <c r="A13" s="4" t="s">
        <v>0</v>
      </c>
      <c r="B13" s="5">
        <v>1486</v>
      </c>
      <c r="C13" s="12">
        <f>GovBySenateDistrict3General[[#This Row],[Part of Suffolk County Vote Results]]</f>
        <v>1486</v>
      </c>
      <c r="D13" s="14"/>
    </row>
    <row r="14" spans="1:4" x14ac:dyDescent="0.2">
      <c r="A14" s="4" t="s">
        <v>1</v>
      </c>
      <c r="B14" s="5">
        <v>79</v>
      </c>
      <c r="C14" s="12">
        <f>GovBySenateDistrict3General[[#This Row],[Part of Suffolk County Vote Results]]</f>
        <v>79</v>
      </c>
      <c r="D14" s="14"/>
    </row>
    <row r="15" spans="1:4" x14ac:dyDescent="0.2">
      <c r="A15" s="4" t="s">
        <v>2</v>
      </c>
      <c r="B15" s="5">
        <v>25</v>
      </c>
      <c r="C15" s="12">
        <f>GovBySenateDistrict3General[[#This Row],[Part of Suffolk County Vote Results]]</f>
        <v>25</v>
      </c>
      <c r="D15" s="14"/>
    </row>
    <row r="16" spans="1:4" hidden="1" x14ac:dyDescent="0.2">
      <c r="A16" s="4" t="s">
        <v>4</v>
      </c>
      <c r="B16" s="6">
        <f>SUBTOTAL(109,GovBySenateDistrict3General[Total Votes by Candidate])</f>
        <v>96001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15ED6-BFA0-47A1-B3A5-7B2830B02785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102</v>
      </c>
    </row>
    <row r="2" spans="1:4" ht="24.95" customHeight="1" x14ac:dyDescent="0.2">
      <c r="A2" s="7" t="s">
        <v>12</v>
      </c>
      <c r="B2" s="8" t="s">
        <v>21</v>
      </c>
      <c r="C2" s="10" t="s">
        <v>141</v>
      </c>
      <c r="D2" s="11" t="s">
        <v>5</v>
      </c>
    </row>
    <row r="3" spans="1:4" x14ac:dyDescent="0.2">
      <c r="A3" s="2" t="s">
        <v>3</v>
      </c>
      <c r="B3" s="16">
        <v>90844</v>
      </c>
      <c r="C3" s="12">
        <f>GovBySenateDistrict30General[[#This Row],[Part of New York County Vote Results]]</f>
        <v>90844</v>
      </c>
      <c r="D3" s="13">
        <f>SUM(C3,C7,C8,C9)</f>
        <v>96186</v>
      </c>
    </row>
    <row r="4" spans="1:4" x14ac:dyDescent="0.2">
      <c r="A4" s="2" t="s">
        <v>14</v>
      </c>
      <c r="B4" s="16">
        <v>3450</v>
      </c>
      <c r="C4" s="12">
        <f>GovBySenateDistrict30General[[#This Row],[Part of New York County Vote Results]]</f>
        <v>3450</v>
      </c>
      <c r="D4" s="13">
        <f>SUM(C4,C5,C10)</f>
        <v>3906</v>
      </c>
    </row>
    <row r="5" spans="1:4" x14ac:dyDescent="0.2">
      <c r="A5" s="2" t="s">
        <v>15</v>
      </c>
      <c r="B5" s="16">
        <v>365</v>
      </c>
      <c r="C5" s="12">
        <f>GovBySenateDistrict30General[[#This Row],[Part of New York County Vote Results]]</f>
        <v>365</v>
      </c>
      <c r="D5" s="14"/>
    </row>
    <row r="6" spans="1:4" x14ac:dyDescent="0.2">
      <c r="A6" s="2" t="s">
        <v>6</v>
      </c>
      <c r="B6" s="16">
        <v>2342</v>
      </c>
      <c r="C6" s="12">
        <f>GovBySenateDistrict30General[[#This Row],[Part of New York County Vote Results]]</f>
        <v>2342</v>
      </c>
      <c r="D6" s="13">
        <f>GovBySenateDistrict30General[[#This Row],[Total Votes by Party]]</f>
        <v>2342</v>
      </c>
    </row>
    <row r="7" spans="1:4" x14ac:dyDescent="0.2">
      <c r="A7" s="2" t="s">
        <v>7</v>
      </c>
      <c r="B7" s="16">
        <v>3924</v>
      </c>
      <c r="C7" s="12">
        <f>GovBySenateDistrict30General[[#This Row],[Part of New York County Vote Results]]</f>
        <v>3924</v>
      </c>
      <c r="D7" s="14"/>
    </row>
    <row r="8" spans="1:4" x14ac:dyDescent="0.2">
      <c r="A8" s="2" t="s">
        <v>8</v>
      </c>
      <c r="B8" s="16">
        <v>1088</v>
      </c>
      <c r="C8" s="12">
        <f>GovBySenateDistrict30General[[#This Row],[Part of New York County Vote Results]]</f>
        <v>1088</v>
      </c>
      <c r="D8" s="14"/>
    </row>
    <row r="9" spans="1:4" x14ac:dyDescent="0.2">
      <c r="A9" s="2" t="s">
        <v>9</v>
      </c>
      <c r="B9" s="16">
        <v>330</v>
      </c>
      <c r="C9" s="12">
        <f>GovBySenateDistrict30General[[#This Row],[Part of New York County Vote Results]]</f>
        <v>330</v>
      </c>
      <c r="D9" s="14"/>
    </row>
    <row r="10" spans="1:4" x14ac:dyDescent="0.2">
      <c r="A10" s="2" t="s">
        <v>16</v>
      </c>
      <c r="B10" s="16">
        <v>91</v>
      </c>
      <c r="C10" s="12">
        <f>GovBySenateDistrict30General[[#This Row],[Part of New York County Vote Results]]</f>
        <v>91</v>
      </c>
      <c r="D10" s="14"/>
    </row>
    <row r="11" spans="1:4" x14ac:dyDescent="0.2">
      <c r="A11" s="2" t="s">
        <v>10</v>
      </c>
      <c r="B11" s="16">
        <v>511</v>
      </c>
      <c r="C11" s="12">
        <f>GovBySenateDistrict30General[[#This Row],[Part of New York County Vote Results]]</f>
        <v>511</v>
      </c>
      <c r="D11" s="13">
        <f>GovBySenateDistrict30General[[#This Row],[Total Votes by Party]]</f>
        <v>511</v>
      </c>
    </row>
    <row r="12" spans="1:4" x14ac:dyDescent="0.2">
      <c r="A12" s="4" t="s">
        <v>11</v>
      </c>
      <c r="B12" s="16">
        <v>583</v>
      </c>
      <c r="C12" s="12">
        <f>GovBySenateDistrict30General[[#This Row],[Part of New York County Vote Results]]</f>
        <v>583</v>
      </c>
      <c r="D12" s="13">
        <f>GovBySenateDistrict30General[[#This Row],[Total Votes by Party]]</f>
        <v>583</v>
      </c>
    </row>
    <row r="13" spans="1:4" x14ac:dyDescent="0.2">
      <c r="A13" s="4" t="s">
        <v>0</v>
      </c>
      <c r="B13" s="16">
        <v>1145</v>
      </c>
      <c r="C13" s="12">
        <f>GovBySenateDistrict30General[[#This Row],[Part of New York County Vote Results]]</f>
        <v>1145</v>
      </c>
      <c r="D13" s="14"/>
    </row>
    <row r="14" spans="1:4" x14ac:dyDescent="0.2">
      <c r="A14" s="4" t="s">
        <v>1</v>
      </c>
      <c r="B14" s="16">
        <v>0</v>
      </c>
      <c r="C14" s="12">
        <f>GovBySenateDistrict30General[[#This Row],[Part of New York County Vote Results]]</f>
        <v>0</v>
      </c>
      <c r="D14" s="14"/>
    </row>
    <row r="15" spans="1:4" x14ac:dyDescent="0.2">
      <c r="A15" s="4" t="s">
        <v>2</v>
      </c>
      <c r="B15" s="5">
        <v>294</v>
      </c>
      <c r="C15" s="12">
        <f>GovBySenateDistrict30General[[#This Row],[Part of New York County Vote Results]]</f>
        <v>294</v>
      </c>
      <c r="D15" s="14"/>
    </row>
    <row r="16" spans="1:4" hidden="1" x14ac:dyDescent="0.2">
      <c r="A16" s="4" t="s">
        <v>4</v>
      </c>
      <c r="B16" s="6">
        <f>SUBTOTAL(109,GovBySenateDistrict30General[Total Votes by Candidate])</f>
        <v>103528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2F2E-EE95-4A3F-AC35-5D3DB073D35A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103</v>
      </c>
    </row>
    <row r="2" spans="1:4" ht="24.95" customHeight="1" x14ac:dyDescent="0.2">
      <c r="A2" s="7" t="s">
        <v>12</v>
      </c>
      <c r="B2" s="8" t="s">
        <v>21</v>
      </c>
      <c r="C2" s="10" t="s">
        <v>141</v>
      </c>
      <c r="D2" s="11" t="s">
        <v>5</v>
      </c>
    </row>
    <row r="3" spans="1:4" x14ac:dyDescent="0.2">
      <c r="A3" s="2" t="s">
        <v>3</v>
      </c>
      <c r="B3" s="16">
        <v>83771</v>
      </c>
      <c r="C3" s="12">
        <f>GovBySenateDistrict31General[[#This Row],[Part of New York County Vote Results]]</f>
        <v>83771</v>
      </c>
      <c r="D3" s="13">
        <f>SUM(C3,C7,C8,C9)</f>
        <v>89505</v>
      </c>
    </row>
    <row r="4" spans="1:4" x14ac:dyDescent="0.2">
      <c r="A4" s="2" t="s">
        <v>14</v>
      </c>
      <c r="B4" s="16">
        <v>5854</v>
      </c>
      <c r="C4" s="12">
        <f>GovBySenateDistrict31General[[#This Row],[Part of New York County Vote Results]]</f>
        <v>5854</v>
      </c>
      <c r="D4" s="13">
        <f>SUM(C4,C5,C10)</f>
        <v>6457</v>
      </c>
    </row>
    <row r="5" spans="1:4" x14ac:dyDescent="0.2">
      <c r="A5" s="2" t="s">
        <v>15</v>
      </c>
      <c r="B5" s="16">
        <v>493</v>
      </c>
      <c r="C5" s="12">
        <f>GovBySenateDistrict31General[[#This Row],[Part of New York County Vote Results]]</f>
        <v>493</v>
      </c>
      <c r="D5" s="14"/>
    </row>
    <row r="6" spans="1:4" x14ac:dyDescent="0.2">
      <c r="A6" s="2" t="s">
        <v>6</v>
      </c>
      <c r="B6" s="16">
        <v>2591</v>
      </c>
      <c r="C6" s="12">
        <f>GovBySenateDistrict31General[[#This Row],[Part of New York County Vote Results]]</f>
        <v>2591</v>
      </c>
      <c r="D6" s="13">
        <f>GovBySenateDistrict31General[[#This Row],[Total Votes by Party]]</f>
        <v>2591</v>
      </c>
    </row>
    <row r="7" spans="1:4" x14ac:dyDescent="0.2">
      <c r="A7" s="2" t="s">
        <v>7</v>
      </c>
      <c r="B7" s="16">
        <v>4443</v>
      </c>
      <c r="C7" s="12">
        <f>GovBySenateDistrict31General[[#This Row],[Part of New York County Vote Results]]</f>
        <v>4443</v>
      </c>
      <c r="D7" s="14"/>
    </row>
    <row r="8" spans="1:4" x14ac:dyDescent="0.2">
      <c r="A8" s="2" t="s">
        <v>8</v>
      </c>
      <c r="B8" s="16">
        <v>938</v>
      </c>
      <c r="C8" s="12">
        <f>GovBySenateDistrict31General[[#This Row],[Part of New York County Vote Results]]</f>
        <v>938</v>
      </c>
      <c r="D8" s="14"/>
    </row>
    <row r="9" spans="1:4" x14ac:dyDescent="0.2">
      <c r="A9" s="2" t="s">
        <v>9</v>
      </c>
      <c r="B9" s="16">
        <v>353</v>
      </c>
      <c r="C9" s="12">
        <f>GovBySenateDistrict31General[[#This Row],[Part of New York County Vote Results]]</f>
        <v>353</v>
      </c>
      <c r="D9" s="14"/>
    </row>
    <row r="10" spans="1:4" x14ac:dyDescent="0.2">
      <c r="A10" s="2" t="s">
        <v>16</v>
      </c>
      <c r="B10" s="16">
        <v>110</v>
      </c>
      <c r="C10" s="12">
        <f>GovBySenateDistrict31General[[#This Row],[Part of New York County Vote Results]]</f>
        <v>110</v>
      </c>
      <c r="D10" s="14"/>
    </row>
    <row r="11" spans="1:4" x14ac:dyDescent="0.2">
      <c r="A11" s="2" t="s">
        <v>10</v>
      </c>
      <c r="B11" s="16">
        <v>560</v>
      </c>
      <c r="C11" s="12">
        <f>GovBySenateDistrict31General[[#This Row],[Part of New York County Vote Results]]</f>
        <v>560</v>
      </c>
      <c r="D11" s="13">
        <f>GovBySenateDistrict31General[[#This Row],[Total Votes by Party]]</f>
        <v>560</v>
      </c>
    </row>
    <row r="12" spans="1:4" x14ac:dyDescent="0.2">
      <c r="A12" s="4" t="s">
        <v>11</v>
      </c>
      <c r="B12" s="16">
        <v>724</v>
      </c>
      <c r="C12" s="12">
        <f>GovBySenateDistrict31General[[#This Row],[Part of New York County Vote Results]]</f>
        <v>724</v>
      </c>
      <c r="D12" s="13">
        <f>GovBySenateDistrict31General[[#This Row],[Total Votes by Party]]</f>
        <v>724</v>
      </c>
    </row>
    <row r="13" spans="1:4" x14ac:dyDescent="0.2">
      <c r="A13" s="4" t="s">
        <v>0</v>
      </c>
      <c r="B13" s="16">
        <v>1254</v>
      </c>
      <c r="C13" s="12">
        <f>GovBySenateDistrict31General[[#This Row],[Part of New York County Vote Results]]</f>
        <v>1254</v>
      </c>
      <c r="D13" s="14"/>
    </row>
    <row r="14" spans="1:4" x14ac:dyDescent="0.2">
      <c r="A14" s="4" t="s">
        <v>1</v>
      </c>
      <c r="B14" s="16">
        <v>0</v>
      </c>
      <c r="C14" s="12">
        <f>GovBySenateDistrict31General[[#This Row],[Part of New York County Vote Results]]</f>
        <v>0</v>
      </c>
      <c r="D14" s="14"/>
    </row>
    <row r="15" spans="1:4" x14ac:dyDescent="0.2">
      <c r="A15" s="4" t="s">
        <v>2</v>
      </c>
      <c r="B15" s="5">
        <v>313</v>
      </c>
      <c r="C15" s="12">
        <f>GovBySenateDistrict31General[[#This Row],[Part of New York County Vote Results]]</f>
        <v>313</v>
      </c>
      <c r="D15" s="14"/>
    </row>
    <row r="16" spans="1:4" hidden="1" x14ac:dyDescent="0.2">
      <c r="A16" s="4" t="s">
        <v>4</v>
      </c>
      <c r="B16" s="6">
        <f>SUBTOTAL(109,GovBySenateDistrict31General[Total Votes by Candidate])</f>
        <v>99837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D5885-DF51-4E8A-B2B2-16BD401F056F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104</v>
      </c>
    </row>
    <row r="2" spans="1:4" ht="24.95" customHeight="1" x14ac:dyDescent="0.2">
      <c r="A2" s="7" t="s">
        <v>12</v>
      </c>
      <c r="B2" s="8" t="s">
        <v>22</v>
      </c>
      <c r="C2" s="10" t="s">
        <v>141</v>
      </c>
      <c r="D2" s="11" t="s">
        <v>5</v>
      </c>
    </row>
    <row r="3" spans="1:4" x14ac:dyDescent="0.2">
      <c r="A3" s="2" t="s">
        <v>3</v>
      </c>
      <c r="B3" s="16">
        <v>59875</v>
      </c>
      <c r="C3" s="12">
        <f>GovBySenateDistrict32General[[#This Row],[Part of Bronx County Vote Results]]</f>
        <v>59875</v>
      </c>
      <c r="D3" s="13">
        <f>SUM(C3,C7,C8,C9)</f>
        <v>61162</v>
      </c>
    </row>
    <row r="4" spans="1:4" x14ac:dyDescent="0.2">
      <c r="A4" s="2" t="s">
        <v>14</v>
      </c>
      <c r="B4" s="16">
        <v>2247</v>
      </c>
      <c r="C4" s="12">
        <f>GovBySenateDistrict32General[[#This Row],[Part of Bronx County Vote Results]]</f>
        <v>2247</v>
      </c>
      <c r="D4" s="13">
        <f>SUM(C4,C5,C10)</f>
        <v>2558</v>
      </c>
    </row>
    <row r="5" spans="1:4" x14ac:dyDescent="0.2">
      <c r="A5" s="2" t="s">
        <v>15</v>
      </c>
      <c r="B5" s="16">
        <v>260</v>
      </c>
      <c r="C5" s="12">
        <f>GovBySenateDistrict32General[[#This Row],[Part of Bronx County Vote Results]]</f>
        <v>260</v>
      </c>
      <c r="D5" s="14"/>
    </row>
    <row r="6" spans="1:4" x14ac:dyDescent="0.2">
      <c r="A6" s="2" t="s">
        <v>6</v>
      </c>
      <c r="B6" s="16">
        <v>495</v>
      </c>
      <c r="C6" s="12">
        <f>GovBySenateDistrict32General[[#This Row],[Part of Bronx County Vote Results]]</f>
        <v>495</v>
      </c>
      <c r="D6" s="13">
        <f>GovBySenateDistrict32General[[#This Row],[Total Votes by Party]]</f>
        <v>495</v>
      </c>
    </row>
    <row r="7" spans="1:4" x14ac:dyDescent="0.2">
      <c r="A7" s="2" t="s">
        <v>7</v>
      </c>
      <c r="B7" s="16">
        <v>773</v>
      </c>
      <c r="C7" s="12">
        <f>GovBySenateDistrict32General[[#This Row],[Part of Bronx County Vote Results]]</f>
        <v>773</v>
      </c>
      <c r="D7" s="14"/>
    </row>
    <row r="8" spans="1:4" x14ac:dyDescent="0.2">
      <c r="A8" s="2" t="s">
        <v>8</v>
      </c>
      <c r="B8" s="16">
        <v>426</v>
      </c>
      <c r="C8" s="12">
        <f>GovBySenateDistrict32General[[#This Row],[Part of Bronx County Vote Results]]</f>
        <v>426</v>
      </c>
      <c r="D8" s="14"/>
    </row>
    <row r="9" spans="1:4" x14ac:dyDescent="0.2">
      <c r="A9" s="2" t="s">
        <v>9</v>
      </c>
      <c r="B9" s="16">
        <v>88</v>
      </c>
      <c r="C9" s="12">
        <f>GovBySenateDistrict32General[[#This Row],[Part of Bronx County Vote Results]]</f>
        <v>88</v>
      </c>
      <c r="D9" s="14"/>
    </row>
    <row r="10" spans="1:4" x14ac:dyDescent="0.2">
      <c r="A10" s="2" t="s">
        <v>16</v>
      </c>
      <c r="B10" s="16">
        <v>51</v>
      </c>
      <c r="C10" s="12">
        <f>GovBySenateDistrict32General[[#This Row],[Part of Bronx County Vote Results]]</f>
        <v>51</v>
      </c>
      <c r="D10" s="14"/>
    </row>
    <row r="11" spans="1:4" x14ac:dyDescent="0.2">
      <c r="A11" s="2" t="s">
        <v>10</v>
      </c>
      <c r="B11" s="16">
        <v>215</v>
      </c>
      <c r="C11" s="12">
        <f>GovBySenateDistrict32General[[#This Row],[Part of Bronx County Vote Results]]</f>
        <v>215</v>
      </c>
      <c r="D11" s="13">
        <f>GovBySenateDistrict32General[[#This Row],[Total Votes by Party]]</f>
        <v>215</v>
      </c>
    </row>
    <row r="12" spans="1:4" x14ac:dyDescent="0.2">
      <c r="A12" s="4" t="s">
        <v>11</v>
      </c>
      <c r="B12" s="16">
        <v>106</v>
      </c>
      <c r="C12" s="12">
        <f>GovBySenateDistrict32General[[#This Row],[Part of Bronx County Vote Results]]</f>
        <v>106</v>
      </c>
      <c r="D12" s="13">
        <f>GovBySenateDistrict32General[[#This Row],[Total Votes by Party]]</f>
        <v>106</v>
      </c>
    </row>
    <row r="13" spans="1:4" x14ac:dyDescent="0.2">
      <c r="A13" s="4" t="s">
        <v>0</v>
      </c>
      <c r="B13" s="16">
        <v>821</v>
      </c>
      <c r="C13" s="12">
        <f>GovBySenateDistrict32General[[#This Row],[Part of Bronx County Vote Results]]</f>
        <v>821</v>
      </c>
      <c r="D13" s="14"/>
    </row>
    <row r="14" spans="1:4" x14ac:dyDescent="0.2">
      <c r="A14" s="4" t="s">
        <v>1</v>
      </c>
      <c r="B14" s="16">
        <v>0</v>
      </c>
      <c r="C14" s="12">
        <f>GovBySenateDistrict32General[[#This Row],[Part of Bronx County Vote Results]]</f>
        <v>0</v>
      </c>
      <c r="D14" s="14"/>
    </row>
    <row r="15" spans="1:4" x14ac:dyDescent="0.2">
      <c r="A15" s="4" t="s">
        <v>2</v>
      </c>
      <c r="B15" s="5">
        <v>35</v>
      </c>
      <c r="C15" s="12">
        <f>GovBySenateDistrict32General[[#This Row],[Part of Bronx County Vote Results]]</f>
        <v>35</v>
      </c>
      <c r="D15" s="14"/>
    </row>
    <row r="16" spans="1:4" hidden="1" x14ac:dyDescent="0.2">
      <c r="A16" s="4" t="s">
        <v>4</v>
      </c>
      <c r="B16" s="6">
        <f>SUBTOTAL(109,GovBySenateDistrict32General[Total Votes by Candidate])</f>
        <v>64536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5958E-27DD-4C61-A4C0-C580F94FC58F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105</v>
      </c>
    </row>
    <row r="2" spans="1:4" ht="24.95" customHeight="1" x14ac:dyDescent="0.2">
      <c r="A2" s="7" t="s">
        <v>12</v>
      </c>
      <c r="B2" s="8" t="s">
        <v>22</v>
      </c>
      <c r="C2" s="10" t="s">
        <v>141</v>
      </c>
      <c r="D2" s="11" t="s">
        <v>5</v>
      </c>
    </row>
    <row r="3" spans="1:4" x14ac:dyDescent="0.2">
      <c r="A3" s="2" t="s">
        <v>3</v>
      </c>
      <c r="B3" s="16">
        <v>46609</v>
      </c>
      <c r="C3" s="12">
        <f>GovBySenateDistrict33General[[#This Row],[Part of Bronx County Vote Results]]</f>
        <v>46609</v>
      </c>
      <c r="D3" s="13">
        <f>SUM(C3,C7,C8,C9)</f>
        <v>47603</v>
      </c>
    </row>
    <row r="4" spans="1:4" x14ac:dyDescent="0.2">
      <c r="A4" s="2" t="s">
        <v>14</v>
      </c>
      <c r="B4" s="16">
        <v>2052</v>
      </c>
      <c r="C4" s="12">
        <f>GovBySenateDistrict33General[[#This Row],[Part of Bronx County Vote Results]]</f>
        <v>2052</v>
      </c>
      <c r="D4" s="13">
        <f>SUM(C4,C5,C10)</f>
        <v>2300</v>
      </c>
    </row>
    <row r="5" spans="1:4" x14ac:dyDescent="0.2">
      <c r="A5" s="2" t="s">
        <v>15</v>
      </c>
      <c r="B5" s="16">
        <v>218</v>
      </c>
      <c r="C5" s="12">
        <f>GovBySenateDistrict33General[[#This Row],[Part of Bronx County Vote Results]]</f>
        <v>218</v>
      </c>
      <c r="D5" s="14"/>
    </row>
    <row r="6" spans="1:4" x14ac:dyDescent="0.2">
      <c r="A6" s="2" t="s">
        <v>6</v>
      </c>
      <c r="B6" s="16">
        <v>411</v>
      </c>
      <c r="C6" s="12">
        <f>GovBySenateDistrict33General[[#This Row],[Part of Bronx County Vote Results]]</f>
        <v>411</v>
      </c>
      <c r="D6" s="13">
        <f>GovBySenateDistrict33General[[#This Row],[Total Votes by Party]]</f>
        <v>411</v>
      </c>
    </row>
    <row r="7" spans="1:4" x14ac:dyDescent="0.2">
      <c r="A7" s="2" t="s">
        <v>7</v>
      </c>
      <c r="B7" s="16">
        <v>578</v>
      </c>
      <c r="C7" s="12">
        <f>GovBySenateDistrict33General[[#This Row],[Part of Bronx County Vote Results]]</f>
        <v>578</v>
      </c>
      <c r="D7" s="14"/>
    </row>
    <row r="8" spans="1:4" x14ac:dyDescent="0.2">
      <c r="A8" s="2" t="s">
        <v>8</v>
      </c>
      <c r="B8" s="16">
        <v>330</v>
      </c>
      <c r="C8" s="12">
        <f>GovBySenateDistrict33General[[#This Row],[Part of Bronx County Vote Results]]</f>
        <v>330</v>
      </c>
      <c r="D8" s="14"/>
    </row>
    <row r="9" spans="1:4" x14ac:dyDescent="0.2">
      <c r="A9" s="2" t="s">
        <v>9</v>
      </c>
      <c r="B9" s="16">
        <v>86</v>
      </c>
      <c r="C9" s="12">
        <f>GovBySenateDistrict33General[[#This Row],[Part of Bronx County Vote Results]]</f>
        <v>86</v>
      </c>
      <c r="D9" s="14"/>
    </row>
    <row r="10" spans="1:4" x14ac:dyDescent="0.2">
      <c r="A10" s="2" t="s">
        <v>16</v>
      </c>
      <c r="B10" s="16">
        <v>30</v>
      </c>
      <c r="C10" s="12">
        <f>GovBySenateDistrict33General[[#This Row],[Part of Bronx County Vote Results]]</f>
        <v>30</v>
      </c>
      <c r="D10" s="14"/>
    </row>
    <row r="11" spans="1:4" x14ac:dyDescent="0.2">
      <c r="A11" s="2" t="s">
        <v>10</v>
      </c>
      <c r="B11" s="16">
        <v>154</v>
      </c>
      <c r="C11" s="12">
        <f>GovBySenateDistrict33General[[#This Row],[Part of Bronx County Vote Results]]</f>
        <v>154</v>
      </c>
      <c r="D11" s="13">
        <f>GovBySenateDistrict33General[[#This Row],[Total Votes by Party]]</f>
        <v>154</v>
      </c>
    </row>
    <row r="12" spans="1:4" x14ac:dyDescent="0.2">
      <c r="A12" s="4" t="s">
        <v>11</v>
      </c>
      <c r="B12" s="16">
        <v>70</v>
      </c>
      <c r="C12" s="12">
        <f>GovBySenateDistrict33General[[#This Row],[Part of Bronx County Vote Results]]</f>
        <v>70</v>
      </c>
      <c r="D12" s="13">
        <f>GovBySenateDistrict33General[[#This Row],[Total Votes by Party]]</f>
        <v>70</v>
      </c>
    </row>
    <row r="13" spans="1:4" x14ac:dyDescent="0.2">
      <c r="A13" s="4" t="s">
        <v>0</v>
      </c>
      <c r="B13" s="16">
        <v>768</v>
      </c>
      <c r="C13" s="12">
        <f>GovBySenateDistrict33General[[#This Row],[Part of Bronx County Vote Results]]</f>
        <v>768</v>
      </c>
      <c r="D13" s="14"/>
    </row>
    <row r="14" spans="1:4" x14ac:dyDescent="0.2">
      <c r="A14" s="4" t="s">
        <v>1</v>
      </c>
      <c r="B14" s="16">
        <v>0</v>
      </c>
      <c r="C14" s="12">
        <f>GovBySenateDistrict33General[[#This Row],[Part of Bronx County Vote Results]]</f>
        <v>0</v>
      </c>
      <c r="D14" s="14"/>
    </row>
    <row r="15" spans="1:4" x14ac:dyDescent="0.2">
      <c r="A15" s="4" t="s">
        <v>2</v>
      </c>
      <c r="B15" s="5">
        <v>30</v>
      </c>
      <c r="C15" s="12">
        <f>GovBySenateDistrict33General[[#This Row],[Part of Bronx County Vote Results]]</f>
        <v>30</v>
      </c>
      <c r="D15" s="14"/>
    </row>
    <row r="16" spans="1:4" hidden="1" x14ac:dyDescent="0.2">
      <c r="A16" s="4" t="s">
        <v>4</v>
      </c>
      <c r="B16" s="6">
        <f>SUBTOTAL(109,GovBySenateDistrict33General[Total Votes by Candidate])</f>
        <v>50538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FD96F-6481-4558-A1A6-C560F6E942AF}">
  <dimension ref="A1:E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106</v>
      </c>
    </row>
    <row r="2" spans="1:5" ht="25.5" x14ac:dyDescent="0.2">
      <c r="A2" s="7" t="s">
        <v>12</v>
      </c>
      <c r="B2" s="8" t="s">
        <v>22</v>
      </c>
      <c r="C2" s="8" t="s">
        <v>23</v>
      </c>
      <c r="D2" s="10" t="s">
        <v>141</v>
      </c>
      <c r="E2" s="11" t="s">
        <v>5</v>
      </c>
    </row>
    <row r="3" spans="1:5" x14ac:dyDescent="0.2">
      <c r="A3" s="2" t="s">
        <v>3</v>
      </c>
      <c r="B3" s="16">
        <v>54593</v>
      </c>
      <c r="C3" s="3">
        <v>4773</v>
      </c>
      <c r="D3" s="12">
        <f>SUM(GovBySenateDistrict34General[[#This Row],[Part of Bronx County Vote Results]:[Part of Westchester County Vote Results]])</f>
        <v>59366</v>
      </c>
      <c r="E3" s="13">
        <f>SUM(D3,D7,D8,D9)</f>
        <v>62269</v>
      </c>
    </row>
    <row r="4" spans="1:5" x14ac:dyDescent="0.2">
      <c r="A4" s="2" t="s">
        <v>14</v>
      </c>
      <c r="B4" s="16">
        <v>12689</v>
      </c>
      <c r="C4" s="3">
        <v>1875</v>
      </c>
      <c r="D4" s="12">
        <f>SUM(GovBySenateDistrict34General[[#This Row],[Part of Bronx County Vote Results]:[Part of Westchester County Vote Results]])</f>
        <v>14564</v>
      </c>
      <c r="E4" s="13">
        <f>SUM(D4,D5,D10)</f>
        <v>16453</v>
      </c>
    </row>
    <row r="5" spans="1:5" x14ac:dyDescent="0.2">
      <c r="A5" s="2" t="s">
        <v>15</v>
      </c>
      <c r="B5" s="16">
        <v>1527</v>
      </c>
      <c r="C5" s="3">
        <v>213</v>
      </c>
      <c r="D5" s="12">
        <f>SUM(GovBySenateDistrict34General[[#This Row],[Part of Bronx County Vote Results]:[Part of Westchester County Vote Results]])</f>
        <v>1740</v>
      </c>
      <c r="E5" s="14"/>
    </row>
    <row r="6" spans="1:5" x14ac:dyDescent="0.2">
      <c r="A6" s="2" t="s">
        <v>6</v>
      </c>
      <c r="B6" s="16">
        <v>1143</v>
      </c>
      <c r="C6" s="3">
        <v>68</v>
      </c>
      <c r="D6" s="12">
        <f>SUM(GovBySenateDistrict34General[[#This Row],[Part of Bronx County Vote Results]:[Part of Westchester County Vote Results]])</f>
        <v>1211</v>
      </c>
      <c r="E6" s="13">
        <f>GovBySenateDistrict34General[[#This Row],[Total Votes by Party]]</f>
        <v>1211</v>
      </c>
    </row>
    <row r="7" spans="1:5" x14ac:dyDescent="0.2">
      <c r="A7" s="2" t="s">
        <v>7</v>
      </c>
      <c r="B7" s="16">
        <v>1695</v>
      </c>
      <c r="C7" s="3">
        <v>145</v>
      </c>
      <c r="D7" s="12">
        <f>SUM(GovBySenateDistrict34General[[#This Row],[Part of Bronx County Vote Results]:[Part of Westchester County Vote Results]])</f>
        <v>1840</v>
      </c>
      <c r="E7" s="14"/>
    </row>
    <row r="8" spans="1:5" x14ac:dyDescent="0.2">
      <c r="A8" s="2" t="s">
        <v>8</v>
      </c>
      <c r="B8" s="16">
        <v>754</v>
      </c>
      <c r="C8" s="3">
        <v>75</v>
      </c>
      <c r="D8" s="12">
        <f>SUM(GovBySenateDistrict34General[[#This Row],[Part of Bronx County Vote Results]:[Part of Westchester County Vote Results]])</f>
        <v>829</v>
      </c>
      <c r="E8" s="14"/>
    </row>
    <row r="9" spans="1:5" x14ac:dyDescent="0.2">
      <c r="A9" s="2" t="s">
        <v>9</v>
      </c>
      <c r="B9" s="16">
        <v>192</v>
      </c>
      <c r="C9" s="3">
        <v>42</v>
      </c>
      <c r="D9" s="12">
        <f>SUM(GovBySenateDistrict34General[[#This Row],[Part of Bronx County Vote Results]:[Part of Westchester County Vote Results]])</f>
        <v>234</v>
      </c>
      <c r="E9" s="14"/>
    </row>
    <row r="10" spans="1:5" x14ac:dyDescent="0.2">
      <c r="A10" s="2" t="s">
        <v>16</v>
      </c>
      <c r="B10" s="16">
        <v>128</v>
      </c>
      <c r="C10" s="3">
        <v>21</v>
      </c>
      <c r="D10" s="12">
        <f>SUM(GovBySenateDistrict34General[[#This Row],[Part of Bronx County Vote Results]:[Part of Westchester County Vote Results]])</f>
        <v>149</v>
      </c>
      <c r="E10" s="14"/>
    </row>
    <row r="11" spans="1:5" x14ac:dyDescent="0.2">
      <c r="A11" s="2" t="s">
        <v>10</v>
      </c>
      <c r="B11" s="16">
        <v>424</v>
      </c>
      <c r="C11" s="3">
        <v>43</v>
      </c>
      <c r="D11" s="12">
        <f>SUM(GovBySenateDistrict34General[[#This Row],[Part of Bronx County Vote Results]:[Part of Westchester County Vote Results]])</f>
        <v>467</v>
      </c>
      <c r="E11" s="13">
        <f>GovBySenateDistrict34General[[#This Row],[Total Votes by Party]]</f>
        <v>467</v>
      </c>
    </row>
    <row r="12" spans="1:5" x14ac:dyDescent="0.2">
      <c r="A12" s="4" t="s">
        <v>11</v>
      </c>
      <c r="B12" s="16">
        <v>272</v>
      </c>
      <c r="C12" s="3">
        <v>374</v>
      </c>
      <c r="D12" s="12">
        <f>SUM(GovBySenateDistrict34General[[#This Row],[Part of Bronx County Vote Results]:[Part of Westchester County Vote Results]])</f>
        <v>646</v>
      </c>
      <c r="E12" s="13">
        <f>GovBySenateDistrict34General[[#This Row],[Total Votes by Party]]</f>
        <v>646</v>
      </c>
    </row>
    <row r="13" spans="1:5" x14ac:dyDescent="0.2">
      <c r="A13" s="4" t="s">
        <v>0</v>
      </c>
      <c r="B13" s="16">
        <v>1281</v>
      </c>
      <c r="C13" s="3">
        <v>150</v>
      </c>
      <c r="D13" s="12">
        <f>SUM(GovBySenateDistrict34General[[#This Row],[Part of Bronx County Vote Results]:[Part of Westchester County Vote Results]])</f>
        <v>1431</v>
      </c>
      <c r="E13" s="14"/>
    </row>
    <row r="14" spans="1:5" x14ac:dyDescent="0.2">
      <c r="A14" s="4" t="s">
        <v>1</v>
      </c>
      <c r="B14" s="16">
        <v>0</v>
      </c>
      <c r="C14" s="3">
        <v>0</v>
      </c>
      <c r="D14" s="12">
        <f>SUM(GovBySenateDistrict34General[[#This Row],[Part of Bronx County Vote Results]:[Part of Westchester County Vote Results]])</f>
        <v>0</v>
      </c>
      <c r="E14" s="14"/>
    </row>
    <row r="15" spans="1:5" x14ac:dyDescent="0.2">
      <c r="A15" s="4" t="s">
        <v>2</v>
      </c>
      <c r="B15" s="5">
        <v>102</v>
      </c>
      <c r="C15" s="5">
        <v>0</v>
      </c>
      <c r="D15" s="12">
        <f>SUM(GovBySenateDistrict34General[[#This Row],[Part of Bronx County Vote Results]:[Part of Westchester County Vote Results]])</f>
        <v>102</v>
      </c>
      <c r="E15" s="14"/>
    </row>
    <row r="16" spans="1:5" hidden="1" x14ac:dyDescent="0.2">
      <c r="A16" s="4" t="s">
        <v>4</v>
      </c>
      <c r="B16" s="6">
        <f>SUBTOTAL(109,GovBySenateDistrict34General[Part of Bronx County Vote Results])</f>
        <v>74800</v>
      </c>
      <c r="C16" s="6">
        <f>SUBTOTAL(109,GovBySenateDistrict34General[Part of Westchester County Vote Results])</f>
        <v>7779</v>
      </c>
      <c r="D16" s="6"/>
      <c r="E16" s="9"/>
    </row>
  </sheetData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544FB-5D86-4A1E-82C1-8FF42A9F4C1F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107</v>
      </c>
    </row>
    <row r="2" spans="1:4" ht="24.95" customHeight="1" x14ac:dyDescent="0.2">
      <c r="A2" s="7" t="s">
        <v>12</v>
      </c>
      <c r="B2" s="8" t="s">
        <v>23</v>
      </c>
      <c r="C2" s="10" t="s">
        <v>141</v>
      </c>
      <c r="D2" s="11" t="s">
        <v>5</v>
      </c>
    </row>
    <row r="3" spans="1:4" x14ac:dyDescent="0.2">
      <c r="A3" s="2" t="s">
        <v>3</v>
      </c>
      <c r="B3" s="3">
        <v>70086</v>
      </c>
      <c r="C3" s="12">
        <f>GovBySenateDistrict35General[[#This Row],[Part of Westchester County Vote Results]]</f>
        <v>70086</v>
      </c>
      <c r="D3" s="13">
        <f>SUM(C3,C7,C8,C9)</f>
        <v>73018</v>
      </c>
    </row>
    <row r="4" spans="1:4" x14ac:dyDescent="0.2">
      <c r="A4" s="2" t="s">
        <v>14</v>
      </c>
      <c r="B4" s="3">
        <v>18807</v>
      </c>
      <c r="C4" s="12">
        <f>GovBySenateDistrict35General[[#This Row],[Part of Westchester County Vote Results]]</f>
        <v>18807</v>
      </c>
      <c r="D4" s="13">
        <f>SUM(C4,C5,C10)</f>
        <v>21058</v>
      </c>
    </row>
    <row r="5" spans="1:4" x14ac:dyDescent="0.2">
      <c r="A5" s="2" t="s">
        <v>15</v>
      </c>
      <c r="B5" s="3">
        <v>1989</v>
      </c>
      <c r="C5" s="12">
        <f>GovBySenateDistrict35General[[#This Row],[Part of Westchester County Vote Results]]</f>
        <v>1989</v>
      </c>
      <c r="D5" s="14"/>
    </row>
    <row r="6" spans="1:4" x14ac:dyDescent="0.2">
      <c r="A6" s="2" t="s">
        <v>6</v>
      </c>
      <c r="B6" s="3">
        <v>1132</v>
      </c>
      <c r="C6" s="12">
        <f>GovBySenateDistrict35General[[#This Row],[Part of Westchester County Vote Results]]</f>
        <v>1132</v>
      </c>
      <c r="D6" s="13">
        <f>GovBySenateDistrict35General[[#This Row],[Total Votes by Party]]</f>
        <v>1132</v>
      </c>
    </row>
    <row r="7" spans="1:4" x14ac:dyDescent="0.2">
      <c r="A7" s="2" t="s">
        <v>7</v>
      </c>
      <c r="B7" s="3">
        <v>1496</v>
      </c>
      <c r="C7" s="12">
        <f>GovBySenateDistrict35General[[#This Row],[Part of Westchester County Vote Results]]</f>
        <v>1496</v>
      </c>
      <c r="D7" s="14"/>
    </row>
    <row r="8" spans="1:4" x14ac:dyDescent="0.2">
      <c r="A8" s="2" t="s">
        <v>8</v>
      </c>
      <c r="B8" s="3">
        <v>855</v>
      </c>
      <c r="C8" s="12">
        <f>GovBySenateDistrict35General[[#This Row],[Part of Westchester County Vote Results]]</f>
        <v>855</v>
      </c>
      <c r="D8" s="14"/>
    </row>
    <row r="9" spans="1:4" x14ac:dyDescent="0.2">
      <c r="A9" s="2" t="s">
        <v>9</v>
      </c>
      <c r="B9" s="3">
        <v>581</v>
      </c>
      <c r="C9" s="12">
        <f>GovBySenateDistrict35General[[#This Row],[Part of Westchester County Vote Results]]</f>
        <v>581</v>
      </c>
      <c r="D9" s="14"/>
    </row>
    <row r="10" spans="1:4" x14ac:dyDescent="0.2">
      <c r="A10" s="2" t="s">
        <v>16</v>
      </c>
      <c r="B10" s="3">
        <v>262</v>
      </c>
      <c r="C10" s="12">
        <f>GovBySenateDistrict35General[[#This Row],[Part of Westchester County Vote Results]]</f>
        <v>262</v>
      </c>
      <c r="D10" s="14"/>
    </row>
    <row r="11" spans="1:4" x14ac:dyDescent="0.2">
      <c r="A11" s="2" t="s">
        <v>10</v>
      </c>
      <c r="B11" s="3">
        <v>522</v>
      </c>
      <c r="C11" s="12">
        <f>GovBySenateDistrict35General[[#This Row],[Part of Westchester County Vote Results]]</f>
        <v>522</v>
      </c>
      <c r="D11" s="13">
        <f>GovBySenateDistrict35General[[#This Row],[Total Votes by Party]]</f>
        <v>522</v>
      </c>
    </row>
    <row r="12" spans="1:4" x14ac:dyDescent="0.2">
      <c r="A12" s="4" t="s">
        <v>11</v>
      </c>
      <c r="B12" s="5">
        <v>652</v>
      </c>
      <c r="C12" s="12">
        <f>GovBySenateDistrict35General[[#This Row],[Part of Westchester County Vote Results]]</f>
        <v>652</v>
      </c>
      <c r="D12" s="13">
        <f>GovBySenateDistrict35General[[#This Row],[Total Votes by Party]]</f>
        <v>652</v>
      </c>
    </row>
    <row r="13" spans="1:4" x14ac:dyDescent="0.2">
      <c r="A13" s="4" t="s">
        <v>0</v>
      </c>
      <c r="B13" s="5">
        <v>2201</v>
      </c>
      <c r="C13" s="12">
        <f>GovBySenateDistrict35General[[#This Row],[Part of Westchester County Vote Results]]</f>
        <v>2201</v>
      </c>
      <c r="D13" s="14"/>
    </row>
    <row r="14" spans="1:4" x14ac:dyDescent="0.2">
      <c r="A14" s="4" t="s">
        <v>1</v>
      </c>
      <c r="B14" s="5">
        <v>0</v>
      </c>
      <c r="C14" s="12">
        <f>GovBySenateDistrict35General[[#This Row],[Part of Westchester County Vote Results]]</f>
        <v>0</v>
      </c>
      <c r="D14" s="14"/>
    </row>
    <row r="15" spans="1:4" x14ac:dyDescent="0.2">
      <c r="A15" s="4" t="s">
        <v>2</v>
      </c>
      <c r="B15" s="5">
        <v>0</v>
      </c>
      <c r="C15" s="12">
        <f>GovBySenateDistrict35General[[#This Row],[Part of Westchester County Vote Results]]</f>
        <v>0</v>
      </c>
      <c r="D15" s="14"/>
    </row>
    <row r="16" spans="1:4" hidden="1" x14ac:dyDescent="0.2">
      <c r="A16" s="4" t="s">
        <v>4</v>
      </c>
      <c r="B16" s="6">
        <f>SUBTOTAL(109,GovBySenateDistrict35General[Total Votes by Candidate])</f>
        <v>96382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8F744-84B4-45E4-A7E7-7A2D659D4E89}">
  <dimension ref="A1:E16"/>
  <sheetViews>
    <sheetView workbookViewId="0">
      <selection activeCell="B19" sqref="B19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108</v>
      </c>
    </row>
    <row r="2" spans="1:5" ht="25.5" x14ac:dyDescent="0.2">
      <c r="A2" s="7" t="s">
        <v>12</v>
      </c>
      <c r="B2" s="8" t="s">
        <v>22</v>
      </c>
      <c r="C2" s="8" t="s">
        <v>23</v>
      </c>
      <c r="D2" s="10" t="s">
        <v>141</v>
      </c>
      <c r="E2" s="11" t="s">
        <v>5</v>
      </c>
    </row>
    <row r="3" spans="1:5" x14ac:dyDescent="0.2">
      <c r="A3" s="2" t="s">
        <v>3</v>
      </c>
      <c r="B3" s="16">
        <v>58444</v>
      </c>
      <c r="C3" s="3">
        <v>15454</v>
      </c>
      <c r="D3" s="12">
        <f>SUM(GovBySenateDistrict36General[[#This Row],[Part of Bronx County Vote Results]:[Part of Westchester County Vote Results]])</f>
        <v>73898</v>
      </c>
      <c r="E3" s="13">
        <f>SUM(D3,D7,D8,D9)</f>
        <v>75418</v>
      </c>
    </row>
    <row r="4" spans="1:5" x14ac:dyDescent="0.2">
      <c r="A4" s="2" t="s">
        <v>14</v>
      </c>
      <c r="B4" s="16">
        <v>2205</v>
      </c>
      <c r="C4" s="3">
        <v>999</v>
      </c>
      <c r="D4" s="12">
        <f>SUM(GovBySenateDistrict36General[[#This Row],[Part of Bronx County Vote Results]:[Part of Westchester County Vote Results]])</f>
        <v>3204</v>
      </c>
      <c r="E4" s="13">
        <f>SUM(D4,D5,D10)</f>
        <v>3703</v>
      </c>
    </row>
    <row r="5" spans="1:5" x14ac:dyDescent="0.2">
      <c r="A5" s="2" t="s">
        <v>15</v>
      </c>
      <c r="B5" s="16">
        <v>306</v>
      </c>
      <c r="C5" s="3">
        <v>131</v>
      </c>
      <c r="D5" s="12">
        <f>SUM(GovBySenateDistrict36General[[#This Row],[Part of Bronx County Vote Results]:[Part of Westchester County Vote Results]])</f>
        <v>437</v>
      </c>
      <c r="E5" s="14"/>
    </row>
    <row r="6" spans="1:5" x14ac:dyDescent="0.2">
      <c r="A6" s="2" t="s">
        <v>6</v>
      </c>
      <c r="B6" s="16">
        <v>467</v>
      </c>
      <c r="C6" s="3">
        <v>101</v>
      </c>
      <c r="D6" s="12">
        <f>SUM(GovBySenateDistrict36General[[#This Row],[Part of Bronx County Vote Results]:[Part of Westchester County Vote Results]])</f>
        <v>568</v>
      </c>
      <c r="E6" s="13">
        <f>GovBySenateDistrict36General[[#This Row],[Total Votes by Party]]</f>
        <v>568</v>
      </c>
    </row>
    <row r="7" spans="1:5" x14ac:dyDescent="0.2">
      <c r="A7" s="2" t="s">
        <v>7</v>
      </c>
      <c r="B7" s="16">
        <v>701</v>
      </c>
      <c r="C7" s="3">
        <v>152</v>
      </c>
      <c r="D7" s="12">
        <f>SUM(GovBySenateDistrict36General[[#This Row],[Part of Bronx County Vote Results]:[Part of Westchester County Vote Results]])</f>
        <v>853</v>
      </c>
      <c r="E7" s="14"/>
    </row>
    <row r="8" spans="1:5" x14ac:dyDescent="0.2">
      <c r="A8" s="2" t="s">
        <v>8</v>
      </c>
      <c r="B8" s="16">
        <v>433</v>
      </c>
      <c r="C8" s="3">
        <v>113</v>
      </c>
      <c r="D8" s="12">
        <f>SUM(GovBySenateDistrict36General[[#This Row],[Part of Bronx County Vote Results]:[Part of Westchester County Vote Results]])</f>
        <v>546</v>
      </c>
      <c r="E8" s="14"/>
    </row>
    <row r="9" spans="1:5" x14ac:dyDescent="0.2">
      <c r="A9" s="2" t="s">
        <v>9</v>
      </c>
      <c r="B9" s="16">
        <v>80</v>
      </c>
      <c r="C9" s="3">
        <v>41</v>
      </c>
      <c r="D9" s="12">
        <f>SUM(GovBySenateDistrict36General[[#This Row],[Part of Bronx County Vote Results]:[Part of Westchester County Vote Results]])</f>
        <v>121</v>
      </c>
      <c r="E9" s="14"/>
    </row>
    <row r="10" spans="1:5" x14ac:dyDescent="0.2">
      <c r="A10" s="2" t="s">
        <v>16</v>
      </c>
      <c r="B10" s="16">
        <v>44</v>
      </c>
      <c r="C10" s="3">
        <v>18</v>
      </c>
      <c r="D10" s="12">
        <f>SUM(GovBySenateDistrict36General[[#This Row],[Part of Bronx County Vote Results]:[Part of Westchester County Vote Results]])</f>
        <v>62</v>
      </c>
      <c r="E10" s="14"/>
    </row>
    <row r="11" spans="1:5" x14ac:dyDescent="0.2">
      <c r="A11" s="2" t="s">
        <v>10</v>
      </c>
      <c r="B11" s="16">
        <v>158</v>
      </c>
      <c r="C11" s="3">
        <v>40</v>
      </c>
      <c r="D11" s="12">
        <f>SUM(GovBySenateDistrict36General[[#This Row],[Part of Bronx County Vote Results]:[Part of Westchester County Vote Results]])</f>
        <v>198</v>
      </c>
      <c r="E11" s="13">
        <f>GovBySenateDistrict36General[[#This Row],[Total Votes by Party]]</f>
        <v>198</v>
      </c>
    </row>
    <row r="12" spans="1:5" x14ac:dyDescent="0.2">
      <c r="A12" s="4" t="s">
        <v>11</v>
      </c>
      <c r="B12" s="16">
        <v>88</v>
      </c>
      <c r="C12" s="3">
        <v>53</v>
      </c>
      <c r="D12" s="12">
        <f>SUM(GovBySenateDistrict36General[[#This Row],[Part of Bronx County Vote Results]:[Part of Westchester County Vote Results]])</f>
        <v>141</v>
      </c>
      <c r="E12" s="13">
        <f>GovBySenateDistrict36General[[#This Row],[Total Votes by Party]]</f>
        <v>141</v>
      </c>
    </row>
    <row r="13" spans="1:5" x14ac:dyDescent="0.2">
      <c r="A13" s="4" t="s">
        <v>0</v>
      </c>
      <c r="B13" s="16">
        <v>841</v>
      </c>
      <c r="C13" s="3">
        <v>476</v>
      </c>
      <c r="D13" s="12">
        <f>SUM(GovBySenateDistrict36General[[#This Row],[Part of Bronx County Vote Results]:[Part of Westchester County Vote Results]])</f>
        <v>1317</v>
      </c>
      <c r="E13" s="14"/>
    </row>
    <row r="14" spans="1:5" x14ac:dyDescent="0.2">
      <c r="A14" s="4" t="s">
        <v>1</v>
      </c>
      <c r="B14" s="16">
        <v>0</v>
      </c>
      <c r="C14" s="3">
        <v>0</v>
      </c>
      <c r="D14" s="12">
        <f>SUM(GovBySenateDistrict36General[[#This Row],[Part of Bronx County Vote Results]:[Part of Westchester County Vote Results]])</f>
        <v>0</v>
      </c>
      <c r="E14" s="14"/>
    </row>
    <row r="15" spans="1:5" x14ac:dyDescent="0.2">
      <c r="A15" s="4" t="s">
        <v>2</v>
      </c>
      <c r="B15" s="5">
        <v>38</v>
      </c>
      <c r="C15" s="5">
        <v>0</v>
      </c>
      <c r="D15" s="12">
        <f>SUM(GovBySenateDistrict36General[[#This Row],[Part of Bronx County Vote Results]:[Part of Westchester County Vote Results]])</f>
        <v>38</v>
      </c>
      <c r="E15" s="14"/>
    </row>
    <row r="16" spans="1:5" hidden="1" x14ac:dyDescent="0.2">
      <c r="A16" s="4" t="s">
        <v>4</v>
      </c>
      <c r="B16" s="6">
        <f>SUBTOTAL(109,GovBySenateDistrict36General[Part of Bronx County Vote Results])</f>
        <v>63805</v>
      </c>
      <c r="C16" s="6">
        <f>SUBTOTAL(109,GovBySenateDistrict36General[Part of Westchester County Vote Results])</f>
        <v>17578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FEC1-65F1-469A-A02F-950B4C76BD68}">
  <dimension ref="A1:D16"/>
  <sheetViews>
    <sheetView workbookViewId="0">
      <selection activeCell="B19" sqref="B19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109</v>
      </c>
    </row>
    <row r="2" spans="1:4" ht="24.95" customHeight="1" x14ac:dyDescent="0.2">
      <c r="A2" s="7" t="s">
        <v>12</v>
      </c>
      <c r="B2" s="8" t="s">
        <v>23</v>
      </c>
      <c r="C2" s="10" t="s">
        <v>141</v>
      </c>
      <c r="D2" s="11" t="s">
        <v>5</v>
      </c>
    </row>
    <row r="3" spans="1:4" x14ac:dyDescent="0.2">
      <c r="A3" s="2" t="s">
        <v>3</v>
      </c>
      <c r="B3" s="3">
        <v>64748</v>
      </c>
      <c r="C3" s="12">
        <f>GovBySenateDistrict37General[[#This Row],[Part of Westchester County Vote Results]]</f>
        <v>64748</v>
      </c>
      <c r="D3" s="13">
        <f>SUM(C3,C7,C8,C9)</f>
        <v>67866</v>
      </c>
    </row>
    <row r="4" spans="1:4" x14ac:dyDescent="0.2">
      <c r="A4" s="2" t="s">
        <v>14</v>
      </c>
      <c r="B4" s="3">
        <v>35509</v>
      </c>
      <c r="C4" s="12">
        <f>GovBySenateDistrict37General[[#This Row],[Part of Westchester County Vote Results]]</f>
        <v>35509</v>
      </c>
      <c r="D4" s="13">
        <f>SUM(C4,C5,C10)</f>
        <v>39905</v>
      </c>
    </row>
    <row r="5" spans="1:4" x14ac:dyDescent="0.2">
      <c r="A5" s="2" t="s">
        <v>15</v>
      </c>
      <c r="B5" s="3">
        <v>4000</v>
      </c>
      <c r="C5" s="12">
        <f>GovBySenateDistrict37General[[#This Row],[Part of Westchester County Vote Results]]</f>
        <v>4000</v>
      </c>
      <c r="D5" s="14"/>
    </row>
    <row r="6" spans="1:4" x14ac:dyDescent="0.2">
      <c r="A6" s="2" t="s">
        <v>6</v>
      </c>
      <c r="B6" s="3">
        <v>1149</v>
      </c>
      <c r="C6" s="12">
        <f>GovBySenateDistrict37General[[#This Row],[Part of Westchester County Vote Results]]</f>
        <v>1149</v>
      </c>
      <c r="D6" s="13">
        <f>GovBySenateDistrict37General[[#This Row],[Total Votes by Party]]</f>
        <v>1149</v>
      </c>
    </row>
    <row r="7" spans="1:4" x14ac:dyDescent="0.2">
      <c r="A7" s="2" t="s">
        <v>7</v>
      </c>
      <c r="B7" s="3">
        <v>1343</v>
      </c>
      <c r="C7" s="12">
        <f>GovBySenateDistrict37General[[#This Row],[Part of Westchester County Vote Results]]</f>
        <v>1343</v>
      </c>
      <c r="D7" s="14"/>
    </row>
    <row r="8" spans="1:4" x14ac:dyDescent="0.2">
      <c r="A8" s="2" t="s">
        <v>8</v>
      </c>
      <c r="B8" s="3">
        <v>1157</v>
      </c>
      <c r="C8" s="12">
        <f>GovBySenateDistrict37General[[#This Row],[Part of Westchester County Vote Results]]</f>
        <v>1157</v>
      </c>
      <c r="D8" s="14"/>
    </row>
    <row r="9" spans="1:4" x14ac:dyDescent="0.2">
      <c r="A9" s="2" t="s">
        <v>9</v>
      </c>
      <c r="B9" s="3">
        <v>618</v>
      </c>
      <c r="C9" s="12">
        <f>GovBySenateDistrict37General[[#This Row],[Part of Westchester County Vote Results]]</f>
        <v>618</v>
      </c>
      <c r="D9" s="14"/>
    </row>
    <row r="10" spans="1:4" x14ac:dyDescent="0.2">
      <c r="A10" s="2" t="s">
        <v>16</v>
      </c>
      <c r="B10" s="3">
        <v>396</v>
      </c>
      <c r="C10" s="12">
        <f>GovBySenateDistrict37General[[#This Row],[Part of Westchester County Vote Results]]</f>
        <v>396</v>
      </c>
      <c r="D10" s="14"/>
    </row>
    <row r="11" spans="1:4" x14ac:dyDescent="0.2">
      <c r="A11" s="2" t="s">
        <v>10</v>
      </c>
      <c r="B11" s="3">
        <v>621</v>
      </c>
      <c r="C11" s="12">
        <f>GovBySenateDistrict37General[[#This Row],[Part of Westchester County Vote Results]]</f>
        <v>621</v>
      </c>
      <c r="D11" s="13">
        <f>GovBySenateDistrict37General[[#This Row],[Total Votes by Party]]</f>
        <v>621</v>
      </c>
    </row>
    <row r="12" spans="1:4" x14ac:dyDescent="0.2">
      <c r="A12" s="4" t="s">
        <v>11</v>
      </c>
      <c r="B12" s="5">
        <v>763</v>
      </c>
      <c r="C12" s="12">
        <f>GovBySenateDistrict37General[[#This Row],[Part of Westchester County Vote Results]]</f>
        <v>763</v>
      </c>
      <c r="D12" s="13">
        <f>GovBySenateDistrict37General[[#This Row],[Total Votes by Party]]</f>
        <v>763</v>
      </c>
    </row>
    <row r="13" spans="1:4" x14ac:dyDescent="0.2">
      <c r="A13" s="4" t="s">
        <v>0</v>
      </c>
      <c r="B13" s="5">
        <v>2198</v>
      </c>
      <c r="C13" s="12">
        <f>GovBySenateDistrict37General[[#This Row],[Part of Westchester County Vote Results]]</f>
        <v>2198</v>
      </c>
      <c r="D13" s="14"/>
    </row>
    <row r="14" spans="1:4" x14ac:dyDescent="0.2">
      <c r="A14" s="4" t="s">
        <v>1</v>
      </c>
      <c r="B14" s="5">
        <v>0</v>
      </c>
      <c r="C14" s="12">
        <f>GovBySenateDistrict37General[[#This Row],[Part of Westchester County Vote Results]]</f>
        <v>0</v>
      </c>
      <c r="D14" s="14"/>
    </row>
    <row r="15" spans="1:4" x14ac:dyDescent="0.2">
      <c r="A15" s="4" t="s">
        <v>2</v>
      </c>
      <c r="B15" s="5">
        <v>0</v>
      </c>
      <c r="C15" s="12">
        <f>GovBySenateDistrict37General[[#This Row],[Part of Westchester County Vote Results]]</f>
        <v>0</v>
      </c>
      <c r="D15" s="14"/>
    </row>
    <row r="16" spans="1:4" hidden="1" x14ac:dyDescent="0.2">
      <c r="A16" s="4" t="s">
        <v>4</v>
      </c>
      <c r="B16" s="6">
        <f>SUBTOTAL(109,GovBySenateDistrict37General[Total Votes by Candidate])</f>
        <v>110304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F18D3-0862-4EA6-8A79-E34CE351FC71}">
  <dimension ref="A1:E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110</v>
      </c>
    </row>
    <row r="2" spans="1:5" ht="25.5" x14ac:dyDescent="0.2">
      <c r="A2" s="7" t="s">
        <v>12</v>
      </c>
      <c r="B2" s="8" t="s">
        <v>25</v>
      </c>
      <c r="C2" s="8" t="s">
        <v>23</v>
      </c>
      <c r="D2" s="10" t="s">
        <v>141</v>
      </c>
      <c r="E2" s="11" t="s">
        <v>5</v>
      </c>
    </row>
    <row r="3" spans="1:5" x14ac:dyDescent="0.2">
      <c r="A3" s="2" t="s">
        <v>3</v>
      </c>
      <c r="B3" s="3">
        <v>43146</v>
      </c>
      <c r="C3" s="3">
        <v>8495</v>
      </c>
      <c r="D3" s="12">
        <f>SUM(GovBySenateDistrict38General[[#This Row],[Part of Rockland County Vote Results]:[Part of Westchester County Vote Results]])</f>
        <v>51641</v>
      </c>
      <c r="E3" s="13">
        <f>SUM(D3,D7,D8,D9)</f>
        <v>54690</v>
      </c>
    </row>
    <row r="4" spans="1:5" x14ac:dyDescent="0.2">
      <c r="A4" s="2" t="s">
        <v>14</v>
      </c>
      <c r="B4" s="3">
        <v>29926</v>
      </c>
      <c r="C4" s="3">
        <v>3113</v>
      </c>
      <c r="D4" s="12">
        <f>SUM(GovBySenateDistrict38General[[#This Row],[Part of Rockland County Vote Results]:[Part of Westchester County Vote Results]])</f>
        <v>33039</v>
      </c>
      <c r="E4" s="13">
        <f>SUM(D4,D5,D10)</f>
        <v>39947</v>
      </c>
    </row>
    <row r="5" spans="1:5" x14ac:dyDescent="0.2">
      <c r="A5" s="2" t="s">
        <v>15</v>
      </c>
      <c r="B5" s="3">
        <v>3901</v>
      </c>
      <c r="C5" s="3">
        <v>364</v>
      </c>
      <c r="D5" s="12">
        <f>SUM(GovBySenateDistrict38General[[#This Row],[Part of Rockland County Vote Results]:[Part of Westchester County Vote Results]])</f>
        <v>4265</v>
      </c>
      <c r="E5" s="14"/>
    </row>
    <row r="6" spans="1:5" x14ac:dyDescent="0.2">
      <c r="A6" s="2" t="s">
        <v>6</v>
      </c>
      <c r="B6" s="3">
        <v>993</v>
      </c>
      <c r="C6" s="3">
        <v>172</v>
      </c>
      <c r="D6" s="12">
        <f>SUM(GovBySenateDistrict38General[[#This Row],[Part of Rockland County Vote Results]:[Part of Westchester County Vote Results]])</f>
        <v>1165</v>
      </c>
      <c r="E6" s="13">
        <f>GovBySenateDistrict38General[[#This Row],[Total Votes by Party]]</f>
        <v>1165</v>
      </c>
    </row>
    <row r="7" spans="1:5" x14ac:dyDescent="0.2">
      <c r="A7" s="2" t="s">
        <v>7</v>
      </c>
      <c r="B7" s="3">
        <v>1059</v>
      </c>
      <c r="C7" s="3">
        <v>317</v>
      </c>
      <c r="D7" s="12">
        <f>SUM(GovBySenateDistrict38General[[#This Row],[Part of Rockland County Vote Results]:[Part of Westchester County Vote Results]])</f>
        <v>1376</v>
      </c>
      <c r="E7" s="14"/>
    </row>
    <row r="8" spans="1:5" x14ac:dyDescent="0.2">
      <c r="A8" s="2" t="s">
        <v>8</v>
      </c>
      <c r="B8" s="3">
        <v>998</v>
      </c>
      <c r="C8" s="3">
        <v>135</v>
      </c>
      <c r="D8" s="12">
        <f>SUM(GovBySenateDistrict38General[[#This Row],[Part of Rockland County Vote Results]:[Part of Westchester County Vote Results]])</f>
        <v>1133</v>
      </c>
      <c r="E8" s="14"/>
    </row>
    <row r="9" spans="1:5" x14ac:dyDescent="0.2">
      <c r="A9" s="2" t="s">
        <v>9</v>
      </c>
      <c r="B9" s="3">
        <v>463</v>
      </c>
      <c r="C9" s="3">
        <v>77</v>
      </c>
      <c r="D9" s="12">
        <f>SUM(GovBySenateDistrict38General[[#This Row],[Part of Rockland County Vote Results]:[Part of Westchester County Vote Results]])</f>
        <v>540</v>
      </c>
      <c r="E9" s="14"/>
    </row>
    <row r="10" spans="1:5" x14ac:dyDescent="0.2">
      <c r="A10" s="2" t="s">
        <v>16</v>
      </c>
      <c r="B10" s="3">
        <v>2602</v>
      </c>
      <c r="C10" s="3">
        <v>41</v>
      </c>
      <c r="D10" s="12">
        <f>SUM(GovBySenateDistrict38General[[#This Row],[Part of Rockland County Vote Results]:[Part of Westchester County Vote Results]])</f>
        <v>2643</v>
      </c>
      <c r="E10" s="14"/>
    </row>
    <row r="11" spans="1:5" x14ac:dyDescent="0.2">
      <c r="A11" s="2" t="s">
        <v>10</v>
      </c>
      <c r="B11" s="3">
        <v>545</v>
      </c>
      <c r="C11" s="3">
        <v>81</v>
      </c>
      <c r="D11" s="12">
        <f>SUM(GovBySenateDistrict38General[[#This Row],[Part of Rockland County Vote Results]:[Part of Westchester County Vote Results]])</f>
        <v>626</v>
      </c>
      <c r="E11" s="13">
        <f>GovBySenateDistrict38General[[#This Row],[Total Votes by Party]]</f>
        <v>626</v>
      </c>
    </row>
    <row r="12" spans="1:5" x14ac:dyDescent="0.2">
      <c r="A12" s="4" t="s">
        <v>11</v>
      </c>
      <c r="B12" s="3">
        <v>721</v>
      </c>
      <c r="C12" s="3">
        <v>107</v>
      </c>
      <c r="D12" s="12">
        <f>SUM(GovBySenateDistrict38General[[#This Row],[Part of Rockland County Vote Results]:[Part of Westchester County Vote Results]])</f>
        <v>828</v>
      </c>
      <c r="E12" s="13">
        <f>GovBySenateDistrict38General[[#This Row],[Total Votes by Party]]</f>
        <v>828</v>
      </c>
    </row>
    <row r="13" spans="1:5" x14ac:dyDescent="0.2">
      <c r="A13" s="4" t="s">
        <v>0</v>
      </c>
      <c r="B13" s="3">
        <v>2309</v>
      </c>
      <c r="C13" s="3">
        <v>264</v>
      </c>
      <c r="D13" s="12">
        <f>SUM(GovBySenateDistrict38General[[#This Row],[Part of Rockland County Vote Results]:[Part of Westchester County Vote Results]])</f>
        <v>2573</v>
      </c>
      <c r="E13" s="14"/>
    </row>
    <row r="14" spans="1:5" x14ac:dyDescent="0.2">
      <c r="A14" s="4" t="s">
        <v>1</v>
      </c>
      <c r="B14" s="3">
        <v>164</v>
      </c>
      <c r="C14" s="3">
        <v>0</v>
      </c>
      <c r="D14" s="12">
        <f>SUM(GovBySenateDistrict38General[[#This Row],[Part of Rockland County Vote Results]:[Part of Westchester County Vote Results]])</f>
        <v>164</v>
      </c>
      <c r="E14" s="14"/>
    </row>
    <row r="15" spans="1:5" x14ac:dyDescent="0.2">
      <c r="A15" s="4" t="s">
        <v>2</v>
      </c>
      <c r="B15" s="5">
        <v>45</v>
      </c>
      <c r="C15" s="5">
        <v>0</v>
      </c>
      <c r="D15" s="12">
        <f>SUM(GovBySenateDistrict38General[[#This Row],[Part of Rockland County Vote Results]:[Part of Westchester County Vote Results]])</f>
        <v>45</v>
      </c>
      <c r="E15" s="14"/>
    </row>
    <row r="16" spans="1:5" hidden="1" x14ac:dyDescent="0.2">
      <c r="A16" s="4" t="s">
        <v>4</v>
      </c>
      <c r="B16" s="6">
        <f>SUBTOTAL(109,GovBySenateDistrict38General[Part of Rockland County Vote Results])</f>
        <v>86872</v>
      </c>
      <c r="C16" s="6">
        <f>SUBTOTAL(109,GovBySenateDistrict38General[Part of Westchester County Vote Results])</f>
        <v>13166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70EF-DF74-4AF2-8B97-681B4CB44A92}">
  <dimension ref="A1:F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24.75" customHeight="1" x14ac:dyDescent="0.2">
      <c r="A1" s="1" t="s">
        <v>111</v>
      </c>
    </row>
    <row r="2" spans="1:6" ht="25.5" x14ac:dyDescent="0.2">
      <c r="A2" s="7" t="s">
        <v>12</v>
      </c>
      <c r="B2" s="8" t="s">
        <v>26</v>
      </c>
      <c r="C2" s="8" t="s">
        <v>25</v>
      </c>
      <c r="D2" s="8" t="s">
        <v>30</v>
      </c>
      <c r="E2" s="10" t="s">
        <v>141</v>
      </c>
      <c r="F2" s="11" t="s">
        <v>5</v>
      </c>
    </row>
    <row r="3" spans="1:6" x14ac:dyDescent="0.2">
      <c r="A3" s="2" t="s">
        <v>3</v>
      </c>
      <c r="B3" s="3">
        <v>29018</v>
      </c>
      <c r="C3" s="3">
        <v>8377</v>
      </c>
      <c r="D3" s="3">
        <v>2550</v>
      </c>
      <c r="E3" s="12">
        <f>SUM(GovBySenateDistrict39General[[#This Row],[Part of Orange County Vote Results]:[Part of Ulster County Vote Results]])</f>
        <v>39945</v>
      </c>
      <c r="F3" s="13">
        <f>SUM(E3,E7,E8,E9)</f>
        <v>45995</v>
      </c>
    </row>
    <row r="4" spans="1:6" x14ac:dyDescent="0.2">
      <c r="A4" s="2" t="s">
        <v>14</v>
      </c>
      <c r="B4" s="3">
        <v>30391</v>
      </c>
      <c r="C4" s="3">
        <v>6439</v>
      </c>
      <c r="D4" s="3">
        <v>3599</v>
      </c>
      <c r="E4" s="12">
        <f>SUM(GovBySenateDistrict39General[[#This Row],[Part of Orange County Vote Results]:[Part of Ulster County Vote Results]])</f>
        <v>40429</v>
      </c>
      <c r="F4" s="13">
        <f>SUM(E4,E5,E10)</f>
        <v>46823</v>
      </c>
    </row>
    <row r="5" spans="1:6" x14ac:dyDescent="0.2">
      <c r="A5" s="2" t="s">
        <v>15</v>
      </c>
      <c r="B5" s="3">
        <v>3889</v>
      </c>
      <c r="C5" s="3">
        <v>944</v>
      </c>
      <c r="D5" s="3">
        <v>500</v>
      </c>
      <c r="E5" s="12">
        <f>SUM(GovBySenateDistrict39General[[#This Row],[Part of Orange County Vote Results]:[Part of Ulster County Vote Results]])</f>
        <v>5333</v>
      </c>
      <c r="F5" s="14"/>
    </row>
    <row r="6" spans="1:6" x14ac:dyDescent="0.2">
      <c r="A6" s="2" t="s">
        <v>6</v>
      </c>
      <c r="B6" s="3">
        <v>1043</v>
      </c>
      <c r="C6" s="3">
        <v>164</v>
      </c>
      <c r="D6" s="3">
        <v>78</v>
      </c>
      <c r="E6" s="12">
        <f>SUM(GovBySenateDistrict39General[[#This Row],[Part of Orange County Vote Results]:[Part of Ulster County Vote Results]])</f>
        <v>1285</v>
      </c>
      <c r="F6" s="13">
        <f>GovBySenateDistrict39General[[#This Row],[Total Votes by Party]]</f>
        <v>1285</v>
      </c>
    </row>
    <row r="7" spans="1:6" x14ac:dyDescent="0.2">
      <c r="A7" s="2" t="s">
        <v>7</v>
      </c>
      <c r="B7" s="3">
        <v>740</v>
      </c>
      <c r="C7" s="3">
        <v>170</v>
      </c>
      <c r="D7" s="3">
        <v>88</v>
      </c>
      <c r="E7" s="12">
        <f>SUM(GovBySenateDistrict39General[[#This Row],[Part of Orange County Vote Results]:[Part of Ulster County Vote Results]])</f>
        <v>998</v>
      </c>
      <c r="F7" s="14"/>
    </row>
    <row r="8" spans="1:6" x14ac:dyDescent="0.2">
      <c r="A8" s="2" t="s">
        <v>8</v>
      </c>
      <c r="B8" s="3">
        <v>4333</v>
      </c>
      <c r="C8" s="3">
        <v>147</v>
      </c>
      <c r="D8" s="3">
        <v>62</v>
      </c>
      <c r="E8" s="12">
        <f>SUM(GovBySenateDistrict39General[[#This Row],[Part of Orange County Vote Results]:[Part of Ulster County Vote Results]])</f>
        <v>4542</v>
      </c>
      <c r="F8" s="14"/>
    </row>
    <row r="9" spans="1:6" x14ac:dyDescent="0.2">
      <c r="A9" s="2" t="s">
        <v>9</v>
      </c>
      <c r="B9" s="3">
        <v>404</v>
      </c>
      <c r="C9" s="3">
        <v>76</v>
      </c>
      <c r="D9" s="3">
        <v>30</v>
      </c>
      <c r="E9" s="12">
        <f>SUM(GovBySenateDistrict39General[[#This Row],[Part of Orange County Vote Results]:[Part of Ulster County Vote Results]])</f>
        <v>510</v>
      </c>
      <c r="F9" s="14"/>
    </row>
    <row r="10" spans="1:6" x14ac:dyDescent="0.2">
      <c r="A10" s="2" t="s">
        <v>16</v>
      </c>
      <c r="B10" s="3">
        <v>812</v>
      </c>
      <c r="C10" s="3">
        <v>208</v>
      </c>
      <c r="D10" s="3">
        <v>41</v>
      </c>
      <c r="E10" s="12">
        <f>SUM(GovBySenateDistrict39General[[#This Row],[Part of Orange County Vote Results]:[Part of Ulster County Vote Results]])</f>
        <v>1061</v>
      </c>
      <c r="F10" s="14"/>
    </row>
    <row r="11" spans="1:6" x14ac:dyDescent="0.2">
      <c r="A11" s="2" t="s">
        <v>10</v>
      </c>
      <c r="B11" s="3">
        <v>925</v>
      </c>
      <c r="C11" s="3">
        <v>169</v>
      </c>
      <c r="D11" s="3">
        <v>124</v>
      </c>
      <c r="E11" s="12">
        <f>SUM(GovBySenateDistrict39General[[#This Row],[Part of Orange County Vote Results]:[Part of Ulster County Vote Results]])</f>
        <v>1218</v>
      </c>
      <c r="F11" s="13">
        <f>GovBySenateDistrict39General[[#This Row],[Total Votes by Party]]</f>
        <v>1218</v>
      </c>
    </row>
    <row r="12" spans="1:6" x14ac:dyDescent="0.2">
      <c r="A12" s="4" t="s">
        <v>11</v>
      </c>
      <c r="B12" s="3">
        <v>579</v>
      </c>
      <c r="C12" s="3">
        <v>106</v>
      </c>
      <c r="D12" s="3">
        <v>23</v>
      </c>
      <c r="E12" s="12">
        <f>SUM(GovBySenateDistrict39General[[#This Row],[Part of Orange County Vote Results]:[Part of Ulster County Vote Results]])</f>
        <v>708</v>
      </c>
      <c r="F12" s="13">
        <f>GovBySenateDistrict39General[[#This Row],[Total Votes by Party]]</f>
        <v>708</v>
      </c>
    </row>
    <row r="13" spans="1:6" x14ac:dyDescent="0.2">
      <c r="A13" s="4" t="s">
        <v>0</v>
      </c>
      <c r="B13" s="3">
        <v>2064</v>
      </c>
      <c r="C13" s="3">
        <v>328</v>
      </c>
      <c r="D13" s="3">
        <v>0</v>
      </c>
      <c r="E13" s="12">
        <f>SUM(GovBySenateDistrict39General[[#This Row],[Part of Orange County Vote Results]:[Part of Ulster County Vote Results]])</f>
        <v>2392</v>
      </c>
      <c r="F13" s="14"/>
    </row>
    <row r="14" spans="1:6" x14ac:dyDescent="0.2">
      <c r="A14" s="4" t="s">
        <v>1</v>
      </c>
      <c r="B14" s="3">
        <v>0</v>
      </c>
      <c r="C14" s="3">
        <v>47</v>
      </c>
      <c r="D14" s="3">
        <v>0</v>
      </c>
      <c r="E14" s="12">
        <f>SUM(GovBySenateDistrict39General[[#This Row],[Part of Orange County Vote Results]:[Part of Ulster County Vote Results]])</f>
        <v>47</v>
      </c>
      <c r="F14" s="14"/>
    </row>
    <row r="15" spans="1:6" x14ac:dyDescent="0.2">
      <c r="A15" s="4" t="s">
        <v>2</v>
      </c>
      <c r="B15" s="5">
        <v>61</v>
      </c>
      <c r="C15" s="5">
        <v>6</v>
      </c>
      <c r="D15" s="5">
        <v>0</v>
      </c>
      <c r="E15" s="12">
        <f>SUM(GovBySenateDistrict39General[[#This Row],[Part of Orange County Vote Results]:[Part of Ulster County Vote Results]])</f>
        <v>67</v>
      </c>
      <c r="F15" s="14"/>
    </row>
    <row r="16" spans="1:6" hidden="1" x14ac:dyDescent="0.2">
      <c r="A16" s="4" t="s">
        <v>4</v>
      </c>
      <c r="B16" s="6">
        <f>SUBTOTAL(109,GovBySenateDistrict39General[Part of Orange County Vote Results])</f>
        <v>74259</v>
      </c>
      <c r="C16" s="6"/>
      <c r="D16" s="6">
        <f>SUBTOTAL(109,GovBySenateDistrict39General[Part of Ulster County Vote Results])</f>
        <v>7095</v>
      </c>
      <c r="E16" s="6"/>
      <c r="F16" s="9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4AEBE-FA54-4021-81C2-CC8E5BBEDD3A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76</v>
      </c>
    </row>
    <row r="2" spans="1:4" ht="24.95" customHeight="1" x14ac:dyDescent="0.2">
      <c r="A2" s="7" t="s">
        <v>12</v>
      </c>
      <c r="B2" s="8" t="s">
        <v>13</v>
      </c>
      <c r="C2" s="10" t="s">
        <v>141</v>
      </c>
      <c r="D2" s="11" t="s">
        <v>5</v>
      </c>
    </row>
    <row r="3" spans="1:4" x14ac:dyDescent="0.2">
      <c r="A3" s="2" t="s">
        <v>3</v>
      </c>
      <c r="B3" s="3">
        <v>50522</v>
      </c>
      <c r="C3" s="12">
        <f>GovBySenateDistrict4General[[#This Row],[Part of Suffolk County Vote Results]]</f>
        <v>50522</v>
      </c>
      <c r="D3" s="13">
        <f>SUM(C3,C7,C8,C9)</f>
        <v>53240</v>
      </c>
    </row>
    <row r="4" spans="1:4" x14ac:dyDescent="0.2">
      <c r="A4" s="2" t="s">
        <v>14</v>
      </c>
      <c r="B4" s="3">
        <v>42818</v>
      </c>
      <c r="C4" s="12">
        <f>GovBySenateDistrict4General[[#This Row],[Part of Suffolk County Vote Results]]</f>
        <v>42818</v>
      </c>
      <c r="D4" s="13">
        <f>SUM(C4,C5,C10)</f>
        <v>47914</v>
      </c>
    </row>
    <row r="5" spans="1:4" x14ac:dyDescent="0.2">
      <c r="A5" s="2" t="s">
        <v>15</v>
      </c>
      <c r="B5" s="3">
        <v>4779</v>
      </c>
      <c r="C5" s="12">
        <f>GovBySenateDistrict4General[[#This Row],[Part of Suffolk County Vote Results]]</f>
        <v>4779</v>
      </c>
      <c r="D5" s="14"/>
    </row>
    <row r="6" spans="1:4" x14ac:dyDescent="0.2">
      <c r="A6" s="2" t="s">
        <v>6</v>
      </c>
      <c r="B6" s="3">
        <v>952</v>
      </c>
      <c r="C6" s="12">
        <f>GovBySenateDistrict4General[[#This Row],[Part of Suffolk County Vote Results]]</f>
        <v>952</v>
      </c>
      <c r="D6" s="13">
        <f>GovBySenateDistrict4General[[#This Row],[Total Votes by Party]]</f>
        <v>952</v>
      </c>
    </row>
    <row r="7" spans="1:4" x14ac:dyDescent="0.2">
      <c r="A7" s="2" t="s">
        <v>7</v>
      </c>
      <c r="B7" s="3">
        <v>1074</v>
      </c>
      <c r="C7" s="12">
        <f>GovBySenateDistrict4General[[#This Row],[Part of Suffolk County Vote Results]]</f>
        <v>1074</v>
      </c>
      <c r="D7" s="14"/>
    </row>
    <row r="8" spans="1:4" x14ac:dyDescent="0.2">
      <c r="A8" s="2" t="s">
        <v>8</v>
      </c>
      <c r="B8" s="3">
        <v>1077</v>
      </c>
      <c r="C8" s="12">
        <f>GovBySenateDistrict4General[[#This Row],[Part of Suffolk County Vote Results]]</f>
        <v>1077</v>
      </c>
      <c r="D8" s="14"/>
    </row>
    <row r="9" spans="1:4" x14ac:dyDescent="0.2">
      <c r="A9" s="2" t="s">
        <v>9</v>
      </c>
      <c r="B9" s="3">
        <v>567</v>
      </c>
      <c r="C9" s="12">
        <f>GovBySenateDistrict4General[[#This Row],[Part of Suffolk County Vote Results]]</f>
        <v>567</v>
      </c>
      <c r="D9" s="14"/>
    </row>
    <row r="10" spans="1:4" x14ac:dyDescent="0.2">
      <c r="A10" s="2" t="s">
        <v>16</v>
      </c>
      <c r="B10" s="3">
        <v>317</v>
      </c>
      <c r="C10" s="12">
        <f>GovBySenateDistrict4General[[#This Row],[Part of Suffolk County Vote Results]]</f>
        <v>317</v>
      </c>
      <c r="D10" s="14"/>
    </row>
    <row r="11" spans="1:4" x14ac:dyDescent="0.2">
      <c r="A11" s="2" t="s">
        <v>10</v>
      </c>
      <c r="B11" s="3">
        <v>799</v>
      </c>
      <c r="C11" s="12">
        <f>GovBySenateDistrict4General[[#This Row],[Part of Suffolk County Vote Results]]</f>
        <v>799</v>
      </c>
      <c r="D11" s="13">
        <f>GovBySenateDistrict4General[[#This Row],[Total Votes by Party]]</f>
        <v>799</v>
      </c>
    </row>
    <row r="12" spans="1:4" x14ac:dyDescent="0.2">
      <c r="A12" s="4" t="s">
        <v>11</v>
      </c>
      <c r="B12" s="5">
        <v>547</v>
      </c>
      <c r="C12" s="12">
        <f>GovBySenateDistrict4General[[#This Row],[Part of Suffolk County Vote Results]]</f>
        <v>547</v>
      </c>
      <c r="D12" s="13">
        <f>GovBySenateDistrict4General[[#This Row],[Total Votes by Party]]</f>
        <v>547</v>
      </c>
    </row>
    <row r="13" spans="1:4" x14ac:dyDescent="0.2">
      <c r="A13" s="4" t="s">
        <v>0</v>
      </c>
      <c r="B13" s="5">
        <v>1471</v>
      </c>
      <c r="C13" s="12">
        <f>GovBySenateDistrict4General[[#This Row],[Part of Suffolk County Vote Results]]</f>
        <v>1471</v>
      </c>
      <c r="D13" s="14"/>
    </row>
    <row r="14" spans="1:4" x14ac:dyDescent="0.2">
      <c r="A14" s="4" t="s">
        <v>1</v>
      </c>
      <c r="B14" s="5">
        <v>98</v>
      </c>
      <c r="C14" s="12">
        <f>GovBySenateDistrict4General[[#This Row],[Part of Suffolk County Vote Results]]</f>
        <v>98</v>
      </c>
      <c r="D14" s="14"/>
    </row>
    <row r="15" spans="1:4" x14ac:dyDescent="0.2">
      <c r="A15" s="4" t="s">
        <v>2</v>
      </c>
      <c r="B15" s="5">
        <v>31</v>
      </c>
      <c r="C15" s="12">
        <f>GovBySenateDistrict4General[[#This Row],[Part of Suffolk County Vote Results]]</f>
        <v>31</v>
      </c>
      <c r="D15" s="14"/>
    </row>
    <row r="16" spans="1:4" hidden="1" x14ac:dyDescent="0.2">
      <c r="A16" s="4" t="s">
        <v>4</v>
      </c>
      <c r="B16" s="6">
        <f>SUBTOTAL(109,GovBySenateDistrict4General[Total Votes by Candidate])</f>
        <v>103452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43F09-29A0-4BF2-A271-2C870823C4B5}">
  <dimension ref="A1:F16"/>
  <sheetViews>
    <sheetView workbookViewId="0">
      <selection activeCell="B15" sqref="B15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24.75" customHeight="1" x14ac:dyDescent="0.2">
      <c r="A1" s="1" t="s">
        <v>112</v>
      </c>
    </row>
    <row r="2" spans="1:6" ht="25.5" x14ac:dyDescent="0.2">
      <c r="A2" s="7" t="s">
        <v>12</v>
      </c>
      <c r="B2" s="8" t="s">
        <v>34</v>
      </c>
      <c r="C2" s="8" t="s">
        <v>24</v>
      </c>
      <c r="D2" s="8" t="s">
        <v>23</v>
      </c>
      <c r="E2" s="10" t="s">
        <v>141</v>
      </c>
      <c r="F2" s="11" t="s">
        <v>5</v>
      </c>
    </row>
    <row r="3" spans="1:6" x14ac:dyDescent="0.2">
      <c r="A3" s="2" t="s">
        <v>3</v>
      </c>
      <c r="B3" s="3">
        <v>3055</v>
      </c>
      <c r="C3" s="3">
        <v>8761</v>
      </c>
      <c r="D3" s="3">
        <v>49277</v>
      </c>
      <c r="E3" s="12">
        <f>SUM(GovBySenateDistrict40General[[#This Row],[Part of Dutchess County Vote Results]:[Part of Westchester County Vote Results]])</f>
        <v>61093</v>
      </c>
      <c r="F3" s="13">
        <f>SUM(E3,E7,E8,E9)</f>
        <v>64672</v>
      </c>
    </row>
    <row r="4" spans="1:6" x14ac:dyDescent="0.2">
      <c r="A4" s="2" t="s">
        <v>14</v>
      </c>
      <c r="B4" s="3">
        <v>4563</v>
      </c>
      <c r="C4" s="3">
        <v>12057</v>
      </c>
      <c r="D4" s="3">
        <v>30482</v>
      </c>
      <c r="E4" s="12">
        <f>SUM(GovBySenateDistrict40General[[#This Row],[Part of Dutchess County Vote Results]:[Part of Westchester County Vote Results]])</f>
        <v>47102</v>
      </c>
      <c r="F4" s="13">
        <f>SUM(E4,E5,E10)</f>
        <v>53394</v>
      </c>
    </row>
    <row r="5" spans="1:6" x14ac:dyDescent="0.2">
      <c r="A5" s="2" t="s">
        <v>15</v>
      </c>
      <c r="B5" s="3">
        <v>635</v>
      </c>
      <c r="C5" s="3">
        <v>1531</v>
      </c>
      <c r="D5" s="3">
        <v>3598</v>
      </c>
      <c r="E5" s="12">
        <f>SUM(GovBySenateDistrict40General[[#This Row],[Part of Dutchess County Vote Results]:[Part of Westchester County Vote Results]])</f>
        <v>5764</v>
      </c>
      <c r="F5" s="14"/>
    </row>
    <row r="6" spans="1:6" x14ac:dyDescent="0.2">
      <c r="A6" s="2" t="s">
        <v>6</v>
      </c>
      <c r="B6" s="3">
        <v>77</v>
      </c>
      <c r="C6" s="3">
        <v>228</v>
      </c>
      <c r="D6" s="3">
        <v>1116</v>
      </c>
      <c r="E6" s="12">
        <f>SUM(GovBySenateDistrict40General[[#This Row],[Part of Dutchess County Vote Results]:[Part of Westchester County Vote Results]])</f>
        <v>1421</v>
      </c>
      <c r="F6" s="13">
        <f>GovBySenateDistrict40General[[#This Row],[Total Votes by Party]]</f>
        <v>1421</v>
      </c>
    </row>
    <row r="7" spans="1:6" x14ac:dyDescent="0.2">
      <c r="A7" s="2" t="s">
        <v>7</v>
      </c>
      <c r="B7" s="3">
        <v>81</v>
      </c>
      <c r="C7" s="3">
        <v>249</v>
      </c>
      <c r="D7" s="3">
        <v>1239</v>
      </c>
      <c r="E7" s="12">
        <f>SUM(GovBySenateDistrict40General[[#This Row],[Part of Dutchess County Vote Results]:[Part of Westchester County Vote Results]])</f>
        <v>1569</v>
      </c>
      <c r="F7" s="14"/>
    </row>
    <row r="8" spans="1:6" x14ac:dyDescent="0.2">
      <c r="A8" s="2" t="s">
        <v>8</v>
      </c>
      <c r="B8" s="3">
        <v>89</v>
      </c>
      <c r="C8" s="3">
        <v>311</v>
      </c>
      <c r="D8" s="3">
        <v>960</v>
      </c>
      <c r="E8" s="12">
        <f>SUM(GovBySenateDistrict40General[[#This Row],[Part of Dutchess County Vote Results]:[Part of Westchester County Vote Results]])</f>
        <v>1360</v>
      </c>
      <c r="F8" s="14"/>
    </row>
    <row r="9" spans="1:6" x14ac:dyDescent="0.2">
      <c r="A9" s="2" t="s">
        <v>9</v>
      </c>
      <c r="B9" s="3">
        <v>30</v>
      </c>
      <c r="C9" s="3">
        <v>114</v>
      </c>
      <c r="D9" s="3">
        <v>506</v>
      </c>
      <c r="E9" s="12">
        <f>SUM(GovBySenateDistrict40General[[#This Row],[Part of Dutchess County Vote Results]:[Part of Westchester County Vote Results]])</f>
        <v>650</v>
      </c>
      <c r="F9" s="14"/>
    </row>
    <row r="10" spans="1:6" x14ac:dyDescent="0.2">
      <c r="A10" s="2" t="s">
        <v>16</v>
      </c>
      <c r="B10" s="3">
        <v>64</v>
      </c>
      <c r="C10" s="3">
        <v>102</v>
      </c>
      <c r="D10" s="3">
        <v>362</v>
      </c>
      <c r="E10" s="12">
        <f>SUM(GovBySenateDistrict40General[[#This Row],[Part of Dutchess County Vote Results]:[Part of Westchester County Vote Results]])</f>
        <v>528</v>
      </c>
      <c r="F10" s="14"/>
    </row>
    <row r="11" spans="1:6" x14ac:dyDescent="0.2">
      <c r="A11" s="2" t="s">
        <v>10</v>
      </c>
      <c r="B11" s="3">
        <v>83</v>
      </c>
      <c r="C11" s="3">
        <v>188</v>
      </c>
      <c r="D11" s="3">
        <v>585</v>
      </c>
      <c r="E11" s="12">
        <f>SUM(GovBySenateDistrict40General[[#This Row],[Part of Dutchess County Vote Results]:[Part of Westchester County Vote Results]])</f>
        <v>856</v>
      </c>
      <c r="F11" s="13">
        <f>GovBySenateDistrict40General[[#This Row],[Total Votes by Party]]</f>
        <v>856</v>
      </c>
    </row>
    <row r="12" spans="1:6" x14ac:dyDescent="0.2">
      <c r="A12" s="4" t="s">
        <v>11</v>
      </c>
      <c r="B12" s="3">
        <v>25</v>
      </c>
      <c r="C12" s="3">
        <v>156</v>
      </c>
      <c r="D12" s="3">
        <v>627</v>
      </c>
      <c r="E12" s="12">
        <f>SUM(GovBySenateDistrict40General[[#This Row],[Part of Dutchess County Vote Results]:[Part of Westchester County Vote Results]])</f>
        <v>808</v>
      </c>
      <c r="F12" s="13">
        <f>GovBySenateDistrict40General[[#This Row],[Total Votes by Party]]</f>
        <v>808</v>
      </c>
    </row>
    <row r="13" spans="1:6" x14ac:dyDescent="0.2">
      <c r="A13" s="4" t="s">
        <v>0</v>
      </c>
      <c r="B13" s="3">
        <v>56</v>
      </c>
      <c r="C13" s="3">
        <v>743</v>
      </c>
      <c r="D13" s="3">
        <v>1573</v>
      </c>
      <c r="E13" s="12">
        <f>SUM(GovBySenateDistrict40General[[#This Row],[Part of Dutchess County Vote Results]:[Part of Westchester County Vote Results]])</f>
        <v>2372</v>
      </c>
      <c r="F13" s="14"/>
    </row>
    <row r="14" spans="1:6" x14ac:dyDescent="0.2">
      <c r="A14" s="4" t="s">
        <v>1</v>
      </c>
      <c r="B14" s="3">
        <v>5</v>
      </c>
      <c r="C14" s="3">
        <v>0</v>
      </c>
      <c r="D14" s="3">
        <v>0</v>
      </c>
      <c r="E14" s="12">
        <f>SUM(GovBySenateDistrict40General[[#This Row],[Part of Dutchess County Vote Results]:[Part of Westchester County Vote Results]])</f>
        <v>5</v>
      </c>
      <c r="F14" s="14"/>
    </row>
    <row r="15" spans="1:6" x14ac:dyDescent="0.2">
      <c r="A15" s="4" t="s">
        <v>2</v>
      </c>
      <c r="B15" s="5">
        <v>5</v>
      </c>
      <c r="C15" s="5">
        <v>9</v>
      </c>
      <c r="D15" s="5">
        <v>0</v>
      </c>
      <c r="E15" s="12">
        <f>SUM(GovBySenateDistrict40General[[#This Row],[Part of Dutchess County Vote Results]:[Part of Westchester County Vote Results]])</f>
        <v>14</v>
      </c>
      <c r="F15" s="14"/>
    </row>
    <row r="16" spans="1:6" hidden="1" x14ac:dyDescent="0.2">
      <c r="A16" s="4" t="s">
        <v>4</v>
      </c>
      <c r="B16" s="6">
        <f>SUBTOTAL(109,GovBySenateDistrict40General[Part of Dutchess County Vote Results])</f>
        <v>8768</v>
      </c>
      <c r="C16" s="6"/>
      <c r="D16" s="6">
        <f>SUBTOTAL(109,GovBySenateDistrict40General[Part of Westchester County Vote Results])</f>
        <v>90325</v>
      </c>
      <c r="E16" s="6"/>
      <c r="F16" s="9"/>
    </row>
  </sheetData>
  <pageMargins left="0.7" right="0.7" top="0.75" bottom="0.75" header="0.3" footer="0.3"/>
  <tableParts count="1">
    <tablePart r:id="rId1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32807-8C42-4710-9E06-1C2B927C5A33}">
  <dimension ref="A1:E16"/>
  <sheetViews>
    <sheetView workbookViewId="0">
      <selection activeCell="B15" sqref="B15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113</v>
      </c>
    </row>
    <row r="2" spans="1:5" ht="25.5" x14ac:dyDescent="0.2">
      <c r="A2" s="7" t="s">
        <v>12</v>
      </c>
      <c r="B2" s="8" t="s">
        <v>34</v>
      </c>
      <c r="C2" s="8" t="s">
        <v>24</v>
      </c>
      <c r="D2" s="10" t="s">
        <v>141</v>
      </c>
      <c r="E2" s="11" t="s">
        <v>5</v>
      </c>
    </row>
    <row r="3" spans="1:5" x14ac:dyDescent="0.2">
      <c r="A3" s="2" t="s">
        <v>3</v>
      </c>
      <c r="B3" s="3">
        <v>45078</v>
      </c>
      <c r="C3" s="3">
        <v>6559</v>
      </c>
      <c r="D3" s="12">
        <f>SUM(GovBySenateDistrict41General[[#This Row],[Part of Dutchess County Vote Results]:[Part of Putnam County Vote Results]])</f>
        <v>51637</v>
      </c>
      <c r="E3" s="13">
        <f>SUM(D3,D7,D8,D9)</f>
        <v>55054</v>
      </c>
    </row>
    <row r="4" spans="1:5" x14ac:dyDescent="0.2">
      <c r="A4" s="2" t="s">
        <v>14</v>
      </c>
      <c r="B4" s="3">
        <v>46424</v>
      </c>
      <c r="C4" s="3">
        <v>6127</v>
      </c>
      <c r="D4" s="12">
        <f>SUM(GovBySenateDistrict41General[[#This Row],[Part of Dutchess County Vote Results]:[Part of Putnam County Vote Results]])</f>
        <v>52551</v>
      </c>
      <c r="E4" s="13">
        <f>SUM(D4,D5,D10)</f>
        <v>61099</v>
      </c>
    </row>
    <row r="5" spans="1:5" x14ac:dyDescent="0.2">
      <c r="A5" s="2" t="s">
        <v>15</v>
      </c>
      <c r="B5" s="3">
        <v>6613</v>
      </c>
      <c r="C5" s="3">
        <v>1008</v>
      </c>
      <c r="D5" s="12">
        <f>SUM(GovBySenateDistrict41General[[#This Row],[Part of Dutchess County Vote Results]:[Part of Putnam County Vote Results]])</f>
        <v>7621</v>
      </c>
      <c r="E5" s="14"/>
    </row>
    <row r="6" spans="1:5" x14ac:dyDescent="0.2">
      <c r="A6" s="2" t="s">
        <v>6</v>
      </c>
      <c r="B6" s="3">
        <v>1235</v>
      </c>
      <c r="C6" s="3">
        <v>230</v>
      </c>
      <c r="D6" s="12">
        <f>SUM(GovBySenateDistrict41General[[#This Row],[Part of Dutchess County Vote Results]:[Part of Putnam County Vote Results]])</f>
        <v>1465</v>
      </c>
      <c r="E6" s="13">
        <f>GovBySenateDistrict41General[[#This Row],[Total Votes by Party]]</f>
        <v>1465</v>
      </c>
    </row>
    <row r="7" spans="1:5" x14ac:dyDescent="0.2">
      <c r="A7" s="2" t="s">
        <v>7</v>
      </c>
      <c r="B7" s="3">
        <v>1453</v>
      </c>
      <c r="C7" s="3">
        <v>267</v>
      </c>
      <c r="D7" s="12">
        <f>SUM(GovBySenateDistrict41General[[#This Row],[Part of Dutchess County Vote Results]:[Part of Putnam County Vote Results]])</f>
        <v>1720</v>
      </c>
      <c r="E7" s="14"/>
    </row>
    <row r="8" spans="1:5" x14ac:dyDescent="0.2">
      <c r="A8" s="2" t="s">
        <v>8</v>
      </c>
      <c r="B8" s="3">
        <v>906</v>
      </c>
      <c r="C8" s="3">
        <v>192</v>
      </c>
      <c r="D8" s="12">
        <f>SUM(GovBySenateDistrict41General[[#This Row],[Part of Dutchess County Vote Results]:[Part of Putnam County Vote Results]])</f>
        <v>1098</v>
      </c>
      <c r="E8" s="14"/>
    </row>
    <row r="9" spans="1:5" x14ac:dyDescent="0.2">
      <c r="A9" s="2" t="s">
        <v>9</v>
      </c>
      <c r="B9" s="3">
        <v>496</v>
      </c>
      <c r="C9" s="3">
        <v>103</v>
      </c>
      <c r="D9" s="12">
        <f>SUM(GovBySenateDistrict41General[[#This Row],[Part of Dutchess County Vote Results]:[Part of Putnam County Vote Results]])</f>
        <v>599</v>
      </c>
      <c r="E9" s="14"/>
    </row>
    <row r="10" spans="1:5" x14ac:dyDescent="0.2">
      <c r="A10" s="2" t="s">
        <v>16</v>
      </c>
      <c r="B10" s="3">
        <v>838</v>
      </c>
      <c r="C10" s="3">
        <v>89</v>
      </c>
      <c r="D10" s="12">
        <f>SUM(GovBySenateDistrict41General[[#This Row],[Part of Dutchess County Vote Results]:[Part of Putnam County Vote Results]])</f>
        <v>927</v>
      </c>
      <c r="E10" s="14"/>
    </row>
    <row r="11" spans="1:5" x14ac:dyDescent="0.2">
      <c r="A11" s="2" t="s">
        <v>10</v>
      </c>
      <c r="B11" s="3">
        <v>1096</v>
      </c>
      <c r="C11" s="3">
        <v>144</v>
      </c>
      <c r="D11" s="12">
        <f>SUM(GovBySenateDistrict41General[[#This Row],[Part of Dutchess County Vote Results]:[Part of Putnam County Vote Results]])</f>
        <v>1240</v>
      </c>
      <c r="E11" s="13">
        <f>GovBySenateDistrict41General[[#This Row],[Total Votes by Party]]</f>
        <v>1240</v>
      </c>
    </row>
    <row r="12" spans="1:5" x14ac:dyDescent="0.2">
      <c r="A12" s="4" t="s">
        <v>11</v>
      </c>
      <c r="B12" s="3">
        <v>428</v>
      </c>
      <c r="C12" s="3">
        <v>97</v>
      </c>
      <c r="D12" s="12">
        <f>SUM(GovBySenateDistrict41General[[#This Row],[Part of Dutchess County Vote Results]:[Part of Putnam County Vote Results]])</f>
        <v>525</v>
      </c>
      <c r="E12" s="13">
        <f>GovBySenateDistrict41General[[#This Row],[Total Votes by Party]]</f>
        <v>525</v>
      </c>
    </row>
    <row r="13" spans="1:5" x14ac:dyDescent="0.2">
      <c r="A13" s="4" t="s">
        <v>0</v>
      </c>
      <c r="B13" s="3">
        <v>716</v>
      </c>
      <c r="C13" s="3">
        <v>506</v>
      </c>
      <c r="D13" s="12">
        <f>SUM(GovBySenateDistrict41General[[#This Row],[Part of Dutchess County Vote Results]:[Part of Putnam County Vote Results]])</f>
        <v>1222</v>
      </c>
      <c r="E13" s="14"/>
    </row>
    <row r="14" spans="1:5" x14ac:dyDescent="0.2">
      <c r="A14" s="4" t="s">
        <v>1</v>
      </c>
      <c r="B14" s="3">
        <v>71</v>
      </c>
      <c r="C14" s="3">
        <v>0</v>
      </c>
      <c r="D14" s="12">
        <f>SUM(GovBySenateDistrict41General[[#This Row],[Part of Dutchess County Vote Results]:[Part of Putnam County Vote Results]])</f>
        <v>71</v>
      </c>
      <c r="E14" s="14"/>
    </row>
    <row r="15" spans="1:5" x14ac:dyDescent="0.2">
      <c r="A15" s="4" t="s">
        <v>2</v>
      </c>
      <c r="B15" s="5">
        <v>77</v>
      </c>
      <c r="C15" s="5">
        <v>13</v>
      </c>
      <c r="D15" s="12">
        <f>SUM(GovBySenateDistrict41General[[#This Row],[Part of Dutchess County Vote Results]:[Part of Putnam County Vote Results]])</f>
        <v>90</v>
      </c>
      <c r="E15" s="14"/>
    </row>
    <row r="16" spans="1:5" hidden="1" x14ac:dyDescent="0.2">
      <c r="A16" s="4" t="s">
        <v>4</v>
      </c>
      <c r="B16" s="6">
        <f>SUBTOTAL(109,GovBySenateDistrict41General[Part of Dutchess County Vote Results])</f>
        <v>105431</v>
      </c>
      <c r="C16" s="6">
        <f>SUBTOTAL(109,GovBySenateDistrict41General[Part of Putnam County Vote Results])</f>
        <v>15335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EE934-F68F-47C3-8D02-5F68F3950AB7}">
  <dimension ref="A1:G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7" ht="24.75" customHeight="1" x14ac:dyDescent="0.2">
      <c r="A1" s="1" t="s">
        <v>114</v>
      </c>
    </row>
    <row r="2" spans="1:7" ht="25.5" x14ac:dyDescent="0.2">
      <c r="A2" s="7" t="s">
        <v>12</v>
      </c>
      <c r="B2" s="8" t="s">
        <v>65</v>
      </c>
      <c r="C2" s="8" t="s">
        <v>27</v>
      </c>
      <c r="D2" s="8" t="s">
        <v>26</v>
      </c>
      <c r="E2" s="8" t="s">
        <v>30</v>
      </c>
      <c r="F2" s="10" t="s">
        <v>141</v>
      </c>
      <c r="G2" s="11" t="s">
        <v>5</v>
      </c>
    </row>
    <row r="3" spans="1:7" x14ac:dyDescent="0.2">
      <c r="A3" s="2" t="s">
        <v>3</v>
      </c>
      <c r="B3" s="3">
        <v>9724</v>
      </c>
      <c r="C3" s="3">
        <v>1564</v>
      </c>
      <c r="D3" s="3">
        <v>21243</v>
      </c>
      <c r="E3" s="3">
        <v>10153</v>
      </c>
      <c r="F3" s="12">
        <f>SUM(GovBySenateDistrict42General[[#This Row],[Sullivan County Vote Results]:[Part of Ulster County Vote Results]])</f>
        <v>42684</v>
      </c>
      <c r="G3" s="13">
        <f>SUM(F3,F7,F8,F9)</f>
        <v>45869</v>
      </c>
    </row>
    <row r="4" spans="1:7" x14ac:dyDescent="0.2">
      <c r="A4" s="2" t="s">
        <v>14</v>
      </c>
      <c r="B4" s="3">
        <v>11442</v>
      </c>
      <c r="C4" s="3">
        <v>2943</v>
      </c>
      <c r="D4" s="3">
        <v>22566</v>
      </c>
      <c r="E4" s="3">
        <v>7091</v>
      </c>
      <c r="F4" s="12">
        <f>SUM(GovBySenateDistrict42General[[#This Row],[Sullivan County Vote Results]:[Part of Ulster County Vote Results]])</f>
        <v>44042</v>
      </c>
      <c r="G4" s="13">
        <f>SUM(F4,F5,F10)</f>
        <v>50220</v>
      </c>
    </row>
    <row r="5" spans="1:7" x14ac:dyDescent="0.2">
      <c r="A5" s="2" t="s">
        <v>15</v>
      </c>
      <c r="B5" s="3">
        <v>1353</v>
      </c>
      <c r="C5" s="3">
        <v>219</v>
      </c>
      <c r="D5" s="3">
        <v>2885</v>
      </c>
      <c r="E5" s="3">
        <v>981</v>
      </c>
      <c r="F5" s="12">
        <f>SUM(GovBySenateDistrict42General[[#This Row],[Sullivan County Vote Results]:[Part of Ulster County Vote Results]])</f>
        <v>5438</v>
      </c>
      <c r="G5" s="14"/>
    </row>
    <row r="6" spans="1:7" x14ac:dyDescent="0.2">
      <c r="A6" s="2" t="s">
        <v>6</v>
      </c>
      <c r="B6" s="3">
        <v>379</v>
      </c>
      <c r="C6" s="3">
        <v>80</v>
      </c>
      <c r="D6" s="3">
        <v>839</v>
      </c>
      <c r="E6" s="3">
        <v>687</v>
      </c>
      <c r="F6" s="12">
        <f>SUM(GovBySenateDistrict42General[[#This Row],[Sullivan County Vote Results]:[Part of Ulster County Vote Results]])</f>
        <v>1985</v>
      </c>
      <c r="G6" s="13">
        <f>GovBySenateDistrict42General[[#This Row],[Total Votes by Party]]</f>
        <v>1985</v>
      </c>
    </row>
    <row r="7" spans="1:7" x14ac:dyDescent="0.2">
      <c r="A7" s="2" t="s">
        <v>7</v>
      </c>
      <c r="B7" s="3">
        <v>315</v>
      </c>
      <c r="C7" s="3">
        <v>44</v>
      </c>
      <c r="D7" s="3">
        <v>448</v>
      </c>
      <c r="E7" s="3">
        <v>765</v>
      </c>
      <c r="F7" s="12">
        <f>SUM(GovBySenateDistrict42General[[#This Row],[Sullivan County Vote Results]:[Part of Ulster County Vote Results]])</f>
        <v>1572</v>
      </c>
      <c r="G7" s="14"/>
    </row>
    <row r="8" spans="1:7" x14ac:dyDescent="0.2">
      <c r="A8" s="2" t="s">
        <v>8</v>
      </c>
      <c r="B8" s="3">
        <v>303</v>
      </c>
      <c r="C8" s="3">
        <v>34</v>
      </c>
      <c r="D8" s="3">
        <v>476</v>
      </c>
      <c r="E8" s="3">
        <v>235</v>
      </c>
      <c r="F8" s="12">
        <f>SUM(GovBySenateDistrict42General[[#This Row],[Sullivan County Vote Results]:[Part of Ulster County Vote Results]])</f>
        <v>1048</v>
      </c>
      <c r="G8" s="14"/>
    </row>
    <row r="9" spans="1:7" x14ac:dyDescent="0.2">
      <c r="A9" s="2" t="s">
        <v>9</v>
      </c>
      <c r="B9" s="3">
        <v>144</v>
      </c>
      <c r="C9" s="3">
        <v>24</v>
      </c>
      <c r="D9" s="3">
        <v>220</v>
      </c>
      <c r="E9" s="3">
        <v>177</v>
      </c>
      <c r="F9" s="12">
        <f>SUM(GovBySenateDistrict42General[[#This Row],[Sullivan County Vote Results]:[Part of Ulster County Vote Results]])</f>
        <v>565</v>
      </c>
      <c r="G9" s="14"/>
    </row>
    <row r="10" spans="1:7" x14ac:dyDescent="0.2">
      <c r="A10" s="2" t="s">
        <v>16</v>
      </c>
      <c r="B10" s="3">
        <v>196</v>
      </c>
      <c r="C10" s="3">
        <v>32</v>
      </c>
      <c r="D10" s="3">
        <v>358</v>
      </c>
      <c r="E10" s="3">
        <v>154</v>
      </c>
      <c r="F10" s="12">
        <f>SUM(GovBySenateDistrict42General[[#This Row],[Sullivan County Vote Results]:[Part of Ulster County Vote Results]])</f>
        <v>740</v>
      </c>
      <c r="G10" s="14"/>
    </row>
    <row r="11" spans="1:7" x14ac:dyDescent="0.2">
      <c r="A11" s="2" t="s">
        <v>10</v>
      </c>
      <c r="B11" s="3">
        <v>477</v>
      </c>
      <c r="C11" s="3">
        <v>421</v>
      </c>
      <c r="D11" s="3">
        <v>932</v>
      </c>
      <c r="E11" s="3">
        <v>136</v>
      </c>
      <c r="F11" s="12">
        <f>SUM(GovBySenateDistrict42General[[#This Row],[Sullivan County Vote Results]:[Part of Ulster County Vote Results]])</f>
        <v>1966</v>
      </c>
      <c r="G11" s="13">
        <f>GovBySenateDistrict42General[[#This Row],[Total Votes by Party]]</f>
        <v>1966</v>
      </c>
    </row>
    <row r="12" spans="1:7" x14ac:dyDescent="0.2">
      <c r="A12" s="4" t="s">
        <v>11</v>
      </c>
      <c r="B12" s="3">
        <v>202</v>
      </c>
      <c r="C12" s="3">
        <v>50</v>
      </c>
      <c r="D12" s="3">
        <v>383</v>
      </c>
      <c r="E12" s="3">
        <v>403</v>
      </c>
      <c r="F12" s="12">
        <f>SUM(GovBySenateDistrict42General[[#This Row],[Sullivan County Vote Results]:[Part of Ulster County Vote Results]])</f>
        <v>1038</v>
      </c>
      <c r="G12" s="13">
        <f>GovBySenateDistrict42General[[#This Row],[Total Votes by Party]]</f>
        <v>1038</v>
      </c>
    </row>
    <row r="13" spans="1:7" x14ac:dyDescent="0.2">
      <c r="A13" s="4" t="s">
        <v>0</v>
      </c>
      <c r="B13" s="3">
        <v>968</v>
      </c>
      <c r="C13" s="3">
        <v>94</v>
      </c>
      <c r="D13" s="3">
        <v>1268</v>
      </c>
      <c r="E13" s="3">
        <v>0</v>
      </c>
      <c r="F13" s="12">
        <f>SUM(GovBySenateDistrict42General[[#This Row],[Sullivan County Vote Results]:[Part of Ulster County Vote Results]])</f>
        <v>2330</v>
      </c>
      <c r="G13" s="14"/>
    </row>
    <row r="14" spans="1:7" x14ac:dyDescent="0.2">
      <c r="A14" s="4" t="s">
        <v>1</v>
      </c>
      <c r="B14" s="3">
        <v>10</v>
      </c>
      <c r="C14" s="3">
        <v>2</v>
      </c>
      <c r="D14" s="3">
        <v>0</v>
      </c>
      <c r="E14" s="3">
        <v>0</v>
      </c>
      <c r="F14" s="12">
        <f>SUM(GovBySenateDistrict42General[[#This Row],[Sullivan County Vote Results]:[Part of Ulster County Vote Results]])</f>
        <v>12</v>
      </c>
      <c r="G14" s="14"/>
    </row>
    <row r="15" spans="1:7" x14ac:dyDescent="0.2">
      <c r="A15" s="4" t="s">
        <v>2</v>
      </c>
      <c r="B15" s="5">
        <v>20</v>
      </c>
      <c r="C15" s="5">
        <v>7</v>
      </c>
      <c r="D15" s="5">
        <v>36</v>
      </c>
      <c r="E15" s="5">
        <v>0</v>
      </c>
      <c r="F15" s="12">
        <f>SUM(GovBySenateDistrict42General[[#This Row],[Sullivan County Vote Results]:[Part of Ulster County Vote Results]])</f>
        <v>63</v>
      </c>
      <c r="G15" s="14"/>
    </row>
    <row r="16" spans="1:7" hidden="1" x14ac:dyDescent="0.2">
      <c r="A16" s="4" t="s">
        <v>4</v>
      </c>
      <c r="B16" s="6">
        <f>SUBTOTAL(109,GovBySenateDistrict42General[Sullivan County Vote Results])</f>
        <v>25533</v>
      </c>
      <c r="C16" s="6"/>
      <c r="D16" s="6"/>
      <c r="E16" s="6">
        <f>SUBTOTAL(109,GovBySenateDistrict42General[Part of Ulster County Vote Results])</f>
        <v>20782</v>
      </c>
      <c r="F16" s="6"/>
      <c r="G16" s="9"/>
    </row>
  </sheetData>
  <pageMargins left="0.7" right="0.7" top="0.75" bottom="0.75" header="0.3" footer="0.3"/>
  <tableParts count="1">
    <tablePart r:id="rId1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DC812-3B93-45E7-B3CC-9BAEC1A77E02}">
  <dimension ref="A1:G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7" ht="24.75" customHeight="1" x14ac:dyDescent="0.2">
      <c r="A1" s="1" t="s">
        <v>115</v>
      </c>
    </row>
    <row r="2" spans="1:7" ht="25.5" x14ac:dyDescent="0.2">
      <c r="A2" s="7" t="s">
        <v>12</v>
      </c>
      <c r="B2" s="8" t="s">
        <v>63</v>
      </c>
      <c r="C2" s="8" t="s">
        <v>35</v>
      </c>
      <c r="D2" s="8" t="s">
        <v>37</v>
      </c>
      <c r="E2" s="8" t="s">
        <v>36</v>
      </c>
      <c r="F2" s="10" t="s">
        <v>141</v>
      </c>
      <c r="G2" s="11" t="s">
        <v>5</v>
      </c>
    </row>
    <row r="3" spans="1:7" x14ac:dyDescent="0.2">
      <c r="A3" s="2" t="s">
        <v>3</v>
      </c>
      <c r="B3" s="3">
        <v>12451</v>
      </c>
      <c r="C3" s="3">
        <v>15436</v>
      </c>
      <c r="D3" s="3">
        <v>18258</v>
      </c>
      <c r="E3" s="3">
        <v>557</v>
      </c>
      <c r="F3" s="12">
        <f>SUM(GovBySenateDistrict43General[[#This Row],[Columbia County Vote Results]:[Part of Washington County Vote Results]])</f>
        <v>46702</v>
      </c>
      <c r="G3" s="13">
        <f>SUM(F3,F7,F8,F9)</f>
        <v>51119</v>
      </c>
    </row>
    <row r="4" spans="1:7" x14ac:dyDescent="0.2">
      <c r="A4" s="2" t="s">
        <v>14</v>
      </c>
      <c r="B4" s="3">
        <v>11985</v>
      </c>
      <c r="C4" s="3">
        <v>22961</v>
      </c>
      <c r="D4" s="3">
        <v>22440</v>
      </c>
      <c r="E4" s="3">
        <v>1038</v>
      </c>
      <c r="F4" s="12">
        <f>SUM(GovBySenateDistrict43General[[#This Row],[Columbia County Vote Results]:[Part of Washington County Vote Results]])</f>
        <v>58424</v>
      </c>
      <c r="G4" s="13">
        <f>SUM(F4,F5,F10)</f>
        <v>69578</v>
      </c>
    </row>
    <row r="5" spans="1:7" x14ac:dyDescent="0.2">
      <c r="A5" s="2" t="s">
        <v>15</v>
      </c>
      <c r="B5" s="3">
        <v>2009</v>
      </c>
      <c r="C5" s="3">
        <v>4609</v>
      </c>
      <c r="D5" s="3">
        <v>3169</v>
      </c>
      <c r="E5" s="3">
        <v>200</v>
      </c>
      <c r="F5" s="12">
        <f>SUM(GovBySenateDistrict43General[[#This Row],[Columbia County Vote Results]:[Part of Washington County Vote Results]])</f>
        <v>9987</v>
      </c>
      <c r="G5" s="14"/>
    </row>
    <row r="6" spans="1:7" x14ac:dyDescent="0.2">
      <c r="A6" s="2" t="s">
        <v>6</v>
      </c>
      <c r="B6" s="3">
        <v>669</v>
      </c>
      <c r="C6" s="3">
        <v>1279</v>
      </c>
      <c r="D6" s="3">
        <v>1190</v>
      </c>
      <c r="E6" s="3">
        <v>75</v>
      </c>
      <c r="F6" s="12">
        <f>SUM(GovBySenateDistrict43General[[#This Row],[Columbia County Vote Results]:[Part of Washington County Vote Results]])</f>
        <v>3213</v>
      </c>
      <c r="G6" s="13">
        <f>GovBySenateDistrict43General[[#This Row],[Total Votes by Party]]</f>
        <v>3213</v>
      </c>
    </row>
    <row r="7" spans="1:7" x14ac:dyDescent="0.2">
      <c r="A7" s="2" t="s">
        <v>7</v>
      </c>
      <c r="B7" s="3">
        <v>709</v>
      </c>
      <c r="C7" s="3">
        <v>676</v>
      </c>
      <c r="D7" s="3">
        <v>552</v>
      </c>
      <c r="E7" s="3">
        <v>32</v>
      </c>
      <c r="F7" s="12">
        <f>SUM(GovBySenateDistrict43General[[#This Row],[Columbia County Vote Results]:[Part of Washington County Vote Results]])</f>
        <v>1969</v>
      </c>
      <c r="G7" s="14"/>
    </row>
    <row r="8" spans="1:7" x14ac:dyDescent="0.2">
      <c r="A8" s="2" t="s">
        <v>8</v>
      </c>
      <c r="B8" s="3">
        <v>315</v>
      </c>
      <c r="C8" s="3">
        <v>759</v>
      </c>
      <c r="D8" s="3">
        <v>580</v>
      </c>
      <c r="E8" s="3">
        <v>12</v>
      </c>
      <c r="F8" s="12">
        <f>SUM(GovBySenateDistrict43General[[#This Row],[Columbia County Vote Results]:[Part of Washington County Vote Results]])</f>
        <v>1666</v>
      </c>
      <c r="G8" s="14"/>
    </row>
    <row r="9" spans="1:7" x14ac:dyDescent="0.2">
      <c r="A9" s="2" t="s">
        <v>9</v>
      </c>
      <c r="B9" s="3">
        <v>190</v>
      </c>
      <c r="C9" s="3">
        <v>317</v>
      </c>
      <c r="D9" s="3">
        <v>266</v>
      </c>
      <c r="E9" s="3">
        <v>9</v>
      </c>
      <c r="F9" s="12">
        <f>SUM(GovBySenateDistrict43General[[#This Row],[Columbia County Vote Results]:[Part of Washington County Vote Results]])</f>
        <v>782</v>
      </c>
      <c r="G9" s="14"/>
    </row>
    <row r="10" spans="1:7" x14ac:dyDescent="0.2">
      <c r="A10" s="2" t="s">
        <v>16</v>
      </c>
      <c r="B10" s="3">
        <v>259</v>
      </c>
      <c r="C10" s="3">
        <v>542</v>
      </c>
      <c r="D10" s="3">
        <v>357</v>
      </c>
      <c r="E10" s="3">
        <v>9</v>
      </c>
      <c r="F10" s="12">
        <f>SUM(GovBySenateDistrict43General[[#This Row],[Columbia County Vote Results]:[Part of Washington County Vote Results]])</f>
        <v>1167</v>
      </c>
      <c r="G10" s="14"/>
    </row>
    <row r="11" spans="1:7" x14ac:dyDescent="0.2">
      <c r="A11" s="2" t="s">
        <v>10</v>
      </c>
      <c r="B11" s="3">
        <v>340</v>
      </c>
      <c r="C11" s="3">
        <v>1108</v>
      </c>
      <c r="D11" s="3">
        <v>999</v>
      </c>
      <c r="E11" s="3">
        <v>60</v>
      </c>
      <c r="F11" s="12">
        <f>SUM(GovBySenateDistrict43General[[#This Row],[Columbia County Vote Results]:[Part of Washington County Vote Results]])</f>
        <v>2507</v>
      </c>
      <c r="G11" s="13">
        <f>GovBySenateDistrict43General[[#This Row],[Total Votes by Party]]</f>
        <v>2507</v>
      </c>
    </row>
    <row r="12" spans="1:7" x14ac:dyDescent="0.2">
      <c r="A12" s="4" t="s">
        <v>11</v>
      </c>
      <c r="B12" s="3">
        <v>296</v>
      </c>
      <c r="C12" s="3">
        <v>989</v>
      </c>
      <c r="D12" s="3">
        <v>809</v>
      </c>
      <c r="E12" s="3">
        <v>31</v>
      </c>
      <c r="F12" s="12">
        <f>SUM(GovBySenateDistrict43General[[#This Row],[Columbia County Vote Results]:[Part of Washington County Vote Results]])</f>
        <v>2125</v>
      </c>
      <c r="G12" s="13">
        <f>GovBySenateDistrict43General[[#This Row],[Total Votes by Party]]</f>
        <v>2125</v>
      </c>
    </row>
    <row r="13" spans="1:7" x14ac:dyDescent="0.2">
      <c r="A13" s="4" t="s">
        <v>0</v>
      </c>
      <c r="B13" s="3">
        <v>579</v>
      </c>
      <c r="C13" s="3">
        <v>1557</v>
      </c>
      <c r="D13" s="3">
        <v>976</v>
      </c>
      <c r="E13" s="3">
        <v>2</v>
      </c>
      <c r="F13" s="12">
        <f>SUM(GovBySenateDistrict43General[[#This Row],[Columbia County Vote Results]:[Part of Washington County Vote Results]])</f>
        <v>3114</v>
      </c>
      <c r="G13" s="14"/>
    </row>
    <row r="14" spans="1:7" x14ac:dyDescent="0.2">
      <c r="A14" s="4" t="s">
        <v>1</v>
      </c>
      <c r="B14" s="3">
        <v>52</v>
      </c>
      <c r="C14" s="3">
        <v>1</v>
      </c>
      <c r="D14" s="3">
        <v>51</v>
      </c>
      <c r="E14" s="3">
        <v>0</v>
      </c>
      <c r="F14" s="12">
        <f>SUM(GovBySenateDistrict43General[[#This Row],[Columbia County Vote Results]:[Part of Washington County Vote Results]])</f>
        <v>104</v>
      </c>
      <c r="G14" s="14"/>
    </row>
    <row r="15" spans="1:7" x14ac:dyDescent="0.2">
      <c r="A15" s="4" t="s">
        <v>2</v>
      </c>
      <c r="B15" s="3">
        <v>46</v>
      </c>
      <c r="C15" s="5">
        <v>50</v>
      </c>
      <c r="D15" s="5">
        <v>39</v>
      </c>
      <c r="E15" s="5">
        <v>0</v>
      </c>
      <c r="F15" s="12">
        <f>SUM(GovBySenateDistrict43General[[#This Row],[Columbia County Vote Results]:[Part of Washington County Vote Results]])</f>
        <v>135</v>
      </c>
      <c r="G15" s="14"/>
    </row>
    <row r="16" spans="1:7" hidden="1" x14ac:dyDescent="0.2">
      <c r="A16" s="4" t="s">
        <v>4</v>
      </c>
      <c r="B16" s="6">
        <f>SUBTOTAL(109,GovBySenateDistrict43General[Columbia County Vote Results])</f>
        <v>29900</v>
      </c>
      <c r="C16" s="6"/>
      <c r="D16" s="6"/>
      <c r="E16" s="6">
        <f>SUBTOTAL(109,GovBySenateDistrict43General[Part of Washington County Vote Results])</f>
        <v>2025</v>
      </c>
      <c r="F16" s="6"/>
      <c r="G16" s="9"/>
    </row>
  </sheetData>
  <pageMargins left="0.7" right="0.7" top="0.75" bottom="0.75" header="0.3" footer="0.3"/>
  <tableParts count="1">
    <tablePart r:id="rId1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2DCF7-3697-4A97-BEFC-F51F3CF96D81}">
  <dimension ref="A1:E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116</v>
      </c>
    </row>
    <row r="2" spans="1:5" ht="25.5" x14ac:dyDescent="0.2">
      <c r="A2" s="7" t="s">
        <v>12</v>
      </c>
      <c r="B2" s="8" t="s">
        <v>33</v>
      </c>
      <c r="C2" s="8" t="s">
        <v>35</v>
      </c>
      <c r="D2" s="10" t="s">
        <v>141</v>
      </c>
      <c r="E2" s="11" t="s">
        <v>5</v>
      </c>
    </row>
    <row r="3" spans="1:5" x14ac:dyDescent="0.2">
      <c r="A3" s="2" t="s">
        <v>3</v>
      </c>
      <c r="B3" s="3">
        <v>44161</v>
      </c>
      <c r="C3" s="3">
        <v>5838</v>
      </c>
      <c r="D3" s="12">
        <f>SUM(GovBySenateDistrict44General[[#This Row],[Part of Albany County Vote Results]:[Part of Rensselaer County Vote Results]])</f>
        <v>49999</v>
      </c>
      <c r="E3" s="13">
        <f>SUM(D3,D7,D8,D9)</f>
        <v>54387</v>
      </c>
    </row>
    <row r="4" spans="1:5" x14ac:dyDescent="0.2">
      <c r="A4" s="2" t="s">
        <v>14</v>
      </c>
      <c r="B4" s="3">
        <v>26752</v>
      </c>
      <c r="C4" s="3">
        <v>3464</v>
      </c>
      <c r="D4" s="12">
        <f>SUM(GovBySenateDistrict44General[[#This Row],[Part of Albany County Vote Results]:[Part of Rensselaer County Vote Results]])</f>
        <v>30216</v>
      </c>
      <c r="E4" s="13">
        <f>SUM(D4,D5,D10)</f>
        <v>35919</v>
      </c>
    </row>
    <row r="5" spans="1:5" x14ac:dyDescent="0.2">
      <c r="A5" s="2" t="s">
        <v>15</v>
      </c>
      <c r="B5" s="3">
        <v>4330</v>
      </c>
      <c r="C5" s="3">
        <v>695</v>
      </c>
      <c r="D5" s="12">
        <f>SUM(GovBySenateDistrict44General[[#This Row],[Part of Albany County Vote Results]:[Part of Rensselaer County Vote Results]])</f>
        <v>5025</v>
      </c>
      <c r="E5" s="14"/>
    </row>
    <row r="6" spans="1:5" x14ac:dyDescent="0.2">
      <c r="A6" s="2" t="s">
        <v>6</v>
      </c>
      <c r="B6" s="3">
        <v>2733</v>
      </c>
      <c r="C6" s="3">
        <v>523</v>
      </c>
      <c r="D6" s="12">
        <f>SUM(GovBySenateDistrict44General[[#This Row],[Part of Albany County Vote Results]:[Part of Rensselaer County Vote Results]])</f>
        <v>3256</v>
      </c>
      <c r="E6" s="13">
        <f>GovBySenateDistrict44General[[#This Row],[Total Votes by Party]]</f>
        <v>3256</v>
      </c>
    </row>
    <row r="7" spans="1:5" x14ac:dyDescent="0.2">
      <c r="A7" s="2" t="s">
        <v>7</v>
      </c>
      <c r="B7" s="3">
        <v>2046</v>
      </c>
      <c r="C7" s="3">
        <v>286</v>
      </c>
      <c r="D7" s="12">
        <f>SUM(GovBySenateDistrict44General[[#This Row],[Part of Albany County Vote Results]:[Part of Rensselaer County Vote Results]])</f>
        <v>2332</v>
      </c>
      <c r="E7" s="14"/>
    </row>
    <row r="8" spans="1:5" x14ac:dyDescent="0.2">
      <c r="A8" s="2" t="s">
        <v>8</v>
      </c>
      <c r="B8" s="3">
        <v>1060</v>
      </c>
      <c r="C8" s="3">
        <v>201</v>
      </c>
      <c r="D8" s="12">
        <f>SUM(GovBySenateDistrict44General[[#This Row],[Part of Albany County Vote Results]:[Part of Rensselaer County Vote Results]])</f>
        <v>1261</v>
      </c>
      <c r="E8" s="14"/>
    </row>
    <row r="9" spans="1:5" x14ac:dyDescent="0.2">
      <c r="A9" s="2" t="s">
        <v>9</v>
      </c>
      <c r="B9" s="3">
        <v>675</v>
      </c>
      <c r="C9" s="3">
        <v>120</v>
      </c>
      <c r="D9" s="12">
        <f>SUM(GovBySenateDistrict44General[[#This Row],[Part of Albany County Vote Results]:[Part of Rensselaer County Vote Results]])</f>
        <v>795</v>
      </c>
      <c r="E9" s="14"/>
    </row>
    <row r="10" spans="1:5" x14ac:dyDescent="0.2">
      <c r="A10" s="2" t="s">
        <v>16</v>
      </c>
      <c r="B10" s="3">
        <v>587</v>
      </c>
      <c r="C10" s="3">
        <v>91</v>
      </c>
      <c r="D10" s="12">
        <f>SUM(GovBySenateDistrict44General[[#This Row],[Part of Albany County Vote Results]:[Part of Rensselaer County Vote Results]])</f>
        <v>678</v>
      </c>
      <c r="E10" s="14"/>
    </row>
    <row r="11" spans="1:5" x14ac:dyDescent="0.2">
      <c r="A11" s="2" t="s">
        <v>10</v>
      </c>
      <c r="B11" s="3">
        <v>1354</v>
      </c>
      <c r="C11" s="3">
        <v>268</v>
      </c>
      <c r="D11" s="12">
        <f>SUM(GovBySenateDistrict44General[[#This Row],[Part of Albany County Vote Results]:[Part of Rensselaer County Vote Results]])</f>
        <v>1622</v>
      </c>
      <c r="E11" s="13">
        <f>GovBySenateDistrict44General[[#This Row],[Total Votes by Party]]</f>
        <v>1622</v>
      </c>
    </row>
    <row r="12" spans="1:5" x14ac:dyDescent="0.2">
      <c r="A12" s="4" t="s">
        <v>11</v>
      </c>
      <c r="B12" s="3">
        <v>2335</v>
      </c>
      <c r="C12" s="3">
        <v>281</v>
      </c>
      <c r="D12" s="12">
        <f>SUM(GovBySenateDistrict44General[[#This Row],[Part of Albany County Vote Results]:[Part of Rensselaer County Vote Results]])</f>
        <v>2616</v>
      </c>
      <c r="E12" s="13">
        <f>GovBySenateDistrict44General[[#This Row],[Total Votes by Party]]</f>
        <v>2616</v>
      </c>
    </row>
    <row r="13" spans="1:5" x14ac:dyDescent="0.2">
      <c r="A13" s="4" t="s">
        <v>0</v>
      </c>
      <c r="B13" s="3">
        <v>2151</v>
      </c>
      <c r="C13" s="3">
        <v>420</v>
      </c>
      <c r="D13" s="12">
        <f>SUM(GovBySenateDistrict44General[[#This Row],[Part of Albany County Vote Results]:[Part of Rensselaer County Vote Results]])</f>
        <v>2571</v>
      </c>
      <c r="E13" s="14"/>
    </row>
    <row r="14" spans="1:5" x14ac:dyDescent="0.2">
      <c r="A14" s="4" t="s">
        <v>1</v>
      </c>
      <c r="B14" s="3">
        <v>213</v>
      </c>
      <c r="C14" s="3">
        <v>1</v>
      </c>
      <c r="D14" s="12">
        <f>SUM(GovBySenateDistrict44General[[#This Row],[Part of Albany County Vote Results]:[Part of Rensselaer County Vote Results]])</f>
        <v>214</v>
      </c>
      <c r="E14" s="14"/>
    </row>
    <row r="15" spans="1:5" x14ac:dyDescent="0.2">
      <c r="A15" s="4" t="s">
        <v>2</v>
      </c>
      <c r="B15" s="5">
        <v>0</v>
      </c>
      <c r="C15" s="5">
        <v>7</v>
      </c>
      <c r="D15" s="12">
        <f>SUM(GovBySenateDistrict44General[[#This Row],[Part of Albany County Vote Results]:[Part of Rensselaer County Vote Results]])</f>
        <v>7</v>
      </c>
      <c r="E15" s="14"/>
    </row>
    <row r="16" spans="1:5" hidden="1" x14ac:dyDescent="0.2">
      <c r="A16" s="4" t="s">
        <v>4</v>
      </c>
      <c r="B16" s="6">
        <f>SUBTOTAL(109,GovBySenateDistrict44General[Part of Albany County Vote Results])</f>
        <v>88397</v>
      </c>
      <c r="C16" s="6">
        <f>SUBTOTAL(109,GovBySenateDistrict44General[Part of Rensselaer County Vote Results])</f>
        <v>12195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7B1F7-DA95-4189-BEA3-027566F1D089}">
  <dimension ref="A1:I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9" width="20.5703125" customWidth="1"/>
    <col min="10" max="11" width="23.5703125" customWidth="1"/>
  </cols>
  <sheetData>
    <row r="1" spans="1:9" ht="24.75" customHeight="1" x14ac:dyDescent="0.2">
      <c r="A1" s="1" t="s">
        <v>117</v>
      </c>
    </row>
    <row r="2" spans="1:9" ht="25.5" x14ac:dyDescent="0.2">
      <c r="A2" s="7" t="s">
        <v>12</v>
      </c>
      <c r="B2" s="8" t="s">
        <v>42</v>
      </c>
      <c r="C2" s="8" t="s">
        <v>40</v>
      </c>
      <c r="D2" s="8" t="s">
        <v>43</v>
      </c>
      <c r="E2" s="8" t="s">
        <v>41</v>
      </c>
      <c r="F2" s="8" t="s">
        <v>44</v>
      </c>
      <c r="G2" s="8" t="s">
        <v>36</v>
      </c>
      <c r="H2" s="10" t="s">
        <v>141</v>
      </c>
      <c r="I2" s="11" t="s">
        <v>5</v>
      </c>
    </row>
    <row r="3" spans="1:9" x14ac:dyDescent="0.2">
      <c r="A3" s="2" t="s">
        <v>3</v>
      </c>
      <c r="B3" s="3">
        <v>10591</v>
      </c>
      <c r="C3" s="3">
        <v>6050</v>
      </c>
      <c r="D3" s="3">
        <v>5132</v>
      </c>
      <c r="E3" s="3">
        <v>9148</v>
      </c>
      <c r="F3" s="3">
        <v>696</v>
      </c>
      <c r="G3" s="3">
        <v>5407</v>
      </c>
      <c r="H3" s="12">
        <f>SUM(GovBySenateDistrict45General[[#This Row],[Clinton County Vote Results]:[Part of Washington County Vote Results]])</f>
        <v>37024</v>
      </c>
      <c r="I3" s="13">
        <f>SUM(H3,H7,H8,H9)</f>
        <v>39804</v>
      </c>
    </row>
    <row r="4" spans="1:9" x14ac:dyDescent="0.2">
      <c r="A4" s="2" t="s">
        <v>14</v>
      </c>
      <c r="B4" s="3">
        <v>12037</v>
      </c>
      <c r="C4" s="3">
        <v>6166</v>
      </c>
      <c r="D4" s="3">
        <v>6463</v>
      </c>
      <c r="E4" s="3">
        <v>13061</v>
      </c>
      <c r="F4" s="3">
        <v>1396</v>
      </c>
      <c r="G4" s="3">
        <v>10292</v>
      </c>
      <c r="H4" s="12">
        <f>SUM(GovBySenateDistrict45General[[#This Row],[Clinton County Vote Results]:[Part of Washington County Vote Results]])</f>
        <v>49415</v>
      </c>
      <c r="I4" s="13">
        <f>SUM(H4,H5,H10)</f>
        <v>54850</v>
      </c>
    </row>
    <row r="5" spans="1:9" x14ac:dyDescent="0.2">
      <c r="A5" s="2" t="s">
        <v>15</v>
      </c>
      <c r="B5" s="3">
        <v>1000</v>
      </c>
      <c r="C5" s="3">
        <v>461</v>
      </c>
      <c r="D5" s="3">
        <v>463</v>
      </c>
      <c r="E5" s="3">
        <v>1460</v>
      </c>
      <c r="F5" s="3">
        <v>125</v>
      </c>
      <c r="G5" s="3">
        <v>1195</v>
      </c>
      <c r="H5" s="12">
        <f>SUM(GovBySenateDistrict45General[[#This Row],[Clinton County Vote Results]:[Part of Washington County Vote Results]])</f>
        <v>4704</v>
      </c>
      <c r="I5" s="14"/>
    </row>
    <row r="6" spans="1:9" x14ac:dyDescent="0.2">
      <c r="A6" s="2" t="s">
        <v>6</v>
      </c>
      <c r="B6" s="3">
        <v>391</v>
      </c>
      <c r="C6" s="3">
        <v>240</v>
      </c>
      <c r="D6" s="3">
        <v>236</v>
      </c>
      <c r="E6" s="3">
        <v>642</v>
      </c>
      <c r="F6" s="3">
        <v>35</v>
      </c>
      <c r="G6" s="3">
        <v>378</v>
      </c>
      <c r="H6" s="12">
        <f>SUM(GovBySenateDistrict45General[[#This Row],[Clinton County Vote Results]:[Part of Washington County Vote Results]])</f>
        <v>1922</v>
      </c>
      <c r="I6" s="13">
        <f>GovBySenateDistrict45General[[#This Row],[Total Votes by Party]]</f>
        <v>1922</v>
      </c>
    </row>
    <row r="7" spans="1:9" x14ac:dyDescent="0.2">
      <c r="A7" s="2" t="s">
        <v>7</v>
      </c>
      <c r="B7" s="3">
        <v>361</v>
      </c>
      <c r="C7" s="3">
        <v>168</v>
      </c>
      <c r="D7" s="3">
        <v>119</v>
      </c>
      <c r="E7" s="3">
        <v>220</v>
      </c>
      <c r="F7" s="3">
        <v>19</v>
      </c>
      <c r="G7" s="3">
        <v>135</v>
      </c>
      <c r="H7" s="12">
        <f>SUM(GovBySenateDistrict45General[[#This Row],[Clinton County Vote Results]:[Part of Washington County Vote Results]])</f>
        <v>1022</v>
      </c>
      <c r="I7" s="14"/>
    </row>
    <row r="8" spans="1:9" x14ac:dyDescent="0.2">
      <c r="A8" s="2" t="s">
        <v>8</v>
      </c>
      <c r="B8" s="3">
        <v>434</v>
      </c>
      <c r="C8" s="3">
        <v>196</v>
      </c>
      <c r="D8" s="3">
        <v>177</v>
      </c>
      <c r="E8" s="3">
        <v>314</v>
      </c>
      <c r="F8" s="3">
        <v>22</v>
      </c>
      <c r="G8" s="3">
        <v>186</v>
      </c>
      <c r="H8" s="12">
        <f>SUM(GovBySenateDistrict45General[[#This Row],[Clinton County Vote Results]:[Part of Washington County Vote Results]])</f>
        <v>1329</v>
      </c>
      <c r="I8" s="14"/>
    </row>
    <row r="9" spans="1:9" x14ac:dyDescent="0.2">
      <c r="A9" s="2" t="s">
        <v>9</v>
      </c>
      <c r="B9" s="3">
        <v>99</v>
      </c>
      <c r="C9" s="3">
        <v>75</v>
      </c>
      <c r="D9" s="3">
        <v>44</v>
      </c>
      <c r="E9" s="3">
        <v>133</v>
      </c>
      <c r="F9" s="3">
        <v>5</v>
      </c>
      <c r="G9" s="3">
        <v>73</v>
      </c>
      <c r="H9" s="12">
        <f>SUM(GovBySenateDistrict45General[[#This Row],[Clinton County Vote Results]:[Part of Washington County Vote Results]])</f>
        <v>429</v>
      </c>
      <c r="I9" s="14"/>
    </row>
    <row r="10" spans="1:9" x14ac:dyDescent="0.2">
      <c r="A10" s="2" t="s">
        <v>16</v>
      </c>
      <c r="B10" s="3">
        <v>190</v>
      </c>
      <c r="C10" s="3">
        <v>78</v>
      </c>
      <c r="D10" s="3">
        <v>81</v>
      </c>
      <c r="E10" s="3">
        <v>224</v>
      </c>
      <c r="F10" s="3">
        <v>13</v>
      </c>
      <c r="G10" s="3">
        <v>145</v>
      </c>
      <c r="H10" s="12">
        <f>SUM(GovBySenateDistrict45General[[#This Row],[Clinton County Vote Results]:[Part of Washington County Vote Results]])</f>
        <v>731</v>
      </c>
      <c r="I10" s="14"/>
    </row>
    <row r="11" spans="1:9" x14ac:dyDescent="0.2">
      <c r="A11" s="2" t="s">
        <v>10</v>
      </c>
      <c r="B11" s="3">
        <v>733</v>
      </c>
      <c r="C11" s="3">
        <v>262</v>
      </c>
      <c r="D11" s="3">
        <v>1053</v>
      </c>
      <c r="E11" s="3">
        <v>687</v>
      </c>
      <c r="F11" s="3">
        <v>218</v>
      </c>
      <c r="G11" s="3">
        <v>511</v>
      </c>
      <c r="H11" s="12">
        <f>SUM(GovBySenateDistrict45General[[#This Row],[Clinton County Vote Results]:[Part of Washington County Vote Results]])</f>
        <v>3464</v>
      </c>
      <c r="I11" s="13">
        <f>GovBySenateDistrict45General[[#This Row],[Total Votes by Party]]</f>
        <v>3464</v>
      </c>
    </row>
    <row r="12" spans="1:9" x14ac:dyDescent="0.2">
      <c r="A12" s="4" t="s">
        <v>11</v>
      </c>
      <c r="B12" s="3">
        <v>283</v>
      </c>
      <c r="C12" s="3">
        <v>167</v>
      </c>
      <c r="D12" s="3">
        <v>257</v>
      </c>
      <c r="E12" s="3">
        <v>204</v>
      </c>
      <c r="F12" s="3">
        <v>24</v>
      </c>
      <c r="G12" s="3">
        <v>168</v>
      </c>
      <c r="H12" s="12">
        <f>SUM(GovBySenateDistrict45General[[#This Row],[Clinton County Vote Results]:[Part of Washington County Vote Results]])</f>
        <v>1103</v>
      </c>
      <c r="I12" s="13">
        <f>GovBySenateDistrict45General[[#This Row],[Total Votes by Party]]</f>
        <v>1103</v>
      </c>
    </row>
    <row r="13" spans="1:9" x14ac:dyDescent="0.2">
      <c r="A13" s="4" t="s">
        <v>0</v>
      </c>
      <c r="B13" s="3">
        <v>985</v>
      </c>
      <c r="C13" s="3">
        <v>906</v>
      </c>
      <c r="D13" s="3">
        <v>356</v>
      </c>
      <c r="E13" s="3">
        <v>386</v>
      </c>
      <c r="F13" s="3">
        <v>112</v>
      </c>
      <c r="G13" s="3">
        <v>7</v>
      </c>
      <c r="H13" s="12">
        <f>SUM(GovBySenateDistrict45General[[#This Row],[Clinton County Vote Results]:[Part of Washington County Vote Results]])</f>
        <v>2752</v>
      </c>
      <c r="I13" s="14"/>
    </row>
    <row r="14" spans="1:9" x14ac:dyDescent="0.2">
      <c r="A14" s="4" t="s">
        <v>1</v>
      </c>
      <c r="B14" s="3">
        <v>15</v>
      </c>
      <c r="C14" s="3">
        <v>0</v>
      </c>
      <c r="D14" s="3">
        <v>4</v>
      </c>
      <c r="E14" s="3">
        <v>0</v>
      </c>
      <c r="F14" s="3">
        <v>0</v>
      </c>
      <c r="G14" s="3">
        <v>0</v>
      </c>
      <c r="H14" s="12">
        <f>SUM(GovBySenateDistrict45General[[#This Row],[Clinton County Vote Results]:[Part of Washington County Vote Results]])</f>
        <v>19</v>
      </c>
      <c r="I14" s="14"/>
    </row>
    <row r="15" spans="1:9" x14ac:dyDescent="0.2">
      <c r="A15" s="4" t="s">
        <v>2</v>
      </c>
      <c r="B15" s="5">
        <v>15</v>
      </c>
      <c r="C15" s="5">
        <v>18</v>
      </c>
      <c r="D15" s="5">
        <v>5</v>
      </c>
      <c r="E15" s="5">
        <v>15</v>
      </c>
      <c r="F15" s="5">
        <v>0</v>
      </c>
      <c r="G15" s="5">
        <v>0</v>
      </c>
      <c r="H15" s="12">
        <f>SUM(GovBySenateDistrict45General[[#This Row],[Clinton County Vote Results]:[Part of Washington County Vote Results]])</f>
        <v>53</v>
      </c>
      <c r="I15" s="14"/>
    </row>
    <row r="16" spans="1:9" hidden="1" x14ac:dyDescent="0.2">
      <c r="A16" s="4" t="s">
        <v>4</v>
      </c>
      <c r="B16" s="6">
        <f>SUBTOTAL(109,GovBySenateDistrict45General[Clinton County Vote Results])</f>
        <v>27134</v>
      </c>
      <c r="C16" s="6"/>
      <c r="D16" s="6"/>
      <c r="E16" s="6"/>
      <c r="F16" s="6"/>
      <c r="G16" s="6">
        <f>SUBTOTAL(109,GovBySenateDistrict45General[Part of Washington County Vote Results])</f>
        <v>18497</v>
      </c>
      <c r="H16" s="6"/>
      <c r="I16" s="9"/>
    </row>
  </sheetData>
  <pageMargins left="0.7" right="0.7" top="0.75" bottom="0.75" header="0.3" footer="0.3"/>
  <tableParts count="1">
    <tablePart r:id="rId1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A6CCA-4570-48DE-A674-A47F53681AB8}">
  <dimension ref="A1:H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8" width="20.5703125" customWidth="1"/>
    <col min="9" max="10" width="23.5703125" customWidth="1"/>
  </cols>
  <sheetData>
    <row r="1" spans="1:8" ht="24.75" customHeight="1" x14ac:dyDescent="0.2">
      <c r="A1" s="1" t="s">
        <v>118</v>
      </c>
    </row>
    <row r="2" spans="1:8" ht="25.5" x14ac:dyDescent="0.2">
      <c r="A2" s="7" t="s">
        <v>12</v>
      </c>
      <c r="B2" s="8" t="s">
        <v>31</v>
      </c>
      <c r="C2" s="8" t="s">
        <v>39</v>
      </c>
      <c r="D2" s="8" t="s">
        <v>33</v>
      </c>
      <c r="E2" s="8" t="s">
        <v>38</v>
      </c>
      <c r="F2" s="8" t="s">
        <v>30</v>
      </c>
      <c r="G2" s="10" t="s">
        <v>141</v>
      </c>
      <c r="H2" s="11" t="s">
        <v>5</v>
      </c>
    </row>
    <row r="3" spans="1:8" x14ac:dyDescent="0.2">
      <c r="A3" s="2" t="s">
        <v>3</v>
      </c>
      <c r="B3" s="3">
        <v>5557</v>
      </c>
      <c r="C3" s="3">
        <v>4081</v>
      </c>
      <c r="D3" s="3">
        <v>10748</v>
      </c>
      <c r="E3" s="3">
        <v>4950</v>
      </c>
      <c r="F3" s="3">
        <v>20880</v>
      </c>
      <c r="G3" s="12">
        <f>SUM(GovBySenateDistrict46General[[#This Row],[Greene County Vote Results]:[Part of Ulster County Vote Results]])</f>
        <v>46216</v>
      </c>
      <c r="H3" s="13">
        <f>SUM(G3,G7,G8,G9)</f>
        <v>50859</v>
      </c>
    </row>
    <row r="4" spans="1:8" x14ac:dyDescent="0.2">
      <c r="A4" s="2" t="s">
        <v>14</v>
      </c>
      <c r="B4" s="3">
        <v>10337</v>
      </c>
      <c r="C4" s="3">
        <v>8704</v>
      </c>
      <c r="D4" s="3">
        <v>11605</v>
      </c>
      <c r="E4" s="3">
        <v>9103</v>
      </c>
      <c r="F4" s="3">
        <v>150089</v>
      </c>
      <c r="G4" s="12">
        <f>SUM(GovBySenateDistrict46General[[#This Row],[Greene County Vote Results]:[Part of Ulster County Vote Results]])</f>
        <v>189838</v>
      </c>
      <c r="H4" s="13">
        <f>SUM(G4,G5,G10)</f>
        <v>200355</v>
      </c>
    </row>
    <row r="5" spans="1:8" x14ac:dyDescent="0.2">
      <c r="A5" s="2" t="s">
        <v>15</v>
      </c>
      <c r="B5" s="3">
        <v>1602</v>
      </c>
      <c r="C5" s="3">
        <v>1315</v>
      </c>
      <c r="D5" s="3">
        <v>2395</v>
      </c>
      <c r="E5" s="3">
        <v>1566</v>
      </c>
      <c r="F5" s="3">
        <v>2567</v>
      </c>
      <c r="G5" s="12">
        <f>SUM(GovBySenateDistrict46General[[#This Row],[Greene County Vote Results]:[Part of Ulster County Vote Results]])</f>
        <v>9445</v>
      </c>
      <c r="H5" s="14"/>
    </row>
    <row r="6" spans="1:8" x14ac:dyDescent="0.2">
      <c r="A6" s="2" t="s">
        <v>6</v>
      </c>
      <c r="B6" s="3">
        <v>386</v>
      </c>
      <c r="C6" s="3">
        <v>210</v>
      </c>
      <c r="D6" s="3">
        <v>810</v>
      </c>
      <c r="E6" s="3">
        <v>289</v>
      </c>
      <c r="F6" s="3">
        <v>955</v>
      </c>
      <c r="G6" s="12">
        <f>SUM(GovBySenateDistrict46General[[#This Row],[Greene County Vote Results]:[Part of Ulster County Vote Results]])</f>
        <v>2650</v>
      </c>
      <c r="H6" s="13">
        <f>GovBySenateDistrict46General[[#This Row],[Total Votes by Party]]</f>
        <v>2650</v>
      </c>
    </row>
    <row r="7" spans="1:8" x14ac:dyDescent="0.2">
      <c r="A7" s="2" t="s">
        <v>7</v>
      </c>
      <c r="B7" s="3">
        <v>270</v>
      </c>
      <c r="C7" s="3">
        <v>109</v>
      </c>
      <c r="D7" s="3">
        <v>443</v>
      </c>
      <c r="E7" s="3">
        <v>153</v>
      </c>
      <c r="F7" s="3">
        <v>1505</v>
      </c>
      <c r="G7" s="12">
        <f>SUM(GovBySenateDistrict46General[[#This Row],[Greene County Vote Results]:[Part of Ulster County Vote Results]])</f>
        <v>2480</v>
      </c>
      <c r="H7" s="14"/>
    </row>
    <row r="8" spans="1:8" x14ac:dyDescent="0.2">
      <c r="A8" s="2" t="s">
        <v>8</v>
      </c>
      <c r="B8" s="3">
        <v>170</v>
      </c>
      <c r="C8" s="3">
        <v>138</v>
      </c>
      <c r="D8" s="3">
        <v>348</v>
      </c>
      <c r="E8" s="3">
        <v>185</v>
      </c>
      <c r="F8" s="3">
        <v>522</v>
      </c>
      <c r="G8" s="12">
        <f>SUM(GovBySenateDistrict46General[[#This Row],[Greene County Vote Results]:[Part of Ulster County Vote Results]])</f>
        <v>1363</v>
      </c>
      <c r="H8" s="14"/>
    </row>
    <row r="9" spans="1:8" x14ac:dyDescent="0.2">
      <c r="A9" s="2" t="s">
        <v>9</v>
      </c>
      <c r="B9" s="3">
        <v>116</v>
      </c>
      <c r="C9" s="3">
        <v>56</v>
      </c>
      <c r="D9" s="3">
        <v>211</v>
      </c>
      <c r="E9" s="3">
        <v>65</v>
      </c>
      <c r="F9" s="3">
        <v>352</v>
      </c>
      <c r="G9" s="12">
        <f>SUM(GovBySenateDistrict46General[[#This Row],[Greene County Vote Results]:[Part of Ulster County Vote Results]])</f>
        <v>800</v>
      </c>
      <c r="H9" s="14"/>
    </row>
    <row r="10" spans="1:8" x14ac:dyDescent="0.2">
      <c r="A10" s="2" t="s">
        <v>16</v>
      </c>
      <c r="B10" s="3">
        <v>149</v>
      </c>
      <c r="C10" s="3">
        <v>134</v>
      </c>
      <c r="D10" s="3">
        <v>248</v>
      </c>
      <c r="E10" s="3">
        <v>139</v>
      </c>
      <c r="F10" s="3">
        <v>402</v>
      </c>
      <c r="G10" s="12">
        <f>SUM(GovBySenateDistrict46General[[#This Row],[Greene County Vote Results]:[Part of Ulster County Vote Results]])</f>
        <v>1072</v>
      </c>
      <c r="H10" s="14"/>
    </row>
    <row r="11" spans="1:8" x14ac:dyDescent="0.2">
      <c r="A11" s="2" t="s">
        <v>10</v>
      </c>
      <c r="B11" s="3">
        <v>370</v>
      </c>
      <c r="C11" s="3">
        <v>398</v>
      </c>
      <c r="D11" s="3">
        <v>513</v>
      </c>
      <c r="E11" s="3">
        <v>420</v>
      </c>
      <c r="F11" s="3">
        <v>233</v>
      </c>
      <c r="G11" s="12">
        <f>SUM(GovBySenateDistrict46General[[#This Row],[Greene County Vote Results]:[Part of Ulster County Vote Results]])</f>
        <v>1934</v>
      </c>
      <c r="H11" s="13">
        <f>GovBySenateDistrict46General[[#This Row],[Total Votes by Party]]</f>
        <v>1934</v>
      </c>
    </row>
    <row r="12" spans="1:8" x14ac:dyDescent="0.2">
      <c r="A12" s="4" t="s">
        <v>11</v>
      </c>
      <c r="B12" s="3">
        <v>194</v>
      </c>
      <c r="C12" s="3">
        <v>188</v>
      </c>
      <c r="D12" s="3">
        <v>672</v>
      </c>
      <c r="E12" s="3">
        <v>217</v>
      </c>
      <c r="F12" s="3">
        <v>672</v>
      </c>
      <c r="G12" s="12">
        <f>SUM(GovBySenateDistrict46General[[#This Row],[Greene County Vote Results]:[Part of Ulster County Vote Results]])</f>
        <v>1943</v>
      </c>
      <c r="H12" s="13">
        <f>GovBySenateDistrict46General[[#This Row],[Total Votes by Party]]</f>
        <v>1943</v>
      </c>
    </row>
    <row r="13" spans="1:8" x14ac:dyDescent="0.2">
      <c r="A13" s="4" t="s">
        <v>0</v>
      </c>
      <c r="B13" s="3">
        <v>910</v>
      </c>
      <c r="C13" s="3">
        <v>450</v>
      </c>
      <c r="D13" s="3">
        <v>656</v>
      </c>
      <c r="E13" s="3">
        <v>248</v>
      </c>
      <c r="F13" s="3">
        <v>0</v>
      </c>
      <c r="G13" s="12">
        <f>SUM(GovBySenateDistrict46General[[#This Row],[Greene County Vote Results]:[Part of Ulster County Vote Results]])</f>
        <v>2264</v>
      </c>
      <c r="H13" s="14"/>
    </row>
    <row r="14" spans="1:8" x14ac:dyDescent="0.2">
      <c r="A14" s="4" t="s">
        <v>1</v>
      </c>
      <c r="B14" s="3">
        <v>31</v>
      </c>
      <c r="C14" s="3">
        <v>17</v>
      </c>
      <c r="D14" s="3">
        <v>55</v>
      </c>
      <c r="E14" s="3">
        <v>83</v>
      </c>
      <c r="F14" s="3">
        <v>0</v>
      </c>
      <c r="G14" s="12">
        <f>SUM(GovBySenateDistrict46General[[#This Row],[Greene County Vote Results]:[Part of Ulster County Vote Results]])</f>
        <v>186</v>
      </c>
      <c r="H14" s="14"/>
    </row>
    <row r="15" spans="1:8" x14ac:dyDescent="0.2">
      <c r="A15" s="4" t="s">
        <v>2</v>
      </c>
      <c r="B15" s="5">
        <v>19</v>
      </c>
      <c r="C15" s="5">
        <v>8</v>
      </c>
      <c r="D15" s="5">
        <v>0</v>
      </c>
      <c r="E15" s="5">
        <v>13</v>
      </c>
      <c r="F15" s="5">
        <v>0</v>
      </c>
      <c r="G15" s="12">
        <f>SUM(GovBySenateDistrict46General[[#This Row],[Greene County Vote Results]:[Part of Ulster County Vote Results]])</f>
        <v>40</v>
      </c>
      <c r="H15" s="14"/>
    </row>
    <row r="16" spans="1:8" hidden="1" x14ac:dyDescent="0.2">
      <c r="A16" s="4" t="s">
        <v>4</v>
      </c>
      <c r="B16" s="6">
        <f>SUBTOTAL(109,GovBySenateDistrict46General[Greene County Vote Results])</f>
        <v>20111</v>
      </c>
      <c r="C16" s="6"/>
      <c r="D16" s="6"/>
      <c r="E16" s="6"/>
      <c r="F16" s="6">
        <f>SUBTOTAL(109,GovBySenateDistrict46General[Part of Ulster County Vote Results])</f>
        <v>178177</v>
      </c>
      <c r="G16" s="6"/>
      <c r="H16" s="9"/>
    </row>
  </sheetData>
  <pageMargins left="0.7" right="0.7" top="0.75" bottom="0.75" header="0.3" footer="0.3"/>
  <tableParts count="1">
    <tablePart r:id="rId1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F229F-D41C-4152-BD1D-04BDF9DA8CFF}">
  <dimension ref="A1:F16"/>
  <sheetViews>
    <sheetView workbookViewId="0">
      <selection activeCell="C18" sqref="C18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24.75" customHeight="1" x14ac:dyDescent="0.2">
      <c r="A1" s="1" t="s">
        <v>119</v>
      </c>
    </row>
    <row r="2" spans="1:6" ht="25.5" x14ac:dyDescent="0.2">
      <c r="A2" s="7" t="s">
        <v>12</v>
      </c>
      <c r="B2" s="8" t="s">
        <v>45</v>
      </c>
      <c r="C2" s="8" t="s">
        <v>29</v>
      </c>
      <c r="D2" s="8" t="s">
        <v>44</v>
      </c>
      <c r="E2" s="10" t="s">
        <v>141</v>
      </c>
      <c r="F2" s="11" t="s">
        <v>5</v>
      </c>
    </row>
    <row r="3" spans="1:6" x14ac:dyDescent="0.2">
      <c r="A3" s="2" t="s">
        <v>3</v>
      </c>
      <c r="B3" s="3">
        <v>1718</v>
      </c>
      <c r="C3" s="3">
        <v>23783</v>
      </c>
      <c r="D3" s="3">
        <v>4855</v>
      </c>
      <c r="E3" s="12">
        <f>SUM(GovBySenateDistrict47General[[#This Row],[Lewis County Vote Results]:[Part of St. Lawrence County Vote Results]])</f>
        <v>30356</v>
      </c>
      <c r="F3" s="13">
        <f>SUM(E3,E7,E8,E9)</f>
        <v>32656</v>
      </c>
    </row>
    <row r="4" spans="1:6" x14ac:dyDescent="0.2">
      <c r="A4" s="2" t="s">
        <v>14</v>
      </c>
      <c r="B4" s="3">
        <v>5945</v>
      </c>
      <c r="C4" s="3">
        <v>38019</v>
      </c>
      <c r="D4" s="3">
        <v>6045</v>
      </c>
      <c r="E4" s="12">
        <f>SUM(GovBySenateDistrict47General[[#This Row],[Lewis County Vote Results]:[Part of St. Lawrence County Vote Results]])</f>
        <v>50009</v>
      </c>
      <c r="F4" s="13">
        <f>SUM(E4,E5,E10)</f>
        <v>55976</v>
      </c>
    </row>
    <row r="5" spans="1:6" x14ac:dyDescent="0.2">
      <c r="A5" s="2" t="s">
        <v>15</v>
      </c>
      <c r="B5" s="3">
        <v>534</v>
      </c>
      <c r="C5" s="3">
        <v>4189</v>
      </c>
      <c r="D5" s="3">
        <v>615</v>
      </c>
      <c r="E5" s="12">
        <f>SUM(GovBySenateDistrict47General[[#This Row],[Lewis County Vote Results]:[Part of St. Lawrence County Vote Results]])</f>
        <v>5338</v>
      </c>
      <c r="F5" s="14"/>
    </row>
    <row r="6" spans="1:6" x14ac:dyDescent="0.2">
      <c r="A6" s="2" t="s">
        <v>6</v>
      </c>
      <c r="B6" s="3">
        <v>102</v>
      </c>
      <c r="C6" s="3">
        <v>974</v>
      </c>
      <c r="D6" s="3">
        <v>257</v>
      </c>
      <c r="E6" s="12">
        <f>SUM(GovBySenateDistrict47General[[#This Row],[Lewis County Vote Results]:[Part of St. Lawrence County Vote Results]])</f>
        <v>1333</v>
      </c>
      <c r="F6" s="13">
        <f>GovBySenateDistrict47General[[#This Row],[Total Votes by Party]]</f>
        <v>1333</v>
      </c>
    </row>
    <row r="7" spans="1:6" x14ac:dyDescent="0.2">
      <c r="A7" s="2" t="s">
        <v>7</v>
      </c>
      <c r="B7" s="3">
        <v>34</v>
      </c>
      <c r="C7" s="3">
        <v>599</v>
      </c>
      <c r="D7" s="3">
        <v>118</v>
      </c>
      <c r="E7" s="12">
        <f>SUM(GovBySenateDistrict47General[[#This Row],[Lewis County Vote Results]:[Part of St. Lawrence County Vote Results]])</f>
        <v>751</v>
      </c>
      <c r="F7" s="14"/>
    </row>
    <row r="8" spans="1:6" x14ac:dyDescent="0.2">
      <c r="A8" s="2" t="s">
        <v>8</v>
      </c>
      <c r="B8" s="3">
        <v>71</v>
      </c>
      <c r="C8" s="3">
        <v>1017</v>
      </c>
      <c r="D8" s="3">
        <v>99</v>
      </c>
      <c r="E8" s="12">
        <f>SUM(GovBySenateDistrict47General[[#This Row],[Lewis County Vote Results]:[Part of St. Lawrence County Vote Results]])</f>
        <v>1187</v>
      </c>
      <c r="F8" s="14"/>
    </row>
    <row r="9" spans="1:6" x14ac:dyDescent="0.2">
      <c r="A9" s="2" t="s">
        <v>9</v>
      </c>
      <c r="B9" s="3">
        <v>31</v>
      </c>
      <c r="C9" s="3">
        <v>265</v>
      </c>
      <c r="D9" s="3">
        <v>66</v>
      </c>
      <c r="E9" s="12">
        <f>SUM(GovBySenateDistrict47General[[#This Row],[Lewis County Vote Results]:[Part of St. Lawrence County Vote Results]])</f>
        <v>362</v>
      </c>
      <c r="F9" s="14"/>
    </row>
    <row r="10" spans="1:6" x14ac:dyDescent="0.2">
      <c r="A10" s="2" t="s">
        <v>16</v>
      </c>
      <c r="B10" s="3">
        <v>74</v>
      </c>
      <c r="C10" s="3">
        <v>461</v>
      </c>
      <c r="D10" s="3">
        <v>94</v>
      </c>
      <c r="E10" s="12">
        <f>SUM(GovBySenateDistrict47General[[#This Row],[Lewis County Vote Results]:[Part of St. Lawrence County Vote Results]])</f>
        <v>629</v>
      </c>
      <c r="F10" s="14"/>
    </row>
    <row r="11" spans="1:6" x14ac:dyDescent="0.2">
      <c r="A11" s="2" t="s">
        <v>10</v>
      </c>
      <c r="B11" s="3">
        <v>412</v>
      </c>
      <c r="C11" s="3">
        <v>3056</v>
      </c>
      <c r="D11" s="3">
        <v>791</v>
      </c>
      <c r="E11" s="12">
        <f>SUM(GovBySenateDistrict47General[[#This Row],[Lewis County Vote Results]:[Part of St. Lawrence County Vote Results]])</f>
        <v>4259</v>
      </c>
      <c r="F11" s="13">
        <f>GovBySenateDistrict47General[[#This Row],[Total Votes by Party]]</f>
        <v>4259</v>
      </c>
    </row>
    <row r="12" spans="1:6" x14ac:dyDescent="0.2">
      <c r="A12" s="4" t="s">
        <v>11</v>
      </c>
      <c r="B12" s="3">
        <v>130</v>
      </c>
      <c r="C12" s="3">
        <v>1369</v>
      </c>
      <c r="D12" s="3">
        <v>166</v>
      </c>
      <c r="E12" s="12">
        <f>SUM(GovBySenateDistrict47General[[#This Row],[Lewis County Vote Results]:[Part of St. Lawrence County Vote Results]])</f>
        <v>1665</v>
      </c>
      <c r="F12" s="13">
        <f>GovBySenateDistrict47General[[#This Row],[Total Votes by Party]]</f>
        <v>1665</v>
      </c>
    </row>
    <row r="13" spans="1:6" x14ac:dyDescent="0.2">
      <c r="A13" s="4" t="s">
        <v>0</v>
      </c>
      <c r="B13" s="3">
        <v>333</v>
      </c>
      <c r="C13" s="3">
        <v>2324</v>
      </c>
      <c r="D13" s="3">
        <v>600</v>
      </c>
      <c r="E13" s="12">
        <f>SUM(GovBySenateDistrict47General[[#This Row],[Lewis County Vote Results]:[Part of St. Lawrence County Vote Results]])</f>
        <v>3257</v>
      </c>
      <c r="F13" s="14"/>
    </row>
    <row r="14" spans="1:6" x14ac:dyDescent="0.2">
      <c r="A14" s="4" t="s">
        <v>1</v>
      </c>
      <c r="B14" s="3">
        <v>0</v>
      </c>
      <c r="C14" s="3">
        <v>0</v>
      </c>
      <c r="D14" s="3">
        <v>0</v>
      </c>
      <c r="E14" s="12">
        <f>SUM(GovBySenateDistrict47General[[#This Row],[Lewis County Vote Results]:[Part of St. Lawrence County Vote Results]])</f>
        <v>0</v>
      </c>
      <c r="F14" s="14"/>
    </row>
    <row r="15" spans="1:6" x14ac:dyDescent="0.2">
      <c r="A15" s="4" t="s">
        <v>2</v>
      </c>
      <c r="B15" s="5">
        <v>5</v>
      </c>
      <c r="C15" s="5">
        <v>24</v>
      </c>
      <c r="D15" s="5">
        <v>11</v>
      </c>
      <c r="E15" s="12">
        <f>SUM(GovBySenateDistrict47General[[#This Row],[Lewis County Vote Results]:[Part of St. Lawrence County Vote Results]])</f>
        <v>40</v>
      </c>
      <c r="F15" s="14"/>
    </row>
    <row r="16" spans="1:6" hidden="1" x14ac:dyDescent="0.2">
      <c r="A16" s="4" t="s">
        <v>4</v>
      </c>
      <c r="B16" s="6">
        <f>SUBTOTAL(109,GovBySenateDistrict47General[Lewis County Vote Results])</f>
        <v>9389</v>
      </c>
      <c r="C16" s="6"/>
      <c r="D16" s="6">
        <f>SUBTOTAL(109,GovBySenateDistrict47General[Part of St. Lawrence County Vote Results])</f>
        <v>13717</v>
      </c>
      <c r="E16" s="6"/>
      <c r="F16" s="9"/>
    </row>
  </sheetData>
  <pageMargins left="0.7" right="0.7" top="0.75" bottom="0.75" header="0.3" footer="0.3"/>
  <tableParts count="1">
    <tablePart r:id="rId1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B1336-CE2C-46C5-8229-25C8C11C00FB}">
  <dimension ref="A1:F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24.75" customHeight="1" x14ac:dyDescent="0.2">
      <c r="A1" s="1" t="s">
        <v>120</v>
      </c>
    </row>
    <row r="2" spans="1:6" ht="25.5" x14ac:dyDescent="0.2">
      <c r="A2" s="7" t="s">
        <v>12</v>
      </c>
      <c r="B2" s="8" t="s">
        <v>66</v>
      </c>
      <c r="C2" s="8" t="s">
        <v>121</v>
      </c>
      <c r="D2" s="8" t="s">
        <v>44</v>
      </c>
      <c r="E2" s="10" t="s">
        <v>141</v>
      </c>
      <c r="F2" s="11" t="s">
        <v>5</v>
      </c>
    </row>
    <row r="3" spans="1:6" x14ac:dyDescent="0.2">
      <c r="A3" s="2" t="s">
        <v>3</v>
      </c>
      <c r="B3" s="3">
        <v>8284</v>
      </c>
      <c r="C3" s="3">
        <v>10969</v>
      </c>
      <c r="D3" s="3">
        <v>10678</v>
      </c>
      <c r="E3" s="12">
        <f>SUM(GovBySenateDistrict48General[[#This Row],[Jefferson County Vote Results]:[Part of St. Lawrence County Vote Results]])</f>
        <v>29931</v>
      </c>
      <c r="F3" s="13">
        <f>SUM(E3,E7,E8,E9)</f>
        <v>32082</v>
      </c>
    </row>
    <row r="4" spans="1:6" x14ac:dyDescent="0.2">
      <c r="A4" s="2" t="s">
        <v>14</v>
      </c>
      <c r="B4" s="3">
        <v>17092</v>
      </c>
      <c r="C4" s="3">
        <v>20296</v>
      </c>
      <c r="D4" s="3">
        <v>16632</v>
      </c>
      <c r="E4" s="12">
        <f>SUM(GovBySenateDistrict48General[[#This Row],[Jefferson County Vote Results]:[Part of St. Lawrence County Vote Results]])</f>
        <v>54020</v>
      </c>
      <c r="F4" s="13">
        <f>SUM(E4,E5,E10)</f>
        <v>60825</v>
      </c>
    </row>
    <row r="5" spans="1:6" x14ac:dyDescent="0.2">
      <c r="A5" s="2" t="s">
        <v>15</v>
      </c>
      <c r="B5" s="3">
        <v>1737</v>
      </c>
      <c r="C5" s="3">
        <v>2583</v>
      </c>
      <c r="D5" s="3">
        <v>1762</v>
      </c>
      <c r="E5" s="12">
        <f>SUM(GovBySenateDistrict48General[[#This Row],[Jefferson County Vote Results]:[Part of St. Lawrence County Vote Results]])</f>
        <v>6082</v>
      </c>
      <c r="F5" s="14"/>
    </row>
    <row r="6" spans="1:6" x14ac:dyDescent="0.2">
      <c r="A6" s="2" t="s">
        <v>6</v>
      </c>
      <c r="B6" s="3">
        <v>401</v>
      </c>
      <c r="C6" s="3">
        <v>650</v>
      </c>
      <c r="D6" s="3">
        <v>538</v>
      </c>
      <c r="E6" s="12">
        <f>SUM(GovBySenateDistrict48General[[#This Row],[Jefferson County Vote Results]:[Part of St. Lawrence County Vote Results]])</f>
        <v>1589</v>
      </c>
      <c r="F6" s="13">
        <f>GovBySenateDistrict48General[[#This Row],[Total Votes by Party]]</f>
        <v>1589</v>
      </c>
    </row>
    <row r="7" spans="1:6" x14ac:dyDescent="0.2">
      <c r="A7" s="2" t="s">
        <v>7</v>
      </c>
      <c r="B7" s="3">
        <v>178</v>
      </c>
      <c r="C7" s="3">
        <v>268</v>
      </c>
      <c r="D7" s="3">
        <v>281</v>
      </c>
      <c r="E7" s="12">
        <f>SUM(GovBySenateDistrict48General[[#This Row],[Jefferson County Vote Results]:[Part of St. Lawrence County Vote Results]])</f>
        <v>727</v>
      </c>
      <c r="F7" s="14"/>
    </row>
    <row r="8" spans="1:6" x14ac:dyDescent="0.2">
      <c r="A8" s="2" t="s">
        <v>8</v>
      </c>
      <c r="B8" s="3">
        <v>293</v>
      </c>
      <c r="C8" s="3">
        <v>448</v>
      </c>
      <c r="D8" s="3">
        <v>280</v>
      </c>
      <c r="E8" s="12">
        <f>SUM(GovBySenateDistrict48General[[#This Row],[Jefferson County Vote Results]:[Part of St. Lawrence County Vote Results]])</f>
        <v>1021</v>
      </c>
      <c r="F8" s="14"/>
    </row>
    <row r="9" spans="1:6" x14ac:dyDescent="0.2">
      <c r="A9" s="2" t="s">
        <v>9</v>
      </c>
      <c r="B9" s="3">
        <v>107</v>
      </c>
      <c r="C9" s="3">
        <v>159</v>
      </c>
      <c r="D9" s="3">
        <v>137</v>
      </c>
      <c r="E9" s="12">
        <f>SUM(GovBySenateDistrict48General[[#This Row],[Jefferson County Vote Results]:[Part of St. Lawrence County Vote Results]])</f>
        <v>403</v>
      </c>
      <c r="F9" s="14"/>
    </row>
    <row r="10" spans="1:6" x14ac:dyDescent="0.2">
      <c r="A10" s="2" t="s">
        <v>16</v>
      </c>
      <c r="B10" s="3">
        <v>235</v>
      </c>
      <c r="C10" s="3">
        <v>250</v>
      </c>
      <c r="D10" s="3">
        <v>238</v>
      </c>
      <c r="E10" s="12">
        <f>SUM(GovBySenateDistrict48General[[#This Row],[Jefferson County Vote Results]:[Part of St. Lawrence County Vote Results]])</f>
        <v>723</v>
      </c>
      <c r="F10" s="14"/>
    </row>
    <row r="11" spans="1:6" x14ac:dyDescent="0.2">
      <c r="A11" s="2" t="s">
        <v>10</v>
      </c>
      <c r="B11" s="3">
        <v>867</v>
      </c>
      <c r="C11" s="3">
        <v>1755</v>
      </c>
      <c r="D11" s="3">
        <v>1530</v>
      </c>
      <c r="E11" s="12">
        <f>SUM(GovBySenateDistrict48General[[#This Row],[Jefferson County Vote Results]:[Part of St. Lawrence County Vote Results]])</f>
        <v>4152</v>
      </c>
      <c r="F11" s="13">
        <f>GovBySenateDistrict48General[[#This Row],[Total Votes by Party]]</f>
        <v>4152</v>
      </c>
    </row>
    <row r="12" spans="1:6" x14ac:dyDescent="0.2">
      <c r="A12" s="4" t="s">
        <v>11</v>
      </c>
      <c r="B12" s="3">
        <v>605</v>
      </c>
      <c r="C12" s="3">
        <v>1275</v>
      </c>
      <c r="D12" s="3">
        <v>402</v>
      </c>
      <c r="E12" s="12">
        <f>SUM(GovBySenateDistrict48General[[#This Row],[Jefferson County Vote Results]:[Part of St. Lawrence County Vote Results]])</f>
        <v>2282</v>
      </c>
      <c r="F12" s="13">
        <f>GovBySenateDistrict48General[[#This Row],[Total Votes by Party]]</f>
        <v>2282</v>
      </c>
    </row>
    <row r="13" spans="1:6" x14ac:dyDescent="0.2">
      <c r="A13" s="4" t="s">
        <v>0</v>
      </c>
      <c r="B13" s="3">
        <v>776</v>
      </c>
      <c r="C13" s="3">
        <v>1219</v>
      </c>
      <c r="D13" s="3">
        <v>1604</v>
      </c>
      <c r="E13" s="12">
        <f>SUM(GovBySenateDistrict48General[[#This Row],[Jefferson County Vote Results]:[Part of St. Lawrence County Vote Results]])</f>
        <v>3599</v>
      </c>
      <c r="F13" s="14"/>
    </row>
    <row r="14" spans="1:6" x14ac:dyDescent="0.2">
      <c r="A14" s="4" t="s">
        <v>1</v>
      </c>
      <c r="B14" s="3">
        <v>80</v>
      </c>
      <c r="C14" s="3">
        <v>63</v>
      </c>
      <c r="D14" s="3">
        <v>0</v>
      </c>
      <c r="E14" s="12">
        <f>SUM(GovBySenateDistrict48General[[#This Row],[Jefferson County Vote Results]:[Part of St. Lawrence County Vote Results]])</f>
        <v>143</v>
      </c>
      <c r="F14" s="14"/>
    </row>
    <row r="15" spans="1:6" x14ac:dyDescent="0.2">
      <c r="A15" s="4" t="s">
        <v>2</v>
      </c>
      <c r="B15" s="5">
        <v>18</v>
      </c>
      <c r="C15" s="5">
        <v>11</v>
      </c>
      <c r="D15" s="5">
        <v>21</v>
      </c>
      <c r="E15" s="12">
        <f>SUM(GovBySenateDistrict48General[[#This Row],[Jefferson County Vote Results]:[Part of St. Lawrence County Vote Results]])</f>
        <v>50</v>
      </c>
      <c r="F15" s="14"/>
    </row>
    <row r="16" spans="1:6" hidden="1" x14ac:dyDescent="0.2">
      <c r="A16" s="4" t="s">
        <v>4</v>
      </c>
      <c r="B16" s="6">
        <f>SUBTOTAL(109,GovBySenateDistrict48General[Jefferson County Vote Results])</f>
        <v>30673</v>
      </c>
      <c r="C16" s="6"/>
      <c r="D16" s="6">
        <f>SUBTOTAL(109,GovBySenateDistrict48General[Part of St. Lawrence County Vote Results])</f>
        <v>34103</v>
      </c>
      <c r="E16" s="6"/>
      <c r="F16" s="9"/>
    </row>
  </sheetData>
  <pageMargins left="0.7" right="0.7" top="0.75" bottom="0.75" header="0.3" footer="0.3"/>
  <tableParts count="1">
    <tablePart r:id="rId1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A4F34-FB34-416A-BEC1-15499449C71D}">
  <dimension ref="A1:H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8" width="20.5703125" customWidth="1"/>
    <col min="9" max="10" width="23.5703125" customWidth="1"/>
  </cols>
  <sheetData>
    <row r="1" spans="1:8" ht="24.75" customHeight="1" x14ac:dyDescent="0.2">
      <c r="A1" s="1" t="s">
        <v>122</v>
      </c>
    </row>
    <row r="2" spans="1:8" ht="25.5" x14ac:dyDescent="0.2">
      <c r="A2" s="7" t="s">
        <v>12</v>
      </c>
      <c r="B2" s="8" t="s">
        <v>46</v>
      </c>
      <c r="C2" s="8" t="s">
        <v>47</v>
      </c>
      <c r="D2" s="8" t="s">
        <v>28</v>
      </c>
      <c r="E2" s="8" t="s">
        <v>37</v>
      </c>
      <c r="F2" s="8" t="s">
        <v>38</v>
      </c>
      <c r="G2" s="10" t="s">
        <v>141</v>
      </c>
      <c r="H2" s="11" t="s">
        <v>5</v>
      </c>
    </row>
    <row r="3" spans="1:8" x14ac:dyDescent="0.2">
      <c r="A3" s="2" t="s">
        <v>3</v>
      </c>
      <c r="B3" s="3">
        <v>3846</v>
      </c>
      <c r="C3" s="3">
        <v>676</v>
      </c>
      <c r="D3" s="3">
        <v>984</v>
      </c>
      <c r="E3" s="3">
        <v>16117</v>
      </c>
      <c r="F3" s="3">
        <v>17178</v>
      </c>
      <c r="G3" s="12">
        <f>SUM(GovBySenateDistrict49General[[#This Row],[Fulton County Vote Results]:[Part of Schenectady County Vote Results]])</f>
        <v>38801</v>
      </c>
      <c r="H3" s="13">
        <f>SUM(G3,G7,G8,G9)</f>
        <v>41924</v>
      </c>
    </row>
    <row r="4" spans="1:8" x14ac:dyDescent="0.2">
      <c r="A4" s="2" t="s">
        <v>14</v>
      </c>
      <c r="B4" s="3">
        <v>10717</v>
      </c>
      <c r="C4" s="3">
        <v>1606</v>
      </c>
      <c r="D4" s="3">
        <v>2776</v>
      </c>
      <c r="E4" s="3">
        <v>22352</v>
      </c>
      <c r="F4" s="3">
        <v>14241</v>
      </c>
      <c r="G4" s="12">
        <f>SUM(GovBySenateDistrict49General[[#This Row],[Fulton County Vote Results]:[Part of Schenectady County Vote Results]])</f>
        <v>51692</v>
      </c>
      <c r="H4" s="13">
        <f>SUM(G4,G5,G10)</f>
        <v>59831</v>
      </c>
    </row>
    <row r="5" spans="1:8" x14ac:dyDescent="0.2">
      <c r="A5" s="2" t="s">
        <v>15</v>
      </c>
      <c r="B5" s="3">
        <v>1079</v>
      </c>
      <c r="C5" s="3">
        <v>172</v>
      </c>
      <c r="D5" s="3">
        <v>288</v>
      </c>
      <c r="E5" s="3">
        <v>3649</v>
      </c>
      <c r="F5" s="3">
        <v>2153</v>
      </c>
      <c r="G5" s="12">
        <f>SUM(GovBySenateDistrict49General[[#This Row],[Fulton County Vote Results]:[Part of Schenectady County Vote Results]])</f>
        <v>7341</v>
      </c>
      <c r="H5" s="14"/>
    </row>
    <row r="6" spans="1:8" x14ac:dyDescent="0.2">
      <c r="A6" s="2" t="s">
        <v>6</v>
      </c>
      <c r="B6" s="3">
        <v>203</v>
      </c>
      <c r="C6" s="3">
        <v>23</v>
      </c>
      <c r="D6" s="3">
        <v>64</v>
      </c>
      <c r="E6" s="3">
        <v>905</v>
      </c>
      <c r="F6" s="3">
        <v>1090</v>
      </c>
      <c r="G6" s="12">
        <f>SUM(GovBySenateDistrict49General[[#This Row],[Fulton County Vote Results]:[Part of Schenectady County Vote Results]])</f>
        <v>2285</v>
      </c>
      <c r="H6" s="13">
        <f>GovBySenateDistrict49General[[#This Row],[Total Votes by Party]]</f>
        <v>2285</v>
      </c>
    </row>
    <row r="7" spans="1:8" x14ac:dyDescent="0.2">
      <c r="A7" s="2" t="s">
        <v>7</v>
      </c>
      <c r="B7" s="3">
        <v>85</v>
      </c>
      <c r="C7" s="3">
        <v>19</v>
      </c>
      <c r="D7" s="3">
        <v>13</v>
      </c>
      <c r="E7" s="3">
        <v>488</v>
      </c>
      <c r="F7" s="3">
        <v>674</v>
      </c>
      <c r="G7" s="12">
        <f>SUM(GovBySenateDistrict49General[[#This Row],[Fulton County Vote Results]:[Part of Schenectady County Vote Results]])</f>
        <v>1279</v>
      </c>
      <c r="H7" s="14"/>
    </row>
    <row r="8" spans="1:8" x14ac:dyDescent="0.2">
      <c r="A8" s="2" t="s">
        <v>8</v>
      </c>
      <c r="B8" s="3">
        <v>101</v>
      </c>
      <c r="C8" s="3">
        <v>17</v>
      </c>
      <c r="D8" s="3">
        <v>27</v>
      </c>
      <c r="E8" s="3">
        <v>604</v>
      </c>
      <c r="F8" s="3">
        <v>514</v>
      </c>
      <c r="G8" s="12">
        <f>SUM(GovBySenateDistrict49General[[#This Row],[Fulton County Vote Results]:[Part of Schenectady County Vote Results]])</f>
        <v>1263</v>
      </c>
      <c r="H8" s="14"/>
    </row>
    <row r="9" spans="1:8" x14ac:dyDescent="0.2">
      <c r="A9" s="2" t="s">
        <v>9</v>
      </c>
      <c r="B9" s="3">
        <v>48</v>
      </c>
      <c r="C9" s="3">
        <v>10</v>
      </c>
      <c r="D9" s="3">
        <v>13</v>
      </c>
      <c r="E9" s="3">
        <v>268</v>
      </c>
      <c r="F9" s="3">
        <v>242</v>
      </c>
      <c r="G9" s="12">
        <f>SUM(GovBySenateDistrict49General[[#This Row],[Fulton County Vote Results]:[Part of Schenectady County Vote Results]])</f>
        <v>581</v>
      </c>
      <c r="H9" s="14"/>
    </row>
    <row r="10" spans="1:8" x14ac:dyDescent="0.2">
      <c r="A10" s="2" t="s">
        <v>16</v>
      </c>
      <c r="B10" s="3">
        <v>105</v>
      </c>
      <c r="C10" s="3">
        <v>14</v>
      </c>
      <c r="D10" s="3">
        <v>37</v>
      </c>
      <c r="E10" s="3">
        <v>370</v>
      </c>
      <c r="F10" s="3">
        <v>272</v>
      </c>
      <c r="G10" s="12">
        <f>SUM(GovBySenateDistrict49General[[#This Row],[Fulton County Vote Results]:[Part of Schenectady County Vote Results]])</f>
        <v>798</v>
      </c>
      <c r="H10" s="14"/>
    </row>
    <row r="11" spans="1:8" x14ac:dyDescent="0.2">
      <c r="A11" s="2" t="s">
        <v>10</v>
      </c>
      <c r="B11" s="3">
        <v>476</v>
      </c>
      <c r="C11" s="3">
        <v>210</v>
      </c>
      <c r="D11" s="3">
        <v>158</v>
      </c>
      <c r="E11" s="3">
        <v>1038</v>
      </c>
      <c r="F11" s="3">
        <v>750</v>
      </c>
      <c r="G11" s="12">
        <f>SUM(GovBySenateDistrict49General[[#This Row],[Fulton County Vote Results]:[Part of Schenectady County Vote Results]])</f>
        <v>2632</v>
      </c>
      <c r="H11" s="13">
        <f>GovBySenateDistrict49General[[#This Row],[Total Votes by Party]]</f>
        <v>2632</v>
      </c>
    </row>
    <row r="12" spans="1:8" x14ac:dyDescent="0.2">
      <c r="A12" s="4" t="s">
        <v>11</v>
      </c>
      <c r="B12" s="3">
        <v>159</v>
      </c>
      <c r="C12" s="3">
        <v>31</v>
      </c>
      <c r="D12" s="3">
        <v>63</v>
      </c>
      <c r="E12" s="3">
        <v>844</v>
      </c>
      <c r="F12" s="3">
        <v>665</v>
      </c>
      <c r="G12" s="12">
        <f>SUM(GovBySenateDistrict49General[[#This Row],[Fulton County Vote Results]:[Part of Schenectady County Vote Results]])</f>
        <v>1762</v>
      </c>
      <c r="H12" s="13">
        <f>GovBySenateDistrict49General[[#This Row],[Total Votes by Party]]</f>
        <v>1762</v>
      </c>
    </row>
    <row r="13" spans="1:8" x14ac:dyDescent="0.2">
      <c r="A13" s="4" t="s">
        <v>0</v>
      </c>
      <c r="B13" s="3">
        <v>636</v>
      </c>
      <c r="C13" s="3">
        <v>82</v>
      </c>
      <c r="D13" s="3">
        <v>118</v>
      </c>
      <c r="E13" s="3">
        <v>959</v>
      </c>
      <c r="F13" s="3">
        <v>543</v>
      </c>
      <c r="G13" s="12">
        <f>SUM(GovBySenateDistrict49General[[#This Row],[Fulton County Vote Results]:[Part of Schenectady County Vote Results]])</f>
        <v>2338</v>
      </c>
      <c r="H13" s="14"/>
    </row>
    <row r="14" spans="1:8" x14ac:dyDescent="0.2">
      <c r="A14" s="4" t="s">
        <v>1</v>
      </c>
      <c r="B14" s="3">
        <v>24</v>
      </c>
      <c r="C14" s="3">
        <v>4</v>
      </c>
      <c r="D14" s="3">
        <v>2</v>
      </c>
      <c r="E14" s="3">
        <v>38</v>
      </c>
      <c r="F14" s="3">
        <v>186</v>
      </c>
      <c r="G14" s="12">
        <f>SUM(GovBySenateDistrict49General[[#This Row],[Fulton County Vote Results]:[Part of Schenectady County Vote Results]])</f>
        <v>254</v>
      </c>
      <c r="H14" s="14"/>
    </row>
    <row r="15" spans="1:8" x14ac:dyDescent="0.2">
      <c r="A15" s="4" t="s">
        <v>2</v>
      </c>
      <c r="B15" s="5">
        <v>7</v>
      </c>
      <c r="C15" s="5">
        <v>0</v>
      </c>
      <c r="D15" s="5">
        <v>4</v>
      </c>
      <c r="E15" s="5">
        <v>36</v>
      </c>
      <c r="F15" s="5">
        <v>47</v>
      </c>
      <c r="G15" s="12">
        <f>SUM(GovBySenateDistrict49General[[#This Row],[Fulton County Vote Results]:[Part of Schenectady County Vote Results]])</f>
        <v>94</v>
      </c>
      <c r="H15" s="14"/>
    </row>
    <row r="16" spans="1:8" hidden="1" x14ac:dyDescent="0.2">
      <c r="A16" s="4" t="s">
        <v>4</v>
      </c>
      <c r="B16" s="6">
        <f>SUBTOTAL(109,GovBySenateDistrict49General[Fulton County Vote Results])</f>
        <v>17486</v>
      </c>
      <c r="C16" s="6"/>
      <c r="D16" s="6"/>
      <c r="E16" s="6"/>
      <c r="F16" s="6">
        <f>SUBTOTAL(109,GovBySenateDistrict49General[Part of Schenectady County Vote Results])</f>
        <v>38555</v>
      </c>
      <c r="G16" s="6"/>
      <c r="H16" s="9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2A7B5-5A1D-43E7-9378-6216E96CD794}">
  <dimension ref="A1:E16"/>
  <sheetViews>
    <sheetView workbookViewId="0">
      <selection activeCell="C18" sqref="C1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77</v>
      </c>
    </row>
    <row r="2" spans="1:5" ht="25.5" x14ac:dyDescent="0.2">
      <c r="A2" s="7" t="s">
        <v>12</v>
      </c>
      <c r="B2" s="8" t="s">
        <v>17</v>
      </c>
      <c r="C2" s="8" t="s">
        <v>13</v>
      </c>
      <c r="D2" s="10" t="s">
        <v>141</v>
      </c>
      <c r="E2" s="11" t="s">
        <v>5</v>
      </c>
    </row>
    <row r="3" spans="1:5" x14ac:dyDescent="0.2">
      <c r="A3" s="2" t="s">
        <v>3</v>
      </c>
      <c r="B3" s="3">
        <v>33867</v>
      </c>
      <c r="C3" s="3">
        <v>31173</v>
      </c>
      <c r="D3" s="12">
        <f>SUM(GovBySenateDistrict5General[[#This Row],[Part of Nassau County Vote Results]:[Part of Suffolk County Vote Results]])</f>
        <v>65040</v>
      </c>
      <c r="E3" s="13">
        <f>SUM(D3,D7,D8,D9)</f>
        <v>68136</v>
      </c>
    </row>
    <row r="4" spans="1:5" x14ac:dyDescent="0.2">
      <c r="A4" s="2" t="s">
        <v>14</v>
      </c>
      <c r="B4" s="3">
        <v>23904</v>
      </c>
      <c r="C4" s="3">
        <v>24073</v>
      </c>
      <c r="D4" s="12">
        <f>SUM(GovBySenateDistrict5General[[#This Row],[Part of Nassau County Vote Results]:[Part of Suffolk County Vote Results]])</f>
        <v>47977</v>
      </c>
      <c r="E4" s="13">
        <f>SUM(D4,D5,D10)</f>
        <v>53537</v>
      </c>
    </row>
    <row r="5" spans="1:5" x14ac:dyDescent="0.2">
      <c r="A5" s="2" t="s">
        <v>15</v>
      </c>
      <c r="B5" s="3">
        <v>2222</v>
      </c>
      <c r="C5" s="3">
        <v>2886</v>
      </c>
      <c r="D5" s="12">
        <f>SUM(GovBySenateDistrict5General[[#This Row],[Part of Nassau County Vote Results]:[Part of Suffolk County Vote Results]])</f>
        <v>5108</v>
      </c>
      <c r="E5" s="14"/>
    </row>
    <row r="6" spans="1:5" x14ac:dyDescent="0.2">
      <c r="A6" s="2" t="s">
        <v>6</v>
      </c>
      <c r="B6" s="3">
        <v>582</v>
      </c>
      <c r="C6" s="3">
        <v>602</v>
      </c>
      <c r="D6" s="12">
        <f>SUM(GovBySenateDistrict5General[[#This Row],[Part of Nassau County Vote Results]:[Part of Suffolk County Vote Results]])</f>
        <v>1184</v>
      </c>
      <c r="E6" s="13">
        <f>GovBySenateDistrict5General[[#This Row],[Total Votes by Party]]</f>
        <v>1184</v>
      </c>
    </row>
    <row r="7" spans="1:5" x14ac:dyDescent="0.2">
      <c r="A7" s="2" t="s">
        <v>7</v>
      </c>
      <c r="B7" s="3">
        <v>525</v>
      </c>
      <c r="C7" s="3">
        <v>644</v>
      </c>
      <c r="D7" s="12">
        <f>SUM(GovBySenateDistrict5General[[#This Row],[Part of Nassau County Vote Results]:[Part of Suffolk County Vote Results]])</f>
        <v>1169</v>
      </c>
      <c r="E7" s="14"/>
    </row>
    <row r="8" spans="1:5" x14ac:dyDescent="0.2">
      <c r="A8" s="2" t="s">
        <v>8</v>
      </c>
      <c r="B8" s="3">
        <v>475</v>
      </c>
      <c r="C8" s="3">
        <v>762</v>
      </c>
      <c r="D8" s="12">
        <f>SUM(GovBySenateDistrict5General[[#This Row],[Part of Nassau County Vote Results]:[Part of Suffolk County Vote Results]])</f>
        <v>1237</v>
      </c>
      <c r="E8" s="14"/>
    </row>
    <row r="9" spans="1:5" x14ac:dyDescent="0.2">
      <c r="A9" s="2" t="s">
        <v>9</v>
      </c>
      <c r="B9" s="3">
        <v>271</v>
      </c>
      <c r="C9" s="3">
        <v>419</v>
      </c>
      <c r="D9" s="12">
        <f>SUM(GovBySenateDistrict5General[[#This Row],[Part of Nassau County Vote Results]:[Part of Suffolk County Vote Results]])</f>
        <v>690</v>
      </c>
      <c r="E9" s="14"/>
    </row>
    <row r="10" spans="1:5" x14ac:dyDescent="0.2">
      <c r="A10" s="2" t="s">
        <v>16</v>
      </c>
      <c r="B10" s="3">
        <v>224</v>
      </c>
      <c r="C10" s="3">
        <v>228</v>
      </c>
      <c r="D10" s="12">
        <f>SUM(GovBySenateDistrict5General[[#This Row],[Part of Nassau County Vote Results]:[Part of Suffolk County Vote Results]])</f>
        <v>452</v>
      </c>
      <c r="E10" s="14"/>
    </row>
    <row r="11" spans="1:5" x14ac:dyDescent="0.2">
      <c r="A11" s="2" t="s">
        <v>10</v>
      </c>
      <c r="B11" s="3">
        <v>314</v>
      </c>
      <c r="C11" s="3">
        <v>407</v>
      </c>
      <c r="D11" s="12">
        <f>SUM(GovBySenateDistrict5General[[#This Row],[Part of Nassau County Vote Results]:[Part of Suffolk County Vote Results]])</f>
        <v>721</v>
      </c>
      <c r="E11" s="13">
        <f>GovBySenateDistrict5General[[#This Row],[Total Votes by Party]]</f>
        <v>721</v>
      </c>
    </row>
    <row r="12" spans="1:5" x14ac:dyDescent="0.2">
      <c r="A12" s="4" t="s">
        <v>11</v>
      </c>
      <c r="B12" s="3">
        <v>284</v>
      </c>
      <c r="C12" s="3">
        <v>343</v>
      </c>
      <c r="D12" s="12">
        <f>SUM(GovBySenateDistrict5General[[#This Row],[Part of Nassau County Vote Results]:[Part of Suffolk County Vote Results]])</f>
        <v>627</v>
      </c>
      <c r="E12" s="13">
        <f>GovBySenateDistrict5General[[#This Row],[Total Votes by Party]]</f>
        <v>627</v>
      </c>
    </row>
    <row r="13" spans="1:5" x14ac:dyDescent="0.2">
      <c r="A13" s="4" t="s">
        <v>0</v>
      </c>
      <c r="B13" s="3">
        <v>1389</v>
      </c>
      <c r="C13" s="3">
        <v>661</v>
      </c>
      <c r="D13" s="12">
        <f>SUM(GovBySenateDistrict5General[[#This Row],[Part of Nassau County Vote Results]:[Part of Suffolk County Vote Results]])</f>
        <v>2050</v>
      </c>
      <c r="E13" s="14"/>
    </row>
    <row r="14" spans="1:5" x14ac:dyDescent="0.2">
      <c r="A14" s="4" t="s">
        <v>1</v>
      </c>
      <c r="B14" s="3">
        <v>108</v>
      </c>
      <c r="C14" s="3">
        <v>43</v>
      </c>
      <c r="D14" s="12">
        <f>SUM(GovBySenateDistrict5General[[#This Row],[Part of Nassau County Vote Results]:[Part of Suffolk County Vote Results]])</f>
        <v>151</v>
      </c>
      <c r="E14" s="14"/>
    </row>
    <row r="15" spans="1:5" x14ac:dyDescent="0.2">
      <c r="A15" s="4" t="s">
        <v>2</v>
      </c>
      <c r="B15" s="5">
        <v>29</v>
      </c>
      <c r="C15" s="5">
        <v>22</v>
      </c>
      <c r="D15" s="12">
        <f>SUM(GovBySenateDistrict5General[[#This Row],[Part of Nassau County Vote Results]:[Part of Suffolk County Vote Results]])</f>
        <v>51</v>
      </c>
      <c r="E15" s="14"/>
    </row>
    <row r="16" spans="1:5" hidden="1" x14ac:dyDescent="0.2">
      <c r="A16" s="4" t="s">
        <v>4</v>
      </c>
      <c r="B16" s="6">
        <f>SUBTOTAL(109,GovBySenateDistrict5General[Part of Nassau County Vote Results])</f>
        <v>64194</v>
      </c>
      <c r="C16" s="6">
        <f>SUBTOTAL(109,GovBySenateDistrict5General[Part of Suffolk County Vote Results])</f>
        <v>62263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B244C-337B-427C-AE84-9FE45DF1D09C}">
  <dimension ref="A1:E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123</v>
      </c>
    </row>
    <row r="2" spans="1:5" ht="25.5" x14ac:dyDescent="0.2">
      <c r="A2" s="7" t="s">
        <v>12</v>
      </c>
      <c r="B2" s="8" t="s">
        <v>52</v>
      </c>
      <c r="C2" s="8" t="s">
        <v>48</v>
      </c>
      <c r="D2" s="10" t="s">
        <v>141</v>
      </c>
      <c r="E2" s="11" t="s">
        <v>5</v>
      </c>
    </row>
    <row r="3" spans="1:5" x14ac:dyDescent="0.2">
      <c r="A3" s="2" t="s">
        <v>3</v>
      </c>
      <c r="B3" s="3">
        <v>3632</v>
      </c>
      <c r="C3" s="3">
        <v>46635</v>
      </c>
      <c r="D3" s="12">
        <f>SUM(GovBySenateDistrict50General[[#This Row],[Part of Cayuga County Vote Results]:[Part of Onondaga County Vote Results]])</f>
        <v>50267</v>
      </c>
      <c r="E3" s="13">
        <f>SUM(D3,D7,D8,D9)</f>
        <v>54344</v>
      </c>
    </row>
    <row r="4" spans="1:5" x14ac:dyDescent="0.2">
      <c r="A4" s="2" t="s">
        <v>14</v>
      </c>
      <c r="B4" s="3">
        <v>4419</v>
      </c>
      <c r="C4" s="3">
        <v>43318</v>
      </c>
      <c r="D4" s="12">
        <f>SUM(GovBySenateDistrict50General[[#This Row],[Part of Cayuga County Vote Results]:[Part of Onondaga County Vote Results]])</f>
        <v>47737</v>
      </c>
      <c r="E4" s="13">
        <f>SUM(D4,D5,D10)</f>
        <v>56662</v>
      </c>
    </row>
    <row r="5" spans="1:5" x14ac:dyDescent="0.2">
      <c r="A5" s="2" t="s">
        <v>15</v>
      </c>
      <c r="B5" s="3">
        <v>633</v>
      </c>
      <c r="C5" s="3">
        <v>7469</v>
      </c>
      <c r="D5" s="12">
        <f>SUM(GovBySenateDistrict50General[[#This Row],[Part of Cayuga County Vote Results]:[Part of Onondaga County Vote Results]])</f>
        <v>8102</v>
      </c>
      <c r="E5" s="14"/>
    </row>
    <row r="6" spans="1:5" x14ac:dyDescent="0.2">
      <c r="A6" s="2" t="s">
        <v>6</v>
      </c>
      <c r="B6" s="3">
        <v>214</v>
      </c>
      <c r="C6" s="3">
        <v>2851</v>
      </c>
      <c r="D6" s="12">
        <f>SUM(GovBySenateDistrict50General[[#This Row],[Part of Cayuga County Vote Results]:[Part of Onondaga County Vote Results]])</f>
        <v>3065</v>
      </c>
      <c r="E6" s="13">
        <f>GovBySenateDistrict50General[[#This Row],[Total Votes by Party]]</f>
        <v>3065</v>
      </c>
    </row>
    <row r="7" spans="1:5" x14ac:dyDescent="0.2">
      <c r="A7" s="2" t="s">
        <v>7</v>
      </c>
      <c r="B7" s="3">
        <v>79</v>
      </c>
      <c r="C7" s="3">
        <v>1334</v>
      </c>
      <c r="D7" s="12">
        <f>SUM(GovBySenateDistrict50General[[#This Row],[Part of Cayuga County Vote Results]:[Part of Onondaga County Vote Results]])</f>
        <v>1413</v>
      </c>
      <c r="E7" s="14"/>
    </row>
    <row r="8" spans="1:5" x14ac:dyDescent="0.2">
      <c r="A8" s="2" t="s">
        <v>8</v>
      </c>
      <c r="B8" s="3">
        <v>141</v>
      </c>
      <c r="C8" s="3">
        <v>1852</v>
      </c>
      <c r="D8" s="12">
        <f>SUM(GovBySenateDistrict50General[[#This Row],[Part of Cayuga County Vote Results]:[Part of Onondaga County Vote Results]])</f>
        <v>1993</v>
      </c>
      <c r="E8" s="14"/>
    </row>
    <row r="9" spans="1:5" x14ac:dyDescent="0.2">
      <c r="A9" s="2" t="s">
        <v>9</v>
      </c>
      <c r="B9" s="3">
        <v>38</v>
      </c>
      <c r="C9" s="3">
        <v>633</v>
      </c>
      <c r="D9" s="12">
        <f>SUM(GovBySenateDistrict50General[[#This Row],[Part of Cayuga County Vote Results]:[Part of Onondaga County Vote Results]])</f>
        <v>671</v>
      </c>
      <c r="E9" s="14"/>
    </row>
    <row r="10" spans="1:5" x14ac:dyDescent="0.2">
      <c r="A10" s="2" t="s">
        <v>16</v>
      </c>
      <c r="B10" s="3">
        <v>65</v>
      </c>
      <c r="C10" s="3">
        <v>758</v>
      </c>
      <c r="D10" s="12">
        <f>SUM(GovBySenateDistrict50General[[#This Row],[Part of Cayuga County Vote Results]:[Part of Onondaga County Vote Results]])</f>
        <v>823</v>
      </c>
      <c r="E10" s="14"/>
    </row>
    <row r="11" spans="1:5" x14ac:dyDescent="0.2">
      <c r="A11" s="2" t="s">
        <v>10</v>
      </c>
      <c r="B11" s="3">
        <v>350</v>
      </c>
      <c r="C11" s="3">
        <v>2985</v>
      </c>
      <c r="D11" s="12">
        <f>SUM(GovBySenateDistrict50General[[#This Row],[Part of Cayuga County Vote Results]:[Part of Onondaga County Vote Results]])</f>
        <v>3335</v>
      </c>
      <c r="E11" s="13">
        <f>GovBySenateDistrict50General[[#This Row],[Total Votes by Party]]</f>
        <v>3335</v>
      </c>
    </row>
    <row r="12" spans="1:5" x14ac:dyDescent="0.2">
      <c r="A12" s="4" t="s">
        <v>11</v>
      </c>
      <c r="B12" s="3">
        <v>257</v>
      </c>
      <c r="C12" s="3">
        <v>3594</v>
      </c>
      <c r="D12" s="12">
        <f>SUM(GovBySenateDistrict50General[[#This Row],[Part of Cayuga County Vote Results]:[Part of Onondaga County Vote Results]])</f>
        <v>3851</v>
      </c>
      <c r="E12" s="13">
        <f>GovBySenateDistrict50General[[#This Row],[Total Votes by Party]]</f>
        <v>3851</v>
      </c>
    </row>
    <row r="13" spans="1:5" x14ac:dyDescent="0.2">
      <c r="A13" s="4" t="s">
        <v>0</v>
      </c>
      <c r="B13" s="3">
        <v>484</v>
      </c>
      <c r="C13" s="3">
        <v>2904</v>
      </c>
      <c r="D13" s="12">
        <f>SUM(GovBySenateDistrict50General[[#This Row],[Part of Cayuga County Vote Results]:[Part of Onondaga County Vote Results]])</f>
        <v>3388</v>
      </c>
      <c r="E13" s="14"/>
    </row>
    <row r="14" spans="1:5" x14ac:dyDescent="0.2">
      <c r="A14" s="4" t="s">
        <v>1</v>
      </c>
      <c r="B14" s="3">
        <v>20</v>
      </c>
      <c r="C14" s="3">
        <v>0</v>
      </c>
      <c r="D14" s="12">
        <f>SUM(GovBySenateDistrict50General[[#This Row],[Part of Cayuga County Vote Results]:[Part of Onondaga County Vote Results]])</f>
        <v>20</v>
      </c>
      <c r="E14" s="14"/>
    </row>
    <row r="15" spans="1:5" x14ac:dyDescent="0.2">
      <c r="A15" s="4" t="s">
        <v>2</v>
      </c>
      <c r="B15" s="5">
        <v>11</v>
      </c>
      <c r="C15" s="5">
        <v>80</v>
      </c>
      <c r="D15" s="12">
        <f>SUM(GovBySenateDistrict50General[[#This Row],[Part of Cayuga County Vote Results]:[Part of Onondaga County Vote Results]])</f>
        <v>91</v>
      </c>
      <c r="E15" s="14"/>
    </row>
    <row r="16" spans="1:5" hidden="1" x14ac:dyDescent="0.2">
      <c r="A16" s="4" t="s">
        <v>4</v>
      </c>
      <c r="B16" s="6">
        <f>SUBTOTAL(109,GovBySenateDistrict50General[Part of Cayuga County Vote Results])</f>
        <v>10343</v>
      </c>
      <c r="C16" s="6">
        <f>SUBTOTAL(109,GovBySenateDistrict50General[Part of Onondaga County Vote Results])</f>
        <v>114413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9DDEE-1312-4C9B-8CBF-FB6A6C62ECD6}">
  <dimension ref="A1:L16"/>
  <sheetViews>
    <sheetView workbookViewId="0">
      <selection activeCell="F15" sqref="F15"/>
    </sheetView>
  </sheetViews>
  <sheetFormatPr defaultRowHeight="12.75" x14ac:dyDescent="0.2"/>
  <cols>
    <col min="1" max="1" width="25.5703125" customWidth="1"/>
    <col min="2" max="12" width="20.5703125" customWidth="1"/>
    <col min="13" max="14" width="23.5703125" customWidth="1"/>
  </cols>
  <sheetData>
    <row r="1" spans="1:12" ht="24.75" customHeight="1" x14ac:dyDescent="0.2">
      <c r="A1" s="1" t="s">
        <v>124</v>
      </c>
    </row>
    <row r="2" spans="1:12" ht="25.5" x14ac:dyDescent="0.2">
      <c r="A2" s="7" t="s">
        <v>12</v>
      </c>
      <c r="B2" s="8" t="s">
        <v>67</v>
      </c>
      <c r="C2" s="8" t="s">
        <v>64</v>
      </c>
      <c r="D2" s="8" t="s">
        <v>32</v>
      </c>
      <c r="E2" s="8" t="s">
        <v>52</v>
      </c>
      <c r="F2" s="8" t="s">
        <v>50</v>
      </c>
      <c r="G2" s="8" t="s">
        <v>27</v>
      </c>
      <c r="H2" s="8" t="s">
        <v>28</v>
      </c>
      <c r="I2" s="8" t="s">
        <v>125</v>
      </c>
      <c r="J2" s="8" t="s">
        <v>30</v>
      </c>
      <c r="K2" s="10" t="s">
        <v>141</v>
      </c>
      <c r="L2" s="11" t="s">
        <v>5</v>
      </c>
    </row>
    <row r="3" spans="1:12" x14ac:dyDescent="0.2">
      <c r="A3" s="2" t="s">
        <v>3</v>
      </c>
      <c r="B3" s="3">
        <v>5963</v>
      </c>
      <c r="C3" s="3">
        <v>7565</v>
      </c>
      <c r="D3" s="3">
        <v>2817</v>
      </c>
      <c r="E3" s="3">
        <v>1478</v>
      </c>
      <c r="F3" s="3">
        <v>1255</v>
      </c>
      <c r="G3" s="3">
        <v>3452</v>
      </c>
      <c r="H3" s="3">
        <v>4600</v>
      </c>
      <c r="I3" s="3">
        <v>5558</v>
      </c>
      <c r="J3" s="3">
        <v>3637</v>
      </c>
      <c r="K3" s="12">
        <f>SUM(GovBySenateDistrict51General[[#This Row],[Cortland County Vote Results]:[Part of Ulster County Vote Results]])</f>
        <v>36325</v>
      </c>
      <c r="L3" s="13">
        <f>SUM(K3,K7,K8,K9)</f>
        <v>39531</v>
      </c>
    </row>
    <row r="4" spans="1:12" x14ac:dyDescent="0.2">
      <c r="A4" s="2" t="s">
        <v>14</v>
      </c>
      <c r="B4" s="3">
        <v>7029</v>
      </c>
      <c r="C4" s="3">
        <v>10444</v>
      </c>
      <c r="D4" s="3">
        <v>6906</v>
      </c>
      <c r="E4" s="3">
        <v>2377</v>
      </c>
      <c r="F4" s="3">
        <v>2798</v>
      </c>
      <c r="G4" s="3">
        <v>5069</v>
      </c>
      <c r="H4" s="3">
        <v>10079</v>
      </c>
      <c r="I4" s="3">
        <v>3361</v>
      </c>
      <c r="J4" s="3">
        <v>2636</v>
      </c>
      <c r="K4" s="12">
        <f>SUM(GovBySenateDistrict51General[[#This Row],[Cortland County Vote Results]:[Part of Ulster County Vote Results]])</f>
        <v>50699</v>
      </c>
      <c r="L4" s="13">
        <f>SUM(K4,K5,K10)</f>
        <v>57300</v>
      </c>
    </row>
    <row r="5" spans="1:12" x14ac:dyDescent="0.2">
      <c r="A5" s="2" t="s">
        <v>15</v>
      </c>
      <c r="B5" s="3">
        <v>795</v>
      </c>
      <c r="C5" s="3">
        <v>1006</v>
      </c>
      <c r="D5" s="3">
        <v>1178</v>
      </c>
      <c r="E5" s="3">
        <v>297</v>
      </c>
      <c r="F5" s="3">
        <v>220</v>
      </c>
      <c r="G5" s="3">
        <v>499</v>
      </c>
      <c r="H5" s="3">
        <v>1052</v>
      </c>
      <c r="I5" s="3">
        <v>405</v>
      </c>
      <c r="J5" s="3">
        <v>409</v>
      </c>
      <c r="K5" s="12">
        <f>SUM(GovBySenateDistrict51General[[#This Row],[Cortland County Vote Results]:[Part of Ulster County Vote Results]])</f>
        <v>5861</v>
      </c>
      <c r="L5" s="14"/>
    </row>
    <row r="6" spans="1:12" x14ac:dyDescent="0.2">
      <c r="A6" s="2" t="s">
        <v>6</v>
      </c>
      <c r="B6" s="3">
        <v>291</v>
      </c>
      <c r="C6" s="3">
        <v>422</v>
      </c>
      <c r="D6" s="3">
        <v>214</v>
      </c>
      <c r="E6" s="3">
        <v>68</v>
      </c>
      <c r="F6" s="3">
        <v>75</v>
      </c>
      <c r="G6" s="3">
        <v>211</v>
      </c>
      <c r="H6" s="3">
        <v>261</v>
      </c>
      <c r="I6" s="3">
        <v>404</v>
      </c>
      <c r="J6" s="3">
        <v>224</v>
      </c>
      <c r="K6" s="12">
        <f>SUM(GovBySenateDistrict51General[[#This Row],[Cortland County Vote Results]:[Part of Ulster County Vote Results]])</f>
        <v>2170</v>
      </c>
      <c r="L6" s="13">
        <f>GovBySenateDistrict51General[[#This Row],[Total Votes by Party]]</f>
        <v>2170</v>
      </c>
    </row>
    <row r="7" spans="1:12" x14ac:dyDescent="0.2">
      <c r="A7" s="2" t="s">
        <v>7</v>
      </c>
      <c r="B7" s="3">
        <v>154</v>
      </c>
      <c r="C7" s="3">
        <v>211</v>
      </c>
      <c r="D7" s="3">
        <v>116</v>
      </c>
      <c r="E7" s="3">
        <v>43</v>
      </c>
      <c r="F7" s="3">
        <v>37</v>
      </c>
      <c r="G7" s="3">
        <v>137</v>
      </c>
      <c r="H7" s="3">
        <v>93</v>
      </c>
      <c r="I7" s="3">
        <v>440</v>
      </c>
      <c r="J7" s="3">
        <v>281</v>
      </c>
      <c r="K7" s="12">
        <f>SUM(GovBySenateDistrict51General[[#This Row],[Cortland County Vote Results]:[Part of Ulster County Vote Results]])</f>
        <v>1512</v>
      </c>
      <c r="L7" s="14"/>
    </row>
    <row r="8" spans="1:12" x14ac:dyDescent="0.2">
      <c r="A8" s="2" t="s">
        <v>8</v>
      </c>
      <c r="B8" s="3">
        <v>187</v>
      </c>
      <c r="C8" s="3">
        <v>232</v>
      </c>
      <c r="D8" s="3">
        <v>114</v>
      </c>
      <c r="E8" s="3">
        <v>59</v>
      </c>
      <c r="F8" s="3">
        <v>46</v>
      </c>
      <c r="G8" s="3">
        <v>84</v>
      </c>
      <c r="H8" s="3">
        <v>145</v>
      </c>
      <c r="I8" s="3">
        <v>126</v>
      </c>
      <c r="J8" s="3">
        <v>85</v>
      </c>
      <c r="K8" s="12">
        <f>SUM(GovBySenateDistrict51General[[#This Row],[Cortland County Vote Results]:[Part of Ulster County Vote Results]])</f>
        <v>1078</v>
      </c>
      <c r="L8" s="14"/>
    </row>
    <row r="9" spans="1:12" x14ac:dyDescent="0.2">
      <c r="A9" s="2" t="s">
        <v>9</v>
      </c>
      <c r="B9" s="3">
        <v>79</v>
      </c>
      <c r="C9" s="3">
        <v>143</v>
      </c>
      <c r="D9" s="3">
        <v>52</v>
      </c>
      <c r="E9" s="3">
        <v>20</v>
      </c>
      <c r="F9" s="3">
        <v>16</v>
      </c>
      <c r="G9" s="3">
        <v>67</v>
      </c>
      <c r="H9" s="3">
        <v>49</v>
      </c>
      <c r="I9" s="3">
        <v>112</v>
      </c>
      <c r="J9" s="3">
        <v>78</v>
      </c>
      <c r="K9" s="12">
        <f>SUM(GovBySenateDistrict51General[[#This Row],[Cortland County Vote Results]:[Part of Ulster County Vote Results]])</f>
        <v>616</v>
      </c>
      <c r="L9" s="14"/>
    </row>
    <row r="10" spans="1:12" x14ac:dyDescent="0.2">
      <c r="A10" s="2" t="s">
        <v>16</v>
      </c>
      <c r="B10" s="3">
        <v>129</v>
      </c>
      <c r="C10" s="3">
        <v>142</v>
      </c>
      <c r="D10" s="3">
        <v>106</v>
      </c>
      <c r="E10" s="3">
        <v>34</v>
      </c>
      <c r="F10" s="3">
        <v>27</v>
      </c>
      <c r="G10" s="3">
        <v>54</v>
      </c>
      <c r="H10" s="3">
        <v>142</v>
      </c>
      <c r="I10" s="3">
        <v>66</v>
      </c>
      <c r="J10" s="3">
        <v>40</v>
      </c>
      <c r="K10" s="12">
        <f>SUM(GovBySenateDistrict51General[[#This Row],[Cortland County Vote Results]:[Part of Ulster County Vote Results]])</f>
        <v>740</v>
      </c>
      <c r="L10" s="14"/>
    </row>
    <row r="11" spans="1:12" x14ac:dyDescent="0.2">
      <c r="A11" s="2" t="s">
        <v>10</v>
      </c>
      <c r="B11" s="3">
        <v>932</v>
      </c>
      <c r="C11" s="3">
        <v>726</v>
      </c>
      <c r="D11" s="3">
        <v>563</v>
      </c>
      <c r="E11" s="3">
        <v>255</v>
      </c>
      <c r="F11" s="3">
        <v>248</v>
      </c>
      <c r="G11" s="3">
        <v>478</v>
      </c>
      <c r="H11" s="3">
        <v>673</v>
      </c>
      <c r="I11" s="3">
        <v>667</v>
      </c>
      <c r="J11" s="3">
        <v>99</v>
      </c>
      <c r="K11" s="12">
        <f>SUM(GovBySenateDistrict51General[[#This Row],[Cortland County Vote Results]:[Part of Ulster County Vote Results]])</f>
        <v>4641</v>
      </c>
      <c r="L11" s="13">
        <f>GovBySenateDistrict51General[[#This Row],[Total Votes by Party]]</f>
        <v>4641</v>
      </c>
    </row>
    <row r="12" spans="1:12" x14ac:dyDescent="0.2">
      <c r="A12" s="4" t="s">
        <v>11</v>
      </c>
      <c r="B12" s="3">
        <v>677</v>
      </c>
      <c r="C12" s="3">
        <v>293</v>
      </c>
      <c r="D12" s="3">
        <v>144</v>
      </c>
      <c r="E12" s="3">
        <v>130</v>
      </c>
      <c r="F12" s="3">
        <v>76</v>
      </c>
      <c r="G12" s="3">
        <v>82</v>
      </c>
      <c r="H12" s="3">
        <v>224</v>
      </c>
      <c r="I12" s="3">
        <v>300</v>
      </c>
      <c r="J12" s="3">
        <v>28</v>
      </c>
      <c r="K12" s="12">
        <f>SUM(GovBySenateDistrict51General[[#This Row],[Cortland County Vote Results]:[Part of Ulster County Vote Results]])</f>
        <v>1954</v>
      </c>
      <c r="L12" s="13">
        <f>GovBySenateDistrict51General[[#This Row],[Total Votes by Party]]</f>
        <v>1954</v>
      </c>
    </row>
    <row r="13" spans="1:12" x14ac:dyDescent="0.2">
      <c r="A13" s="4" t="s">
        <v>0</v>
      </c>
      <c r="B13" s="3">
        <v>619</v>
      </c>
      <c r="C13" s="3">
        <v>1028</v>
      </c>
      <c r="D13" s="3">
        <v>253</v>
      </c>
      <c r="E13" s="3">
        <v>184</v>
      </c>
      <c r="F13" s="3">
        <v>165</v>
      </c>
      <c r="G13" s="3">
        <v>164</v>
      </c>
      <c r="H13" s="3">
        <v>705</v>
      </c>
      <c r="I13" s="3">
        <v>178</v>
      </c>
      <c r="J13" s="3">
        <v>0</v>
      </c>
      <c r="K13" s="12">
        <f>SUM(GovBySenateDistrict51General[[#This Row],[Cortland County Vote Results]:[Part of Ulster County Vote Results]])</f>
        <v>3296</v>
      </c>
      <c r="L13" s="14"/>
    </row>
    <row r="14" spans="1:12" x14ac:dyDescent="0.2">
      <c r="A14" s="4" t="s">
        <v>1</v>
      </c>
      <c r="B14" s="3">
        <v>0</v>
      </c>
      <c r="C14" s="3">
        <v>64</v>
      </c>
      <c r="D14" s="3">
        <v>21</v>
      </c>
      <c r="E14" s="3">
        <v>14</v>
      </c>
      <c r="F14" s="3">
        <v>2</v>
      </c>
      <c r="G14" s="3">
        <v>2</v>
      </c>
      <c r="H14" s="3">
        <v>14</v>
      </c>
      <c r="I14" s="3">
        <v>24</v>
      </c>
      <c r="J14" s="3">
        <v>0</v>
      </c>
      <c r="K14" s="12">
        <f>SUM(GovBySenateDistrict51General[[#This Row],[Cortland County Vote Results]:[Part of Ulster County Vote Results]])</f>
        <v>141</v>
      </c>
      <c r="L14" s="14"/>
    </row>
    <row r="15" spans="1:12" x14ac:dyDescent="0.2">
      <c r="A15" s="4" t="s">
        <v>2</v>
      </c>
      <c r="B15" s="5">
        <v>8</v>
      </c>
      <c r="C15" s="5">
        <v>19</v>
      </c>
      <c r="D15" s="5">
        <v>8</v>
      </c>
      <c r="E15" s="5">
        <v>0</v>
      </c>
      <c r="F15" s="5">
        <v>1</v>
      </c>
      <c r="G15" s="5">
        <v>8</v>
      </c>
      <c r="H15" s="5">
        <v>8</v>
      </c>
      <c r="I15" s="5">
        <v>7</v>
      </c>
      <c r="J15" s="5">
        <v>0</v>
      </c>
      <c r="K15" s="12">
        <f>SUM(GovBySenateDistrict51General[[#This Row],[Cortland County Vote Results]:[Part of Ulster County Vote Results]])</f>
        <v>59</v>
      </c>
      <c r="L15" s="14"/>
    </row>
    <row r="16" spans="1:12" hidden="1" x14ac:dyDescent="0.2">
      <c r="A16" s="4" t="s">
        <v>4</v>
      </c>
      <c r="B16" s="6">
        <f>SUBTOTAL(109,GovBySenateDistrict51General[Cortland County Vote Results])</f>
        <v>16863</v>
      </c>
      <c r="C16" s="6"/>
      <c r="D16" s="6"/>
      <c r="E16" s="6"/>
      <c r="F16" s="6"/>
      <c r="G16" s="6"/>
      <c r="H16" s="6"/>
      <c r="I16" s="6"/>
      <c r="J16" s="6">
        <f>SUBTOTAL(109,GovBySenateDistrict51General[Part of Ulster County Vote Results])</f>
        <v>7517</v>
      </c>
      <c r="K16" s="6"/>
      <c r="L16" s="9"/>
    </row>
  </sheetData>
  <pageMargins left="0.7" right="0.7" top="0.75" bottom="0.75" header="0.3" footer="0.3"/>
  <tableParts count="1">
    <tablePart r:id="rId1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84FAC-432A-4809-8312-819CC83F4F00}">
  <dimension ref="A1:G16"/>
  <sheetViews>
    <sheetView workbookViewId="0">
      <selection activeCell="D15" sqref="D15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7" ht="24.75" customHeight="1" x14ac:dyDescent="0.2">
      <c r="A1" s="1" t="s">
        <v>126</v>
      </c>
    </row>
    <row r="2" spans="1:7" ht="25.5" x14ac:dyDescent="0.2">
      <c r="A2" s="7" t="s">
        <v>12</v>
      </c>
      <c r="B2" s="8" t="s">
        <v>127</v>
      </c>
      <c r="C2" s="8" t="s">
        <v>51</v>
      </c>
      <c r="D2" s="8" t="s">
        <v>50</v>
      </c>
      <c r="E2" s="8" t="s">
        <v>27</v>
      </c>
      <c r="F2" s="10" t="s">
        <v>141</v>
      </c>
      <c r="G2" s="11" t="s">
        <v>5</v>
      </c>
    </row>
    <row r="3" spans="1:7" x14ac:dyDescent="0.2">
      <c r="A3" s="2" t="s">
        <v>3</v>
      </c>
      <c r="B3" s="3">
        <v>29065</v>
      </c>
      <c r="C3" s="3">
        <v>5625</v>
      </c>
      <c r="D3" s="3">
        <v>3459</v>
      </c>
      <c r="E3" s="3">
        <v>357</v>
      </c>
      <c r="F3" s="12">
        <f>SUM(GovBySenateDistrict52General[[#This Row],[Broome County Vote Results]:[Part of Delaware County Vote Results]])</f>
        <v>38506</v>
      </c>
      <c r="G3" s="13">
        <f>SUM(F3,F7,F8,F9)</f>
        <v>41602</v>
      </c>
    </row>
    <row r="4" spans="1:7" x14ac:dyDescent="0.2">
      <c r="A4" s="2" t="s">
        <v>14</v>
      </c>
      <c r="B4" s="3">
        <v>32865</v>
      </c>
      <c r="C4" s="3">
        <v>10180</v>
      </c>
      <c r="D4" s="3">
        <v>6644</v>
      </c>
      <c r="E4" s="3">
        <v>1063</v>
      </c>
      <c r="F4" s="12">
        <f>SUM(GovBySenateDistrict52General[[#This Row],[Broome County Vote Results]:[Part of Delaware County Vote Results]])</f>
        <v>50752</v>
      </c>
      <c r="G4" s="13">
        <f>SUM(F4,F5,F10)</f>
        <v>55960</v>
      </c>
    </row>
    <row r="5" spans="1:7" x14ac:dyDescent="0.2">
      <c r="A5" s="2" t="s">
        <v>15</v>
      </c>
      <c r="B5" s="3">
        <v>3244</v>
      </c>
      <c r="C5" s="3">
        <v>780</v>
      </c>
      <c r="D5" s="3">
        <v>495</v>
      </c>
      <c r="E5" s="3">
        <v>48</v>
      </c>
      <c r="F5" s="12">
        <f>SUM(GovBySenateDistrict52General[[#This Row],[Broome County Vote Results]:[Part of Delaware County Vote Results]])</f>
        <v>4567</v>
      </c>
      <c r="G5" s="14"/>
    </row>
    <row r="6" spans="1:7" x14ac:dyDescent="0.2">
      <c r="A6" s="2" t="s">
        <v>6</v>
      </c>
      <c r="B6" s="3">
        <v>1320</v>
      </c>
      <c r="C6" s="3">
        <v>259</v>
      </c>
      <c r="D6" s="3">
        <v>194</v>
      </c>
      <c r="E6" s="3">
        <v>20</v>
      </c>
      <c r="F6" s="12">
        <f>SUM(GovBySenateDistrict52General[[#This Row],[Broome County Vote Results]:[Part of Delaware County Vote Results]])</f>
        <v>1793</v>
      </c>
      <c r="G6" s="13">
        <f>GovBySenateDistrict52General[[#This Row],[Total Votes by Party]]</f>
        <v>1793</v>
      </c>
    </row>
    <row r="7" spans="1:7" x14ac:dyDescent="0.2">
      <c r="A7" s="2" t="s">
        <v>7</v>
      </c>
      <c r="B7" s="3">
        <v>1144</v>
      </c>
      <c r="C7" s="3">
        <v>150</v>
      </c>
      <c r="D7" s="3">
        <v>102</v>
      </c>
      <c r="E7" s="3">
        <v>11</v>
      </c>
      <c r="F7" s="12">
        <f>SUM(GovBySenateDistrict52General[[#This Row],[Broome County Vote Results]:[Part of Delaware County Vote Results]])</f>
        <v>1407</v>
      </c>
      <c r="G7" s="14"/>
    </row>
    <row r="8" spans="1:7" x14ac:dyDescent="0.2">
      <c r="A8" s="2" t="s">
        <v>8</v>
      </c>
      <c r="B8" s="3">
        <v>931</v>
      </c>
      <c r="C8" s="3">
        <v>143</v>
      </c>
      <c r="D8" s="3">
        <v>109</v>
      </c>
      <c r="E8" s="3">
        <v>11</v>
      </c>
      <c r="F8" s="12">
        <f>SUM(GovBySenateDistrict52General[[#This Row],[Broome County Vote Results]:[Part of Delaware County Vote Results]])</f>
        <v>1194</v>
      </c>
      <c r="G8" s="14"/>
    </row>
    <row r="9" spans="1:7" x14ac:dyDescent="0.2">
      <c r="A9" s="2" t="s">
        <v>9</v>
      </c>
      <c r="B9" s="3">
        <v>379</v>
      </c>
      <c r="C9" s="3">
        <v>60</v>
      </c>
      <c r="D9" s="3">
        <v>45</v>
      </c>
      <c r="E9" s="3">
        <v>11</v>
      </c>
      <c r="F9" s="12">
        <f>SUM(GovBySenateDistrict52General[[#This Row],[Broome County Vote Results]:[Part of Delaware County Vote Results]])</f>
        <v>495</v>
      </c>
      <c r="G9" s="14"/>
    </row>
    <row r="10" spans="1:7" x14ac:dyDescent="0.2">
      <c r="A10" s="2" t="s">
        <v>16</v>
      </c>
      <c r="B10" s="3">
        <v>474</v>
      </c>
      <c r="C10" s="3">
        <v>85</v>
      </c>
      <c r="D10" s="3">
        <v>75</v>
      </c>
      <c r="E10" s="3">
        <v>7</v>
      </c>
      <c r="F10" s="12">
        <f>SUM(GovBySenateDistrict52General[[#This Row],[Broome County Vote Results]:[Part of Delaware County Vote Results]])</f>
        <v>641</v>
      </c>
      <c r="G10" s="14"/>
    </row>
    <row r="11" spans="1:7" x14ac:dyDescent="0.2">
      <c r="A11" s="2" t="s">
        <v>10</v>
      </c>
      <c r="B11" s="3">
        <v>2000</v>
      </c>
      <c r="C11" s="3">
        <v>818</v>
      </c>
      <c r="D11" s="3">
        <v>518</v>
      </c>
      <c r="E11" s="3">
        <v>31</v>
      </c>
      <c r="F11" s="12">
        <f>SUM(GovBySenateDistrict52General[[#This Row],[Broome County Vote Results]:[Part of Delaware County Vote Results]])</f>
        <v>3367</v>
      </c>
      <c r="G11" s="13">
        <f>GovBySenateDistrict52General[[#This Row],[Total Votes by Party]]</f>
        <v>3367</v>
      </c>
    </row>
    <row r="12" spans="1:7" x14ac:dyDescent="0.2">
      <c r="A12" s="4" t="s">
        <v>11</v>
      </c>
      <c r="B12" s="3">
        <v>802</v>
      </c>
      <c r="C12" s="3">
        <v>184</v>
      </c>
      <c r="D12" s="3">
        <v>147</v>
      </c>
      <c r="E12" s="3">
        <v>8</v>
      </c>
      <c r="F12" s="12">
        <f>SUM(GovBySenateDistrict52General[[#This Row],[Broome County Vote Results]:[Part of Delaware County Vote Results]])</f>
        <v>1141</v>
      </c>
      <c r="G12" s="13">
        <f>GovBySenateDistrict52General[[#This Row],[Total Votes by Party]]</f>
        <v>1141</v>
      </c>
    </row>
    <row r="13" spans="1:7" x14ac:dyDescent="0.2">
      <c r="A13" s="4" t="s">
        <v>0</v>
      </c>
      <c r="B13" s="3">
        <v>1981</v>
      </c>
      <c r="C13" s="3">
        <v>511</v>
      </c>
      <c r="D13" s="3">
        <v>410</v>
      </c>
      <c r="E13" s="3">
        <v>30</v>
      </c>
      <c r="F13" s="12">
        <f>SUM(GovBySenateDistrict52General[[#This Row],[Broome County Vote Results]:[Part of Delaware County Vote Results]])</f>
        <v>2932</v>
      </c>
      <c r="G13" s="14"/>
    </row>
    <row r="14" spans="1:7" x14ac:dyDescent="0.2">
      <c r="A14" s="4" t="s">
        <v>1</v>
      </c>
      <c r="B14" s="3">
        <v>252</v>
      </c>
      <c r="C14" s="3">
        <v>5</v>
      </c>
      <c r="D14" s="3">
        <v>9</v>
      </c>
      <c r="E14" s="3">
        <v>0</v>
      </c>
      <c r="F14" s="12">
        <f>SUM(GovBySenateDistrict52General[[#This Row],[Broome County Vote Results]:[Part of Delaware County Vote Results]])</f>
        <v>266</v>
      </c>
      <c r="G14" s="14"/>
    </row>
    <row r="15" spans="1:7" x14ac:dyDescent="0.2">
      <c r="A15" s="4" t="s">
        <v>2</v>
      </c>
      <c r="B15" s="5">
        <v>50</v>
      </c>
      <c r="C15" s="5">
        <v>3</v>
      </c>
      <c r="D15" s="5">
        <v>9</v>
      </c>
      <c r="E15" s="5">
        <v>1</v>
      </c>
      <c r="F15" s="12">
        <f>SUM(GovBySenateDistrict52General[[#This Row],[Broome County Vote Results]:[Part of Delaware County Vote Results]])</f>
        <v>63</v>
      </c>
      <c r="G15" s="14"/>
    </row>
    <row r="16" spans="1:7" hidden="1" x14ac:dyDescent="0.2">
      <c r="A16" s="4" t="s">
        <v>4</v>
      </c>
      <c r="B16" s="6">
        <f>SUBTOTAL(109,GovBySenateDistrict52General[Broome County Vote Results])</f>
        <v>74507</v>
      </c>
      <c r="C16" s="6"/>
      <c r="D16" s="6"/>
      <c r="E16" s="6">
        <f>SUBTOTAL(109,GovBySenateDistrict52General[Part of Delaware County Vote Results])</f>
        <v>1598</v>
      </c>
      <c r="F16" s="6"/>
      <c r="G16" s="9"/>
    </row>
  </sheetData>
  <pageMargins left="0.7" right="0.7" top="0.75" bottom="0.75" header="0.3" footer="0.3"/>
  <tableParts count="1">
    <tablePart r:id="rId1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450F7-DC30-4BDC-9776-C669AAF2221E}">
  <dimension ref="A1:F16"/>
  <sheetViews>
    <sheetView workbookViewId="0">
      <selection activeCell="C18" sqref="C18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24.75" customHeight="1" x14ac:dyDescent="0.2">
      <c r="A1" s="1" t="s">
        <v>128</v>
      </c>
    </row>
    <row r="2" spans="1:6" ht="25.5" x14ac:dyDescent="0.2">
      <c r="A2" s="7" t="s">
        <v>12</v>
      </c>
      <c r="B2" s="8" t="s">
        <v>49</v>
      </c>
      <c r="C2" s="8" t="s">
        <v>29</v>
      </c>
      <c r="D2" s="8" t="s">
        <v>48</v>
      </c>
      <c r="E2" s="10" t="s">
        <v>141</v>
      </c>
      <c r="F2" s="11" t="s">
        <v>5</v>
      </c>
    </row>
    <row r="3" spans="1:6" x14ac:dyDescent="0.2">
      <c r="A3" s="2" t="s">
        <v>3</v>
      </c>
      <c r="B3" s="3">
        <v>8323</v>
      </c>
      <c r="C3" s="3">
        <v>2095</v>
      </c>
      <c r="D3" s="3">
        <v>32214</v>
      </c>
      <c r="E3" s="12">
        <f>SUM(GovBySenateDistrict53General[[#This Row],[Madison County Vote Results]:[Part of Onondaga County Vote Results]])</f>
        <v>42632</v>
      </c>
      <c r="F3" s="13">
        <f>SUM(E3,E7,E8,E9)</f>
        <v>46001</v>
      </c>
    </row>
    <row r="4" spans="1:6" x14ac:dyDescent="0.2">
      <c r="A4" s="2" t="s">
        <v>14</v>
      </c>
      <c r="B4" s="3">
        <v>12538</v>
      </c>
      <c r="C4" s="3">
        <v>2019</v>
      </c>
      <c r="D4" s="3">
        <v>19179</v>
      </c>
      <c r="E4" s="12">
        <f>SUM(GovBySenateDistrict53General[[#This Row],[Madison County Vote Results]:[Part of Onondaga County Vote Results]])</f>
        <v>33736</v>
      </c>
      <c r="F4" s="13">
        <f>SUM(E4,E5,E10)</f>
        <v>39863</v>
      </c>
    </row>
    <row r="5" spans="1:6" x14ac:dyDescent="0.2">
      <c r="A5" s="2" t="s">
        <v>15</v>
      </c>
      <c r="B5" s="3">
        <v>1875</v>
      </c>
      <c r="C5" s="3">
        <v>237</v>
      </c>
      <c r="D5" s="3">
        <v>3370</v>
      </c>
      <c r="E5" s="12">
        <f>SUM(GovBySenateDistrict53General[[#This Row],[Madison County Vote Results]:[Part of Onondaga County Vote Results]])</f>
        <v>5482</v>
      </c>
      <c r="F5" s="14"/>
    </row>
    <row r="6" spans="1:6" x14ac:dyDescent="0.2">
      <c r="A6" s="2" t="s">
        <v>6</v>
      </c>
      <c r="B6" s="3">
        <v>510</v>
      </c>
      <c r="C6" s="3">
        <v>110</v>
      </c>
      <c r="D6" s="3">
        <v>2461</v>
      </c>
      <c r="E6" s="12">
        <f>SUM(GovBySenateDistrict53General[[#This Row],[Madison County Vote Results]:[Part of Onondaga County Vote Results]])</f>
        <v>3081</v>
      </c>
      <c r="F6" s="13">
        <f>GovBySenateDistrict53General[[#This Row],[Total Votes by Party]]</f>
        <v>3081</v>
      </c>
    </row>
    <row r="7" spans="1:6" x14ac:dyDescent="0.2">
      <c r="A7" s="2" t="s">
        <v>7</v>
      </c>
      <c r="B7" s="3">
        <v>232</v>
      </c>
      <c r="C7" s="3">
        <v>73</v>
      </c>
      <c r="D7" s="3">
        <v>1058</v>
      </c>
      <c r="E7" s="12">
        <f>SUM(GovBySenateDistrict53General[[#This Row],[Madison County Vote Results]:[Part of Onondaga County Vote Results]])</f>
        <v>1363</v>
      </c>
      <c r="F7" s="14"/>
    </row>
    <row r="8" spans="1:6" x14ac:dyDescent="0.2">
      <c r="A8" s="2" t="s">
        <v>8</v>
      </c>
      <c r="B8" s="3">
        <v>324</v>
      </c>
      <c r="C8" s="3">
        <v>68</v>
      </c>
      <c r="D8" s="3">
        <v>1039</v>
      </c>
      <c r="E8" s="12">
        <f>SUM(GovBySenateDistrict53General[[#This Row],[Madison County Vote Results]:[Part of Onondaga County Vote Results]])</f>
        <v>1431</v>
      </c>
      <c r="F8" s="14"/>
    </row>
    <row r="9" spans="1:6" x14ac:dyDescent="0.2">
      <c r="A9" s="2" t="s">
        <v>9</v>
      </c>
      <c r="B9" s="3">
        <v>127</v>
      </c>
      <c r="C9" s="3">
        <v>31</v>
      </c>
      <c r="D9" s="3">
        <v>417</v>
      </c>
      <c r="E9" s="12">
        <f>SUM(GovBySenateDistrict53General[[#This Row],[Madison County Vote Results]:[Part of Onondaga County Vote Results]])</f>
        <v>575</v>
      </c>
      <c r="F9" s="14"/>
    </row>
    <row r="10" spans="1:6" x14ac:dyDescent="0.2">
      <c r="A10" s="2" t="s">
        <v>16</v>
      </c>
      <c r="B10" s="3">
        <v>203</v>
      </c>
      <c r="C10" s="3">
        <v>13</v>
      </c>
      <c r="D10" s="3">
        <v>429</v>
      </c>
      <c r="E10" s="12">
        <f>SUM(GovBySenateDistrict53General[[#This Row],[Madison County Vote Results]:[Part of Onondaga County Vote Results]])</f>
        <v>645</v>
      </c>
      <c r="F10" s="14"/>
    </row>
    <row r="11" spans="1:6" x14ac:dyDescent="0.2">
      <c r="A11" s="2" t="s">
        <v>10</v>
      </c>
      <c r="B11" s="3">
        <v>961</v>
      </c>
      <c r="C11" s="3">
        <v>124</v>
      </c>
      <c r="D11" s="3">
        <v>1702</v>
      </c>
      <c r="E11" s="12">
        <f>SUM(GovBySenateDistrict53General[[#This Row],[Madison County Vote Results]:[Part of Onondaga County Vote Results]])</f>
        <v>2787</v>
      </c>
      <c r="F11" s="13">
        <f>GovBySenateDistrict53General[[#This Row],[Total Votes by Party]]</f>
        <v>2787</v>
      </c>
    </row>
    <row r="12" spans="1:6" x14ac:dyDescent="0.2">
      <c r="A12" s="4" t="s">
        <v>11</v>
      </c>
      <c r="B12" s="3">
        <v>802</v>
      </c>
      <c r="C12" s="3">
        <v>135</v>
      </c>
      <c r="D12" s="3">
        <v>2174</v>
      </c>
      <c r="E12" s="12">
        <f>SUM(GovBySenateDistrict53General[[#This Row],[Madison County Vote Results]:[Part of Onondaga County Vote Results]])</f>
        <v>3111</v>
      </c>
      <c r="F12" s="13">
        <f>GovBySenateDistrict53General[[#This Row],[Total Votes by Party]]</f>
        <v>3111</v>
      </c>
    </row>
    <row r="13" spans="1:6" x14ac:dyDescent="0.2">
      <c r="A13" s="4" t="s">
        <v>0</v>
      </c>
      <c r="B13" s="3">
        <v>517</v>
      </c>
      <c r="C13" s="3">
        <v>169</v>
      </c>
      <c r="D13" s="3">
        <v>1896</v>
      </c>
      <c r="E13" s="12">
        <f>SUM(GovBySenateDistrict53General[[#This Row],[Madison County Vote Results]:[Part of Onondaga County Vote Results]])</f>
        <v>2582</v>
      </c>
      <c r="F13" s="14"/>
    </row>
    <row r="14" spans="1:6" x14ac:dyDescent="0.2">
      <c r="A14" s="4" t="s">
        <v>1</v>
      </c>
      <c r="B14" s="3">
        <v>17</v>
      </c>
      <c r="C14" s="3">
        <v>0</v>
      </c>
      <c r="D14" s="3">
        <v>0</v>
      </c>
      <c r="E14" s="12">
        <f>SUM(GovBySenateDistrict53General[[#This Row],[Madison County Vote Results]:[Part of Onondaga County Vote Results]])</f>
        <v>17</v>
      </c>
      <c r="F14" s="14"/>
    </row>
    <row r="15" spans="1:6" x14ac:dyDescent="0.2">
      <c r="A15" s="4" t="s">
        <v>2</v>
      </c>
      <c r="B15" s="5">
        <v>13</v>
      </c>
      <c r="C15" s="5">
        <v>4</v>
      </c>
      <c r="D15" s="5">
        <v>67</v>
      </c>
      <c r="E15" s="12">
        <f>SUM(GovBySenateDistrict53General[[#This Row],[Madison County Vote Results]:[Part of Onondaga County Vote Results]])</f>
        <v>84</v>
      </c>
      <c r="F15" s="14"/>
    </row>
    <row r="16" spans="1:6" hidden="1" x14ac:dyDescent="0.2">
      <c r="A16" s="4" t="s">
        <v>4</v>
      </c>
      <c r="B16" s="6">
        <f>SUBTOTAL(109,GovBySenateDistrict53General[Madison County Vote Results])</f>
        <v>26442</v>
      </c>
      <c r="C16" s="6"/>
      <c r="D16" s="6">
        <f>SUBTOTAL(109,GovBySenateDistrict53General[Part of Onondaga County Vote Results])</f>
        <v>66006</v>
      </c>
      <c r="E16" s="6"/>
      <c r="F16" s="9"/>
    </row>
  </sheetData>
  <pageMargins left="0.7" right="0.7" top="0.75" bottom="0.75" header="0.3" footer="0.3"/>
  <tableParts count="1">
    <tablePart r:id="rId1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F854-D387-4F91-A034-6CEA02DAB9B7}">
  <dimension ref="A1:I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9" width="20.5703125" customWidth="1"/>
    <col min="10" max="11" width="23.5703125" customWidth="1"/>
  </cols>
  <sheetData>
    <row r="1" spans="1:9" ht="24.75" customHeight="1" x14ac:dyDescent="0.2">
      <c r="A1" s="1" t="s">
        <v>129</v>
      </c>
    </row>
    <row r="2" spans="1:9" ht="25.5" x14ac:dyDescent="0.2">
      <c r="A2" s="7" t="s">
        <v>12</v>
      </c>
      <c r="B2" s="8" t="s">
        <v>69</v>
      </c>
      <c r="C2" s="8" t="s">
        <v>53</v>
      </c>
      <c r="D2" s="8" t="s">
        <v>52</v>
      </c>
      <c r="E2" s="8" t="s">
        <v>56</v>
      </c>
      <c r="F2" s="8" t="s">
        <v>71</v>
      </c>
      <c r="G2" s="8" t="s">
        <v>125</v>
      </c>
      <c r="H2" s="10" t="s">
        <v>141</v>
      </c>
      <c r="I2" s="11" t="s">
        <v>5</v>
      </c>
    </row>
    <row r="3" spans="1:9" x14ac:dyDescent="0.2">
      <c r="A3" s="2" t="s">
        <v>3</v>
      </c>
      <c r="B3" s="3">
        <v>3841</v>
      </c>
      <c r="C3" s="3">
        <v>8655</v>
      </c>
      <c r="D3" s="3">
        <v>4002</v>
      </c>
      <c r="E3" s="3">
        <v>7817</v>
      </c>
      <c r="F3" s="3">
        <v>10481</v>
      </c>
      <c r="G3" s="3">
        <v>2758</v>
      </c>
      <c r="H3" s="12">
        <f>SUM(GovBySenateDistrict54General[[#This Row],[Seneca County Vote Results]:[Part of Tompkins County Vote Results]])</f>
        <v>37554</v>
      </c>
      <c r="I3" s="13">
        <f>SUM(H3,H7,H8,H9)</f>
        <v>40204</v>
      </c>
    </row>
    <row r="4" spans="1:9" x14ac:dyDescent="0.2">
      <c r="A4" s="2" t="s">
        <v>14</v>
      </c>
      <c r="B4" s="3">
        <v>5630</v>
      </c>
      <c r="C4" s="3">
        <v>16547</v>
      </c>
      <c r="D4" s="3">
        <v>5932</v>
      </c>
      <c r="E4" s="3">
        <v>9026</v>
      </c>
      <c r="F4" s="3">
        <v>13223</v>
      </c>
      <c r="G4" s="3">
        <v>1397</v>
      </c>
      <c r="H4" s="12">
        <f>SUM(GovBySenateDistrict54General[[#This Row],[Seneca County Vote Results]:[Part of Tompkins County Vote Results]])</f>
        <v>51755</v>
      </c>
      <c r="I4" s="13">
        <f>SUM(H4,H5,H10)</f>
        <v>60504</v>
      </c>
    </row>
    <row r="5" spans="1:9" x14ac:dyDescent="0.2">
      <c r="A5" s="2" t="s">
        <v>15</v>
      </c>
      <c r="B5" s="3">
        <v>679</v>
      </c>
      <c r="C5" s="3">
        <v>2765</v>
      </c>
      <c r="D5" s="3">
        <v>869</v>
      </c>
      <c r="E5" s="3">
        <v>1669</v>
      </c>
      <c r="F5" s="3">
        <v>1833</v>
      </c>
      <c r="G5" s="3">
        <v>147</v>
      </c>
      <c r="H5" s="12">
        <f>SUM(GovBySenateDistrict54General[[#This Row],[Seneca County Vote Results]:[Part of Tompkins County Vote Results]])</f>
        <v>7962</v>
      </c>
      <c r="I5" s="14"/>
    </row>
    <row r="6" spans="1:9" x14ac:dyDescent="0.2">
      <c r="A6" s="2" t="s">
        <v>6</v>
      </c>
      <c r="B6" s="3">
        <v>209</v>
      </c>
      <c r="C6" s="3">
        <v>435</v>
      </c>
      <c r="D6" s="3">
        <v>238</v>
      </c>
      <c r="E6" s="3">
        <v>251</v>
      </c>
      <c r="F6" s="3">
        <v>482</v>
      </c>
      <c r="G6" s="3">
        <v>143</v>
      </c>
      <c r="H6" s="12">
        <f>SUM(GovBySenateDistrict54General[[#This Row],[Seneca County Vote Results]:[Part of Tompkins County Vote Results]])</f>
        <v>1758</v>
      </c>
      <c r="I6" s="13">
        <f>GovBySenateDistrict54General[[#This Row],[Total Votes by Party]]</f>
        <v>1758</v>
      </c>
    </row>
    <row r="7" spans="1:9" x14ac:dyDescent="0.2">
      <c r="A7" s="2" t="s">
        <v>7</v>
      </c>
      <c r="B7" s="3">
        <v>115</v>
      </c>
      <c r="C7" s="3">
        <v>217</v>
      </c>
      <c r="D7" s="3">
        <v>110</v>
      </c>
      <c r="E7" s="3">
        <v>150</v>
      </c>
      <c r="F7" s="3">
        <v>239</v>
      </c>
      <c r="G7" s="3">
        <v>124</v>
      </c>
      <c r="H7" s="12">
        <f>SUM(GovBySenateDistrict54General[[#This Row],[Seneca County Vote Results]:[Part of Tompkins County Vote Results]])</f>
        <v>955</v>
      </c>
      <c r="I7" s="14"/>
    </row>
    <row r="8" spans="1:9" x14ac:dyDescent="0.2">
      <c r="A8" s="2" t="s">
        <v>8</v>
      </c>
      <c r="B8" s="3">
        <v>139</v>
      </c>
      <c r="C8" s="3">
        <v>255</v>
      </c>
      <c r="D8" s="3">
        <v>133</v>
      </c>
      <c r="E8" s="3">
        <v>247</v>
      </c>
      <c r="F8" s="3">
        <v>313</v>
      </c>
      <c r="G8" s="3">
        <v>45</v>
      </c>
      <c r="H8" s="12">
        <f>SUM(GovBySenateDistrict54General[[#This Row],[Seneca County Vote Results]:[Part of Tompkins County Vote Results]])</f>
        <v>1132</v>
      </c>
      <c r="I8" s="14"/>
    </row>
    <row r="9" spans="1:9" x14ac:dyDescent="0.2">
      <c r="A9" s="2" t="s">
        <v>9</v>
      </c>
      <c r="B9" s="3">
        <v>69</v>
      </c>
      <c r="C9" s="3">
        <v>114</v>
      </c>
      <c r="D9" s="3">
        <v>48</v>
      </c>
      <c r="E9" s="3">
        <v>114</v>
      </c>
      <c r="F9" s="3">
        <v>168</v>
      </c>
      <c r="G9" s="3">
        <v>50</v>
      </c>
      <c r="H9" s="12">
        <f>SUM(GovBySenateDistrict54General[[#This Row],[Seneca County Vote Results]:[Part of Tompkins County Vote Results]])</f>
        <v>563</v>
      </c>
      <c r="I9" s="14"/>
    </row>
    <row r="10" spans="1:9" x14ac:dyDescent="0.2">
      <c r="A10" s="2" t="s">
        <v>16</v>
      </c>
      <c r="B10" s="3">
        <v>99</v>
      </c>
      <c r="C10" s="3">
        <v>262</v>
      </c>
      <c r="D10" s="3">
        <v>80</v>
      </c>
      <c r="E10" s="3">
        <v>120</v>
      </c>
      <c r="F10" s="3">
        <v>207</v>
      </c>
      <c r="G10" s="3">
        <v>19</v>
      </c>
      <c r="H10" s="12">
        <f>SUM(GovBySenateDistrict54General[[#This Row],[Seneca County Vote Results]:[Part of Tompkins County Vote Results]])</f>
        <v>787</v>
      </c>
      <c r="I10" s="14"/>
    </row>
    <row r="11" spans="1:9" x14ac:dyDescent="0.2">
      <c r="A11" s="2" t="s">
        <v>10</v>
      </c>
      <c r="B11" s="3">
        <v>573</v>
      </c>
      <c r="C11" s="3">
        <v>1648</v>
      </c>
      <c r="D11" s="3">
        <v>418</v>
      </c>
      <c r="E11" s="3">
        <v>621</v>
      </c>
      <c r="F11" s="3">
        <v>1137</v>
      </c>
      <c r="G11" s="3">
        <v>162</v>
      </c>
      <c r="H11" s="12">
        <f>SUM(GovBySenateDistrict54General[[#This Row],[Seneca County Vote Results]:[Part of Tompkins County Vote Results]])</f>
        <v>4559</v>
      </c>
      <c r="I11" s="13">
        <f>GovBySenateDistrict54General[[#This Row],[Total Votes by Party]]</f>
        <v>4559</v>
      </c>
    </row>
    <row r="12" spans="1:9" x14ac:dyDescent="0.2">
      <c r="A12" s="4" t="s">
        <v>11</v>
      </c>
      <c r="B12" s="3">
        <v>297</v>
      </c>
      <c r="C12" s="3">
        <v>461</v>
      </c>
      <c r="D12" s="3">
        <v>400</v>
      </c>
      <c r="E12" s="3">
        <v>256</v>
      </c>
      <c r="F12" s="3">
        <v>417</v>
      </c>
      <c r="G12" s="3">
        <v>97</v>
      </c>
      <c r="H12" s="12">
        <f>SUM(GovBySenateDistrict54General[[#This Row],[Seneca County Vote Results]:[Part of Tompkins County Vote Results]])</f>
        <v>1928</v>
      </c>
      <c r="I12" s="13">
        <f>GovBySenateDistrict54General[[#This Row],[Total Votes by Party]]</f>
        <v>1928</v>
      </c>
    </row>
    <row r="13" spans="1:9" x14ac:dyDescent="0.2">
      <c r="A13" s="4" t="s">
        <v>0</v>
      </c>
      <c r="B13" s="3">
        <v>344</v>
      </c>
      <c r="C13" s="3">
        <v>991</v>
      </c>
      <c r="D13" s="3">
        <v>1276</v>
      </c>
      <c r="E13" s="3">
        <v>491</v>
      </c>
      <c r="F13" s="3">
        <v>921</v>
      </c>
      <c r="G13" s="3">
        <v>98</v>
      </c>
      <c r="H13" s="12">
        <f>SUM(GovBySenateDistrict54General[[#This Row],[Seneca County Vote Results]:[Part of Tompkins County Vote Results]])</f>
        <v>4121</v>
      </c>
      <c r="I13" s="14"/>
    </row>
    <row r="14" spans="1:9" x14ac:dyDescent="0.2">
      <c r="A14" s="4" t="s">
        <v>1</v>
      </c>
      <c r="B14" s="3">
        <v>23</v>
      </c>
      <c r="C14" s="3">
        <v>42</v>
      </c>
      <c r="D14" s="3">
        <v>55</v>
      </c>
      <c r="E14" s="3">
        <v>0</v>
      </c>
      <c r="F14" s="3">
        <v>30</v>
      </c>
      <c r="G14" s="3">
        <v>13</v>
      </c>
      <c r="H14" s="12">
        <f>SUM(GovBySenateDistrict54General[[#This Row],[Seneca County Vote Results]:[Part of Tompkins County Vote Results]])</f>
        <v>163</v>
      </c>
      <c r="I14" s="14"/>
    </row>
    <row r="15" spans="1:9" x14ac:dyDescent="0.2">
      <c r="A15" s="4" t="s">
        <v>2</v>
      </c>
      <c r="B15" s="5">
        <v>6</v>
      </c>
      <c r="C15" s="5">
        <v>10</v>
      </c>
      <c r="D15" s="5">
        <v>13</v>
      </c>
      <c r="E15" s="5">
        <v>4</v>
      </c>
      <c r="F15" s="5">
        <v>17</v>
      </c>
      <c r="G15" s="5">
        <v>9</v>
      </c>
      <c r="H15" s="12">
        <f>SUM(GovBySenateDistrict54General[[#This Row],[Seneca County Vote Results]:[Part of Tompkins County Vote Results]])</f>
        <v>59</v>
      </c>
      <c r="I15" s="14"/>
    </row>
    <row r="16" spans="1:9" hidden="1" x14ac:dyDescent="0.2">
      <c r="A16" s="4" t="s">
        <v>4</v>
      </c>
      <c r="B16" s="6">
        <f>SUBTOTAL(109,GovBySenateDistrict54General[Seneca County Vote Results])</f>
        <v>12024</v>
      </c>
      <c r="C16" s="6"/>
      <c r="D16" s="6"/>
      <c r="E16" s="6"/>
      <c r="F16" s="6"/>
      <c r="G16" s="6">
        <f>SUBTOTAL(109,GovBySenateDistrict54General[Part of Tompkins County Vote Results])</f>
        <v>5062</v>
      </c>
      <c r="H16" s="6"/>
      <c r="I16" s="9"/>
    </row>
  </sheetData>
  <pageMargins left="0.7" right="0.7" top="0.75" bottom="0.75" header="0.3" footer="0.3"/>
  <tableParts count="1">
    <tablePart r:id="rId1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E2B96-D4A6-489A-BA82-29225097F90A}">
  <dimension ref="A1:E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130</v>
      </c>
    </row>
    <row r="2" spans="1:5" ht="25.5" x14ac:dyDescent="0.2">
      <c r="A2" s="7" t="s">
        <v>12</v>
      </c>
      <c r="B2" s="8" t="s">
        <v>56</v>
      </c>
      <c r="C2" s="8" t="s">
        <v>71</v>
      </c>
      <c r="D2" s="10" t="s">
        <v>141</v>
      </c>
      <c r="E2" s="11" t="s">
        <v>5</v>
      </c>
    </row>
    <row r="3" spans="1:5" x14ac:dyDescent="0.2">
      <c r="A3" s="2" t="s">
        <v>3</v>
      </c>
      <c r="B3" s="3">
        <v>55925</v>
      </c>
      <c r="C3" s="3">
        <v>4979</v>
      </c>
      <c r="D3" s="12">
        <f>SUM(GovBySenateDistrict55General[[#This Row],[Part of Monroe County Vote Results]:[Part of Ontario County Vote Results]])</f>
        <v>60904</v>
      </c>
      <c r="E3" s="13">
        <f>SUM(D3,D7,D8,D9)</f>
        <v>65290</v>
      </c>
    </row>
    <row r="4" spans="1:5" x14ac:dyDescent="0.2">
      <c r="A4" s="2" t="s">
        <v>14</v>
      </c>
      <c r="B4" s="3">
        <v>36043</v>
      </c>
      <c r="C4" s="3">
        <v>7401</v>
      </c>
      <c r="D4" s="12">
        <f>SUM(GovBySenateDistrict55General[[#This Row],[Part of Monroe County Vote Results]:[Part of Ontario County Vote Results]])</f>
        <v>43444</v>
      </c>
      <c r="E4" s="13">
        <f>SUM(D4,D5,D10)</f>
        <v>51684</v>
      </c>
    </row>
    <row r="5" spans="1:5" x14ac:dyDescent="0.2">
      <c r="A5" s="2" t="s">
        <v>15</v>
      </c>
      <c r="B5" s="3">
        <v>6360</v>
      </c>
      <c r="C5" s="3">
        <v>1171</v>
      </c>
      <c r="D5" s="12">
        <f>SUM(GovBySenateDistrict55General[[#This Row],[Part of Monroe County Vote Results]:[Part of Ontario County Vote Results]])</f>
        <v>7531</v>
      </c>
      <c r="E5" s="14"/>
    </row>
    <row r="6" spans="1:5" x14ac:dyDescent="0.2">
      <c r="A6" s="2" t="s">
        <v>6</v>
      </c>
      <c r="B6" s="3">
        <v>1960</v>
      </c>
      <c r="C6" s="3">
        <v>207</v>
      </c>
      <c r="D6" s="12">
        <f>SUM(GovBySenateDistrict55General[[#This Row],[Part of Monroe County Vote Results]:[Part of Ontario County Vote Results]])</f>
        <v>2167</v>
      </c>
      <c r="E6" s="13">
        <f>GovBySenateDistrict55General[[#This Row],[Total Votes by Party]]</f>
        <v>2167</v>
      </c>
    </row>
    <row r="7" spans="1:5" x14ac:dyDescent="0.2">
      <c r="A7" s="2" t="s">
        <v>7</v>
      </c>
      <c r="B7" s="3">
        <v>1584</v>
      </c>
      <c r="C7" s="3">
        <v>124</v>
      </c>
      <c r="D7" s="12">
        <f>SUM(GovBySenateDistrict55General[[#This Row],[Part of Monroe County Vote Results]:[Part of Ontario County Vote Results]])</f>
        <v>1708</v>
      </c>
      <c r="E7" s="14"/>
    </row>
    <row r="8" spans="1:5" x14ac:dyDescent="0.2">
      <c r="A8" s="2" t="s">
        <v>8</v>
      </c>
      <c r="B8" s="3">
        <v>1590</v>
      </c>
      <c r="C8" s="3">
        <v>166</v>
      </c>
      <c r="D8" s="12">
        <f>SUM(GovBySenateDistrict55General[[#This Row],[Part of Monroe County Vote Results]:[Part of Ontario County Vote Results]])</f>
        <v>1756</v>
      </c>
      <c r="E8" s="14"/>
    </row>
    <row r="9" spans="1:5" x14ac:dyDescent="0.2">
      <c r="A9" s="2" t="s">
        <v>9</v>
      </c>
      <c r="B9" s="3">
        <v>847</v>
      </c>
      <c r="C9" s="3">
        <v>75</v>
      </c>
      <c r="D9" s="12">
        <f>SUM(GovBySenateDistrict55General[[#This Row],[Part of Monroe County Vote Results]:[Part of Ontario County Vote Results]])</f>
        <v>922</v>
      </c>
      <c r="E9" s="14"/>
    </row>
    <row r="10" spans="1:5" x14ac:dyDescent="0.2">
      <c r="A10" s="2" t="s">
        <v>16</v>
      </c>
      <c r="B10" s="3">
        <v>623</v>
      </c>
      <c r="C10" s="3">
        <v>86</v>
      </c>
      <c r="D10" s="12">
        <f>SUM(GovBySenateDistrict55General[[#This Row],[Part of Monroe County Vote Results]:[Part of Ontario County Vote Results]])</f>
        <v>709</v>
      </c>
      <c r="E10" s="14"/>
    </row>
    <row r="11" spans="1:5" x14ac:dyDescent="0.2">
      <c r="A11" s="2" t="s">
        <v>10</v>
      </c>
      <c r="B11" s="3">
        <v>3317</v>
      </c>
      <c r="C11" s="3">
        <v>635</v>
      </c>
      <c r="D11" s="12">
        <f>SUM(GovBySenateDistrict55General[[#This Row],[Part of Monroe County Vote Results]:[Part of Ontario County Vote Results]])</f>
        <v>3952</v>
      </c>
      <c r="E11" s="13">
        <f>GovBySenateDistrict55General[[#This Row],[Total Votes by Party]]</f>
        <v>3952</v>
      </c>
    </row>
    <row r="12" spans="1:5" x14ac:dyDescent="0.2">
      <c r="A12" s="4" t="s">
        <v>11</v>
      </c>
      <c r="B12" s="3">
        <v>1971</v>
      </c>
      <c r="C12" s="3">
        <v>163</v>
      </c>
      <c r="D12" s="12">
        <f>SUM(GovBySenateDistrict55General[[#This Row],[Part of Monroe County Vote Results]:[Part of Ontario County Vote Results]])</f>
        <v>2134</v>
      </c>
      <c r="E12" s="13">
        <f>GovBySenateDistrict55General[[#This Row],[Total Votes by Party]]</f>
        <v>2134</v>
      </c>
    </row>
    <row r="13" spans="1:5" x14ac:dyDescent="0.2">
      <c r="A13" s="4" t="s">
        <v>0</v>
      </c>
      <c r="B13" s="3">
        <v>2800</v>
      </c>
      <c r="C13" s="3">
        <v>494</v>
      </c>
      <c r="D13" s="12">
        <f>SUM(GovBySenateDistrict55General[[#This Row],[Part of Monroe County Vote Results]:[Part of Ontario County Vote Results]])</f>
        <v>3294</v>
      </c>
      <c r="E13" s="14"/>
    </row>
    <row r="14" spans="1:5" x14ac:dyDescent="0.2">
      <c r="A14" s="4" t="s">
        <v>1</v>
      </c>
      <c r="B14" s="3">
        <v>0</v>
      </c>
      <c r="C14" s="3">
        <v>14</v>
      </c>
      <c r="D14" s="12">
        <f>SUM(GovBySenateDistrict55General[[#This Row],[Part of Monroe County Vote Results]:[Part of Ontario County Vote Results]])</f>
        <v>14</v>
      </c>
      <c r="E14" s="14"/>
    </row>
    <row r="15" spans="1:5" x14ac:dyDescent="0.2">
      <c r="A15" s="4" t="s">
        <v>2</v>
      </c>
      <c r="B15" s="5">
        <v>66</v>
      </c>
      <c r="C15" s="5">
        <v>6</v>
      </c>
      <c r="D15" s="12">
        <f>SUM(GovBySenateDistrict55General[[#This Row],[Part of Monroe County Vote Results]:[Part of Ontario County Vote Results]])</f>
        <v>72</v>
      </c>
      <c r="E15" s="14"/>
    </row>
    <row r="16" spans="1:5" hidden="1" x14ac:dyDescent="0.2">
      <c r="A16" s="4" t="s">
        <v>4</v>
      </c>
      <c r="B16" s="6">
        <f>SUBTOTAL(109,GovBySenateDistrict55General[Part of Monroe County Vote Results])</f>
        <v>113086</v>
      </c>
      <c r="C16" s="6">
        <f>SUBTOTAL(109,GovBySenateDistrict55General[Part of Ontario County Vote Results])</f>
        <v>15521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337ED-FE8F-487C-A69A-94D2AC701CC3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131</v>
      </c>
    </row>
    <row r="2" spans="1:4" ht="24.95" customHeight="1" x14ac:dyDescent="0.2">
      <c r="A2" s="7" t="s">
        <v>12</v>
      </c>
      <c r="B2" s="8" t="s">
        <v>56</v>
      </c>
      <c r="C2" s="10" t="s">
        <v>141</v>
      </c>
      <c r="D2" s="11" t="s">
        <v>5</v>
      </c>
    </row>
    <row r="3" spans="1:4" x14ac:dyDescent="0.2">
      <c r="A3" s="2" t="s">
        <v>3</v>
      </c>
      <c r="B3" s="3">
        <v>45618</v>
      </c>
      <c r="C3" s="12">
        <f>GovBySenateDistrict56General[[#This Row],[Part of Monroe County Vote Results]]</f>
        <v>45618</v>
      </c>
      <c r="D3" s="13">
        <f>SUM(C3,C7,C8,C9)</f>
        <v>48555</v>
      </c>
    </row>
    <row r="4" spans="1:4" x14ac:dyDescent="0.2">
      <c r="A4" s="2" t="s">
        <v>14</v>
      </c>
      <c r="B4" s="3">
        <v>34118</v>
      </c>
      <c r="C4" s="12">
        <f>GovBySenateDistrict56General[[#This Row],[Part of Monroe County Vote Results]]</f>
        <v>34118</v>
      </c>
      <c r="D4" s="13">
        <f>SUM(C4,C5,C10)</f>
        <v>41057</v>
      </c>
    </row>
    <row r="5" spans="1:4" x14ac:dyDescent="0.2">
      <c r="A5" s="2" t="s">
        <v>15</v>
      </c>
      <c r="B5" s="3">
        <v>6409</v>
      </c>
      <c r="C5" s="12">
        <f>GovBySenateDistrict56General[[#This Row],[Part of Monroe County Vote Results]]</f>
        <v>6409</v>
      </c>
      <c r="D5" s="14"/>
    </row>
    <row r="6" spans="1:4" x14ac:dyDescent="0.2">
      <c r="A6" s="2" t="s">
        <v>6</v>
      </c>
      <c r="B6" s="3">
        <v>1309</v>
      </c>
      <c r="C6" s="12">
        <f>GovBySenateDistrict56General[[#This Row],[Part of Monroe County Vote Results]]</f>
        <v>1309</v>
      </c>
      <c r="D6" s="13">
        <f>GovBySenateDistrict56General[[#This Row],[Total Votes by Party]]</f>
        <v>1309</v>
      </c>
    </row>
    <row r="7" spans="1:4" x14ac:dyDescent="0.2">
      <c r="A7" s="2" t="s">
        <v>7</v>
      </c>
      <c r="B7" s="3">
        <v>1194</v>
      </c>
      <c r="C7" s="12">
        <f>GovBySenateDistrict56General[[#This Row],[Part of Monroe County Vote Results]]</f>
        <v>1194</v>
      </c>
      <c r="D7" s="14"/>
    </row>
    <row r="8" spans="1:4" x14ac:dyDescent="0.2">
      <c r="A8" s="2" t="s">
        <v>8</v>
      </c>
      <c r="B8" s="3">
        <v>1129</v>
      </c>
      <c r="C8" s="12">
        <f>GovBySenateDistrict56General[[#This Row],[Part of Monroe County Vote Results]]</f>
        <v>1129</v>
      </c>
      <c r="D8" s="14"/>
    </row>
    <row r="9" spans="1:4" x14ac:dyDescent="0.2">
      <c r="A9" s="2" t="s">
        <v>9</v>
      </c>
      <c r="B9" s="3">
        <v>614</v>
      </c>
      <c r="C9" s="12">
        <f>GovBySenateDistrict56General[[#This Row],[Part of Monroe County Vote Results]]</f>
        <v>614</v>
      </c>
      <c r="D9" s="14"/>
    </row>
    <row r="10" spans="1:4" x14ac:dyDescent="0.2">
      <c r="A10" s="2" t="s">
        <v>16</v>
      </c>
      <c r="B10" s="3">
        <v>530</v>
      </c>
      <c r="C10" s="12">
        <f>GovBySenateDistrict56General[[#This Row],[Part of Monroe County Vote Results]]</f>
        <v>530</v>
      </c>
      <c r="D10" s="14"/>
    </row>
    <row r="11" spans="1:4" x14ac:dyDescent="0.2">
      <c r="A11" s="2" t="s">
        <v>10</v>
      </c>
      <c r="B11" s="3">
        <v>3513</v>
      </c>
      <c r="C11" s="12">
        <f>GovBySenateDistrict56General[[#This Row],[Part of Monroe County Vote Results]]</f>
        <v>3513</v>
      </c>
      <c r="D11" s="13">
        <f>GovBySenateDistrict56General[[#This Row],[Total Votes by Party]]</f>
        <v>3513</v>
      </c>
    </row>
    <row r="12" spans="1:4" x14ac:dyDescent="0.2">
      <c r="A12" s="4" t="s">
        <v>11</v>
      </c>
      <c r="B12" s="5">
        <v>1171</v>
      </c>
      <c r="C12" s="12">
        <f>GovBySenateDistrict56General[[#This Row],[Part of Monroe County Vote Results]]</f>
        <v>1171</v>
      </c>
      <c r="D12" s="13">
        <f>GovBySenateDistrict56General[[#This Row],[Total Votes by Party]]</f>
        <v>1171</v>
      </c>
    </row>
    <row r="13" spans="1:4" x14ac:dyDescent="0.2">
      <c r="A13" s="4" t="s">
        <v>0</v>
      </c>
      <c r="B13" s="5">
        <v>2763</v>
      </c>
      <c r="C13" s="12">
        <f>GovBySenateDistrict56General[[#This Row],[Part of Monroe County Vote Results]]</f>
        <v>2763</v>
      </c>
      <c r="D13" s="14"/>
    </row>
    <row r="14" spans="1:4" x14ac:dyDescent="0.2">
      <c r="A14" s="4" t="s">
        <v>1</v>
      </c>
      <c r="B14" s="5">
        <v>0</v>
      </c>
      <c r="C14" s="12">
        <f>GovBySenateDistrict56General[[#This Row],[Part of Monroe County Vote Results]]</f>
        <v>0</v>
      </c>
      <c r="D14" s="14"/>
    </row>
    <row r="15" spans="1:4" x14ac:dyDescent="0.2">
      <c r="A15" s="4" t="s">
        <v>2</v>
      </c>
      <c r="B15" s="5">
        <v>60</v>
      </c>
      <c r="C15" s="12">
        <f>GovBySenateDistrict56General[[#This Row],[Part of Monroe County Vote Results]]</f>
        <v>60</v>
      </c>
      <c r="D15" s="14"/>
    </row>
    <row r="16" spans="1:4" hidden="1" x14ac:dyDescent="0.2">
      <c r="A16" s="4" t="s">
        <v>4</v>
      </c>
      <c r="B16" s="6">
        <f>SUBTOTAL(109,GovBySenateDistrict56General[Total Votes by Candidate])</f>
        <v>95605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E0875-9E0D-4EDD-BD00-20F91C2859B0}">
  <dimension ref="A1:G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7" ht="24.75" customHeight="1" x14ac:dyDescent="0.2">
      <c r="A1" s="1" t="s">
        <v>132</v>
      </c>
    </row>
    <row r="2" spans="1:7" ht="25.5" x14ac:dyDescent="0.2">
      <c r="A2" s="7" t="s">
        <v>12</v>
      </c>
      <c r="B2" s="8" t="s">
        <v>60</v>
      </c>
      <c r="C2" s="8" t="s">
        <v>61</v>
      </c>
      <c r="D2" s="8" t="s">
        <v>62</v>
      </c>
      <c r="E2" s="8" t="s">
        <v>133</v>
      </c>
      <c r="F2" s="10" t="s">
        <v>141</v>
      </c>
      <c r="G2" s="11" t="s">
        <v>5</v>
      </c>
    </row>
    <row r="3" spans="1:7" x14ac:dyDescent="0.2">
      <c r="A3" s="2" t="s">
        <v>3</v>
      </c>
      <c r="B3" s="3">
        <v>3254</v>
      </c>
      <c r="C3" s="3">
        <v>6545</v>
      </c>
      <c r="D3" s="3">
        <v>14260</v>
      </c>
      <c r="E3" s="3">
        <v>2538</v>
      </c>
      <c r="F3" s="12">
        <f>SUM(GovBySenateDistrict57General[[#This Row],[Allegany County Vote Results]:[Part of Livingston County Vote Results]])</f>
        <v>26597</v>
      </c>
      <c r="G3" s="13">
        <f>SUM(F3,F7,F8,F9)</f>
        <v>28725</v>
      </c>
    </row>
    <row r="4" spans="1:7" x14ac:dyDescent="0.2">
      <c r="A4" s="2" t="s">
        <v>14</v>
      </c>
      <c r="B4" s="3">
        <v>9234</v>
      </c>
      <c r="C4" s="3">
        <v>13240</v>
      </c>
      <c r="D4" s="3">
        <v>22435</v>
      </c>
      <c r="E4" s="3">
        <v>5941</v>
      </c>
      <c r="F4" s="12">
        <f>SUM(GovBySenateDistrict57General[[#This Row],[Allegany County Vote Results]:[Part of Livingston County Vote Results]])</f>
        <v>50850</v>
      </c>
      <c r="G4" s="13">
        <f>SUM(F4,F5,F10)</f>
        <v>57816</v>
      </c>
    </row>
    <row r="5" spans="1:7" x14ac:dyDescent="0.2">
      <c r="A5" s="2" t="s">
        <v>15</v>
      </c>
      <c r="B5" s="3">
        <v>833</v>
      </c>
      <c r="C5" s="3">
        <v>1629</v>
      </c>
      <c r="D5" s="3">
        <v>3108</v>
      </c>
      <c r="E5" s="3">
        <v>822</v>
      </c>
      <c r="F5" s="12">
        <f>SUM(GovBySenateDistrict57General[[#This Row],[Allegany County Vote Results]:[Part of Livingston County Vote Results]])</f>
        <v>6392</v>
      </c>
      <c r="G5" s="14"/>
    </row>
    <row r="6" spans="1:7" x14ac:dyDescent="0.2">
      <c r="A6" s="2" t="s">
        <v>6</v>
      </c>
      <c r="B6" s="3">
        <v>183</v>
      </c>
      <c r="C6" s="3">
        <v>307</v>
      </c>
      <c r="D6" s="3">
        <v>461</v>
      </c>
      <c r="E6" s="3">
        <v>120</v>
      </c>
      <c r="F6" s="12">
        <f>SUM(GovBySenateDistrict57General[[#This Row],[Allegany County Vote Results]:[Part of Livingston County Vote Results]])</f>
        <v>1071</v>
      </c>
      <c r="G6" s="13">
        <f>GovBySenateDistrict57General[[#This Row],[Total Votes by Party]]</f>
        <v>1071</v>
      </c>
    </row>
    <row r="7" spans="1:7" x14ac:dyDescent="0.2">
      <c r="A7" s="2" t="s">
        <v>7</v>
      </c>
      <c r="B7" s="3">
        <v>80</v>
      </c>
      <c r="C7" s="3">
        <v>146</v>
      </c>
      <c r="D7" s="3">
        <v>395</v>
      </c>
      <c r="E7" s="3">
        <v>88</v>
      </c>
      <c r="F7" s="12">
        <f>SUM(GovBySenateDistrict57General[[#This Row],[Allegany County Vote Results]:[Part of Livingston County Vote Results]])</f>
        <v>709</v>
      </c>
      <c r="G7" s="14"/>
    </row>
    <row r="8" spans="1:7" x14ac:dyDescent="0.2">
      <c r="A8" s="2" t="s">
        <v>8</v>
      </c>
      <c r="B8" s="3">
        <v>106</v>
      </c>
      <c r="C8" s="3">
        <v>265</v>
      </c>
      <c r="D8" s="3">
        <v>594</v>
      </c>
      <c r="E8" s="3">
        <v>85</v>
      </c>
      <c r="F8" s="12">
        <f>SUM(GovBySenateDistrict57General[[#This Row],[Allegany County Vote Results]:[Part of Livingston County Vote Results]])</f>
        <v>1050</v>
      </c>
      <c r="G8" s="14"/>
    </row>
    <row r="9" spans="1:7" x14ac:dyDescent="0.2">
      <c r="A9" s="2" t="s">
        <v>9</v>
      </c>
      <c r="B9" s="3">
        <v>46</v>
      </c>
      <c r="C9" s="3">
        <v>78</v>
      </c>
      <c r="D9" s="3">
        <v>198</v>
      </c>
      <c r="E9" s="3">
        <v>47</v>
      </c>
      <c r="F9" s="12">
        <f>SUM(GovBySenateDistrict57General[[#This Row],[Allegany County Vote Results]:[Part of Livingston County Vote Results]])</f>
        <v>369</v>
      </c>
      <c r="G9" s="14"/>
    </row>
    <row r="10" spans="1:7" x14ac:dyDescent="0.2">
      <c r="A10" s="2" t="s">
        <v>16</v>
      </c>
      <c r="B10" s="3">
        <v>65</v>
      </c>
      <c r="C10" s="3">
        <v>159</v>
      </c>
      <c r="D10" s="3">
        <v>280</v>
      </c>
      <c r="E10" s="3">
        <v>70</v>
      </c>
      <c r="F10" s="12">
        <f>SUM(GovBySenateDistrict57General[[#This Row],[Allegany County Vote Results]:[Part of Livingston County Vote Results]])</f>
        <v>574</v>
      </c>
      <c r="G10" s="14"/>
    </row>
    <row r="11" spans="1:7" x14ac:dyDescent="0.2">
      <c r="A11" s="2" t="s">
        <v>10</v>
      </c>
      <c r="B11" s="3">
        <v>963</v>
      </c>
      <c r="C11" s="3">
        <v>1060</v>
      </c>
      <c r="D11" s="3">
        <v>1413</v>
      </c>
      <c r="E11" s="3">
        <v>669</v>
      </c>
      <c r="F11" s="12">
        <f>SUM(GovBySenateDistrict57General[[#This Row],[Allegany County Vote Results]:[Part of Livingston County Vote Results]])</f>
        <v>4105</v>
      </c>
      <c r="G11" s="13">
        <f>GovBySenateDistrict57General[[#This Row],[Total Votes by Party]]</f>
        <v>4105</v>
      </c>
    </row>
    <row r="12" spans="1:7" x14ac:dyDescent="0.2">
      <c r="A12" s="4" t="s">
        <v>11</v>
      </c>
      <c r="B12" s="3">
        <v>117</v>
      </c>
      <c r="C12" s="3">
        <v>192</v>
      </c>
      <c r="D12" s="5">
        <v>315</v>
      </c>
      <c r="E12" s="3">
        <v>98</v>
      </c>
      <c r="F12" s="12">
        <f>SUM(GovBySenateDistrict57General[[#This Row],[Allegany County Vote Results]:[Part of Livingston County Vote Results]])</f>
        <v>722</v>
      </c>
      <c r="G12" s="13">
        <f>GovBySenateDistrict57General[[#This Row],[Total Votes by Party]]</f>
        <v>722</v>
      </c>
    </row>
    <row r="13" spans="1:7" x14ac:dyDescent="0.2">
      <c r="A13" s="4" t="s">
        <v>0</v>
      </c>
      <c r="B13" s="3">
        <v>462</v>
      </c>
      <c r="C13" s="3">
        <v>977</v>
      </c>
      <c r="D13" s="5">
        <v>854</v>
      </c>
      <c r="E13" s="3">
        <v>175</v>
      </c>
      <c r="F13" s="12">
        <f>SUM(GovBySenateDistrict57General[[#This Row],[Allegany County Vote Results]:[Part of Livingston County Vote Results]])</f>
        <v>2468</v>
      </c>
      <c r="G13" s="14"/>
    </row>
    <row r="14" spans="1:7" x14ac:dyDescent="0.2">
      <c r="A14" s="4" t="s">
        <v>1</v>
      </c>
      <c r="B14" s="3">
        <v>3</v>
      </c>
      <c r="C14" s="3">
        <v>19</v>
      </c>
      <c r="D14" s="5">
        <v>163</v>
      </c>
      <c r="E14" s="3">
        <v>32</v>
      </c>
      <c r="F14" s="12">
        <f>SUM(GovBySenateDistrict57General[[#This Row],[Allegany County Vote Results]:[Part of Livingston County Vote Results]])</f>
        <v>217</v>
      </c>
      <c r="G14" s="14"/>
    </row>
    <row r="15" spans="1:7" x14ac:dyDescent="0.2">
      <c r="A15" s="4" t="s">
        <v>2</v>
      </c>
      <c r="B15" s="5">
        <v>7</v>
      </c>
      <c r="C15" s="5">
        <v>4</v>
      </c>
      <c r="D15" s="5">
        <v>29</v>
      </c>
      <c r="E15" s="5">
        <v>5</v>
      </c>
      <c r="F15" s="12">
        <f>SUM(GovBySenateDistrict57General[[#This Row],[Allegany County Vote Results]:[Part of Livingston County Vote Results]])</f>
        <v>45</v>
      </c>
      <c r="G15" s="14"/>
    </row>
    <row r="16" spans="1:7" hidden="1" x14ac:dyDescent="0.2">
      <c r="A16" s="4" t="s">
        <v>4</v>
      </c>
      <c r="B16" s="6">
        <f>SUBTOTAL(109,GovBySenateDistrict57General[Allegany County Vote Results])</f>
        <v>15353</v>
      </c>
      <c r="C16" s="6"/>
      <c r="D16" s="6"/>
      <c r="E16" s="6">
        <f>SUBTOTAL(109,GovBySenateDistrict57General[Part of Livingston County Vote Results])</f>
        <v>10690</v>
      </c>
      <c r="F16" s="6"/>
      <c r="G16" s="9"/>
    </row>
  </sheetData>
  <pageMargins left="0.7" right="0.7" top="0.75" bottom="0.75" header="0.3" footer="0.3"/>
  <tableParts count="1">
    <tablePart r:id="rId1"/>
  </tablePart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C633D-3363-4916-AEBE-57E2FBA93C8C}">
  <dimension ref="A1:H16"/>
  <sheetViews>
    <sheetView workbookViewId="0">
      <selection activeCell="B3" sqref="B3"/>
    </sheetView>
  </sheetViews>
  <sheetFormatPr defaultRowHeight="12.75" x14ac:dyDescent="0.2"/>
  <cols>
    <col min="1" max="1" width="25.5703125" customWidth="1"/>
    <col min="2" max="8" width="20.5703125" customWidth="1"/>
    <col min="9" max="10" width="23.5703125" customWidth="1"/>
  </cols>
  <sheetData>
    <row r="1" spans="1:8" ht="24.75" customHeight="1" x14ac:dyDescent="0.2">
      <c r="A1" s="1" t="s">
        <v>134</v>
      </c>
    </row>
    <row r="2" spans="1:8" ht="25.5" x14ac:dyDescent="0.2">
      <c r="A2" s="7" t="s">
        <v>12</v>
      </c>
      <c r="B2" s="8" t="s">
        <v>68</v>
      </c>
      <c r="C2" s="8" t="s">
        <v>54</v>
      </c>
      <c r="D2" s="8" t="s">
        <v>70</v>
      </c>
      <c r="E2" s="8" t="s">
        <v>55</v>
      </c>
      <c r="F2" s="8" t="s">
        <v>125</v>
      </c>
      <c r="G2" s="10" t="s">
        <v>141</v>
      </c>
      <c r="H2" s="11" t="s">
        <v>5</v>
      </c>
    </row>
    <row r="3" spans="1:8" x14ac:dyDescent="0.2">
      <c r="A3" s="2" t="s">
        <v>3</v>
      </c>
      <c r="B3" s="3">
        <v>9588</v>
      </c>
      <c r="C3" s="3">
        <v>2209</v>
      </c>
      <c r="D3" s="3">
        <v>8716</v>
      </c>
      <c r="E3" s="3">
        <v>2399</v>
      </c>
      <c r="F3" s="3">
        <v>13400</v>
      </c>
      <c r="G3" s="12">
        <f>SUM(GovBySenateDistrict58General[[#This Row],[Chemung County Vote Results]:[Part of Tompkins County Vote Results]])</f>
        <v>36312</v>
      </c>
      <c r="H3" s="13">
        <f>SUM(G3,G7,G8,G9)</f>
        <v>39585</v>
      </c>
    </row>
    <row r="4" spans="1:8" x14ac:dyDescent="0.2">
      <c r="A4" s="2" t="s">
        <v>14</v>
      </c>
      <c r="B4" s="3">
        <v>15635</v>
      </c>
      <c r="C4" s="3">
        <v>3569</v>
      </c>
      <c r="D4" s="3">
        <v>19301</v>
      </c>
      <c r="E4" s="3">
        <v>4386</v>
      </c>
      <c r="F4" s="3">
        <v>3027</v>
      </c>
      <c r="G4" s="12">
        <f>SUM(GovBySenateDistrict58General[[#This Row],[Chemung County Vote Results]:[Part of Tompkins County Vote Results]])</f>
        <v>45918</v>
      </c>
      <c r="H4" s="13">
        <f>SUM(G4,G5,G10)</f>
        <v>50808</v>
      </c>
    </row>
    <row r="5" spans="1:8" x14ac:dyDescent="0.2">
      <c r="A5" s="2" t="s">
        <v>15</v>
      </c>
      <c r="B5" s="3">
        <v>1468</v>
      </c>
      <c r="C5" s="3">
        <v>404</v>
      </c>
      <c r="D5" s="3">
        <v>1549</v>
      </c>
      <c r="E5" s="3">
        <v>560</v>
      </c>
      <c r="F5" s="3">
        <v>366</v>
      </c>
      <c r="G5" s="12">
        <f>SUM(GovBySenateDistrict58General[[#This Row],[Chemung County Vote Results]:[Part of Tompkins County Vote Results]])</f>
        <v>4347</v>
      </c>
      <c r="H5" s="14"/>
    </row>
    <row r="6" spans="1:8" x14ac:dyDescent="0.2">
      <c r="A6" s="2" t="s">
        <v>6</v>
      </c>
      <c r="B6" s="3">
        <v>354</v>
      </c>
      <c r="C6" s="3">
        <v>125</v>
      </c>
      <c r="D6" s="3">
        <v>417</v>
      </c>
      <c r="E6" s="3">
        <v>110</v>
      </c>
      <c r="F6" s="3">
        <v>1080</v>
      </c>
      <c r="G6" s="12">
        <f>SUM(GovBySenateDistrict58General[[#This Row],[Chemung County Vote Results]:[Part of Tompkins County Vote Results]])</f>
        <v>2086</v>
      </c>
      <c r="H6" s="13">
        <f>GovBySenateDistrict58General[[#This Row],[Total Votes by Party]]</f>
        <v>2086</v>
      </c>
    </row>
    <row r="7" spans="1:8" x14ac:dyDescent="0.2">
      <c r="A7" s="2" t="s">
        <v>7</v>
      </c>
      <c r="B7" s="3">
        <v>199</v>
      </c>
      <c r="C7" s="3">
        <v>112</v>
      </c>
      <c r="D7" s="3">
        <v>202</v>
      </c>
      <c r="E7" s="3">
        <v>63</v>
      </c>
      <c r="F7" s="3">
        <v>1248</v>
      </c>
      <c r="G7" s="12">
        <f>SUM(GovBySenateDistrict58General[[#This Row],[Chemung County Vote Results]:[Part of Tompkins County Vote Results]])</f>
        <v>1824</v>
      </c>
      <c r="H7" s="14"/>
    </row>
    <row r="8" spans="1:8" x14ac:dyDescent="0.2">
      <c r="A8" s="2" t="s">
        <v>8</v>
      </c>
      <c r="B8" s="3">
        <v>298</v>
      </c>
      <c r="C8" s="3">
        <v>62</v>
      </c>
      <c r="D8" s="3">
        <v>280</v>
      </c>
      <c r="E8" s="3">
        <v>55</v>
      </c>
      <c r="F8" s="3">
        <v>189</v>
      </c>
      <c r="G8" s="12">
        <f>SUM(GovBySenateDistrict58General[[#This Row],[Chemung County Vote Results]:[Part of Tompkins County Vote Results]])</f>
        <v>884</v>
      </c>
      <c r="H8" s="14"/>
    </row>
    <row r="9" spans="1:8" x14ac:dyDescent="0.2">
      <c r="A9" s="2" t="s">
        <v>9</v>
      </c>
      <c r="B9" s="3">
        <v>106</v>
      </c>
      <c r="C9" s="3">
        <v>31</v>
      </c>
      <c r="D9" s="3">
        <v>112</v>
      </c>
      <c r="E9" s="3">
        <v>41</v>
      </c>
      <c r="F9" s="3">
        <v>275</v>
      </c>
      <c r="G9" s="12">
        <f>SUM(GovBySenateDistrict58General[[#This Row],[Chemung County Vote Results]:[Part of Tompkins County Vote Results]])</f>
        <v>565</v>
      </c>
      <c r="H9" s="14"/>
    </row>
    <row r="10" spans="1:8" x14ac:dyDescent="0.2">
      <c r="A10" s="2" t="s">
        <v>16</v>
      </c>
      <c r="B10" s="3">
        <v>191</v>
      </c>
      <c r="C10" s="3">
        <v>51</v>
      </c>
      <c r="D10" s="3">
        <v>185</v>
      </c>
      <c r="E10" s="3">
        <v>45</v>
      </c>
      <c r="F10" s="3">
        <v>71</v>
      </c>
      <c r="G10" s="12">
        <f>SUM(GovBySenateDistrict58General[[#This Row],[Chemung County Vote Results]:[Part of Tompkins County Vote Results]])</f>
        <v>543</v>
      </c>
      <c r="H10" s="14"/>
    </row>
    <row r="11" spans="1:8" x14ac:dyDescent="0.2">
      <c r="A11" s="2" t="s">
        <v>10</v>
      </c>
      <c r="B11" s="3">
        <v>1604</v>
      </c>
      <c r="C11" s="3">
        <v>714</v>
      </c>
      <c r="D11" s="3">
        <v>2783</v>
      </c>
      <c r="E11" s="3">
        <v>401</v>
      </c>
      <c r="F11" s="3">
        <v>615</v>
      </c>
      <c r="G11" s="12">
        <f>SUM(GovBySenateDistrict58General[[#This Row],[Chemung County Vote Results]:[Part of Tompkins County Vote Results]])</f>
        <v>6117</v>
      </c>
      <c r="H11" s="13">
        <f>GovBySenateDistrict58General[[#This Row],[Total Votes by Party]]</f>
        <v>6117</v>
      </c>
    </row>
    <row r="12" spans="1:8" x14ac:dyDescent="0.2">
      <c r="A12" s="4" t="s">
        <v>11</v>
      </c>
      <c r="B12" s="3">
        <v>260</v>
      </c>
      <c r="C12" s="3">
        <v>101</v>
      </c>
      <c r="D12" s="3">
        <v>322</v>
      </c>
      <c r="E12" s="3">
        <v>104</v>
      </c>
      <c r="F12" s="3">
        <v>445</v>
      </c>
      <c r="G12" s="12">
        <f>SUM(GovBySenateDistrict58General[[#This Row],[Chemung County Vote Results]:[Part of Tompkins County Vote Results]])</f>
        <v>1232</v>
      </c>
      <c r="H12" s="13">
        <f>GovBySenateDistrict58General[[#This Row],[Total Votes by Party]]</f>
        <v>1232</v>
      </c>
    </row>
    <row r="13" spans="1:8" x14ac:dyDescent="0.2">
      <c r="A13" s="4" t="s">
        <v>0</v>
      </c>
      <c r="B13" s="3">
        <v>741</v>
      </c>
      <c r="C13" s="3">
        <v>133</v>
      </c>
      <c r="D13" s="3">
        <v>952</v>
      </c>
      <c r="E13" s="3">
        <v>85</v>
      </c>
      <c r="F13" s="3">
        <v>343</v>
      </c>
      <c r="G13" s="12">
        <f>SUM(GovBySenateDistrict58General[[#This Row],[Chemung County Vote Results]:[Part of Tompkins County Vote Results]])</f>
        <v>2254</v>
      </c>
      <c r="H13" s="14"/>
    </row>
    <row r="14" spans="1:8" x14ac:dyDescent="0.2">
      <c r="A14" s="4" t="s">
        <v>1</v>
      </c>
      <c r="B14" s="3">
        <v>0</v>
      </c>
      <c r="C14" s="3">
        <v>15</v>
      </c>
      <c r="D14" s="3">
        <v>64</v>
      </c>
      <c r="E14" s="3">
        <v>34</v>
      </c>
      <c r="F14" s="3">
        <v>28</v>
      </c>
      <c r="G14" s="12">
        <f>SUM(GovBySenateDistrict58General[[#This Row],[Chemung County Vote Results]:[Part of Tompkins County Vote Results]])</f>
        <v>141</v>
      </c>
      <c r="H14" s="14"/>
    </row>
    <row r="15" spans="1:8" x14ac:dyDescent="0.2">
      <c r="A15" s="4" t="s">
        <v>2</v>
      </c>
      <c r="B15" s="5">
        <v>20</v>
      </c>
      <c r="C15" s="5">
        <v>3</v>
      </c>
      <c r="D15" s="5">
        <v>18</v>
      </c>
      <c r="E15" s="5">
        <v>3</v>
      </c>
      <c r="F15" s="5">
        <v>47</v>
      </c>
      <c r="G15" s="12">
        <f>SUM(GovBySenateDistrict58General[[#This Row],[Chemung County Vote Results]:[Part of Tompkins County Vote Results]])</f>
        <v>91</v>
      </c>
      <c r="H15" s="14"/>
    </row>
    <row r="16" spans="1:8" hidden="1" x14ac:dyDescent="0.2">
      <c r="A16" s="4" t="s">
        <v>4</v>
      </c>
      <c r="B16" s="6">
        <f>SUBTOTAL(109,GovBySenateDistrict58General[Chemung County Vote Results])</f>
        <v>30464</v>
      </c>
      <c r="C16" s="6"/>
      <c r="D16" s="6"/>
      <c r="E16" s="6"/>
      <c r="F16" s="6">
        <f>SUBTOTAL(109,GovBySenateDistrict58General[Part of Tompkins County Vote Results])</f>
        <v>21134</v>
      </c>
      <c r="G16" s="6"/>
      <c r="H16" s="9"/>
    </row>
  </sheetData>
  <pageMargins left="0.7" right="0.7" top="0.75" bottom="0.75" header="0.3" footer="0.3"/>
  <tableParts count="1">
    <tablePart r:id="rId1"/>
  </tablePart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8AA9-0A04-412B-93BB-30CBB0F575B9}">
  <dimension ref="A1:G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7" ht="24.75" customHeight="1" x14ac:dyDescent="0.2">
      <c r="A1" s="1" t="s">
        <v>135</v>
      </c>
    </row>
    <row r="2" spans="1:7" ht="25.5" x14ac:dyDescent="0.2">
      <c r="A2" s="7" t="s">
        <v>12</v>
      </c>
      <c r="B2" s="8" t="s">
        <v>59</v>
      </c>
      <c r="C2" s="8" t="s">
        <v>58</v>
      </c>
      <c r="D2" s="8" t="s">
        <v>133</v>
      </c>
      <c r="E2" s="8" t="s">
        <v>56</v>
      </c>
      <c r="F2" s="10" t="s">
        <v>141</v>
      </c>
      <c r="G2" s="11" t="s">
        <v>5</v>
      </c>
    </row>
    <row r="3" spans="1:7" x14ac:dyDescent="0.2">
      <c r="A3" s="2" t="s">
        <v>3</v>
      </c>
      <c r="B3" s="3">
        <v>2438</v>
      </c>
      <c r="C3" s="3">
        <v>24980</v>
      </c>
      <c r="D3" s="3">
        <v>4524</v>
      </c>
      <c r="E3" s="3">
        <v>7711</v>
      </c>
      <c r="F3" s="12">
        <f>SUM(GovBySenateDistrict59General[[#This Row],[Wyoming County Vote Results]:[Part of Monroe County Vote Results]])</f>
        <v>39653</v>
      </c>
      <c r="G3" s="13">
        <f>SUM(F3,F7,F8,F9)</f>
        <v>42959</v>
      </c>
    </row>
    <row r="4" spans="1:7" x14ac:dyDescent="0.2">
      <c r="A4" s="2" t="s">
        <v>14</v>
      </c>
      <c r="B4" s="3">
        <v>8703</v>
      </c>
      <c r="C4" s="3">
        <v>35789</v>
      </c>
      <c r="D4" s="3">
        <v>6698</v>
      </c>
      <c r="E4" s="3">
        <v>6172</v>
      </c>
      <c r="F4" s="12">
        <f>SUM(GovBySenateDistrict59General[[#This Row],[Wyoming County Vote Results]:[Part of Monroe County Vote Results]])</f>
        <v>57362</v>
      </c>
      <c r="G4" s="13">
        <f>SUM(F4,F5,F10)</f>
        <v>70248</v>
      </c>
    </row>
    <row r="5" spans="1:7" x14ac:dyDescent="0.2">
      <c r="A5" s="2" t="s">
        <v>15</v>
      </c>
      <c r="B5" s="3">
        <v>1216</v>
      </c>
      <c r="C5" s="3">
        <v>8642</v>
      </c>
      <c r="D5" s="3">
        <v>1005</v>
      </c>
      <c r="E5" s="3">
        <v>1191</v>
      </c>
      <c r="F5" s="12">
        <f>SUM(GovBySenateDistrict59General[[#This Row],[Wyoming County Vote Results]:[Part of Monroe County Vote Results]])</f>
        <v>12054</v>
      </c>
      <c r="G5" s="14"/>
    </row>
    <row r="6" spans="1:7" x14ac:dyDescent="0.2">
      <c r="A6" s="2" t="s">
        <v>6</v>
      </c>
      <c r="B6" s="3">
        <v>131</v>
      </c>
      <c r="C6" s="3">
        <v>1097</v>
      </c>
      <c r="D6" s="3">
        <v>295</v>
      </c>
      <c r="E6" s="3">
        <v>259</v>
      </c>
      <c r="F6" s="12">
        <f>SUM(GovBySenateDistrict59General[[#This Row],[Wyoming County Vote Results]:[Part of Monroe County Vote Results]])</f>
        <v>1782</v>
      </c>
      <c r="G6" s="13">
        <f>GovBySenateDistrict59General[[#This Row],[Total Votes by Party]]</f>
        <v>1782</v>
      </c>
    </row>
    <row r="7" spans="1:7" x14ac:dyDescent="0.2">
      <c r="A7" s="2" t="s">
        <v>7</v>
      </c>
      <c r="B7" s="3">
        <v>77</v>
      </c>
      <c r="C7" s="3">
        <v>922</v>
      </c>
      <c r="D7" s="3">
        <v>140</v>
      </c>
      <c r="E7" s="3">
        <v>196</v>
      </c>
      <c r="F7" s="12">
        <f>SUM(GovBySenateDistrict59General[[#This Row],[Wyoming County Vote Results]:[Part of Monroe County Vote Results]])</f>
        <v>1335</v>
      </c>
      <c r="G7" s="14"/>
    </row>
    <row r="8" spans="1:7" x14ac:dyDescent="0.2">
      <c r="A8" s="2" t="s">
        <v>8</v>
      </c>
      <c r="B8" s="3">
        <v>73</v>
      </c>
      <c r="C8" s="3">
        <v>999</v>
      </c>
      <c r="D8" s="3">
        <v>130</v>
      </c>
      <c r="E8" s="3">
        <v>242</v>
      </c>
      <c r="F8" s="12">
        <f>SUM(GovBySenateDistrict59General[[#This Row],[Wyoming County Vote Results]:[Part of Monroe County Vote Results]])</f>
        <v>1444</v>
      </c>
      <c r="G8" s="14"/>
    </row>
    <row r="9" spans="1:7" x14ac:dyDescent="0.2">
      <c r="A9" s="2" t="s">
        <v>9</v>
      </c>
      <c r="B9" s="3">
        <v>24</v>
      </c>
      <c r="C9" s="3">
        <v>329</v>
      </c>
      <c r="D9" s="3">
        <v>85</v>
      </c>
      <c r="E9" s="3">
        <v>89</v>
      </c>
      <c r="F9" s="12">
        <f>SUM(GovBySenateDistrict59General[[#This Row],[Wyoming County Vote Results]:[Part of Monroe County Vote Results]])</f>
        <v>527</v>
      </c>
      <c r="G9" s="14"/>
    </row>
    <row r="10" spans="1:7" x14ac:dyDescent="0.2">
      <c r="A10" s="2" t="s">
        <v>16</v>
      </c>
      <c r="B10" s="3">
        <v>78</v>
      </c>
      <c r="C10" s="3">
        <v>549</v>
      </c>
      <c r="D10" s="3">
        <v>91</v>
      </c>
      <c r="E10" s="3">
        <v>114</v>
      </c>
      <c r="F10" s="12">
        <f>SUM(GovBySenateDistrict59General[[#This Row],[Wyoming County Vote Results]:[Part of Monroe County Vote Results]])</f>
        <v>832</v>
      </c>
      <c r="G10" s="14"/>
    </row>
    <row r="11" spans="1:7" x14ac:dyDescent="0.2">
      <c r="A11" s="2" t="s">
        <v>10</v>
      </c>
      <c r="B11" s="3">
        <v>520</v>
      </c>
      <c r="C11" s="3">
        <v>1366</v>
      </c>
      <c r="D11" s="3">
        <v>670</v>
      </c>
      <c r="E11" s="3">
        <v>738</v>
      </c>
      <c r="F11" s="12">
        <f>SUM(GovBySenateDistrict59General[[#This Row],[Wyoming County Vote Results]:[Part of Monroe County Vote Results]])</f>
        <v>3294</v>
      </c>
      <c r="G11" s="13">
        <f>GovBySenateDistrict59General[[#This Row],[Total Votes by Party]]</f>
        <v>3294</v>
      </c>
    </row>
    <row r="12" spans="1:7" x14ac:dyDescent="0.2">
      <c r="A12" s="4" t="s">
        <v>11</v>
      </c>
      <c r="B12" s="3">
        <v>103</v>
      </c>
      <c r="C12" s="3">
        <v>630</v>
      </c>
      <c r="D12" s="3">
        <v>213</v>
      </c>
      <c r="E12" s="3">
        <v>252</v>
      </c>
      <c r="F12" s="12">
        <f>SUM(GovBySenateDistrict59General[[#This Row],[Wyoming County Vote Results]:[Part of Monroe County Vote Results]])</f>
        <v>1198</v>
      </c>
      <c r="G12" s="13">
        <f>GovBySenateDistrict59General[[#This Row],[Total Votes by Party]]</f>
        <v>1198</v>
      </c>
    </row>
    <row r="13" spans="1:7" x14ac:dyDescent="0.2">
      <c r="A13" s="4" t="s">
        <v>0</v>
      </c>
      <c r="B13" s="3">
        <v>148</v>
      </c>
      <c r="C13" s="3">
        <v>1280</v>
      </c>
      <c r="D13" s="3">
        <v>230</v>
      </c>
      <c r="E13" s="3">
        <v>377</v>
      </c>
      <c r="F13" s="12">
        <f>SUM(GovBySenateDistrict59General[[#This Row],[Wyoming County Vote Results]:[Part of Monroe County Vote Results]])</f>
        <v>2035</v>
      </c>
      <c r="G13" s="14"/>
    </row>
    <row r="14" spans="1:7" x14ac:dyDescent="0.2">
      <c r="A14" s="4" t="s">
        <v>1</v>
      </c>
      <c r="B14" s="3">
        <v>15</v>
      </c>
      <c r="C14" s="3">
        <v>0</v>
      </c>
      <c r="D14" s="3">
        <v>23</v>
      </c>
      <c r="E14" s="3">
        <v>0</v>
      </c>
      <c r="F14" s="12">
        <f>SUM(GovBySenateDistrict59General[[#This Row],[Wyoming County Vote Results]:[Part of Monroe County Vote Results]])</f>
        <v>38</v>
      </c>
      <c r="G14" s="14"/>
    </row>
    <row r="15" spans="1:7" x14ac:dyDescent="0.2">
      <c r="A15" s="4" t="s">
        <v>2</v>
      </c>
      <c r="B15" s="5">
        <v>9</v>
      </c>
      <c r="C15" s="5">
        <v>0</v>
      </c>
      <c r="D15" s="5">
        <v>12</v>
      </c>
      <c r="E15" s="5">
        <v>10</v>
      </c>
      <c r="F15" s="12">
        <f>SUM(GovBySenateDistrict59General[[#This Row],[Wyoming County Vote Results]:[Part of Monroe County Vote Results]])</f>
        <v>31</v>
      </c>
      <c r="G15" s="14"/>
    </row>
    <row r="16" spans="1:7" hidden="1" x14ac:dyDescent="0.2">
      <c r="A16" s="4" t="s">
        <v>4</v>
      </c>
      <c r="B16" s="6">
        <f>SUBTOTAL(109,GovBySenateDistrict59General[Wyoming County Vote Results])</f>
        <v>13535</v>
      </c>
      <c r="C16" s="6"/>
      <c r="D16" s="6"/>
      <c r="E16" s="6">
        <f>SUBTOTAL(109,GovBySenateDistrict59General[Part of Monroe County Vote Results])</f>
        <v>17351</v>
      </c>
      <c r="F16" s="6"/>
      <c r="G16" s="9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46E65-39BC-4109-8898-4C3C1AFB9505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78</v>
      </c>
    </row>
    <row r="2" spans="1:4" ht="24.95" customHeight="1" x14ac:dyDescent="0.2">
      <c r="A2" s="7" t="s">
        <v>12</v>
      </c>
      <c r="B2" s="8" t="s">
        <v>17</v>
      </c>
      <c r="C2" s="10" t="s">
        <v>141</v>
      </c>
      <c r="D2" s="11" t="s">
        <v>5</v>
      </c>
    </row>
    <row r="3" spans="1:4" x14ac:dyDescent="0.2">
      <c r="A3" s="2" t="s">
        <v>3</v>
      </c>
      <c r="B3" s="3">
        <v>57687</v>
      </c>
      <c r="C3" s="12">
        <f>GovBySenateDistrict6General[[#This Row],[Part of Nassau County Vote Results]]</f>
        <v>57687</v>
      </c>
      <c r="D3" s="13">
        <f>SUM(C3,C7,C8,C9)</f>
        <v>59812</v>
      </c>
    </row>
    <row r="4" spans="1:4" x14ac:dyDescent="0.2">
      <c r="A4" s="2" t="s">
        <v>14</v>
      </c>
      <c r="B4" s="3">
        <v>42481</v>
      </c>
      <c r="C4" s="12">
        <f>GovBySenateDistrict6General[[#This Row],[Part of Nassau County Vote Results]]</f>
        <v>42481</v>
      </c>
      <c r="D4" s="13">
        <f>SUM(C4,C5,C10)</f>
        <v>46983</v>
      </c>
    </row>
    <row r="5" spans="1:4" x14ac:dyDescent="0.2">
      <c r="A5" s="2" t="s">
        <v>15</v>
      </c>
      <c r="B5" s="3">
        <v>4192</v>
      </c>
      <c r="C5" s="12">
        <f>GovBySenateDistrict6General[[#This Row],[Part of Nassau County Vote Results]]</f>
        <v>4192</v>
      </c>
      <c r="D5" s="14"/>
    </row>
    <row r="6" spans="1:4" x14ac:dyDescent="0.2">
      <c r="A6" s="2" t="s">
        <v>6</v>
      </c>
      <c r="B6" s="3">
        <v>850</v>
      </c>
      <c r="C6" s="12">
        <f>GovBySenateDistrict6General[[#This Row],[Part of Nassau County Vote Results]]</f>
        <v>850</v>
      </c>
      <c r="D6" s="13">
        <f>GovBySenateDistrict6General[[#This Row],[Total Votes by Party]]</f>
        <v>850</v>
      </c>
    </row>
    <row r="7" spans="1:4" x14ac:dyDescent="0.2">
      <c r="A7" s="2" t="s">
        <v>7</v>
      </c>
      <c r="B7" s="3">
        <v>947</v>
      </c>
      <c r="C7" s="12">
        <f>GovBySenateDistrict6General[[#This Row],[Part of Nassau County Vote Results]]</f>
        <v>947</v>
      </c>
      <c r="D7" s="14"/>
    </row>
    <row r="8" spans="1:4" x14ac:dyDescent="0.2">
      <c r="A8" s="2" t="s">
        <v>8</v>
      </c>
      <c r="B8" s="3">
        <v>755</v>
      </c>
      <c r="C8" s="12">
        <f>GovBySenateDistrict6General[[#This Row],[Part of Nassau County Vote Results]]</f>
        <v>755</v>
      </c>
      <c r="D8" s="14"/>
    </row>
    <row r="9" spans="1:4" x14ac:dyDescent="0.2">
      <c r="A9" s="2" t="s">
        <v>9</v>
      </c>
      <c r="B9" s="3">
        <v>423</v>
      </c>
      <c r="C9" s="12">
        <f>GovBySenateDistrict6General[[#This Row],[Part of Nassau County Vote Results]]</f>
        <v>423</v>
      </c>
      <c r="D9" s="14"/>
    </row>
    <row r="10" spans="1:4" x14ac:dyDescent="0.2">
      <c r="A10" s="2" t="s">
        <v>16</v>
      </c>
      <c r="B10" s="3">
        <v>310</v>
      </c>
      <c r="C10" s="12">
        <f>GovBySenateDistrict6General[[#This Row],[Part of Nassau County Vote Results]]</f>
        <v>310</v>
      </c>
      <c r="D10" s="14"/>
    </row>
    <row r="11" spans="1:4" x14ac:dyDescent="0.2">
      <c r="A11" s="2" t="s">
        <v>10</v>
      </c>
      <c r="B11" s="3">
        <v>727</v>
      </c>
      <c r="C11" s="12">
        <f>GovBySenateDistrict6General[[#This Row],[Part of Nassau County Vote Results]]</f>
        <v>727</v>
      </c>
      <c r="D11" s="13">
        <f>GovBySenateDistrict6General[[#This Row],[Total Votes by Party]]</f>
        <v>727</v>
      </c>
    </row>
    <row r="12" spans="1:4" x14ac:dyDescent="0.2">
      <c r="A12" s="4" t="s">
        <v>11</v>
      </c>
      <c r="B12" s="5">
        <v>428</v>
      </c>
      <c r="C12" s="12">
        <f>GovBySenateDistrict6General[[#This Row],[Part of Nassau County Vote Results]]</f>
        <v>428</v>
      </c>
      <c r="D12" s="13">
        <f>GovBySenateDistrict6General[[#This Row],[Total Votes by Party]]</f>
        <v>428</v>
      </c>
    </row>
    <row r="13" spans="1:4" x14ac:dyDescent="0.2">
      <c r="A13" s="4" t="s">
        <v>0</v>
      </c>
      <c r="B13" s="5">
        <v>2478</v>
      </c>
      <c r="C13" s="12">
        <f>GovBySenateDistrict6General[[#This Row],[Part of Nassau County Vote Results]]</f>
        <v>2478</v>
      </c>
      <c r="D13" s="14"/>
    </row>
    <row r="14" spans="1:4" x14ac:dyDescent="0.2">
      <c r="A14" s="4" t="s">
        <v>1</v>
      </c>
      <c r="B14" s="5">
        <v>386</v>
      </c>
      <c r="C14" s="12">
        <f>GovBySenateDistrict6General[[#This Row],[Part of Nassau County Vote Results]]</f>
        <v>386</v>
      </c>
      <c r="D14" s="14"/>
    </row>
    <row r="15" spans="1:4" x14ac:dyDescent="0.2">
      <c r="A15" s="4" t="s">
        <v>2</v>
      </c>
      <c r="B15" s="5">
        <v>89</v>
      </c>
      <c r="C15" s="12">
        <f>GovBySenateDistrict6General[[#This Row],[Part of Nassau County Vote Results]]</f>
        <v>89</v>
      </c>
      <c r="D15" s="14"/>
    </row>
    <row r="16" spans="1:4" hidden="1" x14ac:dyDescent="0.2">
      <c r="A16" s="4" t="s">
        <v>4</v>
      </c>
      <c r="B16" s="6">
        <f>SUBTOTAL(109,GovBySenateDistrict6General[Total Votes by Candidate])</f>
        <v>108800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EA5D1-5CB2-4ED9-9033-AFD1DC50D1E3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136</v>
      </c>
    </row>
    <row r="2" spans="1:4" ht="24.95" customHeight="1" x14ac:dyDescent="0.2">
      <c r="A2" s="7" t="s">
        <v>12</v>
      </c>
      <c r="B2" s="8" t="s">
        <v>58</v>
      </c>
      <c r="C2" s="10" t="s">
        <v>141</v>
      </c>
      <c r="D2" s="11" t="s">
        <v>5</v>
      </c>
    </row>
    <row r="3" spans="1:4" x14ac:dyDescent="0.2">
      <c r="A3" s="2" t="s">
        <v>3</v>
      </c>
      <c r="B3" s="3">
        <v>52808</v>
      </c>
      <c r="C3" s="12">
        <f>GovBySenateDistrict60General[[#This Row],[Part of Erie County Vote Results]]</f>
        <v>52808</v>
      </c>
      <c r="D3" s="13">
        <f>SUM(C3,C7,C8,C9)</f>
        <v>57437</v>
      </c>
    </row>
    <row r="4" spans="1:4" x14ac:dyDescent="0.2">
      <c r="A4" s="2" t="s">
        <v>14</v>
      </c>
      <c r="B4" s="3">
        <v>39895</v>
      </c>
      <c r="C4" s="12">
        <f>GovBySenateDistrict60General[[#This Row],[Part of Erie County Vote Results]]</f>
        <v>39895</v>
      </c>
      <c r="D4" s="13">
        <f>SUM(C4,C5,C10)</f>
        <v>49810</v>
      </c>
    </row>
    <row r="5" spans="1:4" x14ac:dyDescent="0.2">
      <c r="A5" s="2" t="s">
        <v>15</v>
      </c>
      <c r="B5" s="3">
        <v>9218</v>
      </c>
      <c r="C5" s="12">
        <f>GovBySenateDistrict60General[[#This Row],[Part of Erie County Vote Results]]</f>
        <v>9218</v>
      </c>
      <c r="D5" s="14"/>
    </row>
    <row r="6" spans="1:4" x14ac:dyDescent="0.2">
      <c r="A6" s="2" t="s">
        <v>6</v>
      </c>
      <c r="B6" s="3">
        <v>2355</v>
      </c>
      <c r="C6" s="12">
        <f>GovBySenateDistrict60General[[#This Row],[Part of Erie County Vote Results]]</f>
        <v>2355</v>
      </c>
      <c r="D6" s="13">
        <f>GovBySenateDistrict60General[[#This Row],[Total Votes by Party]]</f>
        <v>2355</v>
      </c>
    </row>
    <row r="7" spans="1:4" x14ac:dyDescent="0.2">
      <c r="A7" s="2" t="s">
        <v>7</v>
      </c>
      <c r="B7" s="3">
        <v>2167</v>
      </c>
      <c r="C7" s="12">
        <f>GovBySenateDistrict60General[[#This Row],[Part of Erie County Vote Results]]</f>
        <v>2167</v>
      </c>
      <c r="D7" s="14"/>
    </row>
    <row r="8" spans="1:4" x14ac:dyDescent="0.2">
      <c r="A8" s="2" t="s">
        <v>8</v>
      </c>
      <c r="B8" s="3">
        <v>1634</v>
      </c>
      <c r="C8" s="12">
        <f>GovBySenateDistrict60General[[#This Row],[Part of Erie County Vote Results]]</f>
        <v>1634</v>
      </c>
      <c r="D8" s="14"/>
    </row>
    <row r="9" spans="1:4" x14ac:dyDescent="0.2">
      <c r="A9" s="2" t="s">
        <v>9</v>
      </c>
      <c r="B9" s="3">
        <v>828</v>
      </c>
      <c r="C9" s="12">
        <f>GovBySenateDistrict60General[[#This Row],[Part of Erie County Vote Results]]</f>
        <v>828</v>
      </c>
      <c r="D9" s="14"/>
    </row>
    <row r="10" spans="1:4" x14ac:dyDescent="0.2">
      <c r="A10" s="2" t="s">
        <v>16</v>
      </c>
      <c r="B10" s="3">
        <v>697</v>
      </c>
      <c r="C10" s="12">
        <f>GovBySenateDistrict60General[[#This Row],[Part of Erie County Vote Results]]</f>
        <v>697</v>
      </c>
      <c r="D10" s="14"/>
    </row>
    <row r="11" spans="1:4" x14ac:dyDescent="0.2">
      <c r="A11" s="2" t="s">
        <v>10</v>
      </c>
      <c r="B11" s="3">
        <v>1824</v>
      </c>
      <c r="C11" s="12">
        <f>GovBySenateDistrict60General[[#This Row],[Part of Erie County Vote Results]]</f>
        <v>1824</v>
      </c>
      <c r="D11" s="13">
        <f>GovBySenateDistrict60General[[#This Row],[Total Votes by Party]]</f>
        <v>1824</v>
      </c>
    </row>
    <row r="12" spans="1:4" x14ac:dyDescent="0.2">
      <c r="A12" s="4" t="s">
        <v>11</v>
      </c>
      <c r="B12" s="5">
        <v>1065</v>
      </c>
      <c r="C12" s="12">
        <f>GovBySenateDistrict60General[[#This Row],[Part of Erie County Vote Results]]</f>
        <v>1065</v>
      </c>
      <c r="D12" s="13">
        <f>GovBySenateDistrict60General[[#This Row],[Total Votes by Party]]</f>
        <v>1065</v>
      </c>
    </row>
    <row r="13" spans="1:4" x14ac:dyDescent="0.2">
      <c r="A13" s="4" t="s">
        <v>0</v>
      </c>
      <c r="B13" s="5">
        <v>1866</v>
      </c>
      <c r="C13" s="12">
        <f>GovBySenateDistrict60General[[#This Row],[Part of Erie County Vote Results]]</f>
        <v>1866</v>
      </c>
      <c r="D13" s="14"/>
    </row>
    <row r="14" spans="1:4" x14ac:dyDescent="0.2">
      <c r="A14" s="4" t="s">
        <v>1</v>
      </c>
      <c r="B14" s="5">
        <v>0</v>
      </c>
      <c r="C14" s="12">
        <f>GovBySenateDistrict60General[[#This Row],[Part of Erie County Vote Results]]</f>
        <v>0</v>
      </c>
      <c r="D14" s="14"/>
    </row>
    <row r="15" spans="1:4" x14ac:dyDescent="0.2">
      <c r="A15" s="4" t="s">
        <v>2</v>
      </c>
      <c r="B15" s="5">
        <v>0</v>
      </c>
      <c r="C15" s="12">
        <f>GovBySenateDistrict60General[[#This Row],[Part of Erie County Vote Results]]</f>
        <v>0</v>
      </c>
      <c r="D15" s="14"/>
    </row>
    <row r="16" spans="1:4" hidden="1" x14ac:dyDescent="0.2">
      <c r="A16" s="4" t="s">
        <v>4</v>
      </c>
      <c r="B16" s="6">
        <f>SUBTOTAL(109,GovBySenateDistrict60General[Total Votes by Candidate])</f>
        <v>112491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097F9-5129-47E7-9BC9-45E06A17AE23}">
  <dimension ref="A1:F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24.75" customHeight="1" x14ac:dyDescent="0.2">
      <c r="A1" s="1" t="s">
        <v>137</v>
      </c>
    </row>
    <row r="2" spans="1:6" ht="25.5" x14ac:dyDescent="0.2">
      <c r="A2" s="7" t="s">
        <v>12</v>
      </c>
      <c r="B2" s="8" t="s">
        <v>57</v>
      </c>
      <c r="C2" s="8" t="s">
        <v>58</v>
      </c>
      <c r="D2" s="8" t="s">
        <v>56</v>
      </c>
      <c r="E2" s="10" t="s">
        <v>141</v>
      </c>
      <c r="F2" s="11" t="s">
        <v>5</v>
      </c>
    </row>
    <row r="3" spans="1:6" x14ac:dyDescent="0.2">
      <c r="A3" s="2" t="s">
        <v>3</v>
      </c>
      <c r="B3" s="3">
        <v>5019</v>
      </c>
      <c r="C3" s="3">
        <v>31540</v>
      </c>
      <c r="D3" s="3">
        <v>12857</v>
      </c>
      <c r="E3" s="12">
        <f>SUM(GovBySenateDistrict61General[[#This Row],[Genesee County Vote Results]:[Part of Monroe County Vote Results]])</f>
        <v>49416</v>
      </c>
      <c r="F3" s="13">
        <f>SUM(E3,E7,E8,E9)</f>
        <v>52820</v>
      </c>
    </row>
    <row r="4" spans="1:6" x14ac:dyDescent="0.2">
      <c r="A4" s="2" t="s">
        <v>14</v>
      </c>
      <c r="B4" s="3">
        <v>11888</v>
      </c>
      <c r="C4" s="3">
        <v>25962</v>
      </c>
      <c r="D4" s="3">
        <v>7576</v>
      </c>
      <c r="E4" s="12">
        <f>SUM(GovBySenateDistrict61General[[#This Row],[Genesee County Vote Results]:[Part of Monroe County Vote Results]])</f>
        <v>45426</v>
      </c>
      <c r="F4" s="13">
        <f>SUM(E4,E5,E10)</f>
        <v>55353</v>
      </c>
    </row>
    <row r="5" spans="1:6" x14ac:dyDescent="0.2">
      <c r="A5" s="2" t="s">
        <v>15</v>
      </c>
      <c r="B5" s="3">
        <v>1937</v>
      </c>
      <c r="C5" s="3">
        <v>5792</v>
      </c>
      <c r="D5" s="3">
        <v>1595</v>
      </c>
      <c r="E5" s="12">
        <f>SUM(GovBySenateDistrict61General[[#This Row],[Genesee County Vote Results]:[Part of Monroe County Vote Results]])</f>
        <v>9324</v>
      </c>
      <c r="F5" s="14"/>
    </row>
    <row r="6" spans="1:6" x14ac:dyDescent="0.2">
      <c r="A6" s="2" t="s">
        <v>6</v>
      </c>
      <c r="B6" s="3">
        <v>270</v>
      </c>
      <c r="C6" s="3">
        <v>1001</v>
      </c>
      <c r="D6" s="3">
        <v>444</v>
      </c>
      <c r="E6" s="12">
        <f>SUM(GovBySenateDistrict61General[[#This Row],[Genesee County Vote Results]:[Part of Monroe County Vote Results]])</f>
        <v>1715</v>
      </c>
      <c r="F6" s="13">
        <f>GovBySenateDistrict61General[[#This Row],[Total Votes by Party]]</f>
        <v>1715</v>
      </c>
    </row>
    <row r="7" spans="1:6" x14ac:dyDescent="0.2">
      <c r="A7" s="2" t="s">
        <v>7</v>
      </c>
      <c r="B7" s="3">
        <v>129</v>
      </c>
      <c r="C7" s="3">
        <v>911</v>
      </c>
      <c r="D7" s="3">
        <v>373</v>
      </c>
      <c r="E7" s="12">
        <f>SUM(GovBySenateDistrict61General[[#This Row],[Genesee County Vote Results]:[Part of Monroe County Vote Results]])</f>
        <v>1413</v>
      </c>
      <c r="F7" s="14"/>
    </row>
    <row r="8" spans="1:6" x14ac:dyDescent="0.2">
      <c r="A8" s="2" t="s">
        <v>8</v>
      </c>
      <c r="B8" s="3">
        <v>176</v>
      </c>
      <c r="C8" s="3">
        <v>923</v>
      </c>
      <c r="D8" s="3">
        <v>259</v>
      </c>
      <c r="E8" s="12">
        <f>SUM(GovBySenateDistrict61General[[#This Row],[Genesee County Vote Results]:[Part of Monroe County Vote Results]])</f>
        <v>1358</v>
      </c>
      <c r="F8" s="14"/>
    </row>
    <row r="9" spans="1:6" x14ac:dyDescent="0.2">
      <c r="A9" s="2" t="s">
        <v>9</v>
      </c>
      <c r="B9" s="3">
        <v>76</v>
      </c>
      <c r="C9" s="3">
        <v>413</v>
      </c>
      <c r="D9" s="3">
        <v>144</v>
      </c>
      <c r="E9" s="12">
        <f>SUM(GovBySenateDistrict61General[[#This Row],[Genesee County Vote Results]:[Part of Monroe County Vote Results]])</f>
        <v>633</v>
      </c>
      <c r="F9" s="14"/>
    </row>
    <row r="10" spans="1:6" x14ac:dyDescent="0.2">
      <c r="A10" s="2" t="s">
        <v>16</v>
      </c>
      <c r="B10" s="3">
        <v>142</v>
      </c>
      <c r="C10" s="3">
        <v>338</v>
      </c>
      <c r="D10" s="3">
        <v>123</v>
      </c>
      <c r="E10" s="12">
        <f>SUM(GovBySenateDistrict61General[[#This Row],[Genesee County Vote Results]:[Part of Monroe County Vote Results]])</f>
        <v>603</v>
      </c>
      <c r="F10" s="14"/>
    </row>
    <row r="11" spans="1:6" x14ac:dyDescent="0.2">
      <c r="A11" s="2" t="s">
        <v>10</v>
      </c>
      <c r="B11" s="3">
        <v>1242</v>
      </c>
      <c r="C11" s="3">
        <v>877</v>
      </c>
      <c r="D11" s="3">
        <v>763</v>
      </c>
      <c r="E11" s="12">
        <f>SUM(GovBySenateDistrict61General[[#This Row],[Genesee County Vote Results]:[Part of Monroe County Vote Results]])</f>
        <v>2882</v>
      </c>
      <c r="F11" s="13">
        <f>GovBySenateDistrict61General[[#This Row],[Total Votes by Party]]</f>
        <v>2882</v>
      </c>
    </row>
    <row r="12" spans="1:6" x14ac:dyDescent="0.2">
      <c r="A12" s="4" t="s">
        <v>11</v>
      </c>
      <c r="B12" s="3">
        <v>195</v>
      </c>
      <c r="C12" s="3">
        <v>542</v>
      </c>
      <c r="D12" s="3">
        <v>364</v>
      </c>
      <c r="E12" s="12">
        <f>SUM(GovBySenateDistrict61General[[#This Row],[Genesee County Vote Results]:[Part of Monroe County Vote Results]])</f>
        <v>1101</v>
      </c>
      <c r="F12" s="13">
        <f>GovBySenateDistrict61General[[#This Row],[Total Votes by Party]]</f>
        <v>1101</v>
      </c>
    </row>
    <row r="13" spans="1:6" x14ac:dyDescent="0.2">
      <c r="A13" s="4" t="s">
        <v>0</v>
      </c>
      <c r="B13" s="3">
        <v>466</v>
      </c>
      <c r="C13" s="3">
        <v>1047</v>
      </c>
      <c r="D13" s="3">
        <v>692</v>
      </c>
      <c r="E13" s="12">
        <f>SUM(GovBySenateDistrict61General[[#This Row],[Genesee County Vote Results]:[Part of Monroe County Vote Results]])</f>
        <v>2205</v>
      </c>
      <c r="F13" s="14"/>
    </row>
    <row r="14" spans="1:6" x14ac:dyDescent="0.2">
      <c r="A14" s="4" t="s">
        <v>1</v>
      </c>
      <c r="B14" s="3">
        <v>10</v>
      </c>
      <c r="C14" s="3">
        <v>0</v>
      </c>
      <c r="D14" s="3">
        <v>0</v>
      </c>
      <c r="E14" s="12">
        <f>SUM(GovBySenateDistrict61General[[#This Row],[Genesee County Vote Results]:[Part of Monroe County Vote Results]])</f>
        <v>10</v>
      </c>
      <c r="F14" s="14"/>
    </row>
    <row r="15" spans="1:6" x14ac:dyDescent="0.2">
      <c r="A15" s="4" t="s">
        <v>2</v>
      </c>
      <c r="B15" s="5">
        <v>7</v>
      </c>
      <c r="C15" s="5">
        <v>0</v>
      </c>
      <c r="D15" s="5">
        <v>11</v>
      </c>
      <c r="E15" s="12">
        <f>SUM(GovBySenateDistrict61General[[#This Row],[Genesee County Vote Results]:[Part of Monroe County Vote Results]])</f>
        <v>18</v>
      </c>
      <c r="F15" s="14"/>
    </row>
    <row r="16" spans="1:6" hidden="1" x14ac:dyDescent="0.2">
      <c r="A16" s="4" t="s">
        <v>4</v>
      </c>
      <c r="B16" s="6">
        <f>SUBTOTAL(109,GovBySenateDistrict61General[Genesee County Vote Results])</f>
        <v>21557</v>
      </c>
      <c r="C16" s="6"/>
      <c r="D16" s="6">
        <f>SUBTOTAL(109,GovBySenateDistrict61General[Part of Monroe County Vote Results])</f>
        <v>25201</v>
      </c>
      <c r="E16" s="6"/>
      <c r="F16" s="9"/>
    </row>
  </sheetData>
  <pageMargins left="0.7" right="0.7" top="0.75" bottom="0.75" header="0.3" footer="0.3"/>
  <tableParts count="1">
    <tablePart r:id="rId1"/>
  </tablePart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97567-7151-4162-B857-F83CB381AFD1}">
  <dimension ref="A1:F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24.75" customHeight="1" x14ac:dyDescent="0.2">
      <c r="A1" s="1" t="s">
        <v>138</v>
      </c>
    </row>
    <row r="2" spans="1:6" ht="25.5" x14ac:dyDescent="0.2">
      <c r="A2" s="7" t="s">
        <v>12</v>
      </c>
      <c r="B2" s="8" t="s">
        <v>139</v>
      </c>
      <c r="C2" s="8" t="s">
        <v>72</v>
      </c>
      <c r="D2" s="8" t="s">
        <v>56</v>
      </c>
      <c r="E2" s="10" t="s">
        <v>141</v>
      </c>
      <c r="F2" s="11" t="s">
        <v>5</v>
      </c>
    </row>
    <row r="3" spans="1:6" x14ac:dyDescent="0.2">
      <c r="A3" s="2" t="s">
        <v>3</v>
      </c>
      <c r="B3" s="3">
        <v>26057</v>
      </c>
      <c r="C3" s="3">
        <v>2894</v>
      </c>
      <c r="D3" s="3">
        <v>4118</v>
      </c>
      <c r="E3" s="12">
        <f>SUM(GovBySenateDistrict62General[[#This Row],[Niagara County Vote Results]:[Part of Monroe County Vote Results]])</f>
        <v>33069</v>
      </c>
      <c r="F3" s="13">
        <f>SUM(E3,E7,E8,E9)</f>
        <v>35443</v>
      </c>
    </row>
    <row r="4" spans="1:6" x14ac:dyDescent="0.2">
      <c r="A4" s="2" t="s">
        <v>14</v>
      </c>
      <c r="B4" s="3">
        <v>34059</v>
      </c>
      <c r="C4" s="3">
        <v>7667</v>
      </c>
      <c r="D4" s="3">
        <v>5934</v>
      </c>
      <c r="E4" s="12">
        <f>SUM(GovBySenateDistrict62General[[#This Row],[Niagara County Vote Results]:[Part of Monroe County Vote Results]])</f>
        <v>47660</v>
      </c>
      <c r="F4" s="13">
        <f>SUM(E4,E5,E10)</f>
        <v>57375</v>
      </c>
    </row>
    <row r="5" spans="1:6" x14ac:dyDescent="0.2">
      <c r="A5" s="2" t="s">
        <v>15</v>
      </c>
      <c r="B5" s="3">
        <v>6692</v>
      </c>
      <c r="C5" s="3">
        <v>1133</v>
      </c>
      <c r="D5" s="3">
        <v>1234</v>
      </c>
      <c r="E5" s="12">
        <f>SUM(GovBySenateDistrict62General[[#This Row],[Niagara County Vote Results]:[Part of Monroe County Vote Results]])</f>
        <v>9059</v>
      </c>
      <c r="F5" s="14"/>
    </row>
    <row r="6" spans="1:6" x14ac:dyDescent="0.2">
      <c r="A6" s="2" t="s">
        <v>6</v>
      </c>
      <c r="B6" s="3">
        <v>956</v>
      </c>
      <c r="C6" s="3">
        <v>123</v>
      </c>
      <c r="D6" s="3">
        <v>169</v>
      </c>
      <c r="E6" s="12">
        <f>SUM(GovBySenateDistrict62General[[#This Row],[Niagara County Vote Results]:[Part of Monroe County Vote Results]])</f>
        <v>1248</v>
      </c>
      <c r="F6" s="13">
        <f>GovBySenateDistrict62General[[#This Row],[Total Votes by Party]]</f>
        <v>1248</v>
      </c>
    </row>
    <row r="7" spans="1:6" x14ac:dyDescent="0.2">
      <c r="A7" s="2" t="s">
        <v>7</v>
      </c>
      <c r="B7" s="3">
        <v>716</v>
      </c>
      <c r="C7" s="3">
        <v>69</v>
      </c>
      <c r="D7" s="3">
        <v>87</v>
      </c>
      <c r="E7" s="12">
        <f>SUM(GovBySenateDistrict62General[[#This Row],[Niagara County Vote Results]:[Part of Monroe County Vote Results]])</f>
        <v>872</v>
      </c>
      <c r="F7" s="14"/>
    </row>
    <row r="8" spans="1:6" x14ac:dyDescent="0.2">
      <c r="A8" s="2" t="s">
        <v>8</v>
      </c>
      <c r="B8" s="3">
        <v>903</v>
      </c>
      <c r="C8" s="3">
        <v>84</v>
      </c>
      <c r="D8" s="3">
        <v>127</v>
      </c>
      <c r="E8" s="12">
        <f>SUM(GovBySenateDistrict62General[[#This Row],[Niagara County Vote Results]:[Part of Monroe County Vote Results]])</f>
        <v>1114</v>
      </c>
      <c r="F8" s="14"/>
    </row>
    <row r="9" spans="1:6" x14ac:dyDescent="0.2">
      <c r="A9" s="2" t="s">
        <v>9</v>
      </c>
      <c r="B9" s="3">
        <v>275</v>
      </c>
      <c r="C9" s="3">
        <v>35</v>
      </c>
      <c r="D9" s="3">
        <v>78</v>
      </c>
      <c r="E9" s="12">
        <f>SUM(GovBySenateDistrict62General[[#This Row],[Niagara County Vote Results]:[Part of Monroe County Vote Results]])</f>
        <v>388</v>
      </c>
      <c r="F9" s="14"/>
    </row>
    <row r="10" spans="1:6" x14ac:dyDescent="0.2">
      <c r="A10" s="2" t="s">
        <v>16</v>
      </c>
      <c r="B10" s="3">
        <v>491</v>
      </c>
      <c r="C10" s="3">
        <v>93</v>
      </c>
      <c r="D10" s="3">
        <v>72</v>
      </c>
      <c r="E10" s="12">
        <f>SUM(GovBySenateDistrict62General[[#This Row],[Niagara County Vote Results]:[Part of Monroe County Vote Results]])</f>
        <v>656</v>
      </c>
      <c r="F10" s="14"/>
    </row>
    <row r="11" spans="1:6" x14ac:dyDescent="0.2">
      <c r="A11" s="2" t="s">
        <v>10</v>
      </c>
      <c r="B11" s="3">
        <v>1467</v>
      </c>
      <c r="C11" s="3">
        <v>697</v>
      </c>
      <c r="D11" s="3">
        <v>588</v>
      </c>
      <c r="E11" s="12">
        <f>SUM(GovBySenateDistrict62General[[#This Row],[Niagara County Vote Results]:[Part of Monroe County Vote Results]])</f>
        <v>2752</v>
      </c>
      <c r="F11" s="13">
        <f>GovBySenateDistrict62General[[#This Row],[Total Votes by Party]]</f>
        <v>2752</v>
      </c>
    </row>
    <row r="12" spans="1:6" x14ac:dyDescent="0.2">
      <c r="A12" s="4" t="s">
        <v>11</v>
      </c>
      <c r="B12" s="3">
        <v>679</v>
      </c>
      <c r="C12" s="3">
        <v>101</v>
      </c>
      <c r="D12" s="3">
        <v>147</v>
      </c>
      <c r="E12" s="12">
        <f>SUM(GovBySenateDistrict62General[[#This Row],[Niagara County Vote Results]:[Part of Monroe County Vote Results]])</f>
        <v>927</v>
      </c>
      <c r="F12" s="13">
        <f>GovBySenateDistrict62General[[#This Row],[Total Votes by Party]]</f>
        <v>927</v>
      </c>
    </row>
    <row r="13" spans="1:6" x14ac:dyDescent="0.2">
      <c r="A13" s="4" t="s">
        <v>0</v>
      </c>
      <c r="B13" s="3">
        <v>1340</v>
      </c>
      <c r="C13" s="3">
        <v>198</v>
      </c>
      <c r="D13" s="3">
        <v>261</v>
      </c>
      <c r="E13" s="12">
        <f>SUM(GovBySenateDistrict62General[[#This Row],[Niagara County Vote Results]:[Part of Monroe County Vote Results]])</f>
        <v>1799</v>
      </c>
      <c r="F13" s="14"/>
    </row>
    <row r="14" spans="1:6" x14ac:dyDescent="0.2">
      <c r="A14" s="4" t="s">
        <v>1</v>
      </c>
      <c r="B14" s="3">
        <v>0</v>
      </c>
      <c r="C14" s="3">
        <v>25</v>
      </c>
      <c r="D14" s="3">
        <v>0</v>
      </c>
      <c r="E14" s="12">
        <f>SUM(GovBySenateDistrict62General[[#This Row],[Niagara County Vote Results]:[Part of Monroe County Vote Results]])</f>
        <v>25</v>
      </c>
      <c r="F14" s="14"/>
    </row>
    <row r="15" spans="1:6" x14ac:dyDescent="0.2">
      <c r="A15" s="4" t="s">
        <v>2</v>
      </c>
      <c r="B15" s="5">
        <v>38</v>
      </c>
      <c r="C15" s="5">
        <v>3</v>
      </c>
      <c r="D15" s="5">
        <v>3</v>
      </c>
      <c r="E15" s="12">
        <f>SUM(GovBySenateDistrict62General[[#This Row],[Niagara County Vote Results]:[Part of Monroe County Vote Results]])</f>
        <v>44</v>
      </c>
      <c r="F15" s="14"/>
    </row>
    <row r="16" spans="1:6" hidden="1" x14ac:dyDescent="0.2">
      <c r="A16" s="4" t="s">
        <v>4</v>
      </c>
      <c r="B16" s="6">
        <f>SUBTOTAL(109,GovBySenateDistrict62General[Niagara County Vote Results])</f>
        <v>73673</v>
      </c>
      <c r="C16" s="6"/>
      <c r="D16" s="6">
        <f>SUBTOTAL(109,GovBySenateDistrict62General[Part of Monroe County Vote Results])</f>
        <v>12818</v>
      </c>
      <c r="E16" s="6"/>
      <c r="F16" s="9"/>
    </row>
  </sheetData>
  <pageMargins left="0.7" right="0.7" top="0.75" bottom="0.75" header="0.3" footer="0.3"/>
  <tableParts count="1">
    <tablePart r:id="rId1"/>
  </tablePart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3F46C-42B8-4574-82DD-E8E626A00215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140</v>
      </c>
    </row>
    <row r="2" spans="1:4" ht="24.95" customHeight="1" x14ac:dyDescent="0.2">
      <c r="A2" s="7" t="s">
        <v>12</v>
      </c>
      <c r="B2" s="8" t="s">
        <v>58</v>
      </c>
      <c r="C2" s="10" t="s">
        <v>141</v>
      </c>
      <c r="D2" s="11" t="s">
        <v>5</v>
      </c>
    </row>
    <row r="3" spans="1:4" x14ac:dyDescent="0.2">
      <c r="A3" s="2" t="s">
        <v>3</v>
      </c>
      <c r="B3" s="3">
        <v>53444</v>
      </c>
      <c r="C3" s="12">
        <f>GovBySenateDistrict63General[[#This Row],[Part of Erie County Vote Results]]</f>
        <v>53444</v>
      </c>
      <c r="D3" s="13">
        <f>SUM(C3,C7,C8,C9)</f>
        <v>56312</v>
      </c>
    </row>
    <row r="4" spans="1:4" x14ac:dyDescent="0.2">
      <c r="A4" s="2" t="s">
        <v>14</v>
      </c>
      <c r="B4" s="3">
        <v>18999</v>
      </c>
      <c r="C4" s="12">
        <f>GovBySenateDistrict63General[[#This Row],[Part of Erie County Vote Results]]</f>
        <v>18999</v>
      </c>
      <c r="D4" s="13">
        <f>SUM(C4,C5,C10)</f>
        <v>23797</v>
      </c>
    </row>
    <row r="5" spans="1:4" x14ac:dyDescent="0.2">
      <c r="A5" s="2" t="s">
        <v>15</v>
      </c>
      <c r="B5" s="3">
        <v>4397</v>
      </c>
      <c r="C5" s="12">
        <f>GovBySenateDistrict63General[[#This Row],[Part of Erie County Vote Results]]</f>
        <v>4397</v>
      </c>
      <c r="D5" s="14"/>
    </row>
    <row r="6" spans="1:4" x14ac:dyDescent="0.2">
      <c r="A6" s="2" t="s">
        <v>6</v>
      </c>
      <c r="B6" s="3">
        <v>1655</v>
      </c>
      <c r="C6" s="12">
        <f>GovBySenateDistrict63General[[#This Row],[Part of Erie County Vote Results]]</f>
        <v>1655</v>
      </c>
      <c r="D6" s="13">
        <f>GovBySenateDistrict63General[[#This Row],[Total Votes by Party]]</f>
        <v>1655</v>
      </c>
    </row>
    <row r="7" spans="1:4" x14ac:dyDescent="0.2">
      <c r="A7" s="2" t="s">
        <v>7</v>
      </c>
      <c r="B7" s="3">
        <v>1514</v>
      </c>
      <c r="C7" s="12">
        <f>GovBySenateDistrict63General[[#This Row],[Part of Erie County Vote Results]]</f>
        <v>1514</v>
      </c>
      <c r="D7" s="14"/>
    </row>
    <row r="8" spans="1:4" x14ac:dyDescent="0.2">
      <c r="A8" s="2" t="s">
        <v>8</v>
      </c>
      <c r="B8" s="3">
        <v>862</v>
      </c>
      <c r="C8" s="12">
        <f>GovBySenateDistrict63General[[#This Row],[Part of Erie County Vote Results]]</f>
        <v>862</v>
      </c>
      <c r="D8" s="14"/>
    </row>
    <row r="9" spans="1:4" x14ac:dyDescent="0.2">
      <c r="A9" s="2" t="s">
        <v>9</v>
      </c>
      <c r="B9" s="3">
        <v>492</v>
      </c>
      <c r="C9" s="12">
        <f>GovBySenateDistrict63General[[#This Row],[Part of Erie County Vote Results]]</f>
        <v>492</v>
      </c>
      <c r="D9" s="14"/>
    </row>
    <row r="10" spans="1:4" x14ac:dyDescent="0.2">
      <c r="A10" s="2" t="s">
        <v>16</v>
      </c>
      <c r="B10" s="3">
        <v>401</v>
      </c>
      <c r="C10" s="12">
        <f>GovBySenateDistrict63General[[#This Row],[Part of Erie County Vote Results]]</f>
        <v>401</v>
      </c>
      <c r="D10" s="14"/>
    </row>
    <row r="11" spans="1:4" x14ac:dyDescent="0.2">
      <c r="A11" s="2" t="s">
        <v>10</v>
      </c>
      <c r="B11" s="3">
        <v>1279</v>
      </c>
      <c r="C11" s="12">
        <f>GovBySenateDistrict63General[[#This Row],[Part of Erie County Vote Results]]</f>
        <v>1279</v>
      </c>
      <c r="D11" s="13">
        <f>GovBySenateDistrict63General[[#This Row],[Total Votes by Party]]</f>
        <v>1279</v>
      </c>
    </row>
    <row r="12" spans="1:4" x14ac:dyDescent="0.2">
      <c r="A12" s="4" t="s">
        <v>11</v>
      </c>
      <c r="B12" s="5">
        <v>631</v>
      </c>
      <c r="C12" s="12">
        <f>GovBySenateDistrict63General[[#This Row],[Part of Erie County Vote Results]]</f>
        <v>631</v>
      </c>
      <c r="D12" s="13">
        <f>GovBySenateDistrict63General[[#This Row],[Total Votes by Party]]</f>
        <v>631</v>
      </c>
    </row>
    <row r="13" spans="1:4" x14ac:dyDescent="0.2">
      <c r="A13" s="4" t="s">
        <v>0</v>
      </c>
      <c r="B13" s="5">
        <v>1998</v>
      </c>
      <c r="C13" s="12">
        <f>GovBySenateDistrict63General[[#This Row],[Part of Erie County Vote Results]]</f>
        <v>1998</v>
      </c>
      <c r="D13" s="14"/>
    </row>
    <row r="14" spans="1:4" x14ac:dyDescent="0.2">
      <c r="A14" s="4" t="s">
        <v>1</v>
      </c>
      <c r="B14" s="5">
        <v>0</v>
      </c>
      <c r="C14" s="12">
        <f>GovBySenateDistrict63General[[#This Row],[Part of Erie County Vote Results]]</f>
        <v>0</v>
      </c>
      <c r="D14" s="14"/>
    </row>
    <row r="15" spans="1:4" x14ac:dyDescent="0.2">
      <c r="A15" s="4" t="s">
        <v>2</v>
      </c>
      <c r="B15" s="5">
        <v>0</v>
      </c>
      <c r="C15" s="12">
        <f>GovBySenateDistrict63General[[#This Row],[Part of Erie County Vote Results]]</f>
        <v>0</v>
      </c>
      <c r="D15" s="14"/>
    </row>
    <row r="16" spans="1:4" hidden="1" x14ac:dyDescent="0.2">
      <c r="A16" s="4" t="s">
        <v>4</v>
      </c>
      <c r="B16" s="6">
        <f>SUBTOTAL(109,GovBySenateDistrict63General[Total Votes by Candidate])</f>
        <v>83674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8F2EA-9862-4850-AC73-310F146CED1A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79</v>
      </c>
    </row>
    <row r="2" spans="1:4" ht="24.95" customHeight="1" x14ac:dyDescent="0.2">
      <c r="A2" s="7" t="s">
        <v>12</v>
      </c>
      <c r="B2" s="8" t="s">
        <v>17</v>
      </c>
      <c r="C2" s="10" t="s">
        <v>141</v>
      </c>
      <c r="D2" s="11" t="s">
        <v>5</v>
      </c>
    </row>
    <row r="3" spans="1:4" x14ac:dyDescent="0.2">
      <c r="A3" s="2" t="s">
        <v>3</v>
      </c>
      <c r="B3" s="3">
        <v>64831</v>
      </c>
      <c r="C3" s="12">
        <f>GovBySenateDistrict7General[[#This Row],[Part of Nassau County Vote Results]]</f>
        <v>64831</v>
      </c>
      <c r="D3" s="13">
        <f>SUM(C3,C7,C8,C9)</f>
        <v>67360</v>
      </c>
    </row>
    <row r="4" spans="1:4" x14ac:dyDescent="0.2">
      <c r="A4" s="2" t="s">
        <v>14</v>
      </c>
      <c r="B4" s="3">
        <v>39620</v>
      </c>
      <c r="C4" s="12">
        <f>GovBySenateDistrict7General[[#This Row],[Part of Nassau County Vote Results]]</f>
        <v>39620</v>
      </c>
      <c r="D4" s="13">
        <f>SUM(C4,C5,C10)</f>
        <v>43317</v>
      </c>
    </row>
    <row r="5" spans="1:4" x14ac:dyDescent="0.2">
      <c r="A5" s="2" t="s">
        <v>15</v>
      </c>
      <c r="B5" s="3">
        <v>3387</v>
      </c>
      <c r="C5" s="12">
        <f>GovBySenateDistrict7General[[#This Row],[Part of Nassau County Vote Results]]</f>
        <v>3387</v>
      </c>
      <c r="D5" s="14"/>
    </row>
    <row r="6" spans="1:4" x14ac:dyDescent="0.2">
      <c r="A6" s="2" t="s">
        <v>6</v>
      </c>
      <c r="B6" s="3">
        <v>948</v>
      </c>
      <c r="C6" s="12">
        <f>GovBySenateDistrict7General[[#This Row],[Part of Nassau County Vote Results]]</f>
        <v>948</v>
      </c>
      <c r="D6" s="13">
        <f>GovBySenateDistrict7General[[#This Row],[Total Votes by Party]]</f>
        <v>948</v>
      </c>
    </row>
    <row r="7" spans="1:4" x14ac:dyDescent="0.2">
      <c r="A7" s="2" t="s">
        <v>7</v>
      </c>
      <c r="B7" s="3">
        <v>1172</v>
      </c>
      <c r="C7" s="12">
        <f>GovBySenateDistrict7General[[#This Row],[Part of Nassau County Vote Results]]</f>
        <v>1172</v>
      </c>
      <c r="D7" s="14"/>
    </row>
    <row r="8" spans="1:4" x14ac:dyDescent="0.2">
      <c r="A8" s="2" t="s">
        <v>8</v>
      </c>
      <c r="B8" s="3">
        <v>874</v>
      </c>
      <c r="C8" s="12">
        <f>GovBySenateDistrict7General[[#This Row],[Part of Nassau County Vote Results]]</f>
        <v>874</v>
      </c>
      <c r="D8" s="14"/>
    </row>
    <row r="9" spans="1:4" x14ac:dyDescent="0.2">
      <c r="A9" s="2" t="s">
        <v>9</v>
      </c>
      <c r="B9" s="3">
        <v>483</v>
      </c>
      <c r="C9" s="12">
        <f>GovBySenateDistrict7General[[#This Row],[Part of Nassau County Vote Results]]</f>
        <v>483</v>
      </c>
      <c r="D9" s="14"/>
    </row>
    <row r="10" spans="1:4" x14ac:dyDescent="0.2">
      <c r="A10" s="2" t="s">
        <v>16</v>
      </c>
      <c r="B10" s="3">
        <v>310</v>
      </c>
      <c r="C10" s="12">
        <f>GovBySenateDistrict7General[[#This Row],[Part of Nassau County Vote Results]]</f>
        <v>310</v>
      </c>
      <c r="D10" s="14"/>
    </row>
    <row r="11" spans="1:4" x14ac:dyDescent="0.2">
      <c r="A11" s="2" t="s">
        <v>10</v>
      </c>
      <c r="B11" s="3">
        <v>554</v>
      </c>
      <c r="C11" s="12">
        <f>GovBySenateDistrict7General[[#This Row],[Part of Nassau County Vote Results]]</f>
        <v>554</v>
      </c>
      <c r="D11" s="13">
        <f>GovBySenateDistrict7General[[#This Row],[Total Votes by Party]]</f>
        <v>554</v>
      </c>
    </row>
    <row r="12" spans="1:4" x14ac:dyDescent="0.2">
      <c r="A12" s="4" t="s">
        <v>11</v>
      </c>
      <c r="B12" s="5">
        <v>395</v>
      </c>
      <c r="C12" s="12">
        <f>GovBySenateDistrict7General[[#This Row],[Part of Nassau County Vote Results]]</f>
        <v>395</v>
      </c>
      <c r="D12" s="13">
        <f>GovBySenateDistrict7General[[#This Row],[Total Votes by Party]]</f>
        <v>395</v>
      </c>
    </row>
    <row r="13" spans="1:4" x14ac:dyDescent="0.2">
      <c r="A13" s="4" t="s">
        <v>0</v>
      </c>
      <c r="B13" s="5">
        <v>2995</v>
      </c>
      <c r="C13" s="12">
        <f>GovBySenateDistrict7General[[#This Row],[Part of Nassau County Vote Results]]</f>
        <v>2995</v>
      </c>
      <c r="D13" s="14"/>
    </row>
    <row r="14" spans="1:4" x14ac:dyDescent="0.2">
      <c r="A14" s="4" t="s">
        <v>1</v>
      </c>
      <c r="B14" s="5">
        <v>233</v>
      </c>
      <c r="C14" s="12">
        <f>GovBySenateDistrict7General[[#This Row],[Part of Nassau County Vote Results]]</f>
        <v>233</v>
      </c>
      <c r="D14" s="14"/>
    </row>
    <row r="15" spans="1:4" x14ac:dyDescent="0.2">
      <c r="A15" s="4" t="s">
        <v>2</v>
      </c>
      <c r="B15" s="5">
        <v>63</v>
      </c>
      <c r="C15" s="12">
        <f>GovBySenateDistrict7General[[#This Row],[Part of Nassau County Vote Results]]</f>
        <v>63</v>
      </c>
      <c r="D15" s="14"/>
    </row>
    <row r="16" spans="1:4" hidden="1" x14ac:dyDescent="0.2">
      <c r="A16" s="4" t="s">
        <v>4</v>
      </c>
      <c r="B16" s="6">
        <f>SUBTOTAL(109,GovBySenateDistrict7General[Total Votes by Candidate])</f>
        <v>112574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D136-805A-4B9E-9104-3BF82B7EC98D}">
  <dimension ref="A1:E16"/>
  <sheetViews>
    <sheetView workbookViewId="0">
      <selection activeCell="C18" sqref="C1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80</v>
      </c>
    </row>
    <row r="2" spans="1:5" ht="25.5" x14ac:dyDescent="0.2">
      <c r="A2" s="7" t="s">
        <v>12</v>
      </c>
      <c r="B2" s="8" t="s">
        <v>17</v>
      </c>
      <c r="C2" s="8" t="s">
        <v>13</v>
      </c>
      <c r="D2" s="10" t="s">
        <v>141</v>
      </c>
      <c r="E2" s="11" t="s">
        <v>5</v>
      </c>
    </row>
    <row r="3" spans="1:5" x14ac:dyDescent="0.2">
      <c r="A3" s="2" t="s">
        <v>3</v>
      </c>
      <c r="B3" s="3">
        <v>48507</v>
      </c>
      <c r="C3" s="3">
        <v>14167</v>
      </c>
      <c r="D3" s="12">
        <f>SUM(GovBySenateDistrict8General[[#This Row],[Part of Nassau County Vote Results]:[Part of Suffolk County Vote Results]])</f>
        <v>62674</v>
      </c>
      <c r="E3" s="13">
        <f>SUM(D3,D7,D8,D9)</f>
        <v>65236</v>
      </c>
    </row>
    <row r="4" spans="1:5" x14ac:dyDescent="0.2">
      <c r="A4" s="2" t="s">
        <v>14</v>
      </c>
      <c r="B4" s="3">
        <v>36721</v>
      </c>
      <c r="C4" s="3">
        <v>7954</v>
      </c>
      <c r="D4" s="12">
        <f>SUM(GovBySenateDistrict8General[[#This Row],[Part of Nassau County Vote Results]:[Part of Suffolk County Vote Results]])</f>
        <v>44675</v>
      </c>
      <c r="E4" s="13">
        <f>SUM(D4,D5,D10)</f>
        <v>49318</v>
      </c>
    </row>
    <row r="5" spans="1:5" x14ac:dyDescent="0.2">
      <c r="A5" s="2" t="s">
        <v>15</v>
      </c>
      <c r="B5" s="3">
        <v>3474</v>
      </c>
      <c r="C5" s="3">
        <v>847</v>
      </c>
      <c r="D5" s="12">
        <f>SUM(GovBySenateDistrict8General[[#This Row],[Part of Nassau County Vote Results]:[Part of Suffolk County Vote Results]])</f>
        <v>4321</v>
      </c>
      <c r="E5" s="14"/>
    </row>
    <row r="6" spans="1:5" x14ac:dyDescent="0.2">
      <c r="A6" s="2" t="s">
        <v>6</v>
      </c>
      <c r="B6" s="3">
        <v>659</v>
      </c>
      <c r="C6" s="3">
        <v>211</v>
      </c>
      <c r="D6" s="12">
        <f>SUM(GovBySenateDistrict8General[[#This Row],[Part of Nassau County Vote Results]:[Part of Suffolk County Vote Results]])</f>
        <v>870</v>
      </c>
      <c r="E6" s="13">
        <f>GovBySenateDistrict8General[[#This Row],[Total Votes by Party]]</f>
        <v>870</v>
      </c>
    </row>
    <row r="7" spans="1:5" x14ac:dyDescent="0.2">
      <c r="A7" s="2" t="s">
        <v>7</v>
      </c>
      <c r="B7" s="3">
        <v>831</v>
      </c>
      <c r="C7" s="3">
        <v>284</v>
      </c>
      <c r="D7" s="12">
        <f>SUM(GovBySenateDistrict8General[[#This Row],[Part of Nassau County Vote Results]:[Part of Suffolk County Vote Results]])</f>
        <v>1115</v>
      </c>
      <c r="E7" s="14"/>
    </row>
    <row r="8" spans="1:5" x14ac:dyDescent="0.2">
      <c r="A8" s="2" t="s">
        <v>8</v>
      </c>
      <c r="B8" s="3">
        <v>678</v>
      </c>
      <c r="C8" s="3">
        <v>248</v>
      </c>
      <c r="D8" s="12">
        <f>SUM(GovBySenateDistrict8General[[#This Row],[Part of Nassau County Vote Results]:[Part of Suffolk County Vote Results]])</f>
        <v>926</v>
      </c>
      <c r="E8" s="14"/>
    </row>
    <row r="9" spans="1:5" x14ac:dyDescent="0.2">
      <c r="A9" s="2" t="s">
        <v>9</v>
      </c>
      <c r="B9" s="3">
        <v>398</v>
      </c>
      <c r="C9" s="3">
        <v>123</v>
      </c>
      <c r="D9" s="12">
        <f>SUM(GovBySenateDistrict8General[[#This Row],[Part of Nassau County Vote Results]:[Part of Suffolk County Vote Results]])</f>
        <v>521</v>
      </c>
      <c r="E9" s="14"/>
    </row>
    <row r="10" spans="1:5" x14ac:dyDescent="0.2">
      <c r="A10" s="2" t="s">
        <v>16</v>
      </c>
      <c r="B10" s="3">
        <v>267</v>
      </c>
      <c r="C10" s="3">
        <v>55</v>
      </c>
      <c r="D10" s="12">
        <f>SUM(GovBySenateDistrict8General[[#This Row],[Part of Nassau County Vote Results]:[Part of Suffolk County Vote Results]])</f>
        <v>322</v>
      </c>
      <c r="E10" s="14"/>
    </row>
    <row r="11" spans="1:5" x14ac:dyDescent="0.2">
      <c r="A11" s="2" t="s">
        <v>10</v>
      </c>
      <c r="B11" s="3">
        <v>611</v>
      </c>
      <c r="C11" s="3">
        <v>170</v>
      </c>
      <c r="D11" s="12">
        <f>SUM(GovBySenateDistrict8General[[#This Row],[Part of Nassau County Vote Results]:[Part of Suffolk County Vote Results]])</f>
        <v>781</v>
      </c>
      <c r="E11" s="13">
        <f>GovBySenateDistrict8General[[#This Row],[Total Votes by Party]]</f>
        <v>781</v>
      </c>
    </row>
    <row r="12" spans="1:5" x14ac:dyDescent="0.2">
      <c r="A12" s="4" t="s">
        <v>11</v>
      </c>
      <c r="B12" s="3">
        <v>386</v>
      </c>
      <c r="C12" s="3">
        <v>120</v>
      </c>
      <c r="D12" s="12">
        <f>SUM(GovBySenateDistrict8General[[#This Row],[Part of Nassau County Vote Results]:[Part of Suffolk County Vote Results]])</f>
        <v>506</v>
      </c>
      <c r="E12" s="13">
        <f>GovBySenateDistrict8General[[#This Row],[Total Votes by Party]]</f>
        <v>506</v>
      </c>
    </row>
    <row r="13" spans="1:5" x14ac:dyDescent="0.2">
      <c r="A13" s="4" t="s">
        <v>0</v>
      </c>
      <c r="B13" s="3">
        <v>2199</v>
      </c>
      <c r="C13" s="3">
        <v>331</v>
      </c>
      <c r="D13" s="12">
        <f>SUM(GovBySenateDistrict8General[[#This Row],[Part of Nassau County Vote Results]:[Part of Suffolk County Vote Results]])</f>
        <v>2530</v>
      </c>
      <c r="E13" s="14"/>
    </row>
    <row r="14" spans="1:5" x14ac:dyDescent="0.2">
      <c r="A14" s="4" t="s">
        <v>1</v>
      </c>
      <c r="B14" s="3">
        <v>242</v>
      </c>
      <c r="C14" s="3">
        <v>24</v>
      </c>
      <c r="D14" s="12">
        <f>SUM(GovBySenateDistrict8General[[#This Row],[Part of Nassau County Vote Results]:[Part of Suffolk County Vote Results]])</f>
        <v>266</v>
      </c>
      <c r="E14" s="14"/>
    </row>
    <row r="15" spans="1:5" x14ac:dyDescent="0.2">
      <c r="A15" s="4" t="s">
        <v>2</v>
      </c>
      <c r="B15" s="5">
        <v>59</v>
      </c>
      <c r="C15" s="5">
        <v>2</v>
      </c>
      <c r="D15" s="12">
        <f>SUM(GovBySenateDistrict8General[[#This Row],[Part of Nassau County Vote Results]:[Part of Suffolk County Vote Results]])</f>
        <v>61</v>
      </c>
      <c r="E15" s="14"/>
    </row>
    <row r="16" spans="1:5" hidden="1" x14ac:dyDescent="0.2">
      <c r="A16" s="4" t="s">
        <v>4</v>
      </c>
      <c r="B16" s="6">
        <f>SUBTOTAL(109,GovBySenateDistrict8General[Part of Nassau County Vote Results])</f>
        <v>95032</v>
      </c>
      <c r="C16" s="6">
        <f>SUBTOTAL(109,GovBySenateDistrict8General[Part of Suffolk County Vote Results])</f>
        <v>24536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8DA22-303F-4446-8088-024AB6D1AD2C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81</v>
      </c>
    </row>
    <row r="2" spans="1:4" ht="24.95" customHeight="1" x14ac:dyDescent="0.2">
      <c r="A2" s="7" t="s">
        <v>12</v>
      </c>
      <c r="B2" s="8" t="s">
        <v>17</v>
      </c>
      <c r="C2" s="10" t="s">
        <v>141</v>
      </c>
      <c r="D2" s="11" t="s">
        <v>5</v>
      </c>
    </row>
    <row r="3" spans="1:4" x14ac:dyDescent="0.2">
      <c r="A3" s="2" t="s">
        <v>3</v>
      </c>
      <c r="B3" s="3">
        <v>66471</v>
      </c>
      <c r="C3" s="12">
        <f>GovBySenateDistrict9General[[#This Row],[Part of Nassau County Vote Results]]</f>
        <v>66471</v>
      </c>
      <c r="D3" s="13">
        <f>SUM(C3,C7,C8,C9)</f>
        <v>69006</v>
      </c>
    </row>
    <row r="4" spans="1:4" x14ac:dyDescent="0.2">
      <c r="A4" s="2" t="s">
        <v>14</v>
      </c>
      <c r="B4" s="3">
        <v>43186</v>
      </c>
      <c r="C4" s="12">
        <f>GovBySenateDistrict9General[[#This Row],[Part of Nassau County Vote Results]]</f>
        <v>43186</v>
      </c>
      <c r="D4" s="13">
        <f>SUM(C4,C5,C10)</f>
        <v>47287</v>
      </c>
    </row>
    <row r="5" spans="1:4" x14ac:dyDescent="0.2">
      <c r="A5" s="2" t="s">
        <v>15</v>
      </c>
      <c r="B5" s="3">
        <v>3733</v>
      </c>
      <c r="C5" s="12">
        <f>GovBySenateDistrict9General[[#This Row],[Part of Nassau County Vote Results]]</f>
        <v>3733</v>
      </c>
      <c r="D5" s="14"/>
    </row>
    <row r="6" spans="1:4" x14ac:dyDescent="0.2">
      <c r="A6" s="2" t="s">
        <v>6</v>
      </c>
      <c r="B6" s="3">
        <v>1028</v>
      </c>
      <c r="C6" s="12">
        <f>GovBySenateDistrict9General[[#This Row],[Part of Nassau County Vote Results]]</f>
        <v>1028</v>
      </c>
      <c r="D6" s="13">
        <f>GovBySenateDistrict9General[[#This Row],[Total Votes by Party]]</f>
        <v>1028</v>
      </c>
    </row>
    <row r="7" spans="1:4" x14ac:dyDescent="0.2">
      <c r="A7" s="2" t="s">
        <v>7</v>
      </c>
      <c r="B7" s="3">
        <v>1121</v>
      </c>
      <c r="C7" s="12">
        <f>GovBySenateDistrict9General[[#This Row],[Part of Nassau County Vote Results]]</f>
        <v>1121</v>
      </c>
      <c r="D7" s="14"/>
    </row>
    <row r="8" spans="1:4" x14ac:dyDescent="0.2">
      <c r="A8" s="2" t="s">
        <v>8</v>
      </c>
      <c r="B8" s="3">
        <v>913</v>
      </c>
      <c r="C8" s="12">
        <f>GovBySenateDistrict9General[[#This Row],[Part of Nassau County Vote Results]]</f>
        <v>913</v>
      </c>
      <c r="D8" s="14"/>
    </row>
    <row r="9" spans="1:4" x14ac:dyDescent="0.2">
      <c r="A9" s="2" t="s">
        <v>9</v>
      </c>
      <c r="B9" s="3">
        <v>501</v>
      </c>
      <c r="C9" s="12">
        <f>GovBySenateDistrict9General[[#This Row],[Part of Nassau County Vote Results]]</f>
        <v>501</v>
      </c>
      <c r="D9" s="14"/>
    </row>
    <row r="10" spans="1:4" x14ac:dyDescent="0.2">
      <c r="A10" s="2" t="s">
        <v>16</v>
      </c>
      <c r="B10" s="3">
        <v>368</v>
      </c>
      <c r="C10" s="12">
        <f>GovBySenateDistrict9General[[#This Row],[Part of Nassau County Vote Results]]</f>
        <v>368</v>
      </c>
      <c r="D10" s="14"/>
    </row>
    <row r="11" spans="1:4" x14ac:dyDescent="0.2">
      <c r="A11" s="2" t="s">
        <v>10</v>
      </c>
      <c r="B11" s="3">
        <v>673</v>
      </c>
      <c r="C11" s="12">
        <f>GovBySenateDistrict9General[[#This Row],[Part of Nassau County Vote Results]]</f>
        <v>673</v>
      </c>
      <c r="D11" s="13">
        <f>GovBySenateDistrict9General[[#This Row],[Total Votes by Party]]</f>
        <v>673</v>
      </c>
    </row>
    <row r="12" spans="1:4" x14ac:dyDescent="0.2">
      <c r="A12" s="4" t="s">
        <v>11</v>
      </c>
      <c r="B12" s="5">
        <v>453</v>
      </c>
      <c r="C12" s="12">
        <f>GovBySenateDistrict9General[[#This Row],[Part of Nassau County Vote Results]]</f>
        <v>453</v>
      </c>
      <c r="D12" s="13">
        <f>GovBySenateDistrict9General[[#This Row],[Total Votes by Party]]</f>
        <v>453</v>
      </c>
    </row>
    <row r="13" spans="1:4" x14ac:dyDescent="0.2">
      <c r="A13" s="4" t="s">
        <v>0</v>
      </c>
      <c r="B13" s="5">
        <v>2720</v>
      </c>
      <c r="C13" s="12">
        <f>GovBySenateDistrict9General[[#This Row],[Part of Nassau County Vote Results]]</f>
        <v>2720</v>
      </c>
      <c r="D13" s="14"/>
    </row>
    <row r="14" spans="1:4" x14ac:dyDescent="0.2">
      <c r="A14" s="4" t="s">
        <v>1</v>
      </c>
      <c r="B14" s="5">
        <v>235</v>
      </c>
      <c r="C14" s="12">
        <f>GovBySenateDistrict9General[[#This Row],[Part of Nassau County Vote Results]]</f>
        <v>235</v>
      </c>
      <c r="D14" s="14"/>
    </row>
    <row r="15" spans="1:4" x14ac:dyDescent="0.2">
      <c r="A15" s="4" t="s">
        <v>2</v>
      </c>
      <c r="B15" s="5">
        <v>56</v>
      </c>
      <c r="C15" s="12">
        <f>GovBySenateDistrict9General[[#This Row],[Part of Nassau County Vote Results]]</f>
        <v>56</v>
      </c>
      <c r="D15" s="14"/>
    </row>
    <row r="16" spans="1:4" hidden="1" x14ac:dyDescent="0.2">
      <c r="A16" s="4" t="s">
        <v>4</v>
      </c>
      <c r="B16" s="6">
        <f>SUBTOTAL(109,GovBySenateDistrict9General[Total Votes by Candidate])</f>
        <v>118447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63</vt:i4>
      </vt:variant>
      <vt:variant>
        <vt:lpstr>Named Ranges</vt:lpstr>
      </vt:variant>
      <vt:variant>
        <vt:i4>1</vt:i4>
      </vt:variant>
    </vt:vector>
  </HeadingPairs>
  <TitlesOfParts>
    <vt:vector size="64" baseType="lpstr">
      <vt:lpstr>Gov by 1st SD</vt:lpstr>
      <vt:lpstr>Gov by 2nd SD</vt:lpstr>
      <vt:lpstr>Gov by 3rd SD</vt:lpstr>
      <vt:lpstr>Gov by 4th SD</vt:lpstr>
      <vt:lpstr>Gov by 5th SD</vt:lpstr>
      <vt:lpstr>Gov by 6th SD</vt:lpstr>
      <vt:lpstr>Gov by 7th SD</vt:lpstr>
      <vt:lpstr>Gov by 8th SD</vt:lpstr>
      <vt:lpstr>Gov by 9th SD</vt:lpstr>
      <vt:lpstr>Gov by 10th SD</vt:lpstr>
      <vt:lpstr>Gov by 11th SD</vt:lpstr>
      <vt:lpstr>Gov by 12th SD</vt:lpstr>
      <vt:lpstr>Gov by 13th SD</vt:lpstr>
      <vt:lpstr>Gov by 14th SD</vt:lpstr>
      <vt:lpstr>Gov by 15th SD</vt:lpstr>
      <vt:lpstr>Gov by 16th SD</vt:lpstr>
      <vt:lpstr>Gov by 17th SD</vt:lpstr>
      <vt:lpstr>Gov by 18th SD</vt:lpstr>
      <vt:lpstr>Gov by 19th SD</vt:lpstr>
      <vt:lpstr>Gov by 20th SD</vt:lpstr>
      <vt:lpstr>Gov by 21st SD</vt:lpstr>
      <vt:lpstr>Gov by 22nd SD</vt:lpstr>
      <vt:lpstr>Gov by 23rd SD</vt:lpstr>
      <vt:lpstr>Gov by 24th SD</vt:lpstr>
      <vt:lpstr>Gov by 25th SD</vt:lpstr>
      <vt:lpstr>Gov by 26th SD</vt:lpstr>
      <vt:lpstr>Gov by 27th SD</vt:lpstr>
      <vt:lpstr>Gov by 28th SD</vt:lpstr>
      <vt:lpstr>Gov by 29th SD</vt:lpstr>
      <vt:lpstr>Gov by 30th SD</vt:lpstr>
      <vt:lpstr>Gov by 31st SD</vt:lpstr>
      <vt:lpstr>Gov by 32nd SD</vt:lpstr>
      <vt:lpstr>Gov by 33rd SD</vt:lpstr>
      <vt:lpstr>Gov by 34th SD</vt:lpstr>
      <vt:lpstr>Gov by 35th SD</vt:lpstr>
      <vt:lpstr>Gov by 36th SD</vt:lpstr>
      <vt:lpstr>Gov by 37th SD</vt:lpstr>
      <vt:lpstr>Gov by 38th SD</vt:lpstr>
      <vt:lpstr>Gov by 39th SD</vt:lpstr>
      <vt:lpstr>Gov by 40th SD</vt:lpstr>
      <vt:lpstr>Gov by 41st SD</vt:lpstr>
      <vt:lpstr>Gov by 42nd SD</vt:lpstr>
      <vt:lpstr>Gov by 43rd SD</vt:lpstr>
      <vt:lpstr>Gov by 44th SD</vt:lpstr>
      <vt:lpstr>Gov by 45th SD</vt:lpstr>
      <vt:lpstr>Gov by 46th SD</vt:lpstr>
      <vt:lpstr>Gov by 47th SD</vt:lpstr>
      <vt:lpstr>Gov by 48th SD</vt:lpstr>
      <vt:lpstr>Gov by 49th SD</vt:lpstr>
      <vt:lpstr>Gov by 50th SD</vt:lpstr>
      <vt:lpstr>Gov by 51st SD</vt:lpstr>
      <vt:lpstr>Gov by 52nd SD</vt:lpstr>
      <vt:lpstr>Gov by 53rd SD</vt:lpstr>
      <vt:lpstr>Gov by 54th SD</vt:lpstr>
      <vt:lpstr>Gov by 55th SD</vt:lpstr>
      <vt:lpstr>Gov by 56th SD</vt:lpstr>
      <vt:lpstr>Gov by 57th SD</vt:lpstr>
      <vt:lpstr>Gov by 58th SD</vt:lpstr>
      <vt:lpstr>Gov by 59th SD</vt:lpstr>
      <vt:lpstr>Gov by 60th SD</vt:lpstr>
      <vt:lpstr>Gov by 61st SD</vt:lpstr>
      <vt:lpstr>Gov by 62nd SD</vt:lpstr>
      <vt:lpstr>Gov by 63rd SD</vt:lpstr>
      <vt:lpstr>'Gov by 1st SD'!Print_Area</vt:lpstr>
    </vt:vector>
  </TitlesOfParts>
  <Company>NYSBOE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pjorczak</dc:creator>
  <cp:lastModifiedBy>Thomas Connolly</cp:lastModifiedBy>
  <cp:lastPrinted>2018-12-13T16:58:27Z</cp:lastPrinted>
  <dcterms:created xsi:type="dcterms:W3CDTF">2008-10-28T18:22:21Z</dcterms:created>
  <dcterms:modified xsi:type="dcterms:W3CDTF">2019-01-14T21:11:52Z</dcterms:modified>
</cp:coreProperties>
</file>